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760" activeTab="1"/>
  </bookViews>
  <sheets>
    <sheet name="CRONOGRAMA" sheetId="11" r:id="rId1"/>
    <sheet name="PRESUPUESTO" sheetId="13" r:id="rId2"/>
    <sheet name="CADENA DE VALOR" sheetId="14" r:id="rId3"/>
    <sheet name="APU" sheetId="3" r:id="rId4"/>
    <sheet name="AIU" sheetId="54" r:id="rId5"/>
    <sheet name="EDT" sheetId="62" r:id="rId6"/>
    <sheet name="INSUMOS" sheetId="10" r:id="rId7"/>
    <sheet name="MO" sheetId="4" r:id="rId8"/>
    <sheet name="SUB ANALISIS CONCRETO" sheetId="7" r:id="rId9"/>
    <sheet name="Analisis de mercado 2025" sheetId="61" r:id="rId10"/>
    <sheet name="EQUIPOS" sheetId="6" state="hidden" r:id="rId11"/>
    <sheet name="PGIO" sheetId="19" r:id="rId12"/>
    <sheet name="FACTOR PREST" sheetId="5" r:id="rId13"/>
    <sheet name="SUB ANALISIS MORTERO" sheetId="9" r:id="rId14"/>
    <sheet name="Interventoria" sheetId="21" r:id="rId15"/>
    <sheet name="Factor multiplicador" sheetId="22" r:id="rId16"/>
    <sheet name="ITEM1.2" sheetId="23" r:id="rId17"/>
    <sheet name="ITEM1.3" sheetId="24" r:id="rId18"/>
    <sheet name="ITEM1.4" sheetId="25" r:id="rId19"/>
    <sheet name="ITEM4.2" sheetId="27" r:id="rId20"/>
    <sheet name="ITEM4.7" sheetId="28" r:id="rId21"/>
    <sheet name="ITEM 4,13" sheetId="29" r:id="rId22"/>
    <sheet name="ITEM 4,14" sheetId="30" r:id="rId23"/>
    <sheet name="ITEM 4,15" sheetId="31" r:id="rId24"/>
    <sheet name="ITEM5.6" sheetId="26" r:id="rId25"/>
    <sheet name="ITEM5.2" sheetId="32" r:id="rId26"/>
    <sheet name="ITEM5.3" sheetId="33" r:id="rId27"/>
    <sheet name="ITEM5.4" sheetId="35" r:id="rId28"/>
    <sheet name="ITEM5.1" sheetId="36" r:id="rId29"/>
    <sheet name="ITEM6.1" sheetId="37" r:id="rId30"/>
    <sheet name="ITEM6.3" sheetId="38" r:id="rId31"/>
    <sheet name="6.9" sheetId="39" r:id="rId32"/>
    <sheet name="ITEM6.4" sheetId="40" r:id="rId33"/>
    <sheet name="ITEM 8,2" sheetId="41" r:id="rId34"/>
    <sheet name="ITEM 9,1" sheetId="42" r:id="rId35"/>
    <sheet name="ITEM 9,2" sheetId="43" r:id="rId36"/>
    <sheet name="ITEM 9,3" sheetId="44" r:id="rId37"/>
    <sheet name="ITEM 9,4" sheetId="45" r:id="rId38"/>
    <sheet name="ITEM 10,01" sheetId="46" r:id="rId39"/>
    <sheet name="ITEM 10,02" sheetId="47" r:id="rId40"/>
    <sheet name="ITEM 11,1" sheetId="49" r:id="rId41"/>
    <sheet name="ITEM 11,5" sheetId="50" r:id="rId42"/>
    <sheet name="ITEM 12,1" sheetId="51" r:id="rId43"/>
    <sheet name="ITEM 13,01" sheetId="52" r:id="rId44"/>
    <sheet name="ITEM 14,01" sheetId="55" r:id="rId45"/>
    <sheet name="ITEM 14,02" sheetId="56" r:id="rId46"/>
    <sheet name="ITEM 14,03" sheetId="57" r:id="rId47"/>
    <sheet name="ITEM 15,02" sheetId="58" r:id="rId48"/>
    <sheet name="ITEM 15,03" sheetId="59" r:id="rId49"/>
    <sheet name="ITEM 15,04" sheetId="60" r:id="rId50"/>
  </sheets>
  <externalReferences>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s>
  <definedNames>
    <definedName name="\a" localSheetId="4">#REF!</definedName>
    <definedName name="\a">#REF!</definedName>
    <definedName name="\b" localSheetId="4">[1]INSUMOS!#REF!</definedName>
    <definedName name="\b">[1]INSUMOS!#REF!</definedName>
    <definedName name="\eliminar" localSheetId="4">[2]RESUM96!#REF!</definedName>
    <definedName name="\eliminar">[2]RESUM96!#REF!</definedName>
    <definedName name="\eliminar1" localSheetId="4">[2]RESUM96!#REF!</definedName>
    <definedName name="\eliminar1">[2]RESUM96!#REF!</definedName>
    <definedName name="\i" localSheetId="4">[1]INSUMOS!#REF!</definedName>
    <definedName name="\i">[1]INSUMOS!#REF!</definedName>
    <definedName name="\m" localSheetId="4">[1]INSUMOS!#REF!</definedName>
    <definedName name="\m">[1]INSUMOS!#REF!</definedName>
    <definedName name="\q" localSheetId="4">#REF!</definedName>
    <definedName name="\q">#REF!</definedName>
    <definedName name="\r" localSheetId="4">[1]INSUMOS!#REF!</definedName>
    <definedName name="\r">[1]INSUMOS!#REF!</definedName>
    <definedName name="\t" localSheetId="4">[1]INSUMOS!#REF!</definedName>
    <definedName name="\t">[1]INSUMOS!#REF!</definedName>
    <definedName name="\x" localSheetId="4">[1]INSUMOS!#REF!</definedName>
    <definedName name="\x">[1]INSUMOS!#REF!</definedName>
    <definedName name="\z">#REF!</definedName>
    <definedName name="_______________EST1" localSheetId="4">#REF!</definedName>
    <definedName name="_______________EST1">#REF!</definedName>
    <definedName name="_______________EST10" localSheetId="4">#REF!</definedName>
    <definedName name="_______________EST10">#REF!</definedName>
    <definedName name="_______________EST11" localSheetId="4">#REF!</definedName>
    <definedName name="_______________EST11">#REF!</definedName>
    <definedName name="_______________EST12" localSheetId="4">#REF!</definedName>
    <definedName name="_______________EST12">#REF!</definedName>
    <definedName name="_______________EST13" localSheetId="4">#REF!</definedName>
    <definedName name="_______________EST13">#REF!</definedName>
    <definedName name="_______________EST14" localSheetId="4">#REF!</definedName>
    <definedName name="_______________EST14">#REF!</definedName>
    <definedName name="_______________EST15" localSheetId="4">#REF!</definedName>
    <definedName name="_______________EST15">#REF!</definedName>
    <definedName name="_______________EST16" localSheetId="4">#REF!</definedName>
    <definedName name="_______________EST16">#REF!</definedName>
    <definedName name="_______________EST17" localSheetId="4">#REF!</definedName>
    <definedName name="_______________EST17">#REF!</definedName>
    <definedName name="_______________EST18" localSheetId="4">#REF!</definedName>
    <definedName name="_______________EST18">#REF!</definedName>
    <definedName name="_______________EST19" localSheetId="4">#REF!</definedName>
    <definedName name="_______________EST19">#REF!</definedName>
    <definedName name="_______________EST2" localSheetId="4">#REF!</definedName>
    <definedName name="_______________EST2">#REF!</definedName>
    <definedName name="_______________EST3" localSheetId="4">#REF!</definedName>
    <definedName name="_______________EST3">#REF!</definedName>
    <definedName name="_______________EST4" localSheetId="4">#REF!</definedName>
    <definedName name="_______________EST4">#REF!</definedName>
    <definedName name="_______________EST5" localSheetId="4">#REF!</definedName>
    <definedName name="_______________EST5">#REF!</definedName>
    <definedName name="_______________EST6" localSheetId="4">#REF!</definedName>
    <definedName name="_______________EST6">#REF!</definedName>
    <definedName name="_______________EST7" localSheetId="4">#REF!</definedName>
    <definedName name="_______________EST7">#REF!</definedName>
    <definedName name="_______________EST8" localSheetId="4">#REF!</definedName>
    <definedName name="_______________EST8">#REF!</definedName>
    <definedName name="_______________EST9" localSheetId="4">#REF!</definedName>
    <definedName name="_______________EST9">#REF!</definedName>
    <definedName name="_______________EXC1" localSheetId="4">#REF!</definedName>
    <definedName name="_______________EXC1">#REF!</definedName>
    <definedName name="_______________EXC10" localSheetId="4">#REF!</definedName>
    <definedName name="_______________EXC10">#REF!</definedName>
    <definedName name="_______________EXC11" localSheetId="4">#REF!</definedName>
    <definedName name="_______________EXC11">#REF!</definedName>
    <definedName name="_______________EXC12" localSheetId="4">#REF!</definedName>
    <definedName name="_______________EXC12">#REF!</definedName>
    <definedName name="_______________EXC2" localSheetId="4">#REF!</definedName>
    <definedName name="_______________EXC2">#REF!</definedName>
    <definedName name="_______________EXC3" localSheetId="4">#REF!</definedName>
    <definedName name="_______________EXC3">#REF!</definedName>
    <definedName name="_______________EXC4" localSheetId="4">#REF!</definedName>
    <definedName name="_______________EXC4">#REF!</definedName>
    <definedName name="_______________EXC5" localSheetId="4">#REF!</definedName>
    <definedName name="_______________EXC5">#REF!</definedName>
    <definedName name="_______________EXC6" localSheetId="4">#REF!</definedName>
    <definedName name="_______________EXC6">#REF!</definedName>
    <definedName name="_______________EXC7" localSheetId="4">#REF!</definedName>
    <definedName name="_______________EXC7">#REF!</definedName>
    <definedName name="_______________EXC8" localSheetId="4">#REF!</definedName>
    <definedName name="_______________EXC8">#REF!</definedName>
    <definedName name="_______________EXC9" localSheetId="4">#REF!</definedName>
    <definedName name="_______________EXC9">#REF!</definedName>
    <definedName name="_____________EST1" localSheetId="4">#REF!</definedName>
    <definedName name="_____________EST1">#REF!</definedName>
    <definedName name="_____________EST10" localSheetId="4">#REF!</definedName>
    <definedName name="_____________EST10">#REF!</definedName>
    <definedName name="_____________EST11" localSheetId="4">#REF!</definedName>
    <definedName name="_____________EST11">#REF!</definedName>
    <definedName name="_____________EST12" localSheetId="4">#REF!</definedName>
    <definedName name="_____________EST12">#REF!</definedName>
    <definedName name="_____________EST13" localSheetId="4">#REF!</definedName>
    <definedName name="_____________EST13">#REF!</definedName>
    <definedName name="_____________EST14" localSheetId="4">#REF!</definedName>
    <definedName name="_____________EST14">#REF!</definedName>
    <definedName name="_____________EST15" localSheetId="4">#REF!</definedName>
    <definedName name="_____________EST15">#REF!</definedName>
    <definedName name="_____________EST16" localSheetId="4">#REF!</definedName>
    <definedName name="_____________EST16">#REF!</definedName>
    <definedName name="_____________EST17" localSheetId="4">#REF!</definedName>
    <definedName name="_____________EST17">#REF!</definedName>
    <definedName name="_____________EST18" localSheetId="4">#REF!</definedName>
    <definedName name="_____________EST18">#REF!</definedName>
    <definedName name="_____________EST19" localSheetId="4">#REF!</definedName>
    <definedName name="_____________EST19">#REF!</definedName>
    <definedName name="_____________EST2" localSheetId="4">#REF!</definedName>
    <definedName name="_____________EST2">#REF!</definedName>
    <definedName name="_____________EST3" localSheetId="4">#REF!</definedName>
    <definedName name="_____________EST3">#REF!</definedName>
    <definedName name="_____________EST4" localSheetId="4">#REF!</definedName>
    <definedName name="_____________EST4">#REF!</definedName>
    <definedName name="_____________EST5" localSheetId="4">#REF!</definedName>
    <definedName name="_____________EST5">#REF!</definedName>
    <definedName name="_____________EST6" localSheetId="4">#REF!</definedName>
    <definedName name="_____________EST6">#REF!</definedName>
    <definedName name="_____________EST7" localSheetId="4">#REF!</definedName>
    <definedName name="_____________EST7">#REF!</definedName>
    <definedName name="_____________EST8" localSheetId="4">#REF!</definedName>
    <definedName name="_____________EST8">#REF!</definedName>
    <definedName name="_____________EST9" localSheetId="4">#REF!</definedName>
    <definedName name="_____________EST9">#REF!</definedName>
    <definedName name="_____________EXC1" localSheetId="4">#REF!</definedName>
    <definedName name="_____________EXC1">#REF!</definedName>
    <definedName name="_____________EXC10" localSheetId="4">#REF!</definedName>
    <definedName name="_____________EXC10">#REF!</definedName>
    <definedName name="_____________EXC11" localSheetId="4">#REF!</definedName>
    <definedName name="_____________EXC11">#REF!</definedName>
    <definedName name="_____________EXC12" localSheetId="4">#REF!</definedName>
    <definedName name="_____________EXC12">#REF!</definedName>
    <definedName name="_____________EXC2" localSheetId="4">#REF!</definedName>
    <definedName name="_____________EXC2">#REF!</definedName>
    <definedName name="_____________EXC3" localSheetId="4">#REF!</definedName>
    <definedName name="_____________EXC3">#REF!</definedName>
    <definedName name="_____________EXC4" localSheetId="4">#REF!</definedName>
    <definedName name="_____________EXC4">#REF!</definedName>
    <definedName name="_____________EXC5" localSheetId="4">#REF!</definedName>
    <definedName name="_____________EXC5">#REF!</definedName>
    <definedName name="_____________EXC8" localSheetId="4">#REF!</definedName>
    <definedName name="_____________EXC8">#REF!</definedName>
    <definedName name="_____________EXC9" localSheetId="4">#REF!</definedName>
    <definedName name="_____________EXC9">#REF!</definedName>
    <definedName name="_____________ORO10" localSheetId="4">#REF!</definedName>
    <definedName name="_____________ORO10">#REF!</definedName>
    <definedName name="_____________ORO11" localSheetId="4">#REF!</definedName>
    <definedName name="_____________ORO11">#REF!</definedName>
    <definedName name="_____________ORO12" localSheetId="4">#REF!</definedName>
    <definedName name="_____________ORO12">#REF!</definedName>
    <definedName name="_____________ORO13" localSheetId="4">#REF!</definedName>
    <definedName name="_____________ORO13">#REF!</definedName>
    <definedName name="_____________ORO14" localSheetId="4">#REF!</definedName>
    <definedName name="_____________ORO14">#REF!</definedName>
    <definedName name="_____________ORO15" localSheetId="4">#REF!</definedName>
    <definedName name="_____________ORO15">#REF!</definedName>
    <definedName name="_____________ORO16" localSheetId="4">#REF!</definedName>
    <definedName name="_____________ORO16">#REF!</definedName>
    <definedName name="_____________ORO17" localSheetId="4">#REF!</definedName>
    <definedName name="_____________ORO17">#REF!</definedName>
    <definedName name="_____________ORO18" localSheetId="4">#REF!</definedName>
    <definedName name="_____________ORO18">#REF!</definedName>
    <definedName name="_____________ORO19" localSheetId="4">#REF!</definedName>
    <definedName name="_____________ORO19">#REF!</definedName>
    <definedName name="____________COD1" localSheetId="4">#REF!</definedName>
    <definedName name="____________COD1">#REF!</definedName>
    <definedName name="____________EXC6" localSheetId="4">#REF!</definedName>
    <definedName name="____________EXC6">#REF!</definedName>
    <definedName name="____________EXC7" localSheetId="4">#REF!</definedName>
    <definedName name="____________EXC7">#REF!</definedName>
    <definedName name="___________tab1" localSheetId="4">#REF!</definedName>
    <definedName name="___________tab1">#REF!</definedName>
    <definedName name="___________tab2" localSheetId="4">#REF!</definedName>
    <definedName name="___________tab2">#REF!</definedName>
    <definedName name="___________tab3" localSheetId="4">#REF!</definedName>
    <definedName name="___________tab3">#REF!</definedName>
    <definedName name="___________TAB4" localSheetId="4">#REF!</definedName>
    <definedName name="___________TAB4">#REF!</definedName>
    <definedName name="__________COD1" localSheetId="4">#REF!</definedName>
    <definedName name="__________COD1">#REF!</definedName>
    <definedName name="__________ORO10" localSheetId="4">#REF!</definedName>
    <definedName name="__________ORO10">#REF!</definedName>
    <definedName name="__________ORO11" localSheetId="4">#REF!</definedName>
    <definedName name="__________ORO11">#REF!</definedName>
    <definedName name="__________ORO12" localSheetId="4">#REF!</definedName>
    <definedName name="__________ORO12">#REF!</definedName>
    <definedName name="__________ORO13" localSheetId="4">#REF!</definedName>
    <definedName name="__________ORO13">#REF!</definedName>
    <definedName name="__________ORO14" localSheetId="4">#REF!</definedName>
    <definedName name="__________ORO14">#REF!</definedName>
    <definedName name="__________ORO15" localSheetId="4">#REF!</definedName>
    <definedName name="__________ORO15">#REF!</definedName>
    <definedName name="__________ORO16" localSheetId="4">#REF!</definedName>
    <definedName name="__________ORO16">#REF!</definedName>
    <definedName name="__________ORO17" localSheetId="4">#REF!</definedName>
    <definedName name="__________ORO17">#REF!</definedName>
    <definedName name="__________ORO18" localSheetId="4">#REF!</definedName>
    <definedName name="__________ORO18">#REF!</definedName>
    <definedName name="__________ORO19" localSheetId="4">#REF!</definedName>
    <definedName name="__________ORO19">#REF!</definedName>
    <definedName name="__________tab1" localSheetId="4">#REF!</definedName>
    <definedName name="__________tab1">#REF!</definedName>
    <definedName name="__________tab2" localSheetId="4">#REF!</definedName>
    <definedName name="__________tab2">#REF!</definedName>
    <definedName name="__________tab3" localSheetId="4">#REF!</definedName>
    <definedName name="__________tab3">#REF!</definedName>
    <definedName name="__________TAB4" localSheetId="4">#REF!</definedName>
    <definedName name="__________TAB4">#REF!</definedName>
    <definedName name="__________TYW6" localSheetId="4">#REF!</definedName>
    <definedName name="__________TYW6">#REF!</definedName>
    <definedName name="_________COD1" localSheetId="4">#REF!</definedName>
    <definedName name="_________COD1">#REF!</definedName>
    <definedName name="_________PMT5671" localSheetId="4">[3]MEMORIAS!#REF!</definedName>
    <definedName name="_________PMT5671">[3]MEMORIAS!#REF!</definedName>
    <definedName name="_________PMT5805" localSheetId="4">[3]MEMORIAS!#REF!</definedName>
    <definedName name="_________PMT5805">[3]MEMORIAS!#REF!</definedName>
    <definedName name="_________PMT5806" localSheetId="4">[3]MEMORIAS!#REF!</definedName>
    <definedName name="_________PMT5806">[3]MEMORIAS!#REF!</definedName>
    <definedName name="_________PMT5815" localSheetId="4">[3]MEMORIAS!#REF!</definedName>
    <definedName name="_________PMT5815">[3]MEMORIAS!#REF!</definedName>
    <definedName name="_________PMT5820" localSheetId="4">[3]MEMORIAS!#REF!</definedName>
    <definedName name="_________PMT5820">[3]MEMORIAS!#REF!</definedName>
    <definedName name="________aiu2">[4]AIU!$J$105</definedName>
    <definedName name="________COD1" localSheetId="4">#REF!</definedName>
    <definedName name="________COD1">#REF!</definedName>
    <definedName name="________EST10" localSheetId="4">#REF!</definedName>
    <definedName name="________EST10">#REF!</definedName>
    <definedName name="________EST11" localSheetId="4">#REF!</definedName>
    <definedName name="________EST11">#REF!</definedName>
    <definedName name="________EST12" localSheetId="4">#REF!</definedName>
    <definedName name="________EST12">#REF!</definedName>
    <definedName name="________EST13" localSheetId="4">#REF!</definedName>
    <definedName name="________EST13">#REF!</definedName>
    <definedName name="________EST14" localSheetId="4">#REF!</definedName>
    <definedName name="________EST14">#REF!</definedName>
    <definedName name="________EST16" localSheetId="4">#REF!</definedName>
    <definedName name="________EST16">#REF!</definedName>
    <definedName name="________EST17" localSheetId="4">#REF!</definedName>
    <definedName name="________EST17">#REF!</definedName>
    <definedName name="________EST18" localSheetId="4">#REF!</definedName>
    <definedName name="________EST18">#REF!</definedName>
    <definedName name="________EST19" localSheetId="4">#REF!</definedName>
    <definedName name="________EST19">#REF!</definedName>
    <definedName name="________EST2" localSheetId="4">#REF!</definedName>
    <definedName name="________EST2">#REF!</definedName>
    <definedName name="________EST3" localSheetId="4">#REF!</definedName>
    <definedName name="________EST3">#REF!</definedName>
    <definedName name="________EST4" localSheetId="4">#REF!</definedName>
    <definedName name="________EST4">#REF!</definedName>
    <definedName name="________EST5" localSheetId="4">#REF!</definedName>
    <definedName name="________EST5">#REF!</definedName>
    <definedName name="________EST6" localSheetId="4">#REF!</definedName>
    <definedName name="________EST6">#REF!</definedName>
    <definedName name="________EST7" localSheetId="4">#REF!</definedName>
    <definedName name="________EST7">#REF!</definedName>
    <definedName name="________EST8" localSheetId="4">#REF!</definedName>
    <definedName name="________EST8">#REF!</definedName>
    <definedName name="________EST9" localSheetId="4">#REF!</definedName>
    <definedName name="________EST9">#REF!</definedName>
    <definedName name="________EXC1" localSheetId="4">#REF!</definedName>
    <definedName name="________EXC1">#REF!</definedName>
    <definedName name="________EXC10" localSheetId="4">#REF!</definedName>
    <definedName name="________EXC10">#REF!</definedName>
    <definedName name="________EXC11" localSheetId="4">#REF!</definedName>
    <definedName name="________EXC11">#REF!</definedName>
    <definedName name="________EXC12" localSheetId="4">#REF!</definedName>
    <definedName name="________EXC12">#REF!</definedName>
    <definedName name="________EXC2" localSheetId="4">#REF!</definedName>
    <definedName name="________EXC2">#REF!</definedName>
    <definedName name="________EXC3" localSheetId="4">#REF!</definedName>
    <definedName name="________EXC3">#REF!</definedName>
    <definedName name="________EXC4" localSheetId="4">#REF!</definedName>
    <definedName name="________EXC4">#REF!</definedName>
    <definedName name="________EXC5" localSheetId="4">#REF!</definedName>
    <definedName name="________EXC5">#REF!</definedName>
    <definedName name="________EXC8" localSheetId="4">#REF!</definedName>
    <definedName name="________EXC8">#REF!</definedName>
    <definedName name="________EXC9" localSheetId="4">#REF!</definedName>
    <definedName name="________EXC9">#REF!</definedName>
    <definedName name="________r" localSheetId="4" hidden="1">{"TAB1",#N/A,TRUE,"GENERAL";"TAB2",#N/A,TRUE,"GENERAL";"TAB3",#N/A,TRUE,"GENERAL";"TAB4",#N/A,TRUE,"GENERAL";"TAB5",#N/A,TRUE,"GENERAL"}</definedName>
    <definedName name="________r" localSheetId="9" hidden="1">{"TAB1",#N/A,TRUE,"GENERAL";"TAB2",#N/A,TRUE,"GENERAL";"TAB3",#N/A,TRUE,"GENERAL";"TAB4",#N/A,TRUE,"GENERAL";"TAB5",#N/A,TRUE,"GENERAL"}</definedName>
    <definedName name="________r" hidden="1">{"TAB1",#N/A,TRUE,"GENERAL";"TAB2",#N/A,TRUE,"GENERAL";"TAB3",#N/A,TRUE,"GENERAL";"TAB4",#N/A,TRUE,"GENERAL";"TAB5",#N/A,TRUE,"GENERAL"}</definedName>
    <definedName name="________r4r" localSheetId="4" hidden="1">{"via1",#N/A,TRUE,"general";"via2",#N/A,TRUE,"general";"via3",#N/A,TRUE,"general"}</definedName>
    <definedName name="________r4r" localSheetId="9" hidden="1">{"via1",#N/A,TRUE,"general";"via2",#N/A,TRUE,"general";"via3",#N/A,TRUE,"general"}</definedName>
    <definedName name="________r4r" hidden="1">{"via1",#N/A,TRUE,"general";"via2",#N/A,TRUE,"general";"via3",#N/A,TRUE,"general"}</definedName>
    <definedName name="________TYW6" localSheetId="4">#REF!</definedName>
    <definedName name="________TYW6">#REF!</definedName>
    <definedName name="_______a1" localSheetId="4" hidden="1">{"TAB1",#N/A,TRUE,"GENERAL";"TAB2",#N/A,TRUE,"GENERAL";"TAB3",#N/A,TRUE,"GENERAL";"TAB4",#N/A,TRUE,"GENERAL";"TAB5",#N/A,TRUE,"GENERAL"}</definedName>
    <definedName name="_______a1" localSheetId="9" hidden="1">{"TAB1",#N/A,TRUE,"GENERAL";"TAB2",#N/A,TRUE,"GENERAL";"TAB3",#N/A,TRUE,"GENERAL";"TAB4",#N/A,TRUE,"GENERAL";"TAB5",#N/A,TRUE,"GENERAL"}</definedName>
    <definedName name="_______a1"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9" hidden="1">{"TAB1",#N/A,TRUE,"GENERAL";"TAB2",#N/A,TRUE,"GENERAL";"TAB3",#N/A,TRUE,"GENERAL";"TAB4",#N/A,TRUE,"GENERAL";"TAB5",#N/A,TRUE,"GENERAL"}</definedName>
    <definedName name="_______a3" hidden="1">{"TAB1",#N/A,TRUE,"GENERAL";"TAB2",#N/A,TRUE,"GENERAL";"TAB3",#N/A,TRUE,"GENERAL";"TAB4",#N/A,TRUE,"GENERAL";"TAB5",#N/A,TRUE,"GENERAL"}</definedName>
    <definedName name="_______a4" localSheetId="4" hidden="1">{"via1",#N/A,TRUE,"general";"via2",#N/A,TRUE,"general";"via3",#N/A,TRUE,"general"}</definedName>
    <definedName name="_______a4" localSheetId="9" hidden="1">{"via1",#N/A,TRUE,"general";"via2",#N/A,TRUE,"general";"via3",#N/A,TRUE,"general"}</definedName>
    <definedName name="_______a4" hidden="1">{"via1",#N/A,TRUE,"general";"via2",#N/A,TRUE,"general";"via3",#N/A,TRUE,"general"}</definedName>
    <definedName name="_______a5" localSheetId="4" hidden="1">{"TAB1",#N/A,TRUE,"GENERAL";"TAB2",#N/A,TRUE,"GENERAL";"TAB3",#N/A,TRUE,"GENERAL";"TAB4",#N/A,TRUE,"GENERAL";"TAB5",#N/A,TRUE,"GENERAL"}</definedName>
    <definedName name="_______a5" localSheetId="9" hidden="1">{"TAB1",#N/A,TRUE,"GENERAL";"TAB2",#N/A,TRUE,"GENERAL";"TAB3",#N/A,TRUE,"GENERAL";"TAB4",#N/A,TRUE,"GENERAL";"TAB5",#N/A,TRUE,"GENERAL"}</definedName>
    <definedName name="_______a5"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9" hidden="1">{"TAB1",#N/A,TRUE,"GENERAL";"TAB2",#N/A,TRUE,"GENERAL";"TAB3",#N/A,TRUE,"GENERAL";"TAB4",#N/A,TRUE,"GENERAL";"TAB5",#N/A,TRUE,"GENERAL"}</definedName>
    <definedName name="_______a6" hidden="1">{"TAB1",#N/A,TRUE,"GENERAL";"TAB2",#N/A,TRUE,"GENERAL";"TAB3",#N/A,TRUE,"GENERAL";"TAB4",#N/A,TRUE,"GENERAL";"TAB5",#N/A,TRUE,"GENERAL"}</definedName>
    <definedName name="_______b2" localSheetId="4" hidden="1">{"TAB1",#N/A,TRUE,"GENERAL";"TAB2",#N/A,TRUE,"GENERAL";"TAB3",#N/A,TRUE,"GENERAL";"TAB4",#N/A,TRUE,"GENERAL";"TAB5",#N/A,TRUE,"GENERAL"}</definedName>
    <definedName name="_______b2" localSheetId="9" hidden="1">{"TAB1",#N/A,TRUE,"GENERAL";"TAB2",#N/A,TRUE,"GENERAL";"TAB3",#N/A,TRUE,"GENERAL";"TAB4",#N/A,TRUE,"GENERAL";"TAB5",#N/A,TRUE,"GENERAL"}</definedName>
    <definedName name="_______b2"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9" hidden="1">{"TAB1",#N/A,TRUE,"GENERAL";"TAB2",#N/A,TRUE,"GENERAL";"TAB3",#N/A,TRUE,"GENERAL";"TAB4",#N/A,TRUE,"GENERAL";"TAB5",#N/A,TRUE,"GENERAL"}</definedName>
    <definedName name="_______b3"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9" hidden="1">{"TAB1",#N/A,TRUE,"GENERAL";"TAB2",#N/A,TRUE,"GENERAL";"TAB3",#N/A,TRUE,"GENERAL";"TAB4",#N/A,TRUE,"GENERAL";"TAB5",#N/A,TRUE,"GENERAL"}</definedName>
    <definedName name="_______b4"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9" hidden="1">{"TAB1",#N/A,TRUE,"GENERAL";"TAB2",#N/A,TRUE,"GENERAL";"TAB3",#N/A,TRUE,"GENERAL";"TAB4",#N/A,TRUE,"GENERAL";"TAB5",#N/A,TRUE,"GENERAL"}</definedName>
    <definedName name="_______b5"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9" hidden="1">{"TAB1",#N/A,TRUE,"GENERAL";"TAB2",#N/A,TRUE,"GENERAL";"TAB3",#N/A,TRUE,"GENERAL";"TAB4",#N/A,TRUE,"GENERAL";"TAB5",#N/A,TRUE,"GENERAL"}</definedName>
    <definedName name="_______b6" hidden="1">{"TAB1",#N/A,TRUE,"GENERAL";"TAB2",#N/A,TRUE,"GENERAL";"TAB3",#N/A,TRUE,"GENERAL";"TAB4",#N/A,TRUE,"GENERAL";"TAB5",#N/A,TRUE,"GENERAL"}</definedName>
    <definedName name="_______b7" localSheetId="4" hidden="1">{"via1",#N/A,TRUE,"general";"via2",#N/A,TRUE,"general";"via3",#N/A,TRUE,"general"}</definedName>
    <definedName name="_______b7" localSheetId="9" hidden="1">{"via1",#N/A,TRUE,"general";"via2",#N/A,TRUE,"general";"via3",#N/A,TRUE,"general"}</definedName>
    <definedName name="_______b7" hidden="1">{"via1",#N/A,TRUE,"general";"via2",#N/A,TRUE,"general";"via3",#N/A,TRUE,"general"}</definedName>
    <definedName name="_______b8" localSheetId="4" hidden="1">{"via1",#N/A,TRUE,"general";"via2",#N/A,TRUE,"general";"via3",#N/A,TRUE,"general"}</definedName>
    <definedName name="_______b8" localSheetId="9" hidden="1">{"via1",#N/A,TRUE,"general";"via2",#N/A,TRUE,"general";"via3",#N/A,TRUE,"general"}</definedName>
    <definedName name="_______b8" hidden="1">{"via1",#N/A,TRUE,"general";"via2",#N/A,TRUE,"general";"via3",#N/A,TRUE,"general"}</definedName>
    <definedName name="_______bb9" localSheetId="4" hidden="1">{"TAB1",#N/A,TRUE,"GENERAL";"TAB2",#N/A,TRUE,"GENERAL";"TAB3",#N/A,TRUE,"GENERAL";"TAB4",#N/A,TRUE,"GENERAL";"TAB5",#N/A,TRUE,"GENERAL"}</definedName>
    <definedName name="_______bb9" localSheetId="9" hidden="1">{"TAB1",#N/A,TRUE,"GENERAL";"TAB2",#N/A,TRUE,"GENERAL";"TAB3",#N/A,TRUE,"GENERAL";"TAB4",#N/A,TRUE,"GENERAL";"TAB5",#N/A,TRUE,"GENERAL"}</definedName>
    <definedName name="_______bb9"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9" hidden="1">{"TAB1",#N/A,TRUE,"GENERAL";"TAB2",#N/A,TRUE,"GENERAL";"TAB3",#N/A,TRUE,"GENERAL";"TAB4",#N/A,TRUE,"GENERAL";"TAB5",#N/A,TRUE,"GENERAL"}</definedName>
    <definedName name="_______bgb5" hidden="1">{"TAB1",#N/A,TRUE,"GENERAL";"TAB2",#N/A,TRUE,"GENERAL";"TAB3",#N/A,TRUE,"GENERAL";"TAB4",#N/A,TRUE,"GENERAL";"TAB5",#N/A,TRUE,"GENERAL"}</definedName>
    <definedName name="_______COD1" localSheetId="4">#REF!</definedName>
    <definedName name="_______COD1">#REF!</definedName>
    <definedName name="_______EST1" localSheetId="4">#REF!</definedName>
    <definedName name="_______EST1">#REF!</definedName>
    <definedName name="_______EST10" localSheetId="4">#REF!</definedName>
    <definedName name="_______EST10">#REF!</definedName>
    <definedName name="_______EST11" localSheetId="4">#REF!</definedName>
    <definedName name="_______EST11">#REF!</definedName>
    <definedName name="_______EST12" localSheetId="4">#REF!</definedName>
    <definedName name="_______EST12">#REF!</definedName>
    <definedName name="_______EST13" localSheetId="4">#REF!</definedName>
    <definedName name="_______EST13">#REF!</definedName>
    <definedName name="_______EST14" localSheetId="4">#REF!</definedName>
    <definedName name="_______EST14">#REF!</definedName>
    <definedName name="_______EST15" localSheetId="4">#REF!</definedName>
    <definedName name="_______EST15">#REF!</definedName>
    <definedName name="_______EST16" localSheetId="4">#REF!</definedName>
    <definedName name="_______EST16">#REF!</definedName>
    <definedName name="_______EST17" localSheetId="4">#REF!</definedName>
    <definedName name="_______EST17">#REF!</definedName>
    <definedName name="_______EST18" localSheetId="4">#REF!</definedName>
    <definedName name="_______EST18">#REF!</definedName>
    <definedName name="_______EST19" localSheetId="4">#REF!</definedName>
    <definedName name="_______EST19">#REF!</definedName>
    <definedName name="_______EST2" localSheetId="4">#REF!</definedName>
    <definedName name="_______EST2">#REF!</definedName>
    <definedName name="_______EST3" localSheetId="4">#REF!</definedName>
    <definedName name="_______EST3">#REF!</definedName>
    <definedName name="_______EST4" localSheetId="4">#REF!</definedName>
    <definedName name="_______EST4">#REF!</definedName>
    <definedName name="_______EST5" localSheetId="4">#REF!</definedName>
    <definedName name="_______EST5">#REF!</definedName>
    <definedName name="_______EST6" localSheetId="4">#REF!</definedName>
    <definedName name="_______EST6">#REF!</definedName>
    <definedName name="_______EST7" localSheetId="4">#REF!</definedName>
    <definedName name="_______EST7">#REF!</definedName>
    <definedName name="_______EST8" localSheetId="4">#REF!</definedName>
    <definedName name="_______EST8">#REF!</definedName>
    <definedName name="_______EST9" localSheetId="4">#REF!</definedName>
    <definedName name="_______EST9">#REF!</definedName>
    <definedName name="_______EXC1" localSheetId="4">#REF!</definedName>
    <definedName name="_______EXC1">#REF!</definedName>
    <definedName name="_______EXC10" localSheetId="4">#REF!</definedName>
    <definedName name="_______EXC10">#REF!</definedName>
    <definedName name="_______EXC11" localSheetId="4">#REF!</definedName>
    <definedName name="_______EXC11">#REF!</definedName>
    <definedName name="_______EXC12" localSheetId="4">#REF!</definedName>
    <definedName name="_______EXC12">#REF!</definedName>
    <definedName name="_______EXC2" localSheetId="4">#REF!</definedName>
    <definedName name="_______EXC2">#REF!</definedName>
    <definedName name="_______EXC3" localSheetId="4">#REF!</definedName>
    <definedName name="_______EXC3">#REF!</definedName>
    <definedName name="_______EXC4" localSheetId="4">#REF!</definedName>
    <definedName name="_______EXC4">#REF!</definedName>
    <definedName name="_______EXC5" localSheetId="4">#REF!</definedName>
    <definedName name="_______EXC5">#REF!</definedName>
    <definedName name="_______EXC6" localSheetId="4">#REF!</definedName>
    <definedName name="_______EXC6">#REF!</definedName>
    <definedName name="_______EXC7" localSheetId="4">#REF!</definedName>
    <definedName name="_______EXC7">#REF!</definedName>
    <definedName name="_______EXC8" localSheetId="4">#REF!</definedName>
    <definedName name="_______EXC8">#REF!</definedName>
    <definedName name="_______EXC9" localSheetId="4">#REF!</definedName>
    <definedName name="_______EXC9">#REF!</definedName>
    <definedName name="_______g2" localSheetId="4" hidden="1">{"TAB1",#N/A,TRUE,"GENERAL";"TAB2",#N/A,TRUE,"GENERAL";"TAB3",#N/A,TRUE,"GENERAL";"TAB4",#N/A,TRUE,"GENERAL";"TAB5",#N/A,TRUE,"GENERAL"}</definedName>
    <definedName name="_______g2" localSheetId="9" hidden="1">{"TAB1",#N/A,TRUE,"GENERAL";"TAB2",#N/A,TRUE,"GENERAL";"TAB3",#N/A,TRUE,"GENERAL";"TAB4",#N/A,TRUE,"GENERAL";"TAB5",#N/A,TRUE,"GENERAL"}</definedName>
    <definedName name="_______g2" hidden="1">{"TAB1",#N/A,TRUE,"GENERAL";"TAB2",#N/A,TRUE,"GENERAL";"TAB3",#N/A,TRUE,"GENERAL";"TAB4",#N/A,TRUE,"GENERAL";"TAB5",#N/A,TRUE,"GENERAL"}</definedName>
    <definedName name="_______g3" localSheetId="4" hidden="1">{"via1",#N/A,TRUE,"general";"via2",#N/A,TRUE,"general";"via3",#N/A,TRUE,"general"}</definedName>
    <definedName name="_______g3" localSheetId="9" hidden="1">{"via1",#N/A,TRUE,"general";"via2",#N/A,TRUE,"general";"via3",#N/A,TRUE,"general"}</definedName>
    <definedName name="_______g3" hidden="1">{"via1",#N/A,TRUE,"general";"via2",#N/A,TRUE,"general";"via3",#N/A,TRUE,"general"}</definedName>
    <definedName name="_______g4" localSheetId="4" hidden="1">{"via1",#N/A,TRUE,"general";"via2",#N/A,TRUE,"general";"via3",#N/A,TRUE,"general"}</definedName>
    <definedName name="_______g4" localSheetId="9" hidden="1">{"via1",#N/A,TRUE,"general";"via2",#N/A,TRUE,"general";"via3",#N/A,TRUE,"general"}</definedName>
    <definedName name="_______g4" hidden="1">{"via1",#N/A,TRUE,"general";"via2",#N/A,TRUE,"general";"via3",#N/A,TRUE,"general"}</definedName>
    <definedName name="_______g5" localSheetId="4" hidden="1">{"via1",#N/A,TRUE,"general";"via2",#N/A,TRUE,"general";"via3",#N/A,TRUE,"general"}</definedName>
    <definedName name="_______g5" localSheetId="9" hidden="1">{"via1",#N/A,TRUE,"general";"via2",#N/A,TRUE,"general";"via3",#N/A,TRUE,"general"}</definedName>
    <definedName name="_______g5" hidden="1">{"via1",#N/A,TRUE,"general";"via2",#N/A,TRUE,"general";"via3",#N/A,TRUE,"general"}</definedName>
    <definedName name="_______g6" localSheetId="4" hidden="1">{"via1",#N/A,TRUE,"general";"via2",#N/A,TRUE,"general";"via3",#N/A,TRUE,"general"}</definedName>
    <definedName name="_______g6" localSheetId="9" hidden="1">{"via1",#N/A,TRUE,"general";"via2",#N/A,TRUE,"general";"via3",#N/A,TRUE,"general"}</definedName>
    <definedName name="_______g6" hidden="1">{"via1",#N/A,TRUE,"general";"via2",#N/A,TRUE,"general";"via3",#N/A,TRUE,"general"}</definedName>
    <definedName name="_______g7" localSheetId="4" hidden="1">{"TAB1",#N/A,TRUE,"GENERAL";"TAB2",#N/A,TRUE,"GENERAL";"TAB3",#N/A,TRUE,"GENERAL";"TAB4",#N/A,TRUE,"GENERAL";"TAB5",#N/A,TRUE,"GENERAL"}</definedName>
    <definedName name="_______g7" localSheetId="9" hidden="1">{"TAB1",#N/A,TRUE,"GENERAL";"TAB2",#N/A,TRUE,"GENERAL";"TAB3",#N/A,TRUE,"GENERAL";"TAB4",#N/A,TRUE,"GENERAL";"TAB5",#N/A,TRUE,"GENERAL"}</definedName>
    <definedName name="_______g7"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9" hidden="1">{"TAB1",#N/A,TRUE,"GENERAL";"TAB2",#N/A,TRUE,"GENERAL";"TAB3",#N/A,TRUE,"GENERAL";"TAB4",#N/A,TRUE,"GENERAL";"TAB5",#N/A,TRUE,"GENERAL"}</definedName>
    <definedName name="_______GR1" hidden="1">{"TAB1",#N/A,TRUE,"GENERAL";"TAB2",#N/A,TRUE,"GENERAL";"TAB3",#N/A,TRUE,"GENERAL";"TAB4",#N/A,TRUE,"GENERAL";"TAB5",#N/A,TRUE,"GENERAL"}</definedName>
    <definedName name="_______gtr4" localSheetId="4" hidden="1">{"via1",#N/A,TRUE,"general";"via2",#N/A,TRUE,"general";"via3",#N/A,TRUE,"general"}</definedName>
    <definedName name="_______gtr4" localSheetId="9" hidden="1">{"via1",#N/A,TRUE,"general";"via2",#N/A,TRUE,"general";"via3",#N/A,TRUE,"general"}</definedName>
    <definedName name="_______gtr4" hidden="1">{"via1",#N/A,TRUE,"general";"via2",#N/A,TRUE,"general";"via3",#N/A,TRUE,"general"}</definedName>
    <definedName name="_______h2" localSheetId="4" hidden="1">{"via1",#N/A,TRUE,"general";"via2",#N/A,TRUE,"general";"via3",#N/A,TRUE,"general"}</definedName>
    <definedName name="_______h2" localSheetId="9" hidden="1">{"via1",#N/A,TRUE,"general";"via2",#N/A,TRUE,"general";"via3",#N/A,TRUE,"general"}</definedName>
    <definedName name="_______h2" hidden="1">{"via1",#N/A,TRUE,"general";"via2",#N/A,TRUE,"general";"via3",#N/A,TRUE,"general"}</definedName>
    <definedName name="_______h3" localSheetId="4" hidden="1">{"via1",#N/A,TRUE,"general";"via2",#N/A,TRUE,"general";"via3",#N/A,TRUE,"general"}</definedName>
    <definedName name="_______h3" localSheetId="9" hidden="1">{"via1",#N/A,TRUE,"general";"via2",#N/A,TRUE,"general";"via3",#N/A,TRUE,"general"}</definedName>
    <definedName name="_______h3" hidden="1">{"via1",#N/A,TRUE,"general";"via2",#N/A,TRUE,"general";"via3",#N/A,TRUE,"general"}</definedName>
    <definedName name="_______h4" localSheetId="4" hidden="1">{"TAB1",#N/A,TRUE,"GENERAL";"TAB2",#N/A,TRUE,"GENERAL";"TAB3",#N/A,TRUE,"GENERAL";"TAB4",#N/A,TRUE,"GENERAL";"TAB5",#N/A,TRUE,"GENERAL"}</definedName>
    <definedName name="_______h4" localSheetId="9" hidden="1">{"TAB1",#N/A,TRUE,"GENERAL";"TAB2",#N/A,TRUE,"GENERAL";"TAB3",#N/A,TRUE,"GENERAL";"TAB4",#N/A,TRUE,"GENERAL";"TAB5",#N/A,TRUE,"GENERAL"}</definedName>
    <definedName name="_______h4"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9" hidden="1">{"TAB1",#N/A,TRUE,"GENERAL";"TAB2",#N/A,TRUE,"GENERAL";"TAB3",#N/A,TRUE,"GENERAL";"TAB4",#N/A,TRUE,"GENERAL";"TAB5",#N/A,TRUE,"GENERAL"}</definedName>
    <definedName name="_______h5" hidden="1">{"TAB1",#N/A,TRUE,"GENERAL";"TAB2",#N/A,TRUE,"GENERAL";"TAB3",#N/A,TRUE,"GENERAL";"TAB4",#N/A,TRUE,"GENERAL";"TAB5",#N/A,TRUE,"GENERAL"}</definedName>
    <definedName name="_______h6" localSheetId="4" hidden="1">{"via1",#N/A,TRUE,"general";"via2",#N/A,TRUE,"general";"via3",#N/A,TRUE,"general"}</definedName>
    <definedName name="_______h6" localSheetId="9" hidden="1">{"via1",#N/A,TRUE,"general";"via2",#N/A,TRUE,"general";"via3",#N/A,TRUE,"general"}</definedName>
    <definedName name="_______h6" hidden="1">{"via1",#N/A,TRUE,"general";"via2",#N/A,TRUE,"general";"via3",#N/A,TRUE,"general"}</definedName>
    <definedName name="_______h7" localSheetId="4" hidden="1">{"TAB1",#N/A,TRUE,"GENERAL";"TAB2",#N/A,TRUE,"GENERAL";"TAB3",#N/A,TRUE,"GENERAL";"TAB4",#N/A,TRUE,"GENERAL";"TAB5",#N/A,TRUE,"GENERAL"}</definedName>
    <definedName name="_______h7" localSheetId="9" hidden="1">{"TAB1",#N/A,TRUE,"GENERAL";"TAB2",#N/A,TRUE,"GENERAL";"TAB3",#N/A,TRUE,"GENERAL";"TAB4",#N/A,TRUE,"GENERAL";"TAB5",#N/A,TRUE,"GENERAL"}</definedName>
    <definedName name="_______h7" hidden="1">{"TAB1",#N/A,TRUE,"GENERAL";"TAB2",#N/A,TRUE,"GENERAL";"TAB3",#N/A,TRUE,"GENERAL";"TAB4",#N/A,TRUE,"GENERAL";"TAB5",#N/A,TRUE,"GENERAL"}</definedName>
    <definedName name="_______h8" localSheetId="4" hidden="1">{"via1",#N/A,TRUE,"general";"via2",#N/A,TRUE,"general";"via3",#N/A,TRUE,"general"}</definedName>
    <definedName name="_______h8" localSheetId="9" hidden="1">{"via1",#N/A,TRUE,"general";"via2",#N/A,TRUE,"general";"via3",#N/A,TRUE,"general"}</definedName>
    <definedName name="_______h8" hidden="1">{"via1",#N/A,TRUE,"general";"via2",#N/A,TRUE,"general";"via3",#N/A,TRUE,"general"}</definedName>
    <definedName name="_______hfh7" localSheetId="4" hidden="1">{"via1",#N/A,TRUE,"general";"via2",#N/A,TRUE,"general";"via3",#N/A,TRUE,"general"}</definedName>
    <definedName name="_______hfh7" localSheetId="9" hidden="1">{"via1",#N/A,TRUE,"general";"via2",#N/A,TRUE,"general";"via3",#N/A,TRUE,"general"}</definedName>
    <definedName name="_______hfh7" hidden="1">{"via1",#N/A,TRUE,"general";"via2",#N/A,TRUE,"general";"via3",#N/A,TRUE,"general"}</definedName>
    <definedName name="_______i4" localSheetId="4" hidden="1">{"via1",#N/A,TRUE,"general";"via2",#N/A,TRUE,"general";"via3",#N/A,TRUE,"general"}</definedName>
    <definedName name="_______i4" localSheetId="9" hidden="1">{"via1",#N/A,TRUE,"general";"via2",#N/A,TRUE,"general";"via3",#N/A,TRUE,"general"}</definedName>
    <definedName name="_______i4" hidden="1">{"via1",#N/A,TRUE,"general";"via2",#N/A,TRUE,"general";"via3",#N/A,TRUE,"general"}</definedName>
    <definedName name="_______i5" localSheetId="4" hidden="1">{"TAB1",#N/A,TRUE,"GENERAL";"TAB2",#N/A,TRUE,"GENERAL";"TAB3",#N/A,TRUE,"GENERAL";"TAB4",#N/A,TRUE,"GENERAL";"TAB5",#N/A,TRUE,"GENERAL"}</definedName>
    <definedName name="_______i5" localSheetId="9" hidden="1">{"TAB1",#N/A,TRUE,"GENERAL";"TAB2",#N/A,TRUE,"GENERAL";"TAB3",#N/A,TRUE,"GENERAL";"TAB4",#N/A,TRUE,"GENERAL";"TAB5",#N/A,TRUE,"GENERAL"}</definedName>
    <definedName name="_______i5"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9" hidden="1">{"TAB1",#N/A,TRUE,"GENERAL";"TAB2",#N/A,TRUE,"GENERAL";"TAB3",#N/A,TRUE,"GENERAL";"TAB4",#N/A,TRUE,"GENERAL";"TAB5",#N/A,TRUE,"GENERAL"}</definedName>
    <definedName name="_______i6" hidden="1">{"TAB1",#N/A,TRUE,"GENERAL";"TAB2",#N/A,TRUE,"GENERAL";"TAB3",#N/A,TRUE,"GENERAL";"TAB4",#N/A,TRUE,"GENERAL";"TAB5",#N/A,TRUE,"GENERAL"}</definedName>
    <definedName name="_______i7" localSheetId="4" hidden="1">{"via1",#N/A,TRUE,"general";"via2",#N/A,TRUE,"general";"via3",#N/A,TRUE,"general"}</definedName>
    <definedName name="_______i7" localSheetId="9" hidden="1">{"via1",#N/A,TRUE,"general";"via2",#N/A,TRUE,"general";"via3",#N/A,TRUE,"general"}</definedName>
    <definedName name="_______i7" hidden="1">{"via1",#N/A,TRUE,"general";"via2",#N/A,TRUE,"general";"via3",#N/A,TRUE,"general"}</definedName>
    <definedName name="_______i77" localSheetId="4" hidden="1">{"TAB1",#N/A,TRUE,"GENERAL";"TAB2",#N/A,TRUE,"GENERAL";"TAB3",#N/A,TRUE,"GENERAL";"TAB4",#N/A,TRUE,"GENERAL";"TAB5",#N/A,TRUE,"GENERAL"}</definedName>
    <definedName name="_______i77" localSheetId="9" hidden="1">{"TAB1",#N/A,TRUE,"GENERAL";"TAB2",#N/A,TRUE,"GENERAL";"TAB3",#N/A,TRUE,"GENERAL";"TAB4",#N/A,TRUE,"GENERAL";"TAB5",#N/A,TRUE,"GENERAL"}</definedName>
    <definedName name="_______i77" hidden="1">{"TAB1",#N/A,TRUE,"GENERAL";"TAB2",#N/A,TRUE,"GENERAL";"TAB3",#N/A,TRUE,"GENERAL";"TAB4",#N/A,TRUE,"GENERAL";"TAB5",#N/A,TRUE,"GENERAL"}</definedName>
    <definedName name="_______i8" localSheetId="4" hidden="1">{"via1",#N/A,TRUE,"general";"via2",#N/A,TRUE,"general";"via3",#N/A,TRUE,"general"}</definedName>
    <definedName name="_______i8" localSheetId="9" hidden="1">{"via1",#N/A,TRUE,"general";"via2",#N/A,TRUE,"general";"via3",#N/A,TRUE,"general"}</definedName>
    <definedName name="_______i8" hidden="1">{"via1",#N/A,TRUE,"general";"via2",#N/A,TRUE,"general";"via3",#N/A,TRUE,"general"}</definedName>
    <definedName name="_______i9" localSheetId="4" hidden="1">{"TAB1",#N/A,TRUE,"GENERAL";"TAB2",#N/A,TRUE,"GENERAL";"TAB3",#N/A,TRUE,"GENERAL";"TAB4",#N/A,TRUE,"GENERAL";"TAB5",#N/A,TRUE,"GENERAL"}</definedName>
    <definedName name="_______i9" localSheetId="9" hidden="1">{"TAB1",#N/A,TRUE,"GENERAL";"TAB2",#N/A,TRUE,"GENERAL";"TAB3",#N/A,TRUE,"GENERAL";"TAB4",#N/A,TRUE,"GENERAL";"TAB5",#N/A,TRUE,"GENERAL"}</definedName>
    <definedName name="_______i9" hidden="1">{"TAB1",#N/A,TRUE,"GENERAL";"TAB2",#N/A,TRUE,"GENERAL";"TAB3",#N/A,TRUE,"GENERAL";"TAB4",#N/A,TRUE,"GENERAL";"TAB5",#N/A,TRUE,"GENERAL"}</definedName>
    <definedName name="_______k3" localSheetId="4" hidden="1">{"TAB1",#N/A,TRUE,"GENERAL";"TAB2",#N/A,TRUE,"GENERAL";"TAB3",#N/A,TRUE,"GENERAL";"TAB4",#N/A,TRUE,"GENERAL";"TAB5",#N/A,TRUE,"GENERAL"}</definedName>
    <definedName name="_______k3" localSheetId="9" hidden="1">{"TAB1",#N/A,TRUE,"GENERAL";"TAB2",#N/A,TRUE,"GENERAL";"TAB3",#N/A,TRUE,"GENERAL";"TAB4",#N/A,TRUE,"GENERAL";"TAB5",#N/A,TRUE,"GENERAL"}</definedName>
    <definedName name="_______k3" hidden="1">{"TAB1",#N/A,TRUE,"GENERAL";"TAB2",#N/A,TRUE,"GENERAL";"TAB3",#N/A,TRUE,"GENERAL";"TAB4",#N/A,TRUE,"GENERAL";"TAB5",#N/A,TRUE,"GENERAL"}</definedName>
    <definedName name="_______k4" localSheetId="4" hidden="1">{"via1",#N/A,TRUE,"general";"via2",#N/A,TRUE,"general";"via3",#N/A,TRUE,"general"}</definedName>
    <definedName name="_______k4" localSheetId="9" hidden="1">{"via1",#N/A,TRUE,"general";"via2",#N/A,TRUE,"general";"via3",#N/A,TRUE,"general"}</definedName>
    <definedName name="_______k4" hidden="1">{"via1",#N/A,TRUE,"general";"via2",#N/A,TRUE,"general";"via3",#N/A,TRUE,"general"}</definedName>
    <definedName name="_______k5" localSheetId="4" hidden="1">{"via1",#N/A,TRUE,"general";"via2",#N/A,TRUE,"general";"via3",#N/A,TRUE,"general"}</definedName>
    <definedName name="_______k5" localSheetId="9" hidden="1">{"via1",#N/A,TRUE,"general";"via2",#N/A,TRUE,"general";"via3",#N/A,TRUE,"general"}</definedName>
    <definedName name="_______k5" hidden="1">{"via1",#N/A,TRUE,"general";"via2",#N/A,TRUE,"general";"via3",#N/A,TRUE,"general"}</definedName>
    <definedName name="_______k6" localSheetId="4" hidden="1">{"TAB1",#N/A,TRUE,"GENERAL";"TAB2",#N/A,TRUE,"GENERAL";"TAB3",#N/A,TRUE,"GENERAL";"TAB4",#N/A,TRUE,"GENERAL";"TAB5",#N/A,TRUE,"GENERAL"}</definedName>
    <definedName name="_______k6" localSheetId="9" hidden="1">{"TAB1",#N/A,TRUE,"GENERAL";"TAB2",#N/A,TRUE,"GENERAL";"TAB3",#N/A,TRUE,"GENERAL";"TAB4",#N/A,TRUE,"GENERAL";"TAB5",#N/A,TRUE,"GENERAL"}</definedName>
    <definedName name="_______k6" hidden="1">{"TAB1",#N/A,TRUE,"GENERAL";"TAB2",#N/A,TRUE,"GENERAL";"TAB3",#N/A,TRUE,"GENERAL";"TAB4",#N/A,TRUE,"GENERAL";"TAB5",#N/A,TRUE,"GENERAL"}</definedName>
    <definedName name="_______k7" localSheetId="4" hidden="1">{"via1",#N/A,TRUE,"general";"via2",#N/A,TRUE,"general";"via3",#N/A,TRUE,"general"}</definedName>
    <definedName name="_______k7" localSheetId="9" hidden="1">{"via1",#N/A,TRUE,"general";"via2",#N/A,TRUE,"general";"via3",#N/A,TRUE,"general"}</definedName>
    <definedName name="_______k7" hidden="1">{"via1",#N/A,TRUE,"general";"via2",#N/A,TRUE,"general";"via3",#N/A,TRUE,"general"}</definedName>
    <definedName name="_______k8" localSheetId="4" hidden="1">{"via1",#N/A,TRUE,"general";"via2",#N/A,TRUE,"general";"via3",#N/A,TRUE,"general"}</definedName>
    <definedName name="_______k8" localSheetId="9" hidden="1">{"via1",#N/A,TRUE,"general";"via2",#N/A,TRUE,"general";"via3",#N/A,TRUE,"general"}</definedName>
    <definedName name="_______k8" hidden="1">{"via1",#N/A,TRUE,"general";"via2",#N/A,TRUE,"general";"via3",#N/A,TRUE,"general"}</definedName>
    <definedName name="_______k9" localSheetId="4" hidden="1">{"TAB1",#N/A,TRUE,"GENERAL";"TAB2",#N/A,TRUE,"GENERAL";"TAB3",#N/A,TRUE,"GENERAL";"TAB4",#N/A,TRUE,"GENERAL";"TAB5",#N/A,TRUE,"GENERAL"}</definedName>
    <definedName name="_______k9" localSheetId="9" hidden="1">{"TAB1",#N/A,TRUE,"GENERAL";"TAB2",#N/A,TRUE,"GENERAL";"TAB3",#N/A,TRUE,"GENERAL";"TAB4",#N/A,TRUE,"GENERAL";"TAB5",#N/A,TRUE,"GENERAL"}</definedName>
    <definedName name="_______k9"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9" hidden="1">{"TAB1",#N/A,TRUE,"GENERAL";"TAB2",#N/A,TRUE,"GENERAL";"TAB3",#N/A,TRUE,"GENERAL";"TAB4",#N/A,TRUE,"GENERAL";"TAB5",#N/A,TRUE,"GENERAL"}</definedName>
    <definedName name="_______kjk6" hidden="1">{"TAB1",#N/A,TRUE,"GENERAL";"TAB2",#N/A,TRUE,"GENERAL";"TAB3",#N/A,TRUE,"GENERAL";"TAB4",#N/A,TRUE,"GENERAL";"TAB5",#N/A,TRUE,"GENERAL"}</definedName>
    <definedName name="_______m3" localSheetId="4" hidden="1">{"via1",#N/A,TRUE,"general";"via2",#N/A,TRUE,"general";"via3",#N/A,TRUE,"general"}</definedName>
    <definedName name="_______m3" localSheetId="9" hidden="1">{"via1",#N/A,TRUE,"general";"via2",#N/A,TRUE,"general";"via3",#N/A,TRUE,"general"}</definedName>
    <definedName name="_______m3" hidden="1">{"via1",#N/A,TRUE,"general";"via2",#N/A,TRUE,"general";"via3",#N/A,TRUE,"general"}</definedName>
    <definedName name="_______m4" localSheetId="4" hidden="1">{"TAB1",#N/A,TRUE,"GENERAL";"TAB2",#N/A,TRUE,"GENERAL";"TAB3",#N/A,TRUE,"GENERAL";"TAB4",#N/A,TRUE,"GENERAL";"TAB5",#N/A,TRUE,"GENERAL"}</definedName>
    <definedName name="_______m4" localSheetId="9" hidden="1">{"TAB1",#N/A,TRUE,"GENERAL";"TAB2",#N/A,TRUE,"GENERAL";"TAB3",#N/A,TRUE,"GENERAL";"TAB4",#N/A,TRUE,"GENERAL";"TAB5",#N/A,TRUE,"GENERAL"}</definedName>
    <definedName name="_______m4" hidden="1">{"TAB1",#N/A,TRUE,"GENERAL";"TAB2",#N/A,TRUE,"GENERAL";"TAB3",#N/A,TRUE,"GENERAL";"TAB4",#N/A,TRUE,"GENERAL";"TAB5",#N/A,TRUE,"GENERAL"}</definedName>
    <definedName name="_______m5" localSheetId="4" hidden="1">{"via1",#N/A,TRUE,"general";"via2",#N/A,TRUE,"general";"via3",#N/A,TRUE,"general"}</definedName>
    <definedName name="_______m5" localSheetId="9" hidden="1">{"via1",#N/A,TRUE,"general";"via2",#N/A,TRUE,"general";"via3",#N/A,TRUE,"general"}</definedName>
    <definedName name="_______m5" hidden="1">{"via1",#N/A,TRUE,"general";"via2",#N/A,TRUE,"general";"via3",#N/A,TRUE,"general"}</definedName>
    <definedName name="_______m6" localSheetId="4" hidden="1">{"TAB1",#N/A,TRUE,"GENERAL";"TAB2",#N/A,TRUE,"GENERAL";"TAB3",#N/A,TRUE,"GENERAL";"TAB4",#N/A,TRUE,"GENERAL";"TAB5",#N/A,TRUE,"GENERAL"}</definedName>
    <definedName name="_______m6" localSheetId="9" hidden="1">{"TAB1",#N/A,TRUE,"GENERAL";"TAB2",#N/A,TRUE,"GENERAL";"TAB3",#N/A,TRUE,"GENERAL";"TAB4",#N/A,TRUE,"GENERAL";"TAB5",#N/A,TRUE,"GENERAL"}</definedName>
    <definedName name="_______m6"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9" hidden="1">{"TAB1",#N/A,TRUE,"GENERAL";"TAB2",#N/A,TRUE,"GENERAL";"TAB3",#N/A,TRUE,"GENERAL";"TAB4",#N/A,TRUE,"GENERAL";"TAB5",#N/A,TRUE,"GENERAL"}</definedName>
    <definedName name="_______m7" hidden="1">{"TAB1",#N/A,TRUE,"GENERAL";"TAB2",#N/A,TRUE,"GENERAL";"TAB3",#N/A,TRUE,"GENERAL";"TAB4",#N/A,TRUE,"GENERAL";"TAB5",#N/A,TRUE,"GENERAL"}</definedName>
    <definedName name="_______m8" localSheetId="4" hidden="1">{"via1",#N/A,TRUE,"general";"via2",#N/A,TRUE,"general";"via3",#N/A,TRUE,"general"}</definedName>
    <definedName name="_______m8" localSheetId="9" hidden="1">{"via1",#N/A,TRUE,"general";"via2",#N/A,TRUE,"general";"via3",#N/A,TRUE,"general"}</definedName>
    <definedName name="_______m8" hidden="1">{"via1",#N/A,TRUE,"general";"via2",#N/A,TRUE,"general";"via3",#N/A,TRUE,"general"}</definedName>
    <definedName name="_______m9" localSheetId="4" hidden="1">{"via1",#N/A,TRUE,"general";"via2",#N/A,TRUE,"general";"via3",#N/A,TRUE,"general"}</definedName>
    <definedName name="_______m9" localSheetId="9" hidden="1">{"via1",#N/A,TRUE,"general";"via2",#N/A,TRUE,"general";"via3",#N/A,TRUE,"general"}</definedName>
    <definedName name="_______m9" hidden="1">{"via1",#N/A,TRUE,"general";"via2",#N/A,TRUE,"general";"via3",#N/A,TRUE,"general"}</definedName>
    <definedName name="_______n3" localSheetId="4" hidden="1">{"TAB1",#N/A,TRUE,"GENERAL";"TAB2",#N/A,TRUE,"GENERAL";"TAB3",#N/A,TRUE,"GENERAL";"TAB4",#N/A,TRUE,"GENERAL";"TAB5",#N/A,TRUE,"GENERAL"}</definedName>
    <definedName name="_______n3" localSheetId="9" hidden="1">{"TAB1",#N/A,TRUE,"GENERAL";"TAB2",#N/A,TRUE,"GENERAL";"TAB3",#N/A,TRUE,"GENERAL";"TAB4",#N/A,TRUE,"GENERAL";"TAB5",#N/A,TRUE,"GENERAL"}</definedName>
    <definedName name="_______n3" hidden="1">{"TAB1",#N/A,TRUE,"GENERAL";"TAB2",#N/A,TRUE,"GENERAL";"TAB3",#N/A,TRUE,"GENERAL";"TAB4",#N/A,TRUE,"GENERAL";"TAB5",#N/A,TRUE,"GENERAL"}</definedName>
    <definedName name="_______n4" localSheetId="4" hidden="1">{"via1",#N/A,TRUE,"general";"via2",#N/A,TRUE,"general";"via3",#N/A,TRUE,"general"}</definedName>
    <definedName name="_______n4" localSheetId="9" hidden="1">{"via1",#N/A,TRUE,"general";"via2",#N/A,TRUE,"general";"via3",#N/A,TRUE,"general"}</definedName>
    <definedName name="_______n4" hidden="1">{"via1",#N/A,TRUE,"general";"via2",#N/A,TRUE,"general";"via3",#N/A,TRUE,"general"}</definedName>
    <definedName name="_______n5" localSheetId="4" hidden="1">{"TAB1",#N/A,TRUE,"GENERAL";"TAB2",#N/A,TRUE,"GENERAL";"TAB3",#N/A,TRUE,"GENERAL";"TAB4",#N/A,TRUE,"GENERAL";"TAB5",#N/A,TRUE,"GENERAL"}</definedName>
    <definedName name="_______n5" localSheetId="9" hidden="1">{"TAB1",#N/A,TRUE,"GENERAL";"TAB2",#N/A,TRUE,"GENERAL";"TAB3",#N/A,TRUE,"GENERAL";"TAB4",#N/A,TRUE,"GENERAL";"TAB5",#N/A,TRUE,"GENERAL"}</definedName>
    <definedName name="_______n5" hidden="1">{"TAB1",#N/A,TRUE,"GENERAL";"TAB2",#N/A,TRUE,"GENERAL";"TAB3",#N/A,TRUE,"GENERAL";"TAB4",#N/A,TRUE,"GENERAL";"TAB5",#N/A,TRUE,"GENERAL"}</definedName>
    <definedName name="_______nyn7" localSheetId="4" hidden="1">{"via1",#N/A,TRUE,"general";"via2",#N/A,TRUE,"general";"via3",#N/A,TRUE,"general"}</definedName>
    <definedName name="_______nyn7" localSheetId="9" hidden="1">{"via1",#N/A,TRUE,"general";"via2",#N/A,TRUE,"general";"via3",#N/A,TRUE,"general"}</definedName>
    <definedName name="_______nyn7" hidden="1">{"via1",#N/A,TRUE,"general";"via2",#N/A,TRUE,"general";"via3",#N/A,TRUE,"general"}</definedName>
    <definedName name="_______o4" localSheetId="4" hidden="1">{"via1",#N/A,TRUE,"general";"via2",#N/A,TRUE,"general";"via3",#N/A,TRUE,"general"}</definedName>
    <definedName name="_______o4" localSheetId="9" hidden="1">{"via1",#N/A,TRUE,"general";"via2",#N/A,TRUE,"general";"via3",#N/A,TRUE,"general"}</definedName>
    <definedName name="_______o4" hidden="1">{"via1",#N/A,TRUE,"general";"via2",#N/A,TRUE,"general";"via3",#N/A,TRUE,"general"}</definedName>
    <definedName name="_______o5" localSheetId="4" hidden="1">{"TAB1",#N/A,TRUE,"GENERAL";"TAB2",#N/A,TRUE,"GENERAL";"TAB3",#N/A,TRUE,"GENERAL";"TAB4",#N/A,TRUE,"GENERAL";"TAB5",#N/A,TRUE,"GENERAL"}</definedName>
    <definedName name="_______o5" localSheetId="9" hidden="1">{"TAB1",#N/A,TRUE,"GENERAL";"TAB2",#N/A,TRUE,"GENERAL";"TAB3",#N/A,TRUE,"GENERAL";"TAB4",#N/A,TRUE,"GENERAL";"TAB5",#N/A,TRUE,"GENERAL"}</definedName>
    <definedName name="_______o5"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9" hidden="1">{"TAB1",#N/A,TRUE,"GENERAL";"TAB2",#N/A,TRUE,"GENERAL";"TAB3",#N/A,TRUE,"GENERAL";"TAB4",#N/A,TRUE,"GENERAL";"TAB5",#N/A,TRUE,"GENERAL"}</definedName>
    <definedName name="_______o6"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9" hidden="1">{"TAB1",#N/A,TRUE,"GENERAL";"TAB2",#N/A,TRUE,"GENERAL";"TAB3",#N/A,TRUE,"GENERAL";"TAB4",#N/A,TRUE,"GENERAL";"TAB5",#N/A,TRUE,"GENERAL"}</definedName>
    <definedName name="_______o7" hidden="1">{"TAB1",#N/A,TRUE,"GENERAL";"TAB2",#N/A,TRUE,"GENERAL";"TAB3",#N/A,TRUE,"GENERAL";"TAB4",#N/A,TRUE,"GENERAL";"TAB5",#N/A,TRUE,"GENERAL"}</definedName>
    <definedName name="_______o8" localSheetId="4" hidden="1">{"via1",#N/A,TRUE,"general";"via2",#N/A,TRUE,"general";"via3",#N/A,TRUE,"general"}</definedName>
    <definedName name="_______o8" localSheetId="9" hidden="1">{"via1",#N/A,TRUE,"general";"via2",#N/A,TRUE,"general";"via3",#N/A,TRUE,"general"}</definedName>
    <definedName name="_______o8" hidden="1">{"via1",#N/A,TRUE,"general";"via2",#N/A,TRUE,"general";"via3",#N/A,TRUE,"general"}</definedName>
    <definedName name="_______o9" localSheetId="4" hidden="1">{"TAB1",#N/A,TRUE,"GENERAL";"TAB2",#N/A,TRUE,"GENERAL";"TAB3",#N/A,TRUE,"GENERAL";"TAB4",#N/A,TRUE,"GENERAL";"TAB5",#N/A,TRUE,"GENERAL"}</definedName>
    <definedName name="_______o9" localSheetId="9" hidden="1">{"TAB1",#N/A,TRUE,"GENERAL";"TAB2",#N/A,TRUE,"GENERAL";"TAB3",#N/A,TRUE,"GENERAL";"TAB4",#N/A,TRUE,"GENERAL";"TAB5",#N/A,TRUE,"GENERAL"}</definedName>
    <definedName name="_______o9" hidden="1">{"TAB1",#N/A,TRUE,"GENERAL";"TAB2",#N/A,TRUE,"GENERAL";"TAB3",#N/A,TRUE,"GENERAL";"TAB4",#N/A,TRUE,"GENERAL";"TAB5",#N/A,TRUE,"GENERAL"}</definedName>
    <definedName name="_______p6" localSheetId="4" hidden="1">{"via1",#N/A,TRUE,"general";"via2",#N/A,TRUE,"general";"via3",#N/A,TRUE,"general"}</definedName>
    <definedName name="_______p6" localSheetId="9" hidden="1">{"via1",#N/A,TRUE,"general";"via2",#N/A,TRUE,"general";"via3",#N/A,TRUE,"general"}</definedName>
    <definedName name="_______p6" hidden="1">{"via1",#N/A,TRUE,"general";"via2",#N/A,TRUE,"general";"via3",#N/A,TRUE,"general"}</definedName>
    <definedName name="_______p7" localSheetId="4" hidden="1">{"via1",#N/A,TRUE,"general";"via2",#N/A,TRUE,"general";"via3",#N/A,TRUE,"general"}</definedName>
    <definedName name="_______p7" localSheetId="9" hidden="1">{"via1",#N/A,TRUE,"general";"via2",#N/A,TRUE,"general";"via3",#N/A,TRUE,"general"}</definedName>
    <definedName name="_______p7" hidden="1">{"via1",#N/A,TRUE,"general";"via2",#N/A,TRUE,"general";"via3",#N/A,TRUE,"general"}</definedName>
    <definedName name="_______p8" localSheetId="4" hidden="1">{"TAB1",#N/A,TRUE,"GENERAL";"TAB2",#N/A,TRUE,"GENERAL";"TAB3",#N/A,TRUE,"GENERAL";"TAB4",#N/A,TRUE,"GENERAL";"TAB5",#N/A,TRUE,"GENERAL"}</definedName>
    <definedName name="_______p8" localSheetId="9" hidden="1">{"TAB1",#N/A,TRUE,"GENERAL";"TAB2",#N/A,TRUE,"GENERAL";"TAB3",#N/A,TRUE,"GENERAL";"TAB4",#N/A,TRUE,"GENERAL";"TAB5",#N/A,TRUE,"GENERAL"}</definedName>
    <definedName name="_______p8" hidden="1">{"TAB1",#N/A,TRUE,"GENERAL";"TAB2",#N/A,TRUE,"GENERAL";"TAB3",#N/A,TRUE,"GENERAL";"TAB4",#N/A,TRUE,"GENERAL";"TAB5",#N/A,TRUE,"GENERAL"}</definedName>
    <definedName name="_______r" localSheetId="4" hidden="1">{"TAB1",#N/A,TRUE,"GENERAL";"TAB2",#N/A,TRUE,"GENERAL";"TAB3",#N/A,TRUE,"GENERAL";"TAB4",#N/A,TRUE,"GENERAL";"TAB5",#N/A,TRUE,"GENERAL"}</definedName>
    <definedName name="_______r" localSheetId="9" hidden="1">{"TAB1",#N/A,TRUE,"GENERAL";"TAB2",#N/A,TRUE,"GENERAL";"TAB3",#N/A,TRUE,"GENERAL";"TAB4",#N/A,TRUE,"GENERAL";"TAB5",#N/A,TRUE,"GENERAL"}</definedName>
    <definedName name="_______r" hidden="1">{"TAB1",#N/A,TRUE,"GENERAL";"TAB2",#N/A,TRUE,"GENERAL";"TAB3",#N/A,TRUE,"GENERAL";"TAB4",#N/A,TRUE,"GENERAL";"TAB5",#N/A,TRUE,"GENERAL"}</definedName>
    <definedName name="_______r4r" localSheetId="4" hidden="1">{"via1",#N/A,TRUE,"general";"via2",#N/A,TRUE,"general";"via3",#N/A,TRUE,"general"}</definedName>
    <definedName name="_______r4r" localSheetId="9" hidden="1">{"via1",#N/A,TRUE,"general";"via2",#N/A,TRUE,"general";"via3",#N/A,TRUE,"general"}</definedName>
    <definedName name="_______r4r" hidden="1">{"via1",#N/A,TRUE,"general";"via2",#N/A,TRUE,"general";"via3",#N/A,TRUE,"general"}</definedName>
    <definedName name="_______rtu6" localSheetId="4" hidden="1">{"via1",#N/A,TRUE,"general";"via2",#N/A,TRUE,"general";"via3",#N/A,TRUE,"general"}</definedName>
    <definedName name="_______rtu6" localSheetId="9" hidden="1">{"via1",#N/A,TRUE,"general";"via2",#N/A,TRUE,"general";"via3",#N/A,TRUE,"general"}</definedName>
    <definedName name="_______rtu6" hidden="1">{"via1",#N/A,TRUE,"general";"via2",#N/A,TRUE,"general";"via3",#N/A,TRUE,"general"}</definedName>
    <definedName name="_______s1" localSheetId="4" hidden="1">{"via1",#N/A,TRUE,"general";"via2",#N/A,TRUE,"general";"via3",#N/A,TRUE,"general"}</definedName>
    <definedName name="_______s1" localSheetId="9" hidden="1">{"via1",#N/A,TRUE,"general";"via2",#N/A,TRUE,"general";"via3",#N/A,TRUE,"general"}</definedName>
    <definedName name="_______s1" hidden="1">{"via1",#N/A,TRUE,"general";"via2",#N/A,TRUE,"general";"via3",#N/A,TRUE,"general"}</definedName>
    <definedName name="_______s2" localSheetId="4" hidden="1">{"TAB1",#N/A,TRUE,"GENERAL";"TAB2",#N/A,TRUE,"GENERAL";"TAB3",#N/A,TRUE,"GENERAL";"TAB4",#N/A,TRUE,"GENERAL";"TAB5",#N/A,TRUE,"GENERAL"}</definedName>
    <definedName name="_______s2" localSheetId="9" hidden="1">{"TAB1",#N/A,TRUE,"GENERAL";"TAB2",#N/A,TRUE,"GENERAL";"TAB3",#N/A,TRUE,"GENERAL";"TAB4",#N/A,TRUE,"GENERAL";"TAB5",#N/A,TRUE,"GENERAL"}</definedName>
    <definedName name="_______s2"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9" hidden="1">{"TAB1",#N/A,TRUE,"GENERAL";"TAB2",#N/A,TRUE,"GENERAL";"TAB3",#N/A,TRUE,"GENERAL";"TAB4",#N/A,TRUE,"GENERAL";"TAB5",#N/A,TRUE,"GENERAL"}</definedName>
    <definedName name="_______s3" hidden="1">{"TAB1",#N/A,TRUE,"GENERAL";"TAB2",#N/A,TRUE,"GENERAL";"TAB3",#N/A,TRUE,"GENERAL";"TAB4",#N/A,TRUE,"GENERAL";"TAB5",#N/A,TRUE,"GENERAL"}</definedName>
    <definedName name="_______s4" localSheetId="4" hidden="1">{"via1",#N/A,TRUE,"general";"via2",#N/A,TRUE,"general";"via3",#N/A,TRUE,"general"}</definedName>
    <definedName name="_______s4" localSheetId="9" hidden="1">{"via1",#N/A,TRUE,"general";"via2",#N/A,TRUE,"general";"via3",#N/A,TRUE,"general"}</definedName>
    <definedName name="_______s4" hidden="1">{"via1",#N/A,TRUE,"general";"via2",#N/A,TRUE,"general";"via3",#N/A,TRUE,"general"}</definedName>
    <definedName name="_______s5" localSheetId="4" hidden="1">{"via1",#N/A,TRUE,"general";"via2",#N/A,TRUE,"general";"via3",#N/A,TRUE,"general"}</definedName>
    <definedName name="_______s5" localSheetId="9" hidden="1">{"via1",#N/A,TRUE,"general";"via2",#N/A,TRUE,"general";"via3",#N/A,TRUE,"general"}</definedName>
    <definedName name="_______s5" hidden="1">{"via1",#N/A,TRUE,"general";"via2",#N/A,TRUE,"general";"via3",#N/A,TRUE,"general"}</definedName>
    <definedName name="_______s6" localSheetId="4" hidden="1">{"TAB1",#N/A,TRUE,"GENERAL";"TAB2",#N/A,TRUE,"GENERAL";"TAB3",#N/A,TRUE,"GENERAL";"TAB4",#N/A,TRUE,"GENERAL";"TAB5",#N/A,TRUE,"GENERAL"}</definedName>
    <definedName name="_______s6" localSheetId="9" hidden="1">{"TAB1",#N/A,TRUE,"GENERAL";"TAB2",#N/A,TRUE,"GENERAL";"TAB3",#N/A,TRUE,"GENERAL";"TAB4",#N/A,TRUE,"GENERAL";"TAB5",#N/A,TRUE,"GENERAL"}</definedName>
    <definedName name="_______s6" hidden="1">{"TAB1",#N/A,TRUE,"GENERAL";"TAB2",#N/A,TRUE,"GENERAL";"TAB3",#N/A,TRUE,"GENERAL";"TAB4",#N/A,TRUE,"GENERAL";"TAB5",#N/A,TRUE,"GENERAL"}</definedName>
    <definedName name="_______s7" localSheetId="4" hidden="1">{"via1",#N/A,TRUE,"general";"via2",#N/A,TRUE,"general";"via3",#N/A,TRUE,"general"}</definedName>
    <definedName name="_______s7" localSheetId="9" hidden="1">{"via1",#N/A,TRUE,"general";"via2",#N/A,TRUE,"general";"via3",#N/A,TRUE,"general"}</definedName>
    <definedName name="_______s7" hidden="1">{"via1",#N/A,TRUE,"general";"via2",#N/A,TRUE,"general";"via3",#N/A,TRUE,"general"}</definedName>
    <definedName name="_______t3" localSheetId="4" hidden="1">{"TAB1",#N/A,TRUE,"GENERAL";"TAB2",#N/A,TRUE,"GENERAL";"TAB3",#N/A,TRUE,"GENERAL";"TAB4",#N/A,TRUE,"GENERAL";"TAB5",#N/A,TRUE,"GENERAL"}</definedName>
    <definedName name="_______t3" localSheetId="9" hidden="1">{"TAB1",#N/A,TRUE,"GENERAL";"TAB2",#N/A,TRUE,"GENERAL";"TAB3",#N/A,TRUE,"GENERAL";"TAB4",#N/A,TRUE,"GENERAL";"TAB5",#N/A,TRUE,"GENERAL"}</definedName>
    <definedName name="_______t3" hidden="1">{"TAB1",#N/A,TRUE,"GENERAL";"TAB2",#N/A,TRUE,"GENERAL";"TAB3",#N/A,TRUE,"GENERAL";"TAB4",#N/A,TRUE,"GENERAL";"TAB5",#N/A,TRUE,"GENERAL"}</definedName>
    <definedName name="_______t4" localSheetId="4" hidden="1">{"via1",#N/A,TRUE,"general";"via2",#N/A,TRUE,"general";"via3",#N/A,TRUE,"general"}</definedName>
    <definedName name="_______t4" localSheetId="9" hidden="1">{"via1",#N/A,TRUE,"general";"via2",#N/A,TRUE,"general";"via3",#N/A,TRUE,"general"}</definedName>
    <definedName name="_______t4" hidden="1">{"via1",#N/A,TRUE,"general";"via2",#N/A,TRUE,"general";"via3",#N/A,TRUE,"general"}</definedName>
    <definedName name="_______t5" localSheetId="4" hidden="1">{"TAB1",#N/A,TRUE,"GENERAL";"TAB2",#N/A,TRUE,"GENERAL";"TAB3",#N/A,TRUE,"GENERAL";"TAB4",#N/A,TRUE,"GENERAL";"TAB5",#N/A,TRUE,"GENERAL"}</definedName>
    <definedName name="_______t5" localSheetId="9" hidden="1">{"TAB1",#N/A,TRUE,"GENERAL";"TAB2",#N/A,TRUE,"GENERAL";"TAB3",#N/A,TRUE,"GENERAL";"TAB4",#N/A,TRUE,"GENERAL";"TAB5",#N/A,TRUE,"GENERAL"}</definedName>
    <definedName name="_______t5" hidden="1">{"TAB1",#N/A,TRUE,"GENERAL";"TAB2",#N/A,TRUE,"GENERAL";"TAB3",#N/A,TRUE,"GENERAL";"TAB4",#N/A,TRUE,"GENERAL";"TAB5",#N/A,TRUE,"GENERAL"}</definedName>
    <definedName name="_______t6" localSheetId="4" hidden="1">{"via1",#N/A,TRUE,"general";"via2",#N/A,TRUE,"general";"via3",#N/A,TRUE,"general"}</definedName>
    <definedName name="_______t6" localSheetId="9" hidden="1">{"via1",#N/A,TRUE,"general";"via2",#N/A,TRUE,"general";"via3",#N/A,TRUE,"general"}</definedName>
    <definedName name="_______t6" hidden="1">{"via1",#N/A,TRUE,"general";"via2",#N/A,TRUE,"general";"via3",#N/A,TRUE,"general"}</definedName>
    <definedName name="_______t66" localSheetId="4" hidden="1">{"TAB1",#N/A,TRUE,"GENERAL";"TAB2",#N/A,TRUE,"GENERAL";"TAB3",#N/A,TRUE,"GENERAL";"TAB4",#N/A,TRUE,"GENERAL";"TAB5",#N/A,TRUE,"GENERAL"}</definedName>
    <definedName name="_______t66" localSheetId="9" hidden="1">{"TAB1",#N/A,TRUE,"GENERAL";"TAB2",#N/A,TRUE,"GENERAL";"TAB3",#N/A,TRUE,"GENERAL";"TAB4",#N/A,TRUE,"GENERAL";"TAB5",#N/A,TRUE,"GENERAL"}</definedName>
    <definedName name="_______t66" hidden="1">{"TAB1",#N/A,TRUE,"GENERAL";"TAB2",#N/A,TRUE,"GENERAL";"TAB3",#N/A,TRUE,"GENERAL";"TAB4",#N/A,TRUE,"GENERAL";"TAB5",#N/A,TRUE,"GENERAL"}</definedName>
    <definedName name="_______t7" localSheetId="4" hidden="1">{"via1",#N/A,TRUE,"general";"via2",#N/A,TRUE,"general";"via3",#N/A,TRUE,"general"}</definedName>
    <definedName name="_______t7" localSheetId="9" hidden="1">{"via1",#N/A,TRUE,"general";"via2",#N/A,TRUE,"general";"via3",#N/A,TRUE,"general"}</definedName>
    <definedName name="_______t7" hidden="1">{"via1",#N/A,TRUE,"general";"via2",#N/A,TRUE,"general";"via3",#N/A,TRUE,"general"}</definedName>
    <definedName name="_______t77" localSheetId="4" hidden="1">{"TAB1",#N/A,TRUE,"GENERAL";"TAB2",#N/A,TRUE,"GENERAL";"TAB3",#N/A,TRUE,"GENERAL";"TAB4",#N/A,TRUE,"GENERAL";"TAB5",#N/A,TRUE,"GENERAL"}</definedName>
    <definedName name="_______t77" localSheetId="9" hidden="1">{"TAB1",#N/A,TRUE,"GENERAL";"TAB2",#N/A,TRUE,"GENERAL";"TAB3",#N/A,TRUE,"GENERAL";"TAB4",#N/A,TRUE,"GENERAL";"TAB5",#N/A,TRUE,"GENERAL"}</definedName>
    <definedName name="_______t77"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9" hidden="1">{"TAB1",#N/A,TRUE,"GENERAL";"TAB2",#N/A,TRUE,"GENERAL";"TAB3",#N/A,TRUE,"GENERAL";"TAB4",#N/A,TRUE,"GENERAL";"TAB5",#N/A,TRUE,"GENERAL"}</definedName>
    <definedName name="_______t8" hidden="1">{"TAB1",#N/A,TRUE,"GENERAL";"TAB2",#N/A,TRUE,"GENERAL";"TAB3",#N/A,TRUE,"GENERAL";"TAB4",#N/A,TRUE,"GENERAL";"TAB5",#N/A,TRUE,"GENERAL"}</definedName>
    <definedName name="_______t88" localSheetId="4" hidden="1">{"via1",#N/A,TRUE,"general";"via2",#N/A,TRUE,"general";"via3",#N/A,TRUE,"general"}</definedName>
    <definedName name="_______t88" localSheetId="9" hidden="1">{"via1",#N/A,TRUE,"general";"via2",#N/A,TRUE,"general";"via3",#N/A,TRUE,"general"}</definedName>
    <definedName name="_______t88" hidden="1">{"via1",#N/A,TRUE,"general";"via2",#N/A,TRUE,"general";"via3",#N/A,TRUE,"general"}</definedName>
    <definedName name="_______t9" localSheetId="4" hidden="1">{"TAB1",#N/A,TRUE,"GENERAL";"TAB2",#N/A,TRUE,"GENERAL";"TAB3",#N/A,TRUE,"GENERAL";"TAB4",#N/A,TRUE,"GENERAL";"TAB5",#N/A,TRUE,"GENERAL"}</definedName>
    <definedName name="_______t9" localSheetId="9" hidden="1">{"TAB1",#N/A,TRUE,"GENERAL";"TAB2",#N/A,TRUE,"GENERAL";"TAB3",#N/A,TRUE,"GENERAL";"TAB4",#N/A,TRUE,"GENERAL";"TAB5",#N/A,TRUE,"GENERAL"}</definedName>
    <definedName name="_______t9" hidden="1">{"TAB1",#N/A,TRUE,"GENERAL";"TAB2",#N/A,TRUE,"GENERAL";"TAB3",#N/A,TRUE,"GENERAL";"TAB4",#N/A,TRUE,"GENERAL";"TAB5",#N/A,TRUE,"GENERAL"}</definedName>
    <definedName name="_______t99" localSheetId="4" hidden="1">{"via1",#N/A,TRUE,"general";"via2",#N/A,TRUE,"general";"via3",#N/A,TRUE,"general"}</definedName>
    <definedName name="_______t99" localSheetId="9" hidden="1">{"via1",#N/A,TRUE,"general";"via2",#N/A,TRUE,"general";"via3",#N/A,TRUE,"general"}</definedName>
    <definedName name="_______t99" hidden="1">{"via1",#N/A,TRUE,"general";"via2",#N/A,TRUE,"general";"via3",#N/A,TRUE,"general"}</definedName>
    <definedName name="_______TYW6" localSheetId="4">#REF!</definedName>
    <definedName name="_______TYW6">#REF!</definedName>
    <definedName name="_______u4" localSheetId="4" hidden="1">{"TAB1",#N/A,TRUE,"GENERAL";"TAB2",#N/A,TRUE,"GENERAL";"TAB3",#N/A,TRUE,"GENERAL";"TAB4",#N/A,TRUE,"GENERAL";"TAB5",#N/A,TRUE,"GENERAL"}</definedName>
    <definedName name="_______u4" localSheetId="9" hidden="1">{"TAB1",#N/A,TRUE,"GENERAL";"TAB2",#N/A,TRUE,"GENERAL";"TAB3",#N/A,TRUE,"GENERAL";"TAB4",#N/A,TRUE,"GENERAL";"TAB5",#N/A,TRUE,"GENERAL"}</definedName>
    <definedName name="_______u4"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9" hidden="1">{"TAB1",#N/A,TRUE,"GENERAL";"TAB2",#N/A,TRUE,"GENERAL";"TAB3",#N/A,TRUE,"GENERAL";"TAB4",#N/A,TRUE,"GENERAL";"TAB5",#N/A,TRUE,"GENERAL"}</definedName>
    <definedName name="_______u5"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9" hidden="1">{"TAB1",#N/A,TRUE,"GENERAL";"TAB2",#N/A,TRUE,"GENERAL";"TAB3",#N/A,TRUE,"GENERAL";"TAB4",#N/A,TRUE,"GENERAL";"TAB5",#N/A,TRUE,"GENERAL"}</definedName>
    <definedName name="_______u6" hidden="1">{"TAB1",#N/A,TRUE,"GENERAL";"TAB2",#N/A,TRUE,"GENERAL";"TAB3",#N/A,TRUE,"GENERAL";"TAB4",#N/A,TRUE,"GENERAL";"TAB5",#N/A,TRUE,"GENERAL"}</definedName>
    <definedName name="_______u7" localSheetId="4" hidden="1">{"via1",#N/A,TRUE,"general";"via2",#N/A,TRUE,"general";"via3",#N/A,TRUE,"general"}</definedName>
    <definedName name="_______u7" localSheetId="9" hidden="1">{"via1",#N/A,TRUE,"general";"via2",#N/A,TRUE,"general";"via3",#N/A,TRUE,"general"}</definedName>
    <definedName name="_______u7" hidden="1">{"via1",#N/A,TRUE,"general";"via2",#N/A,TRUE,"general";"via3",#N/A,TRUE,"general"}</definedName>
    <definedName name="_______u8" localSheetId="4" hidden="1">{"TAB1",#N/A,TRUE,"GENERAL";"TAB2",#N/A,TRUE,"GENERAL";"TAB3",#N/A,TRUE,"GENERAL";"TAB4",#N/A,TRUE,"GENERAL";"TAB5",#N/A,TRUE,"GENERAL"}</definedName>
    <definedName name="_______u8" localSheetId="9" hidden="1">{"TAB1",#N/A,TRUE,"GENERAL";"TAB2",#N/A,TRUE,"GENERAL";"TAB3",#N/A,TRUE,"GENERAL";"TAB4",#N/A,TRUE,"GENERAL";"TAB5",#N/A,TRUE,"GENERAL"}</definedName>
    <definedName name="_______u8"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9" hidden="1">{"TAB1",#N/A,TRUE,"GENERAL";"TAB2",#N/A,TRUE,"GENERAL";"TAB3",#N/A,TRUE,"GENERAL";"TAB4",#N/A,TRUE,"GENERAL";"TAB5",#N/A,TRUE,"GENERAL"}</definedName>
    <definedName name="_______u9"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9" hidden="1">{"TAB1",#N/A,TRUE,"GENERAL";"TAB2",#N/A,TRUE,"GENERAL";"TAB3",#N/A,TRUE,"GENERAL";"TAB4",#N/A,TRUE,"GENERAL";"TAB5",#N/A,TRUE,"GENERAL"}</definedName>
    <definedName name="_______ur7" hidden="1">{"TAB1",#N/A,TRUE,"GENERAL";"TAB2",#N/A,TRUE,"GENERAL";"TAB3",#N/A,TRUE,"GENERAL";"TAB4",#N/A,TRUE,"GENERAL";"TAB5",#N/A,TRUE,"GENERAL"}</definedName>
    <definedName name="_______v2" localSheetId="4" hidden="1">{"via1",#N/A,TRUE,"general";"via2",#N/A,TRUE,"general";"via3",#N/A,TRUE,"general"}</definedName>
    <definedName name="_______v2" localSheetId="9" hidden="1">{"via1",#N/A,TRUE,"general";"via2",#N/A,TRUE,"general";"via3",#N/A,TRUE,"general"}</definedName>
    <definedName name="_______v2" hidden="1">{"via1",#N/A,TRUE,"general";"via2",#N/A,TRUE,"general";"via3",#N/A,TRUE,"general"}</definedName>
    <definedName name="_______v3" localSheetId="4" hidden="1">{"TAB1",#N/A,TRUE,"GENERAL";"TAB2",#N/A,TRUE,"GENERAL";"TAB3",#N/A,TRUE,"GENERAL";"TAB4",#N/A,TRUE,"GENERAL";"TAB5",#N/A,TRUE,"GENERAL"}</definedName>
    <definedName name="_______v3" localSheetId="9" hidden="1">{"TAB1",#N/A,TRUE,"GENERAL";"TAB2",#N/A,TRUE,"GENERAL";"TAB3",#N/A,TRUE,"GENERAL";"TAB4",#N/A,TRUE,"GENERAL";"TAB5",#N/A,TRUE,"GENERAL"}</definedName>
    <definedName name="_______v3"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9" hidden="1">{"TAB1",#N/A,TRUE,"GENERAL";"TAB2",#N/A,TRUE,"GENERAL";"TAB3",#N/A,TRUE,"GENERAL";"TAB4",#N/A,TRUE,"GENERAL";"TAB5",#N/A,TRUE,"GENERAL"}</definedName>
    <definedName name="_______v4"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9" hidden="1">{"TAB1",#N/A,TRUE,"GENERAL";"TAB2",#N/A,TRUE,"GENERAL";"TAB3",#N/A,TRUE,"GENERAL";"TAB4",#N/A,TRUE,"GENERAL";"TAB5",#N/A,TRUE,"GENERAL"}</definedName>
    <definedName name="_______v5"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9" hidden="1">{"TAB1",#N/A,TRUE,"GENERAL";"TAB2",#N/A,TRUE,"GENERAL";"TAB3",#N/A,TRUE,"GENERAL";"TAB4",#N/A,TRUE,"GENERAL";"TAB5",#N/A,TRUE,"GENERAL"}</definedName>
    <definedName name="_______v6" hidden="1">{"TAB1",#N/A,TRUE,"GENERAL";"TAB2",#N/A,TRUE,"GENERAL";"TAB3",#N/A,TRUE,"GENERAL";"TAB4",#N/A,TRUE,"GENERAL";"TAB5",#N/A,TRUE,"GENERAL"}</definedName>
    <definedName name="_______v7" localSheetId="4" hidden="1">{"via1",#N/A,TRUE,"general";"via2",#N/A,TRUE,"general";"via3",#N/A,TRUE,"general"}</definedName>
    <definedName name="_______v7" localSheetId="9" hidden="1">{"via1",#N/A,TRUE,"general";"via2",#N/A,TRUE,"general";"via3",#N/A,TRUE,"general"}</definedName>
    <definedName name="_______v7" hidden="1">{"via1",#N/A,TRUE,"general";"via2",#N/A,TRUE,"general";"via3",#N/A,TRUE,"general"}</definedName>
    <definedName name="_______v8" localSheetId="4" hidden="1">{"TAB1",#N/A,TRUE,"GENERAL";"TAB2",#N/A,TRUE,"GENERAL";"TAB3",#N/A,TRUE,"GENERAL";"TAB4",#N/A,TRUE,"GENERAL";"TAB5",#N/A,TRUE,"GENERAL"}</definedName>
    <definedName name="_______v8" localSheetId="9" hidden="1">{"TAB1",#N/A,TRUE,"GENERAL";"TAB2",#N/A,TRUE,"GENERAL";"TAB3",#N/A,TRUE,"GENERAL";"TAB4",#N/A,TRUE,"GENERAL";"TAB5",#N/A,TRUE,"GENERAL"}</definedName>
    <definedName name="_______v8"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9" hidden="1">{"TAB1",#N/A,TRUE,"GENERAL";"TAB2",#N/A,TRUE,"GENERAL";"TAB3",#N/A,TRUE,"GENERAL";"TAB4",#N/A,TRUE,"GENERAL";"TAB5",#N/A,TRUE,"GENERAL"}</definedName>
    <definedName name="_______v9" hidden="1">{"TAB1",#N/A,TRUE,"GENERAL";"TAB2",#N/A,TRUE,"GENERAL";"TAB3",#N/A,TRUE,"GENERAL";"TAB4",#N/A,TRUE,"GENERAL";"TAB5",#N/A,TRUE,"GENERAL"}</definedName>
    <definedName name="_______vfv4" localSheetId="4" hidden="1">{"via1",#N/A,TRUE,"general";"via2",#N/A,TRUE,"general";"via3",#N/A,TRUE,"general"}</definedName>
    <definedName name="_______vfv4" localSheetId="9" hidden="1">{"via1",#N/A,TRUE,"general";"via2",#N/A,TRUE,"general";"via3",#N/A,TRUE,"general"}</definedName>
    <definedName name="_______vfv4" hidden="1">{"via1",#N/A,TRUE,"general";"via2",#N/A,TRUE,"general";"via3",#N/A,TRUE,"general"}</definedName>
    <definedName name="_______x1" localSheetId="4" hidden="1">{"TAB1",#N/A,TRUE,"GENERAL";"TAB2",#N/A,TRUE,"GENERAL";"TAB3",#N/A,TRUE,"GENERAL";"TAB4",#N/A,TRUE,"GENERAL";"TAB5",#N/A,TRUE,"GENERAL"}</definedName>
    <definedName name="_______x1" localSheetId="9" hidden="1">{"TAB1",#N/A,TRUE,"GENERAL";"TAB2",#N/A,TRUE,"GENERAL";"TAB3",#N/A,TRUE,"GENERAL";"TAB4",#N/A,TRUE,"GENERAL";"TAB5",#N/A,TRUE,"GENERAL"}</definedName>
    <definedName name="_______x1" hidden="1">{"TAB1",#N/A,TRUE,"GENERAL";"TAB2",#N/A,TRUE,"GENERAL";"TAB3",#N/A,TRUE,"GENERAL";"TAB4",#N/A,TRUE,"GENERAL";"TAB5",#N/A,TRUE,"GENERAL"}</definedName>
    <definedName name="_______x2" localSheetId="4" hidden="1">{"via1",#N/A,TRUE,"general";"via2",#N/A,TRUE,"general";"via3",#N/A,TRUE,"general"}</definedName>
    <definedName name="_______x2" localSheetId="9" hidden="1">{"via1",#N/A,TRUE,"general";"via2",#N/A,TRUE,"general";"via3",#N/A,TRUE,"general"}</definedName>
    <definedName name="_______x2" hidden="1">{"via1",#N/A,TRUE,"general";"via2",#N/A,TRUE,"general";"via3",#N/A,TRUE,"general"}</definedName>
    <definedName name="_______x3" localSheetId="4" hidden="1">{"via1",#N/A,TRUE,"general";"via2",#N/A,TRUE,"general";"via3",#N/A,TRUE,"general"}</definedName>
    <definedName name="_______x3" localSheetId="9" hidden="1">{"via1",#N/A,TRUE,"general";"via2",#N/A,TRUE,"general";"via3",#N/A,TRUE,"general"}</definedName>
    <definedName name="_______x3" hidden="1">{"via1",#N/A,TRUE,"general";"via2",#N/A,TRUE,"general";"via3",#N/A,TRUE,"general"}</definedName>
    <definedName name="_______x4" localSheetId="4" hidden="1">{"via1",#N/A,TRUE,"general";"via2",#N/A,TRUE,"general";"via3",#N/A,TRUE,"general"}</definedName>
    <definedName name="_______x4" localSheetId="9" hidden="1">{"via1",#N/A,TRUE,"general";"via2",#N/A,TRUE,"general";"via3",#N/A,TRUE,"general"}</definedName>
    <definedName name="_______x4" hidden="1">{"via1",#N/A,TRUE,"general";"via2",#N/A,TRUE,"general";"via3",#N/A,TRUE,"general"}</definedName>
    <definedName name="_______x5" localSheetId="4" hidden="1">{"TAB1",#N/A,TRUE,"GENERAL";"TAB2",#N/A,TRUE,"GENERAL";"TAB3",#N/A,TRUE,"GENERAL";"TAB4",#N/A,TRUE,"GENERAL";"TAB5",#N/A,TRUE,"GENERAL"}</definedName>
    <definedName name="_______x5" localSheetId="9" hidden="1">{"TAB1",#N/A,TRUE,"GENERAL";"TAB2",#N/A,TRUE,"GENERAL";"TAB3",#N/A,TRUE,"GENERAL";"TAB4",#N/A,TRUE,"GENERAL";"TAB5",#N/A,TRUE,"GENERAL"}</definedName>
    <definedName name="_______x5"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9" hidden="1">{"TAB1",#N/A,TRUE,"GENERAL";"TAB2",#N/A,TRUE,"GENERAL";"TAB3",#N/A,TRUE,"GENERAL";"TAB4",#N/A,TRUE,"GENERAL";"TAB5",#N/A,TRUE,"GENERAL"}</definedName>
    <definedName name="_______x6"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9" hidden="1">{"TAB1",#N/A,TRUE,"GENERAL";"TAB2",#N/A,TRUE,"GENERAL";"TAB3",#N/A,TRUE,"GENERAL";"TAB4",#N/A,TRUE,"GENERAL";"TAB5",#N/A,TRUE,"GENERAL"}</definedName>
    <definedName name="_______x7" hidden="1">{"TAB1",#N/A,TRUE,"GENERAL";"TAB2",#N/A,TRUE,"GENERAL";"TAB3",#N/A,TRUE,"GENERAL";"TAB4",#N/A,TRUE,"GENERAL";"TAB5",#N/A,TRUE,"GENERAL"}</definedName>
    <definedName name="_______x8" localSheetId="4" hidden="1">{"via1",#N/A,TRUE,"general";"via2",#N/A,TRUE,"general";"via3",#N/A,TRUE,"general"}</definedName>
    <definedName name="_______x8" localSheetId="9" hidden="1">{"via1",#N/A,TRUE,"general";"via2",#N/A,TRUE,"general";"via3",#N/A,TRUE,"general"}</definedName>
    <definedName name="_______x8" hidden="1">{"via1",#N/A,TRUE,"general";"via2",#N/A,TRUE,"general";"via3",#N/A,TRUE,"general"}</definedName>
    <definedName name="_______x9" localSheetId="4" hidden="1">{"TAB1",#N/A,TRUE,"GENERAL";"TAB2",#N/A,TRUE,"GENERAL";"TAB3",#N/A,TRUE,"GENERAL";"TAB4",#N/A,TRUE,"GENERAL";"TAB5",#N/A,TRUE,"GENERAL"}</definedName>
    <definedName name="_______x9" localSheetId="9" hidden="1">{"TAB1",#N/A,TRUE,"GENERAL";"TAB2",#N/A,TRUE,"GENERAL";"TAB3",#N/A,TRUE,"GENERAL";"TAB4",#N/A,TRUE,"GENERAL";"TAB5",#N/A,TRUE,"GENERAL"}</definedName>
    <definedName name="_______x9" hidden="1">{"TAB1",#N/A,TRUE,"GENERAL";"TAB2",#N/A,TRUE,"GENERAL";"TAB3",#N/A,TRUE,"GENERAL";"TAB4",#N/A,TRUE,"GENERAL";"TAB5",#N/A,TRUE,"GENERAL"}</definedName>
    <definedName name="_______y2" localSheetId="4" hidden="1">{"TAB1",#N/A,TRUE,"GENERAL";"TAB2",#N/A,TRUE,"GENERAL";"TAB3",#N/A,TRUE,"GENERAL";"TAB4",#N/A,TRUE,"GENERAL";"TAB5",#N/A,TRUE,"GENERAL"}</definedName>
    <definedName name="_______y2" localSheetId="9" hidden="1">{"TAB1",#N/A,TRUE,"GENERAL";"TAB2",#N/A,TRUE,"GENERAL";"TAB3",#N/A,TRUE,"GENERAL";"TAB4",#N/A,TRUE,"GENERAL";"TAB5",#N/A,TRUE,"GENERAL"}</definedName>
    <definedName name="_______y2" hidden="1">{"TAB1",#N/A,TRUE,"GENERAL";"TAB2",#N/A,TRUE,"GENERAL";"TAB3",#N/A,TRUE,"GENERAL";"TAB4",#N/A,TRUE,"GENERAL";"TAB5",#N/A,TRUE,"GENERAL"}</definedName>
    <definedName name="_______y3" localSheetId="4" hidden="1">{"via1",#N/A,TRUE,"general";"via2",#N/A,TRUE,"general";"via3",#N/A,TRUE,"general"}</definedName>
    <definedName name="_______y3" localSheetId="9" hidden="1">{"via1",#N/A,TRUE,"general";"via2",#N/A,TRUE,"general";"via3",#N/A,TRUE,"general"}</definedName>
    <definedName name="_______y3" hidden="1">{"via1",#N/A,TRUE,"general";"via2",#N/A,TRUE,"general";"via3",#N/A,TRUE,"general"}</definedName>
    <definedName name="_______y4" localSheetId="4" hidden="1">{"via1",#N/A,TRUE,"general";"via2",#N/A,TRUE,"general";"via3",#N/A,TRUE,"general"}</definedName>
    <definedName name="_______y4" localSheetId="9" hidden="1">{"via1",#N/A,TRUE,"general";"via2",#N/A,TRUE,"general";"via3",#N/A,TRUE,"general"}</definedName>
    <definedName name="_______y4" hidden="1">{"via1",#N/A,TRUE,"general";"via2",#N/A,TRUE,"general";"via3",#N/A,TRUE,"general"}</definedName>
    <definedName name="_______y5" localSheetId="4" hidden="1">{"TAB1",#N/A,TRUE,"GENERAL";"TAB2",#N/A,TRUE,"GENERAL";"TAB3",#N/A,TRUE,"GENERAL";"TAB4",#N/A,TRUE,"GENERAL";"TAB5",#N/A,TRUE,"GENERAL"}</definedName>
    <definedName name="_______y5" localSheetId="9" hidden="1">{"TAB1",#N/A,TRUE,"GENERAL";"TAB2",#N/A,TRUE,"GENERAL";"TAB3",#N/A,TRUE,"GENERAL";"TAB4",#N/A,TRUE,"GENERAL";"TAB5",#N/A,TRUE,"GENERAL"}</definedName>
    <definedName name="_______y5" hidden="1">{"TAB1",#N/A,TRUE,"GENERAL";"TAB2",#N/A,TRUE,"GENERAL";"TAB3",#N/A,TRUE,"GENERAL";"TAB4",#N/A,TRUE,"GENERAL";"TAB5",#N/A,TRUE,"GENERAL"}</definedName>
    <definedName name="_______y6" localSheetId="4" hidden="1">{"via1",#N/A,TRUE,"general";"via2",#N/A,TRUE,"general";"via3",#N/A,TRUE,"general"}</definedName>
    <definedName name="_______y6" localSheetId="9" hidden="1">{"via1",#N/A,TRUE,"general";"via2",#N/A,TRUE,"general";"via3",#N/A,TRUE,"general"}</definedName>
    <definedName name="_______y6" hidden="1">{"via1",#N/A,TRUE,"general";"via2",#N/A,TRUE,"general";"via3",#N/A,TRUE,"general"}</definedName>
    <definedName name="_______y7" localSheetId="4" hidden="1">{"via1",#N/A,TRUE,"general";"via2",#N/A,TRUE,"general";"via3",#N/A,TRUE,"general"}</definedName>
    <definedName name="_______y7" localSheetId="9" hidden="1">{"via1",#N/A,TRUE,"general";"via2",#N/A,TRUE,"general";"via3",#N/A,TRUE,"general"}</definedName>
    <definedName name="_______y7" hidden="1">{"via1",#N/A,TRUE,"general";"via2",#N/A,TRUE,"general";"via3",#N/A,TRUE,"general"}</definedName>
    <definedName name="_______y8" localSheetId="4" hidden="1">{"via1",#N/A,TRUE,"general";"via2",#N/A,TRUE,"general";"via3",#N/A,TRUE,"general"}</definedName>
    <definedName name="_______y8" localSheetId="9" hidden="1">{"via1",#N/A,TRUE,"general";"via2",#N/A,TRUE,"general";"via3",#N/A,TRUE,"general"}</definedName>
    <definedName name="_______y8" hidden="1">{"via1",#N/A,TRUE,"general";"via2",#N/A,TRUE,"general";"via3",#N/A,TRUE,"general"}</definedName>
    <definedName name="_______y9" localSheetId="4" hidden="1">{"TAB1",#N/A,TRUE,"GENERAL";"TAB2",#N/A,TRUE,"GENERAL";"TAB3",#N/A,TRUE,"GENERAL";"TAB4",#N/A,TRUE,"GENERAL";"TAB5",#N/A,TRUE,"GENERAL"}</definedName>
    <definedName name="_______y9" localSheetId="9" hidden="1">{"TAB1",#N/A,TRUE,"GENERAL";"TAB2",#N/A,TRUE,"GENERAL";"TAB3",#N/A,TRUE,"GENERAL";"TAB4",#N/A,TRUE,"GENERAL";"TAB5",#N/A,TRUE,"GENERAL"}</definedName>
    <definedName name="_______y9"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9" hidden="1">{"TAB1",#N/A,TRUE,"GENERAL";"TAB2",#N/A,TRUE,"GENERAL";"TAB3",#N/A,TRUE,"GENERAL";"TAB4",#N/A,TRUE,"GENERAL";"TAB5",#N/A,TRUE,"GENERAL"}</definedName>
    <definedName name="_______z1" hidden="1">{"TAB1",#N/A,TRUE,"GENERAL";"TAB2",#N/A,TRUE,"GENERAL";"TAB3",#N/A,TRUE,"GENERAL";"TAB4",#N/A,TRUE,"GENERAL";"TAB5",#N/A,TRUE,"GENERAL"}</definedName>
    <definedName name="_______z2" localSheetId="4" hidden="1">{"via1",#N/A,TRUE,"general";"via2",#N/A,TRUE,"general";"via3",#N/A,TRUE,"general"}</definedName>
    <definedName name="_______z2" localSheetId="9" hidden="1">{"via1",#N/A,TRUE,"general";"via2",#N/A,TRUE,"general";"via3",#N/A,TRUE,"general"}</definedName>
    <definedName name="_______z2" hidden="1">{"via1",#N/A,TRUE,"general";"via2",#N/A,TRUE,"general";"via3",#N/A,TRUE,"general"}</definedName>
    <definedName name="_______z3" localSheetId="4" hidden="1">{"via1",#N/A,TRUE,"general";"via2",#N/A,TRUE,"general";"via3",#N/A,TRUE,"general"}</definedName>
    <definedName name="_______z3" localSheetId="9" hidden="1">{"via1",#N/A,TRUE,"general";"via2",#N/A,TRUE,"general";"via3",#N/A,TRUE,"general"}</definedName>
    <definedName name="_______z3" hidden="1">{"via1",#N/A,TRUE,"general";"via2",#N/A,TRUE,"general";"via3",#N/A,TRUE,"general"}</definedName>
    <definedName name="_______z4" localSheetId="4" hidden="1">{"TAB1",#N/A,TRUE,"GENERAL";"TAB2",#N/A,TRUE,"GENERAL";"TAB3",#N/A,TRUE,"GENERAL";"TAB4",#N/A,TRUE,"GENERAL";"TAB5",#N/A,TRUE,"GENERAL"}</definedName>
    <definedName name="_______z4" localSheetId="9" hidden="1">{"TAB1",#N/A,TRUE,"GENERAL";"TAB2",#N/A,TRUE,"GENERAL";"TAB3",#N/A,TRUE,"GENERAL";"TAB4",#N/A,TRUE,"GENERAL";"TAB5",#N/A,TRUE,"GENERAL"}</definedName>
    <definedName name="_______z4" hidden="1">{"TAB1",#N/A,TRUE,"GENERAL";"TAB2",#N/A,TRUE,"GENERAL";"TAB3",#N/A,TRUE,"GENERAL";"TAB4",#N/A,TRUE,"GENERAL";"TAB5",#N/A,TRUE,"GENERAL"}</definedName>
    <definedName name="_______z5" localSheetId="4" hidden="1">{"via1",#N/A,TRUE,"general";"via2",#N/A,TRUE,"general";"via3",#N/A,TRUE,"general"}</definedName>
    <definedName name="_______z5" localSheetId="9" hidden="1">{"via1",#N/A,TRUE,"general";"via2",#N/A,TRUE,"general";"via3",#N/A,TRUE,"general"}</definedName>
    <definedName name="_______z5" hidden="1">{"via1",#N/A,TRUE,"general";"via2",#N/A,TRUE,"general";"via3",#N/A,TRUE,"general"}</definedName>
    <definedName name="_______z6" localSheetId="4" hidden="1">{"TAB1",#N/A,TRUE,"GENERAL";"TAB2",#N/A,TRUE,"GENERAL";"TAB3",#N/A,TRUE,"GENERAL";"TAB4",#N/A,TRUE,"GENERAL";"TAB5",#N/A,TRUE,"GENERAL"}</definedName>
    <definedName name="_______z6" localSheetId="9" hidden="1">{"TAB1",#N/A,TRUE,"GENERAL";"TAB2",#N/A,TRUE,"GENERAL";"TAB3",#N/A,TRUE,"GENERAL";"TAB4",#N/A,TRUE,"GENERAL";"TAB5",#N/A,TRUE,"GENERAL"}</definedName>
    <definedName name="_______z6" hidden="1">{"TAB1",#N/A,TRUE,"GENERAL";"TAB2",#N/A,TRUE,"GENERAL";"TAB3",#N/A,TRUE,"GENERAL";"TAB4",#N/A,TRUE,"GENERAL";"TAB5",#N/A,TRUE,"GENERAL"}</definedName>
    <definedName name="______a1" localSheetId="4" hidden="1">{"TAB1",#N/A,TRUE,"GENERAL";"TAB2",#N/A,TRUE,"GENERAL";"TAB3",#N/A,TRUE,"GENERAL";"TAB4",#N/A,TRUE,"GENERAL";"TAB5",#N/A,TRUE,"GENERAL"}</definedName>
    <definedName name="______a1" localSheetId="9" hidden="1">{"TAB1",#N/A,TRUE,"GENERAL";"TAB2",#N/A,TRUE,"GENERAL";"TAB3",#N/A,TRUE,"GENERAL";"TAB4",#N/A,TRUE,"GENERAL";"TAB5",#N/A,TRUE,"GENERAL"}</definedName>
    <definedName name="______a1" hidden="1">{"TAB1",#N/A,TRUE,"GENERAL";"TAB2",#N/A,TRUE,"GENERAL";"TAB3",#N/A,TRUE,"GENERAL";"TAB4",#N/A,TRUE,"GENERAL";"TAB5",#N/A,TRUE,"GENERAL"}</definedName>
    <definedName name="______a3" localSheetId="4" hidden="1">{"TAB1",#N/A,TRUE,"GENERAL";"TAB2",#N/A,TRUE,"GENERAL";"TAB3",#N/A,TRUE,"GENERAL";"TAB4",#N/A,TRUE,"GENERAL";"TAB5",#N/A,TRUE,"GENERAL"}</definedName>
    <definedName name="______a3" localSheetId="9" hidden="1">{"TAB1",#N/A,TRUE,"GENERAL";"TAB2",#N/A,TRUE,"GENERAL";"TAB3",#N/A,TRUE,"GENERAL";"TAB4",#N/A,TRUE,"GENERAL";"TAB5",#N/A,TRUE,"GENERAL"}</definedName>
    <definedName name="______a3" hidden="1">{"TAB1",#N/A,TRUE,"GENERAL";"TAB2",#N/A,TRUE,"GENERAL";"TAB3",#N/A,TRUE,"GENERAL";"TAB4",#N/A,TRUE,"GENERAL";"TAB5",#N/A,TRUE,"GENERAL"}</definedName>
    <definedName name="______a4" localSheetId="4" hidden="1">{"via1",#N/A,TRUE,"general";"via2",#N/A,TRUE,"general";"via3",#N/A,TRUE,"general"}</definedName>
    <definedName name="______a4" localSheetId="9" hidden="1">{"via1",#N/A,TRUE,"general";"via2",#N/A,TRUE,"general";"via3",#N/A,TRUE,"general"}</definedName>
    <definedName name="______a4" hidden="1">{"via1",#N/A,TRUE,"general";"via2",#N/A,TRUE,"general";"via3",#N/A,TRUE,"general"}</definedName>
    <definedName name="______a5" localSheetId="4" hidden="1">{"TAB1",#N/A,TRUE,"GENERAL";"TAB2",#N/A,TRUE,"GENERAL";"TAB3",#N/A,TRUE,"GENERAL";"TAB4",#N/A,TRUE,"GENERAL";"TAB5",#N/A,TRUE,"GENERAL"}</definedName>
    <definedName name="______a5" localSheetId="9" hidden="1">{"TAB1",#N/A,TRUE,"GENERAL";"TAB2",#N/A,TRUE,"GENERAL";"TAB3",#N/A,TRUE,"GENERAL";"TAB4",#N/A,TRUE,"GENERAL";"TAB5",#N/A,TRUE,"GENERAL"}</definedName>
    <definedName name="______a5"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9" hidden="1">{"TAB1",#N/A,TRUE,"GENERAL";"TAB2",#N/A,TRUE,"GENERAL";"TAB3",#N/A,TRUE,"GENERAL";"TAB4",#N/A,TRUE,"GENERAL";"TAB5",#N/A,TRUE,"GENERAL"}</definedName>
    <definedName name="______a6" hidden="1">{"TAB1",#N/A,TRUE,"GENERAL";"TAB2",#N/A,TRUE,"GENERAL";"TAB3",#N/A,TRUE,"GENERAL";"TAB4",#N/A,TRUE,"GENERAL";"TAB5",#N/A,TRUE,"GENERAL"}</definedName>
    <definedName name="______b2" localSheetId="4" hidden="1">{"TAB1",#N/A,TRUE,"GENERAL";"TAB2",#N/A,TRUE,"GENERAL";"TAB3",#N/A,TRUE,"GENERAL";"TAB4",#N/A,TRUE,"GENERAL";"TAB5",#N/A,TRUE,"GENERAL"}</definedName>
    <definedName name="______b2" localSheetId="9" hidden="1">{"TAB1",#N/A,TRUE,"GENERAL";"TAB2",#N/A,TRUE,"GENERAL";"TAB3",#N/A,TRUE,"GENERAL";"TAB4",#N/A,TRUE,"GENERAL";"TAB5",#N/A,TRUE,"GENERAL"}</definedName>
    <definedName name="______b2"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9" hidden="1">{"TAB1",#N/A,TRUE,"GENERAL";"TAB2",#N/A,TRUE,"GENERAL";"TAB3",#N/A,TRUE,"GENERAL";"TAB4",#N/A,TRUE,"GENERAL";"TAB5",#N/A,TRUE,"GENERAL"}</definedName>
    <definedName name="______b3"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9" hidden="1">{"TAB1",#N/A,TRUE,"GENERAL";"TAB2",#N/A,TRUE,"GENERAL";"TAB3",#N/A,TRUE,"GENERAL";"TAB4",#N/A,TRUE,"GENERAL";"TAB5",#N/A,TRUE,"GENERAL"}</definedName>
    <definedName name="______b4"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9" hidden="1">{"TAB1",#N/A,TRUE,"GENERAL";"TAB2",#N/A,TRUE,"GENERAL";"TAB3",#N/A,TRUE,"GENERAL";"TAB4",#N/A,TRUE,"GENERAL";"TAB5",#N/A,TRUE,"GENERAL"}</definedName>
    <definedName name="______b5"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9" hidden="1">{"TAB1",#N/A,TRUE,"GENERAL";"TAB2",#N/A,TRUE,"GENERAL";"TAB3",#N/A,TRUE,"GENERAL";"TAB4",#N/A,TRUE,"GENERAL";"TAB5",#N/A,TRUE,"GENERAL"}</definedName>
    <definedName name="______b6" hidden="1">{"TAB1",#N/A,TRUE,"GENERAL";"TAB2",#N/A,TRUE,"GENERAL";"TAB3",#N/A,TRUE,"GENERAL";"TAB4",#N/A,TRUE,"GENERAL";"TAB5",#N/A,TRUE,"GENERAL"}</definedName>
    <definedName name="______b7" localSheetId="4" hidden="1">{"via1",#N/A,TRUE,"general";"via2",#N/A,TRUE,"general";"via3",#N/A,TRUE,"general"}</definedName>
    <definedName name="______b7" localSheetId="9" hidden="1">{"via1",#N/A,TRUE,"general";"via2",#N/A,TRUE,"general";"via3",#N/A,TRUE,"general"}</definedName>
    <definedName name="______b7" hidden="1">{"via1",#N/A,TRUE,"general";"via2",#N/A,TRUE,"general";"via3",#N/A,TRUE,"general"}</definedName>
    <definedName name="______b8" localSheetId="4" hidden="1">{"via1",#N/A,TRUE,"general";"via2",#N/A,TRUE,"general";"via3",#N/A,TRUE,"general"}</definedName>
    <definedName name="______b8" localSheetId="9" hidden="1">{"via1",#N/A,TRUE,"general";"via2",#N/A,TRUE,"general";"via3",#N/A,TRUE,"general"}</definedName>
    <definedName name="______b8" hidden="1">{"via1",#N/A,TRUE,"general";"via2",#N/A,TRUE,"general";"via3",#N/A,TRUE,"general"}</definedName>
    <definedName name="______bb9" localSheetId="4" hidden="1">{"TAB1",#N/A,TRUE,"GENERAL";"TAB2",#N/A,TRUE,"GENERAL";"TAB3",#N/A,TRUE,"GENERAL";"TAB4",#N/A,TRUE,"GENERAL";"TAB5",#N/A,TRUE,"GENERAL"}</definedName>
    <definedName name="______bb9" localSheetId="9" hidden="1">{"TAB1",#N/A,TRUE,"GENERAL";"TAB2",#N/A,TRUE,"GENERAL";"TAB3",#N/A,TRUE,"GENERAL";"TAB4",#N/A,TRUE,"GENERAL";"TAB5",#N/A,TRUE,"GENERAL"}</definedName>
    <definedName name="______bb9"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9" hidden="1">{"TAB1",#N/A,TRUE,"GENERAL";"TAB2",#N/A,TRUE,"GENERAL";"TAB3",#N/A,TRUE,"GENERAL";"TAB4",#N/A,TRUE,"GENERAL";"TAB5",#N/A,TRUE,"GENERAL"}</definedName>
    <definedName name="______bgb5" hidden="1">{"TAB1",#N/A,TRUE,"GENERAL";"TAB2",#N/A,TRUE,"GENERAL";"TAB3",#N/A,TRUE,"GENERAL";"TAB4",#N/A,TRUE,"GENERAL";"TAB5",#N/A,TRUE,"GENERAL"}</definedName>
    <definedName name="______COD1" localSheetId="4">#REF!</definedName>
    <definedName name="______COD1">#REF!</definedName>
    <definedName name="______EST1" localSheetId="4">#REF!</definedName>
    <definedName name="______EST1">#REF!</definedName>
    <definedName name="______EST10" localSheetId="4">#REF!</definedName>
    <definedName name="______EST10">#REF!</definedName>
    <definedName name="______EST11" localSheetId="4">#REF!</definedName>
    <definedName name="______EST11">#REF!</definedName>
    <definedName name="______EST12" localSheetId="4">#REF!</definedName>
    <definedName name="______EST12">#REF!</definedName>
    <definedName name="______EST13" localSheetId="4">#REF!</definedName>
    <definedName name="______EST13">#REF!</definedName>
    <definedName name="______EST14" localSheetId="4">#REF!</definedName>
    <definedName name="______EST14">#REF!</definedName>
    <definedName name="______EST15" localSheetId="4">#REF!</definedName>
    <definedName name="______EST15">#REF!</definedName>
    <definedName name="______EST16" localSheetId="4">#REF!</definedName>
    <definedName name="______EST16">#REF!</definedName>
    <definedName name="______EST17" localSheetId="4">#REF!</definedName>
    <definedName name="______EST17">#REF!</definedName>
    <definedName name="______EST18" localSheetId="4">#REF!</definedName>
    <definedName name="______EST18">#REF!</definedName>
    <definedName name="______EST19" localSheetId="4">#REF!</definedName>
    <definedName name="______EST19">#REF!</definedName>
    <definedName name="______EST2" localSheetId="4">#REF!</definedName>
    <definedName name="______EST2">#REF!</definedName>
    <definedName name="______EST3" localSheetId="4">#REF!</definedName>
    <definedName name="______EST3">#REF!</definedName>
    <definedName name="______EST4" localSheetId="4">#REF!</definedName>
    <definedName name="______EST4">#REF!</definedName>
    <definedName name="______EST5" localSheetId="4">#REF!</definedName>
    <definedName name="______EST5">#REF!</definedName>
    <definedName name="______EST6" localSheetId="4">#REF!</definedName>
    <definedName name="______EST6">#REF!</definedName>
    <definedName name="______EST7" localSheetId="4">#REF!</definedName>
    <definedName name="______EST7">#REF!</definedName>
    <definedName name="______EST8" localSheetId="4">#REF!</definedName>
    <definedName name="______EST8">#REF!</definedName>
    <definedName name="______EST9" localSheetId="4">#REF!</definedName>
    <definedName name="______EST9">#REF!</definedName>
    <definedName name="______EXC1" localSheetId="4">#REF!</definedName>
    <definedName name="______EXC1">#REF!</definedName>
    <definedName name="______EXC10" localSheetId="4">#REF!</definedName>
    <definedName name="______EXC10">#REF!</definedName>
    <definedName name="______EXC11" localSheetId="4">#REF!</definedName>
    <definedName name="______EXC11">#REF!</definedName>
    <definedName name="______EXC12" localSheetId="4">#REF!</definedName>
    <definedName name="______EXC12">#REF!</definedName>
    <definedName name="______EXC2" localSheetId="4">#REF!</definedName>
    <definedName name="______EXC2">#REF!</definedName>
    <definedName name="______EXC3" localSheetId="4">#REF!</definedName>
    <definedName name="______EXC3">#REF!</definedName>
    <definedName name="______EXC4" localSheetId="4">#REF!</definedName>
    <definedName name="______EXC4">#REF!</definedName>
    <definedName name="______EXC5" localSheetId="4">#REF!</definedName>
    <definedName name="______EXC5">#REF!</definedName>
    <definedName name="______EXC6" localSheetId="4">#REF!</definedName>
    <definedName name="______EXC6">#REF!</definedName>
    <definedName name="______EXC7" localSheetId="4">#REF!</definedName>
    <definedName name="______EXC7">#REF!</definedName>
    <definedName name="______EXC8" localSheetId="4">#REF!</definedName>
    <definedName name="______EXC8">#REF!</definedName>
    <definedName name="______EXC9" localSheetId="4">#REF!</definedName>
    <definedName name="______EXC9">#REF!</definedName>
    <definedName name="______g2" localSheetId="4" hidden="1">{"TAB1",#N/A,TRUE,"GENERAL";"TAB2",#N/A,TRUE,"GENERAL";"TAB3",#N/A,TRUE,"GENERAL";"TAB4",#N/A,TRUE,"GENERAL";"TAB5",#N/A,TRUE,"GENERAL"}</definedName>
    <definedName name="______g2" localSheetId="9" hidden="1">{"TAB1",#N/A,TRUE,"GENERAL";"TAB2",#N/A,TRUE,"GENERAL";"TAB3",#N/A,TRUE,"GENERAL";"TAB4",#N/A,TRUE,"GENERAL";"TAB5",#N/A,TRUE,"GENERAL"}</definedName>
    <definedName name="______g2" hidden="1">{"TAB1",#N/A,TRUE,"GENERAL";"TAB2",#N/A,TRUE,"GENERAL";"TAB3",#N/A,TRUE,"GENERAL";"TAB4",#N/A,TRUE,"GENERAL";"TAB5",#N/A,TRUE,"GENERAL"}</definedName>
    <definedName name="______g3" localSheetId="4" hidden="1">{"via1",#N/A,TRUE,"general";"via2",#N/A,TRUE,"general";"via3",#N/A,TRUE,"general"}</definedName>
    <definedName name="______g3" localSheetId="9" hidden="1">{"via1",#N/A,TRUE,"general";"via2",#N/A,TRUE,"general";"via3",#N/A,TRUE,"general"}</definedName>
    <definedName name="______g3" hidden="1">{"via1",#N/A,TRUE,"general";"via2",#N/A,TRUE,"general";"via3",#N/A,TRUE,"general"}</definedName>
    <definedName name="______g4" localSheetId="4" hidden="1">{"via1",#N/A,TRUE,"general";"via2",#N/A,TRUE,"general";"via3",#N/A,TRUE,"general"}</definedName>
    <definedName name="______g4" localSheetId="9" hidden="1">{"via1",#N/A,TRUE,"general";"via2",#N/A,TRUE,"general";"via3",#N/A,TRUE,"general"}</definedName>
    <definedName name="______g4" hidden="1">{"via1",#N/A,TRUE,"general";"via2",#N/A,TRUE,"general";"via3",#N/A,TRUE,"general"}</definedName>
    <definedName name="______g5" localSheetId="4" hidden="1">{"via1",#N/A,TRUE,"general";"via2",#N/A,TRUE,"general";"via3",#N/A,TRUE,"general"}</definedName>
    <definedName name="______g5" localSheetId="9" hidden="1">{"via1",#N/A,TRUE,"general";"via2",#N/A,TRUE,"general";"via3",#N/A,TRUE,"general"}</definedName>
    <definedName name="______g5" hidden="1">{"via1",#N/A,TRUE,"general";"via2",#N/A,TRUE,"general";"via3",#N/A,TRUE,"general"}</definedName>
    <definedName name="______g6" localSheetId="4" hidden="1">{"via1",#N/A,TRUE,"general";"via2",#N/A,TRUE,"general";"via3",#N/A,TRUE,"general"}</definedName>
    <definedName name="______g6" localSheetId="9" hidden="1">{"via1",#N/A,TRUE,"general";"via2",#N/A,TRUE,"general";"via3",#N/A,TRUE,"general"}</definedName>
    <definedName name="______g6" hidden="1">{"via1",#N/A,TRUE,"general";"via2",#N/A,TRUE,"general";"via3",#N/A,TRUE,"general"}</definedName>
    <definedName name="______g7" localSheetId="4" hidden="1">{"TAB1",#N/A,TRUE,"GENERAL";"TAB2",#N/A,TRUE,"GENERAL";"TAB3",#N/A,TRUE,"GENERAL";"TAB4",#N/A,TRUE,"GENERAL";"TAB5",#N/A,TRUE,"GENERAL"}</definedName>
    <definedName name="______g7" localSheetId="9" hidden="1">{"TAB1",#N/A,TRUE,"GENERAL";"TAB2",#N/A,TRUE,"GENERAL";"TAB3",#N/A,TRUE,"GENERAL";"TAB4",#N/A,TRUE,"GENERAL";"TAB5",#N/A,TRUE,"GENERAL"}</definedName>
    <definedName name="______g7"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9" hidden="1">{"TAB1",#N/A,TRUE,"GENERAL";"TAB2",#N/A,TRUE,"GENERAL";"TAB3",#N/A,TRUE,"GENERAL";"TAB4",#N/A,TRUE,"GENERAL";"TAB5",#N/A,TRUE,"GENERAL"}</definedName>
    <definedName name="______GR1" hidden="1">{"TAB1",#N/A,TRUE,"GENERAL";"TAB2",#N/A,TRUE,"GENERAL";"TAB3",#N/A,TRUE,"GENERAL";"TAB4",#N/A,TRUE,"GENERAL";"TAB5",#N/A,TRUE,"GENERAL"}</definedName>
    <definedName name="______gtr4" localSheetId="4" hidden="1">{"via1",#N/A,TRUE,"general";"via2",#N/A,TRUE,"general";"via3",#N/A,TRUE,"general"}</definedName>
    <definedName name="______gtr4" localSheetId="9" hidden="1">{"via1",#N/A,TRUE,"general";"via2",#N/A,TRUE,"general";"via3",#N/A,TRUE,"general"}</definedName>
    <definedName name="______gtr4" hidden="1">{"via1",#N/A,TRUE,"general";"via2",#N/A,TRUE,"general";"via3",#N/A,TRUE,"general"}</definedName>
    <definedName name="______h2" localSheetId="4" hidden="1">{"via1",#N/A,TRUE,"general";"via2",#N/A,TRUE,"general";"via3",#N/A,TRUE,"general"}</definedName>
    <definedName name="______h2" localSheetId="9" hidden="1">{"via1",#N/A,TRUE,"general";"via2",#N/A,TRUE,"general";"via3",#N/A,TRUE,"general"}</definedName>
    <definedName name="______h2" hidden="1">{"via1",#N/A,TRUE,"general";"via2",#N/A,TRUE,"general";"via3",#N/A,TRUE,"general"}</definedName>
    <definedName name="______h3" localSheetId="4" hidden="1">{"via1",#N/A,TRUE,"general";"via2",#N/A,TRUE,"general";"via3",#N/A,TRUE,"general"}</definedName>
    <definedName name="______h3" localSheetId="9" hidden="1">{"via1",#N/A,TRUE,"general";"via2",#N/A,TRUE,"general";"via3",#N/A,TRUE,"general"}</definedName>
    <definedName name="______h3" hidden="1">{"via1",#N/A,TRUE,"general";"via2",#N/A,TRUE,"general";"via3",#N/A,TRUE,"general"}</definedName>
    <definedName name="______h4" localSheetId="4" hidden="1">{"TAB1",#N/A,TRUE,"GENERAL";"TAB2",#N/A,TRUE,"GENERAL";"TAB3",#N/A,TRUE,"GENERAL";"TAB4",#N/A,TRUE,"GENERAL";"TAB5",#N/A,TRUE,"GENERAL"}</definedName>
    <definedName name="______h4" localSheetId="9" hidden="1">{"TAB1",#N/A,TRUE,"GENERAL";"TAB2",#N/A,TRUE,"GENERAL";"TAB3",#N/A,TRUE,"GENERAL";"TAB4",#N/A,TRUE,"GENERAL";"TAB5",#N/A,TRUE,"GENERAL"}</definedName>
    <definedName name="______h4"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9" hidden="1">{"TAB1",#N/A,TRUE,"GENERAL";"TAB2",#N/A,TRUE,"GENERAL";"TAB3",#N/A,TRUE,"GENERAL";"TAB4",#N/A,TRUE,"GENERAL";"TAB5",#N/A,TRUE,"GENERAL"}</definedName>
    <definedName name="______h5" hidden="1">{"TAB1",#N/A,TRUE,"GENERAL";"TAB2",#N/A,TRUE,"GENERAL";"TAB3",#N/A,TRUE,"GENERAL";"TAB4",#N/A,TRUE,"GENERAL";"TAB5",#N/A,TRUE,"GENERAL"}</definedName>
    <definedName name="______h6" localSheetId="4" hidden="1">{"via1",#N/A,TRUE,"general";"via2",#N/A,TRUE,"general";"via3",#N/A,TRUE,"general"}</definedName>
    <definedName name="______h6" localSheetId="9" hidden="1">{"via1",#N/A,TRUE,"general";"via2",#N/A,TRUE,"general";"via3",#N/A,TRUE,"general"}</definedName>
    <definedName name="______h6" hidden="1">{"via1",#N/A,TRUE,"general";"via2",#N/A,TRUE,"general";"via3",#N/A,TRUE,"general"}</definedName>
    <definedName name="______h7" localSheetId="4" hidden="1">{"TAB1",#N/A,TRUE,"GENERAL";"TAB2",#N/A,TRUE,"GENERAL";"TAB3",#N/A,TRUE,"GENERAL";"TAB4",#N/A,TRUE,"GENERAL";"TAB5",#N/A,TRUE,"GENERAL"}</definedName>
    <definedName name="______h7" localSheetId="9" hidden="1">{"TAB1",#N/A,TRUE,"GENERAL";"TAB2",#N/A,TRUE,"GENERAL";"TAB3",#N/A,TRUE,"GENERAL";"TAB4",#N/A,TRUE,"GENERAL";"TAB5",#N/A,TRUE,"GENERAL"}</definedName>
    <definedName name="______h7" hidden="1">{"TAB1",#N/A,TRUE,"GENERAL";"TAB2",#N/A,TRUE,"GENERAL";"TAB3",#N/A,TRUE,"GENERAL";"TAB4",#N/A,TRUE,"GENERAL";"TAB5",#N/A,TRUE,"GENERAL"}</definedName>
    <definedName name="______h8" localSheetId="4" hidden="1">{"via1",#N/A,TRUE,"general";"via2",#N/A,TRUE,"general";"via3",#N/A,TRUE,"general"}</definedName>
    <definedName name="______h8" localSheetId="9" hidden="1">{"via1",#N/A,TRUE,"general";"via2",#N/A,TRUE,"general";"via3",#N/A,TRUE,"general"}</definedName>
    <definedName name="______h8" hidden="1">{"via1",#N/A,TRUE,"general";"via2",#N/A,TRUE,"general";"via3",#N/A,TRUE,"general"}</definedName>
    <definedName name="______hfh7" localSheetId="4" hidden="1">{"via1",#N/A,TRUE,"general";"via2",#N/A,TRUE,"general";"via3",#N/A,TRUE,"general"}</definedName>
    <definedName name="______hfh7" localSheetId="9" hidden="1">{"via1",#N/A,TRUE,"general";"via2",#N/A,TRUE,"general";"via3",#N/A,TRUE,"general"}</definedName>
    <definedName name="______hfh7" hidden="1">{"via1",#N/A,TRUE,"general";"via2",#N/A,TRUE,"general";"via3",#N/A,TRUE,"general"}</definedName>
    <definedName name="______i4" localSheetId="4" hidden="1">{"via1",#N/A,TRUE,"general";"via2",#N/A,TRUE,"general";"via3",#N/A,TRUE,"general"}</definedName>
    <definedName name="______i4" localSheetId="9" hidden="1">{"via1",#N/A,TRUE,"general";"via2",#N/A,TRUE,"general";"via3",#N/A,TRUE,"general"}</definedName>
    <definedName name="______i4" hidden="1">{"via1",#N/A,TRUE,"general";"via2",#N/A,TRUE,"general";"via3",#N/A,TRUE,"general"}</definedName>
    <definedName name="______i5" localSheetId="4" hidden="1">{"TAB1",#N/A,TRUE,"GENERAL";"TAB2",#N/A,TRUE,"GENERAL";"TAB3",#N/A,TRUE,"GENERAL";"TAB4",#N/A,TRUE,"GENERAL";"TAB5",#N/A,TRUE,"GENERAL"}</definedName>
    <definedName name="______i5" localSheetId="9" hidden="1">{"TAB1",#N/A,TRUE,"GENERAL";"TAB2",#N/A,TRUE,"GENERAL";"TAB3",#N/A,TRUE,"GENERAL";"TAB4",#N/A,TRUE,"GENERAL";"TAB5",#N/A,TRUE,"GENERAL"}</definedName>
    <definedName name="______i5"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9" hidden="1">{"TAB1",#N/A,TRUE,"GENERAL";"TAB2",#N/A,TRUE,"GENERAL";"TAB3",#N/A,TRUE,"GENERAL";"TAB4",#N/A,TRUE,"GENERAL";"TAB5",#N/A,TRUE,"GENERAL"}</definedName>
    <definedName name="______i6" hidden="1">{"TAB1",#N/A,TRUE,"GENERAL";"TAB2",#N/A,TRUE,"GENERAL";"TAB3",#N/A,TRUE,"GENERAL";"TAB4",#N/A,TRUE,"GENERAL";"TAB5",#N/A,TRUE,"GENERAL"}</definedName>
    <definedName name="______i7" localSheetId="4" hidden="1">{"via1",#N/A,TRUE,"general";"via2",#N/A,TRUE,"general";"via3",#N/A,TRUE,"general"}</definedName>
    <definedName name="______i7" localSheetId="9" hidden="1">{"via1",#N/A,TRUE,"general";"via2",#N/A,TRUE,"general";"via3",#N/A,TRUE,"general"}</definedName>
    <definedName name="______i7" hidden="1">{"via1",#N/A,TRUE,"general";"via2",#N/A,TRUE,"general";"via3",#N/A,TRUE,"general"}</definedName>
    <definedName name="______i77" localSheetId="4" hidden="1">{"TAB1",#N/A,TRUE,"GENERAL";"TAB2",#N/A,TRUE,"GENERAL";"TAB3",#N/A,TRUE,"GENERAL";"TAB4",#N/A,TRUE,"GENERAL";"TAB5",#N/A,TRUE,"GENERAL"}</definedName>
    <definedName name="______i77" localSheetId="9" hidden="1">{"TAB1",#N/A,TRUE,"GENERAL";"TAB2",#N/A,TRUE,"GENERAL";"TAB3",#N/A,TRUE,"GENERAL";"TAB4",#N/A,TRUE,"GENERAL";"TAB5",#N/A,TRUE,"GENERAL"}</definedName>
    <definedName name="______i77" hidden="1">{"TAB1",#N/A,TRUE,"GENERAL";"TAB2",#N/A,TRUE,"GENERAL";"TAB3",#N/A,TRUE,"GENERAL";"TAB4",#N/A,TRUE,"GENERAL";"TAB5",#N/A,TRUE,"GENERAL"}</definedName>
    <definedName name="______i8" localSheetId="4" hidden="1">{"via1",#N/A,TRUE,"general";"via2",#N/A,TRUE,"general";"via3",#N/A,TRUE,"general"}</definedName>
    <definedName name="______i8" localSheetId="9" hidden="1">{"via1",#N/A,TRUE,"general";"via2",#N/A,TRUE,"general";"via3",#N/A,TRUE,"general"}</definedName>
    <definedName name="______i8" hidden="1">{"via1",#N/A,TRUE,"general";"via2",#N/A,TRUE,"general";"via3",#N/A,TRUE,"general"}</definedName>
    <definedName name="______i9" localSheetId="4" hidden="1">{"TAB1",#N/A,TRUE,"GENERAL";"TAB2",#N/A,TRUE,"GENERAL";"TAB3",#N/A,TRUE,"GENERAL";"TAB4",#N/A,TRUE,"GENERAL";"TAB5",#N/A,TRUE,"GENERAL"}</definedName>
    <definedName name="______i9" localSheetId="9" hidden="1">{"TAB1",#N/A,TRUE,"GENERAL";"TAB2",#N/A,TRUE,"GENERAL";"TAB3",#N/A,TRUE,"GENERAL";"TAB4",#N/A,TRUE,"GENERAL";"TAB5",#N/A,TRUE,"GENERAL"}</definedName>
    <definedName name="______i9" hidden="1">{"TAB1",#N/A,TRUE,"GENERAL";"TAB2",#N/A,TRUE,"GENERAL";"TAB3",#N/A,TRUE,"GENERAL";"TAB4",#N/A,TRUE,"GENERAL";"TAB5",#N/A,TRUE,"GENERAL"}</definedName>
    <definedName name="______k3" localSheetId="4" hidden="1">{"TAB1",#N/A,TRUE,"GENERAL";"TAB2",#N/A,TRUE,"GENERAL";"TAB3",#N/A,TRUE,"GENERAL";"TAB4",#N/A,TRUE,"GENERAL";"TAB5",#N/A,TRUE,"GENERAL"}</definedName>
    <definedName name="______k3" localSheetId="9" hidden="1">{"TAB1",#N/A,TRUE,"GENERAL";"TAB2",#N/A,TRUE,"GENERAL";"TAB3",#N/A,TRUE,"GENERAL";"TAB4",#N/A,TRUE,"GENERAL";"TAB5",#N/A,TRUE,"GENERAL"}</definedName>
    <definedName name="______k3" hidden="1">{"TAB1",#N/A,TRUE,"GENERAL";"TAB2",#N/A,TRUE,"GENERAL";"TAB3",#N/A,TRUE,"GENERAL";"TAB4",#N/A,TRUE,"GENERAL";"TAB5",#N/A,TRUE,"GENERAL"}</definedName>
    <definedName name="______k4" localSheetId="4" hidden="1">{"via1",#N/A,TRUE,"general";"via2",#N/A,TRUE,"general";"via3",#N/A,TRUE,"general"}</definedName>
    <definedName name="______k4" localSheetId="9" hidden="1">{"via1",#N/A,TRUE,"general";"via2",#N/A,TRUE,"general";"via3",#N/A,TRUE,"general"}</definedName>
    <definedName name="______k4" hidden="1">{"via1",#N/A,TRUE,"general";"via2",#N/A,TRUE,"general";"via3",#N/A,TRUE,"general"}</definedName>
    <definedName name="______k5" localSheetId="4" hidden="1">{"via1",#N/A,TRUE,"general";"via2",#N/A,TRUE,"general";"via3",#N/A,TRUE,"general"}</definedName>
    <definedName name="______k5" localSheetId="9" hidden="1">{"via1",#N/A,TRUE,"general";"via2",#N/A,TRUE,"general";"via3",#N/A,TRUE,"general"}</definedName>
    <definedName name="______k5" hidden="1">{"via1",#N/A,TRUE,"general";"via2",#N/A,TRUE,"general";"via3",#N/A,TRUE,"general"}</definedName>
    <definedName name="______k6" localSheetId="4" hidden="1">{"TAB1",#N/A,TRUE,"GENERAL";"TAB2",#N/A,TRUE,"GENERAL";"TAB3",#N/A,TRUE,"GENERAL";"TAB4",#N/A,TRUE,"GENERAL";"TAB5",#N/A,TRUE,"GENERAL"}</definedName>
    <definedName name="______k6" localSheetId="9" hidden="1">{"TAB1",#N/A,TRUE,"GENERAL";"TAB2",#N/A,TRUE,"GENERAL";"TAB3",#N/A,TRUE,"GENERAL";"TAB4",#N/A,TRUE,"GENERAL";"TAB5",#N/A,TRUE,"GENERAL"}</definedName>
    <definedName name="______k6" hidden="1">{"TAB1",#N/A,TRUE,"GENERAL";"TAB2",#N/A,TRUE,"GENERAL";"TAB3",#N/A,TRUE,"GENERAL";"TAB4",#N/A,TRUE,"GENERAL";"TAB5",#N/A,TRUE,"GENERAL"}</definedName>
    <definedName name="______k7" localSheetId="4" hidden="1">{"via1",#N/A,TRUE,"general";"via2",#N/A,TRUE,"general";"via3",#N/A,TRUE,"general"}</definedName>
    <definedName name="______k7" localSheetId="9" hidden="1">{"via1",#N/A,TRUE,"general";"via2",#N/A,TRUE,"general";"via3",#N/A,TRUE,"general"}</definedName>
    <definedName name="______k7" hidden="1">{"via1",#N/A,TRUE,"general";"via2",#N/A,TRUE,"general";"via3",#N/A,TRUE,"general"}</definedName>
    <definedName name="______k8" localSheetId="4" hidden="1">{"via1",#N/A,TRUE,"general";"via2",#N/A,TRUE,"general";"via3",#N/A,TRUE,"general"}</definedName>
    <definedName name="______k8" localSheetId="9" hidden="1">{"via1",#N/A,TRUE,"general";"via2",#N/A,TRUE,"general";"via3",#N/A,TRUE,"general"}</definedName>
    <definedName name="______k8" hidden="1">{"via1",#N/A,TRUE,"general";"via2",#N/A,TRUE,"general";"via3",#N/A,TRUE,"general"}</definedName>
    <definedName name="______k9" localSheetId="4" hidden="1">{"TAB1",#N/A,TRUE,"GENERAL";"TAB2",#N/A,TRUE,"GENERAL";"TAB3",#N/A,TRUE,"GENERAL";"TAB4",#N/A,TRUE,"GENERAL";"TAB5",#N/A,TRUE,"GENERAL"}</definedName>
    <definedName name="______k9" localSheetId="9" hidden="1">{"TAB1",#N/A,TRUE,"GENERAL";"TAB2",#N/A,TRUE,"GENERAL";"TAB3",#N/A,TRUE,"GENERAL";"TAB4",#N/A,TRUE,"GENERAL";"TAB5",#N/A,TRUE,"GENERAL"}</definedName>
    <definedName name="______k9"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9" hidden="1">{"TAB1",#N/A,TRUE,"GENERAL";"TAB2",#N/A,TRUE,"GENERAL";"TAB3",#N/A,TRUE,"GENERAL";"TAB4",#N/A,TRUE,"GENERAL";"TAB5",#N/A,TRUE,"GENERAL"}</definedName>
    <definedName name="______kjk6" hidden="1">{"TAB1",#N/A,TRUE,"GENERAL";"TAB2",#N/A,TRUE,"GENERAL";"TAB3",#N/A,TRUE,"GENERAL";"TAB4",#N/A,TRUE,"GENERAL";"TAB5",#N/A,TRUE,"GENERAL"}</definedName>
    <definedName name="______m3" localSheetId="4" hidden="1">{"via1",#N/A,TRUE,"general";"via2",#N/A,TRUE,"general";"via3",#N/A,TRUE,"general"}</definedName>
    <definedName name="______m3" localSheetId="9" hidden="1">{"via1",#N/A,TRUE,"general";"via2",#N/A,TRUE,"general";"via3",#N/A,TRUE,"general"}</definedName>
    <definedName name="______m3" hidden="1">{"via1",#N/A,TRUE,"general";"via2",#N/A,TRUE,"general";"via3",#N/A,TRUE,"general"}</definedName>
    <definedName name="______m4" localSheetId="4" hidden="1">{"TAB1",#N/A,TRUE,"GENERAL";"TAB2",#N/A,TRUE,"GENERAL";"TAB3",#N/A,TRUE,"GENERAL";"TAB4",#N/A,TRUE,"GENERAL";"TAB5",#N/A,TRUE,"GENERAL"}</definedName>
    <definedName name="______m4" localSheetId="9" hidden="1">{"TAB1",#N/A,TRUE,"GENERAL";"TAB2",#N/A,TRUE,"GENERAL";"TAB3",#N/A,TRUE,"GENERAL";"TAB4",#N/A,TRUE,"GENERAL";"TAB5",#N/A,TRUE,"GENERAL"}</definedName>
    <definedName name="______m4" hidden="1">{"TAB1",#N/A,TRUE,"GENERAL";"TAB2",#N/A,TRUE,"GENERAL";"TAB3",#N/A,TRUE,"GENERAL";"TAB4",#N/A,TRUE,"GENERAL";"TAB5",#N/A,TRUE,"GENERAL"}</definedName>
    <definedName name="______m5" localSheetId="4" hidden="1">{"via1",#N/A,TRUE,"general";"via2",#N/A,TRUE,"general";"via3",#N/A,TRUE,"general"}</definedName>
    <definedName name="______m5" localSheetId="9" hidden="1">{"via1",#N/A,TRUE,"general";"via2",#N/A,TRUE,"general";"via3",#N/A,TRUE,"general"}</definedName>
    <definedName name="______m5" hidden="1">{"via1",#N/A,TRUE,"general";"via2",#N/A,TRUE,"general";"via3",#N/A,TRUE,"general"}</definedName>
    <definedName name="______m6" localSheetId="4" hidden="1">{"TAB1",#N/A,TRUE,"GENERAL";"TAB2",#N/A,TRUE,"GENERAL";"TAB3",#N/A,TRUE,"GENERAL";"TAB4",#N/A,TRUE,"GENERAL";"TAB5",#N/A,TRUE,"GENERAL"}</definedName>
    <definedName name="______m6" localSheetId="9" hidden="1">{"TAB1",#N/A,TRUE,"GENERAL";"TAB2",#N/A,TRUE,"GENERAL";"TAB3",#N/A,TRUE,"GENERAL";"TAB4",#N/A,TRUE,"GENERAL";"TAB5",#N/A,TRUE,"GENERAL"}</definedName>
    <definedName name="______m6"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9" hidden="1">{"TAB1",#N/A,TRUE,"GENERAL";"TAB2",#N/A,TRUE,"GENERAL";"TAB3",#N/A,TRUE,"GENERAL";"TAB4",#N/A,TRUE,"GENERAL";"TAB5",#N/A,TRUE,"GENERAL"}</definedName>
    <definedName name="______m7" hidden="1">{"TAB1",#N/A,TRUE,"GENERAL";"TAB2",#N/A,TRUE,"GENERAL";"TAB3",#N/A,TRUE,"GENERAL";"TAB4",#N/A,TRUE,"GENERAL";"TAB5",#N/A,TRUE,"GENERAL"}</definedName>
    <definedName name="______m8" localSheetId="4" hidden="1">{"via1",#N/A,TRUE,"general";"via2",#N/A,TRUE,"general";"via3",#N/A,TRUE,"general"}</definedName>
    <definedName name="______m8" localSheetId="9" hidden="1">{"via1",#N/A,TRUE,"general";"via2",#N/A,TRUE,"general";"via3",#N/A,TRUE,"general"}</definedName>
    <definedName name="______m8" hidden="1">{"via1",#N/A,TRUE,"general";"via2",#N/A,TRUE,"general";"via3",#N/A,TRUE,"general"}</definedName>
    <definedName name="______m9" localSheetId="4" hidden="1">{"via1",#N/A,TRUE,"general";"via2",#N/A,TRUE,"general";"via3",#N/A,TRUE,"general"}</definedName>
    <definedName name="______m9" localSheetId="9" hidden="1">{"via1",#N/A,TRUE,"general";"via2",#N/A,TRUE,"general";"via3",#N/A,TRUE,"general"}</definedName>
    <definedName name="______m9" hidden="1">{"via1",#N/A,TRUE,"general";"via2",#N/A,TRUE,"general";"via3",#N/A,TRUE,"general"}</definedName>
    <definedName name="______n3" localSheetId="4" hidden="1">{"TAB1",#N/A,TRUE,"GENERAL";"TAB2",#N/A,TRUE,"GENERAL";"TAB3",#N/A,TRUE,"GENERAL";"TAB4",#N/A,TRUE,"GENERAL";"TAB5",#N/A,TRUE,"GENERAL"}</definedName>
    <definedName name="______n3" localSheetId="9" hidden="1">{"TAB1",#N/A,TRUE,"GENERAL";"TAB2",#N/A,TRUE,"GENERAL";"TAB3",#N/A,TRUE,"GENERAL";"TAB4",#N/A,TRUE,"GENERAL";"TAB5",#N/A,TRUE,"GENERAL"}</definedName>
    <definedName name="______n3" hidden="1">{"TAB1",#N/A,TRUE,"GENERAL";"TAB2",#N/A,TRUE,"GENERAL";"TAB3",#N/A,TRUE,"GENERAL";"TAB4",#N/A,TRUE,"GENERAL";"TAB5",#N/A,TRUE,"GENERAL"}</definedName>
    <definedName name="______n4" localSheetId="4" hidden="1">{"via1",#N/A,TRUE,"general";"via2",#N/A,TRUE,"general";"via3",#N/A,TRUE,"general"}</definedName>
    <definedName name="______n4" localSheetId="9" hidden="1">{"via1",#N/A,TRUE,"general";"via2",#N/A,TRUE,"general";"via3",#N/A,TRUE,"general"}</definedName>
    <definedName name="______n4" hidden="1">{"via1",#N/A,TRUE,"general";"via2",#N/A,TRUE,"general";"via3",#N/A,TRUE,"general"}</definedName>
    <definedName name="______n5" localSheetId="4" hidden="1">{"TAB1",#N/A,TRUE,"GENERAL";"TAB2",#N/A,TRUE,"GENERAL";"TAB3",#N/A,TRUE,"GENERAL";"TAB4",#N/A,TRUE,"GENERAL";"TAB5",#N/A,TRUE,"GENERAL"}</definedName>
    <definedName name="______n5" localSheetId="9" hidden="1">{"TAB1",#N/A,TRUE,"GENERAL";"TAB2",#N/A,TRUE,"GENERAL";"TAB3",#N/A,TRUE,"GENERAL";"TAB4",#N/A,TRUE,"GENERAL";"TAB5",#N/A,TRUE,"GENERAL"}</definedName>
    <definedName name="______n5" hidden="1">{"TAB1",#N/A,TRUE,"GENERAL";"TAB2",#N/A,TRUE,"GENERAL";"TAB3",#N/A,TRUE,"GENERAL";"TAB4",#N/A,TRUE,"GENERAL";"TAB5",#N/A,TRUE,"GENERAL"}</definedName>
    <definedName name="______nyn7" localSheetId="4" hidden="1">{"via1",#N/A,TRUE,"general";"via2",#N/A,TRUE,"general";"via3",#N/A,TRUE,"general"}</definedName>
    <definedName name="______nyn7" localSheetId="9" hidden="1">{"via1",#N/A,TRUE,"general";"via2",#N/A,TRUE,"general";"via3",#N/A,TRUE,"general"}</definedName>
    <definedName name="______nyn7" hidden="1">{"via1",#N/A,TRUE,"general";"via2",#N/A,TRUE,"general";"via3",#N/A,TRUE,"general"}</definedName>
    <definedName name="______o4" localSheetId="4" hidden="1">{"via1",#N/A,TRUE,"general";"via2",#N/A,TRUE,"general";"via3",#N/A,TRUE,"general"}</definedName>
    <definedName name="______o4" localSheetId="9" hidden="1">{"via1",#N/A,TRUE,"general";"via2",#N/A,TRUE,"general";"via3",#N/A,TRUE,"general"}</definedName>
    <definedName name="______o4" hidden="1">{"via1",#N/A,TRUE,"general";"via2",#N/A,TRUE,"general";"via3",#N/A,TRUE,"general"}</definedName>
    <definedName name="______o5" localSheetId="4" hidden="1">{"TAB1",#N/A,TRUE,"GENERAL";"TAB2",#N/A,TRUE,"GENERAL";"TAB3",#N/A,TRUE,"GENERAL";"TAB4",#N/A,TRUE,"GENERAL";"TAB5",#N/A,TRUE,"GENERAL"}</definedName>
    <definedName name="______o5" localSheetId="9" hidden="1">{"TAB1",#N/A,TRUE,"GENERAL";"TAB2",#N/A,TRUE,"GENERAL";"TAB3",#N/A,TRUE,"GENERAL";"TAB4",#N/A,TRUE,"GENERAL";"TAB5",#N/A,TRUE,"GENERAL"}</definedName>
    <definedName name="______o5"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9" hidden="1">{"TAB1",#N/A,TRUE,"GENERAL";"TAB2",#N/A,TRUE,"GENERAL";"TAB3",#N/A,TRUE,"GENERAL";"TAB4",#N/A,TRUE,"GENERAL";"TAB5",#N/A,TRUE,"GENERAL"}</definedName>
    <definedName name="______o6"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9" hidden="1">{"TAB1",#N/A,TRUE,"GENERAL";"TAB2",#N/A,TRUE,"GENERAL";"TAB3",#N/A,TRUE,"GENERAL";"TAB4",#N/A,TRUE,"GENERAL";"TAB5",#N/A,TRUE,"GENERAL"}</definedName>
    <definedName name="______o7" hidden="1">{"TAB1",#N/A,TRUE,"GENERAL";"TAB2",#N/A,TRUE,"GENERAL";"TAB3",#N/A,TRUE,"GENERAL";"TAB4",#N/A,TRUE,"GENERAL";"TAB5",#N/A,TRUE,"GENERAL"}</definedName>
    <definedName name="______o8" localSheetId="4" hidden="1">{"via1",#N/A,TRUE,"general";"via2",#N/A,TRUE,"general";"via3",#N/A,TRUE,"general"}</definedName>
    <definedName name="______o8" localSheetId="9" hidden="1">{"via1",#N/A,TRUE,"general";"via2",#N/A,TRUE,"general";"via3",#N/A,TRUE,"general"}</definedName>
    <definedName name="______o8" hidden="1">{"via1",#N/A,TRUE,"general";"via2",#N/A,TRUE,"general";"via3",#N/A,TRUE,"general"}</definedName>
    <definedName name="______o9" localSheetId="4" hidden="1">{"TAB1",#N/A,TRUE,"GENERAL";"TAB2",#N/A,TRUE,"GENERAL";"TAB3",#N/A,TRUE,"GENERAL";"TAB4",#N/A,TRUE,"GENERAL";"TAB5",#N/A,TRUE,"GENERAL"}</definedName>
    <definedName name="______o9" localSheetId="9" hidden="1">{"TAB1",#N/A,TRUE,"GENERAL";"TAB2",#N/A,TRUE,"GENERAL";"TAB3",#N/A,TRUE,"GENERAL";"TAB4",#N/A,TRUE,"GENERAL";"TAB5",#N/A,TRUE,"GENERAL"}</definedName>
    <definedName name="______o9" hidden="1">{"TAB1",#N/A,TRUE,"GENERAL";"TAB2",#N/A,TRUE,"GENERAL";"TAB3",#N/A,TRUE,"GENERAL";"TAB4",#N/A,TRUE,"GENERAL";"TAB5",#N/A,TRUE,"GENERAL"}</definedName>
    <definedName name="______p6" localSheetId="4" hidden="1">{"via1",#N/A,TRUE,"general";"via2",#N/A,TRUE,"general";"via3",#N/A,TRUE,"general"}</definedName>
    <definedName name="______p6" localSheetId="9" hidden="1">{"via1",#N/A,TRUE,"general";"via2",#N/A,TRUE,"general";"via3",#N/A,TRUE,"general"}</definedName>
    <definedName name="______p6" hidden="1">{"via1",#N/A,TRUE,"general";"via2",#N/A,TRUE,"general";"via3",#N/A,TRUE,"general"}</definedName>
    <definedName name="______p7" localSheetId="4" hidden="1">{"via1",#N/A,TRUE,"general";"via2",#N/A,TRUE,"general";"via3",#N/A,TRUE,"general"}</definedName>
    <definedName name="______p7" localSheetId="9" hidden="1">{"via1",#N/A,TRUE,"general";"via2",#N/A,TRUE,"general";"via3",#N/A,TRUE,"general"}</definedName>
    <definedName name="______p7" hidden="1">{"via1",#N/A,TRUE,"general";"via2",#N/A,TRUE,"general";"via3",#N/A,TRUE,"general"}</definedName>
    <definedName name="______p8" localSheetId="4" hidden="1">{"TAB1",#N/A,TRUE,"GENERAL";"TAB2",#N/A,TRUE,"GENERAL";"TAB3",#N/A,TRUE,"GENERAL";"TAB4",#N/A,TRUE,"GENERAL";"TAB5",#N/A,TRUE,"GENERAL"}</definedName>
    <definedName name="______p8" localSheetId="9" hidden="1">{"TAB1",#N/A,TRUE,"GENERAL";"TAB2",#N/A,TRUE,"GENERAL";"TAB3",#N/A,TRUE,"GENERAL";"TAB4",#N/A,TRUE,"GENERAL";"TAB5",#N/A,TRUE,"GENERAL"}</definedName>
    <definedName name="______p8" hidden="1">{"TAB1",#N/A,TRUE,"GENERAL";"TAB2",#N/A,TRUE,"GENERAL";"TAB3",#N/A,TRUE,"GENERAL";"TAB4",#N/A,TRUE,"GENERAL";"TAB5",#N/A,TRUE,"GENERAL"}</definedName>
    <definedName name="______r" localSheetId="4" hidden="1">{"TAB1",#N/A,TRUE,"GENERAL";"TAB2",#N/A,TRUE,"GENERAL";"TAB3",#N/A,TRUE,"GENERAL";"TAB4",#N/A,TRUE,"GENERAL";"TAB5",#N/A,TRUE,"GENERAL"}</definedName>
    <definedName name="______r" localSheetId="9" hidden="1">{"TAB1",#N/A,TRUE,"GENERAL";"TAB2",#N/A,TRUE,"GENERAL";"TAB3",#N/A,TRUE,"GENERAL";"TAB4",#N/A,TRUE,"GENERAL";"TAB5",#N/A,TRUE,"GENERAL"}</definedName>
    <definedName name="______r" hidden="1">{"TAB1",#N/A,TRUE,"GENERAL";"TAB2",#N/A,TRUE,"GENERAL";"TAB3",#N/A,TRUE,"GENERAL";"TAB4",#N/A,TRUE,"GENERAL";"TAB5",#N/A,TRUE,"GENERAL"}</definedName>
    <definedName name="______r4r" localSheetId="4" hidden="1">{"via1",#N/A,TRUE,"general";"via2",#N/A,TRUE,"general";"via3",#N/A,TRUE,"general"}</definedName>
    <definedName name="______r4r" localSheetId="9" hidden="1">{"via1",#N/A,TRUE,"general";"via2",#N/A,TRUE,"general";"via3",#N/A,TRUE,"general"}</definedName>
    <definedName name="______r4r" hidden="1">{"via1",#N/A,TRUE,"general";"via2",#N/A,TRUE,"general";"via3",#N/A,TRUE,"general"}</definedName>
    <definedName name="______rtu6" localSheetId="4" hidden="1">{"via1",#N/A,TRUE,"general";"via2",#N/A,TRUE,"general";"via3",#N/A,TRUE,"general"}</definedName>
    <definedName name="______rtu6" localSheetId="9" hidden="1">{"via1",#N/A,TRUE,"general";"via2",#N/A,TRUE,"general";"via3",#N/A,TRUE,"general"}</definedName>
    <definedName name="______rtu6" hidden="1">{"via1",#N/A,TRUE,"general";"via2",#N/A,TRUE,"general";"via3",#N/A,TRUE,"general"}</definedName>
    <definedName name="______s1" localSheetId="4" hidden="1">{"via1",#N/A,TRUE,"general";"via2",#N/A,TRUE,"general";"via3",#N/A,TRUE,"general"}</definedName>
    <definedName name="______s1" localSheetId="9" hidden="1">{"via1",#N/A,TRUE,"general";"via2",#N/A,TRUE,"general";"via3",#N/A,TRUE,"general"}</definedName>
    <definedName name="______s1" hidden="1">{"via1",#N/A,TRUE,"general";"via2",#N/A,TRUE,"general";"via3",#N/A,TRUE,"general"}</definedName>
    <definedName name="______s2" localSheetId="4" hidden="1">{"TAB1",#N/A,TRUE,"GENERAL";"TAB2",#N/A,TRUE,"GENERAL";"TAB3",#N/A,TRUE,"GENERAL";"TAB4",#N/A,TRUE,"GENERAL";"TAB5",#N/A,TRUE,"GENERAL"}</definedName>
    <definedName name="______s2" localSheetId="9" hidden="1">{"TAB1",#N/A,TRUE,"GENERAL";"TAB2",#N/A,TRUE,"GENERAL";"TAB3",#N/A,TRUE,"GENERAL";"TAB4",#N/A,TRUE,"GENERAL";"TAB5",#N/A,TRUE,"GENERAL"}</definedName>
    <definedName name="______s2"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9" hidden="1">{"TAB1",#N/A,TRUE,"GENERAL";"TAB2",#N/A,TRUE,"GENERAL";"TAB3",#N/A,TRUE,"GENERAL";"TAB4",#N/A,TRUE,"GENERAL";"TAB5",#N/A,TRUE,"GENERAL"}</definedName>
    <definedName name="______s3" hidden="1">{"TAB1",#N/A,TRUE,"GENERAL";"TAB2",#N/A,TRUE,"GENERAL";"TAB3",#N/A,TRUE,"GENERAL";"TAB4",#N/A,TRUE,"GENERAL";"TAB5",#N/A,TRUE,"GENERAL"}</definedName>
    <definedName name="______s4" localSheetId="4" hidden="1">{"via1",#N/A,TRUE,"general";"via2",#N/A,TRUE,"general";"via3",#N/A,TRUE,"general"}</definedName>
    <definedName name="______s4" localSheetId="9" hidden="1">{"via1",#N/A,TRUE,"general";"via2",#N/A,TRUE,"general";"via3",#N/A,TRUE,"general"}</definedName>
    <definedName name="______s4" hidden="1">{"via1",#N/A,TRUE,"general";"via2",#N/A,TRUE,"general";"via3",#N/A,TRUE,"general"}</definedName>
    <definedName name="______s5" localSheetId="4" hidden="1">{"via1",#N/A,TRUE,"general";"via2",#N/A,TRUE,"general";"via3",#N/A,TRUE,"general"}</definedName>
    <definedName name="______s5" localSheetId="9" hidden="1">{"via1",#N/A,TRUE,"general";"via2",#N/A,TRUE,"general";"via3",#N/A,TRUE,"general"}</definedName>
    <definedName name="______s5" hidden="1">{"via1",#N/A,TRUE,"general";"via2",#N/A,TRUE,"general";"via3",#N/A,TRUE,"general"}</definedName>
    <definedName name="______s6" localSheetId="4" hidden="1">{"TAB1",#N/A,TRUE,"GENERAL";"TAB2",#N/A,TRUE,"GENERAL";"TAB3",#N/A,TRUE,"GENERAL";"TAB4",#N/A,TRUE,"GENERAL";"TAB5",#N/A,TRUE,"GENERAL"}</definedName>
    <definedName name="______s6" localSheetId="9" hidden="1">{"TAB1",#N/A,TRUE,"GENERAL";"TAB2",#N/A,TRUE,"GENERAL";"TAB3",#N/A,TRUE,"GENERAL";"TAB4",#N/A,TRUE,"GENERAL";"TAB5",#N/A,TRUE,"GENERAL"}</definedName>
    <definedName name="______s6" hidden="1">{"TAB1",#N/A,TRUE,"GENERAL";"TAB2",#N/A,TRUE,"GENERAL";"TAB3",#N/A,TRUE,"GENERAL";"TAB4",#N/A,TRUE,"GENERAL";"TAB5",#N/A,TRUE,"GENERAL"}</definedName>
    <definedName name="______s7" localSheetId="4" hidden="1">{"via1",#N/A,TRUE,"general";"via2",#N/A,TRUE,"general";"via3",#N/A,TRUE,"general"}</definedName>
    <definedName name="______s7" localSheetId="9" hidden="1">{"via1",#N/A,TRUE,"general";"via2",#N/A,TRUE,"general";"via3",#N/A,TRUE,"general"}</definedName>
    <definedName name="______s7" hidden="1">{"via1",#N/A,TRUE,"general";"via2",#N/A,TRUE,"general";"via3",#N/A,TRUE,"general"}</definedName>
    <definedName name="______t3" localSheetId="4" hidden="1">{"TAB1",#N/A,TRUE,"GENERAL";"TAB2",#N/A,TRUE,"GENERAL";"TAB3",#N/A,TRUE,"GENERAL";"TAB4",#N/A,TRUE,"GENERAL";"TAB5",#N/A,TRUE,"GENERAL"}</definedName>
    <definedName name="______t3" localSheetId="9" hidden="1">{"TAB1",#N/A,TRUE,"GENERAL";"TAB2",#N/A,TRUE,"GENERAL";"TAB3",#N/A,TRUE,"GENERAL";"TAB4",#N/A,TRUE,"GENERAL";"TAB5",#N/A,TRUE,"GENERAL"}</definedName>
    <definedName name="______t3" hidden="1">{"TAB1",#N/A,TRUE,"GENERAL";"TAB2",#N/A,TRUE,"GENERAL";"TAB3",#N/A,TRUE,"GENERAL";"TAB4",#N/A,TRUE,"GENERAL";"TAB5",#N/A,TRUE,"GENERAL"}</definedName>
    <definedName name="______t4" localSheetId="4" hidden="1">{"via1",#N/A,TRUE,"general";"via2",#N/A,TRUE,"general";"via3",#N/A,TRUE,"general"}</definedName>
    <definedName name="______t4" localSheetId="9" hidden="1">{"via1",#N/A,TRUE,"general";"via2",#N/A,TRUE,"general";"via3",#N/A,TRUE,"general"}</definedName>
    <definedName name="______t4" hidden="1">{"via1",#N/A,TRUE,"general";"via2",#N/A,TRUE,"general";"via3",#N/A,TRUE,"general"}</definedName>
    <definedName name="______t5" localSheetId="4" hidden="1">{"TAB1",#N/A,TRUE,"GENERAL";"TAB2",#N/A,TRUE,"GENERAL";"TAB3",#N/A,TRUE,"GENERAL";"TAB4",#N/A,TRUE,"GENERAL";"TAB5",#N/A,TRUE,"GENERAL"}</definedName>
    <definedName name="______t5" localSheetId="9" hidden="1">{"TAB1",#N/A,TRUE,"GENERAL";"TAB2",#N/A,TRUE,"GENERAL";"TAB3",#N/A,TRUE,"GENERAL";"TAB4",#N/A,TRUE,"GENERAL";"TAB5",#N/A,TRUE,"GENERAL"}</definedName>
    <definedName name="______t5" hidden="1">{"TAB1",#N/A,TRUE,"GENERAL";"TAB2",#N/A,TRUE,"GENERAL";"TAB3",#N/A,TRUE,"GENERAL";"TAB4",#N/A,TRUE,"GENERAL";"TAB5",#N/A,TRUE,"GENERAL"}</definedName>
    <definedName name="______t6" localSheetId="4" hidden="1">{"via1",#N/A,TRUE,"general";"via2",#N/A,TRUE,"general";"via3",#N/A,TRUE,"general"}</definedName>
    <definedName name="______t6" localSheetId="9" hidden="1">{"via1",#N/A,TRUE,"general";"via2",#N/A,TRUE,"general";"via3",#N/A,TRUE,"general"}</definedName>
    <definedName name="______t6" hidden="1">{"via1",#N/A,TRUE,"general";"via2",#N/A,TRUE,"general";"via3",#N/A,TRUE,"general"}</definedName>
    <definedName name="______t66" localSheetId="4" hidden="1">{"TAB1",#N/A,TRUE,"GENERAL";"TAB2",#N/A,TRUE,"GENERAL";"TAB3",#N/A,TRUE,"GENERAL";"TAB4",#N/A,TRUE,"GENERAL";"TAB5",#N/A,TRUE,"GENERAL"}</definedName>
    <definedName name="______t66" localSheetId="9" hidden="1">{"TAB1",#N/A,TRUE,"GENERAL";"TAB2",#N/A,TRUE,"GENERAL";"TAB3",#N/A,TRUE,"GENERAL";"TAB4",#N/A,TRUE,"GENERAL";"TAB5",#N/A,TRUE,"GENERAL"}</definedName>
    <definedName name="______t66" hidden="1">{"TAB1",#N/A,TRUE,"GENERAL";"TAB2",#N/A,TRUE,"GENERAL";"TAB3",#N/A,TRUE,"GENERAL";"TAB4",#N/A,TRUE,"GENERAL";"TAB5",#N/A,TRUE,"GENERAL"}</definedName>
    <definedName name="______t7" localSheetId="4" hidden="1">{"via1",#N/A,TRUE,"general";"via2",#N/A,TRUE,"general";"via3",#N/A,TRUE,"general"}</definedName>
    <definedName name="______t7" localSheetId="9" hidden="1">{"via1",#N/A,TRUE,"general";"via2",#N/A,TRUE,"general";"via3",#N/A,TRUE,"general"}</definedName>
    <definedName name="______t7" hidden="1">{"via1",#N/A,TRUE,"general";"via2",#N/A,TRUE,"general";"via3",#N/A,TRUE,"general"}</definedName>
    <definedName name="______t77" localSheetId="4" hidden="1">{"TAB1",#N/A,TRUE,"GENERAL";"TAB2",#N/A,TRUE,"GENERAL";"TAB3",#N/A,TRUE,"GENERAL";"TAB4",#N/A,TRUE,"GENERAL";"TAB5",#N/A,TRUE,"GENERAL"}</definedName>
    <definedName name="______t77" localSheetId="9" hidden="1">{"TAB1",#N/A,TRUE,"GENERAL";"TAB2",#N/A,TRUE,"GENERAL";"TAB3",#N/A,TRUE,"GENERAL";"TAB4",#N/A,TRUE,"GENERAL";"TAB5",#N/A,TRUE,"GENERAL"}</definedName>
    <definedName name="______t77"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9" hidden="1">{"TAB1",#N/A,TRUE,"GENERAL";"TAB2",#N/A,TRUE,"GENERAL";"TAB3",#N/A,TRUE,"GENERAL";"TAB4",#N/A,TRUE,"GENERAL";"TAB5",#N/A,TRUE,"GENERAL"}</definedName>
    <definedName name="______t8" hidden="1">{"TAB1",#N/A,TRUE,"GENERAL";"TAB2",#N/A,TRUE,"GENERAL";"TAB3",#N/A,TRUE,"GENERAL";"TAB4",#N/A,TRUE,"GENERAL";"TAB5",#N/A,TRUE,"GENERAL"}</definedName>
    <definedName name="______t88" localSheetId="4" hidden="1">{"via1",#N/A,TRUE,"general";"via2",#N/A,TRUE,"general";"via3",#N/A,TRUE,"general"}</definedName>
    <definedName name="______t88" localSheetId="9" hidden="1">{"via1",#N/A,TRUE,"general";"via2",#N/A,TRUE,"general";"via3",#N/A,TRUE,"general"}</definedName>
    <definedName name="______t88" hidden="1">{"via1",#N/A,TRUE,"general";"via2",#N/A,TRUE,"general";"via3",#N/A,TRUE,"general"}</definedName>
    <definedName name="______t9" localSheetId="4" hidden="1">{"TAB1",#N/A,TRUE,"GENERAL";"TAB2",#N/A,TRUE,"GENERAL";"TAB3",#N/A,TRUE,"GENERAL";"TAB4",#N/A,TRUE,"GENERAL";"TAB5",#N/A,TRUE,"GENERAL"}</definedName>
    <definedName name="______t9" localSheetId="9" hidden="1">{"TAB1",#N/A,TRUE,"GENERAL";"TAB2",#N/A,TRUE,"GENERAL";"TAB3",#N/A,TRUE,"GENERAL";"TAB4",#N/A,TRUE,"GENERAL";"TAB5",#N/A,TRUE,"GENERAL"}</definedName>
    <definedName name="______t9" hidden="1">{"TAB1",#N/A,TRUE,"GENERAL";"TAB2",#N/A,TRUE,"GENERAL";"TAB3",#N/A,TRUE,"GENERAL";"TAB4",#N/A,TRUE,"GENERAL";"TAB5",#N/A,TRUE,"GENERAL"}</definedName>
    <definedName name="______t99" localSheetId="4" hidden="1">{"via1",#N/A,TRUE,"general";"via2",#N/A,TRUE,"general";"via3",#N/A,TRUE,"general"}</definedName>
    <definedName name="______t99" localSheetId="9" hidden="1">{"via1",#N/A,TRUE,"general";"via2",#N/A,TRUE,"general";"via3",#N/A,TRUE,"general"}</definedName>
    <definedName name="______t99" hidden="1">{"via1",#N/A,TRUE,"general";"via2",#N/A,TRUE,"general";"via3",#N/A,TRUE,"general"}</definedName>
    <definedName name="______TYW6" localSheetId="4">#REF!</definedName>
    <definedName name="______TYW6">#REF!</definedName>
    <definedName name="______u4" localSheetId="4" hidden="1">{"TAB1",#N/A,TRUE,"GENERAL";"TAB2",#N/A,TRUE,"GENERAL";"TAB3",#N/A,TRUE,"GENERAL";"TAB4",#N/A,TRUE,"GENERAL";"TAB5",#N/A,TRUE,"GENERAL"}</definedName>
    <definedName name="______u4" localSheetId="9" hidden="1">{"TAB1",#N/A,TRUE,"GENERAL";"TAB2",#N/A,TRUE,"GENERAL";"TAB3",#N/A,TRUE,"GENERAL";"TAB4",#N/A,TRUE,"GENERAL";"TAB5",#N/A,TRUE,"GENERAL"}</definedName>
    <definedName name="______u4"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9" hidden="1">{"TAB1",#N/A,TRUE,"GENERAL";"TAB2",#N/A,TRUE,"GENERAL";"TAB3",#N/A,TRUE,"GENERAL";"TAB4",#N/A,TRUE,"GENERAL";"TAB5",#N/A,TRUE,"GENERAL"}</definedName>
    <definedName name="______u5"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9" hidden="1">{"TAB1",#N/A,TRUE,"GENERAL";"TAB2",#N/A,TRUE,"GENERAL";"TAB3",#N/A,TRUE,"GENERAL";"TAB4",#N/A,TRUE,"GENERAL";"TAB5",#N/A,TRUE,"GENERAL"}</definedName>
    <definedName name="______u6" hidden="1">{"TAB1",#N/A,TRUE,"GENERAL";"TAB2",#N/A,TRUE,"GENERAL";"TAB3",#N/A,TRUE,"GENERAL";"TAB4",#N/A,TRUE,"GENERAL";"TAB5",#N/A,TRUE,"GENERAL"}</definedName>
    <definedName name="______u7" localSheetId="4" hidden="1">{"via1",#N/A,TRUE,"general";"via2",#N/A,TRUE,"general";"via3",#N/A,TRUE,"general"}</definedName>
    <definedName name="______u7" localSheetId="9" hidden="1">{"via1",#N/A,TRUE,"general";"via2",#N/A,TRUE,"general";"via3",#N/A,TRUE,"general"}</definedName>
    <definedName name="______u7" hidden="1">{"via1",#N/A,TRUE,"general";"via2",#N/A,TRUE,"general";"via3",#N/A,TRUE,"general"}</definedName>
    <definedName name="______u8" localSheetId="4" hidden="1">{"TAB1",#N/A,TRUE,"GENERAL";"TAB2",#N/A,TRUE,"GENERAL";"TAB3",#N/A,TRUE,"GENERAL";"TAB4",#N/A,TRUE,"GENERAL";"TAB5",#N/A,TRUE,"GENERAL"}</definedName>
    <definedName name="______u8" localSheetId="9" hidden="1">{"TAB1",#N/A,TRUE,"GENERAL";"TAB2",#N/A,TRUE,"GENERAL";"TAB3",#N/A,TRUE,"GENERAL";"TAB4",#N/A,TRUE,"GENERAL";"TAB5",#N/A,TRUE,"GENERAL"}</definedName>
    <definedName name="______u8"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9" hidden="1">{"TAB1",#N/A,TRUE,"GENERAL";"TAB2",#N/A,TRUE,"GENERAL";"TAB3",#N/A,TRUE,"GENERAL";"TAB4",#N/A,TRUE,"GENERAL";"TAB5",#N/A,TRUE,"GENERAL"}</definedName>
    <definedName name="______u9"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9" hidden="1">{"TAB1",#N/A,TRUE,"GENERAL";"TAB2",#N/A,TRUE,"GENERAL";"TAB3",#N/A,TRUE,"GENERAL";"TAB4",#N/A,TRUE,"GENERAL";"TAB5",#N/A,TRUE,"GENERAL"}</definedName>
    <definedName name="______ur7" hidden="1">{"TAB1",#N/A,TRUE,"GENERAL";"TAB2",#N/A,TRUE,"GENERAL";"TAB3",#N/A,TRUE,"GENERAL";"TAB4",#N/A,TRUE,"GENERAL";"TAB5",#N/A,TRUE,"GENERAL"}</definedName>
    <definedName name="______v2" localSheetId="4" hidden="1">{"via1",#N/A,TRUE,"general";"via2",#N/A,TRUE,"general";"via3",#N/A,TRUE,"general"}</definedName>
    <definedName name="______v2" localSheetId="9" hidden="1">{"via1",#N/A,TRUE,"general";"via2",#N/A,TRUE,"general";"via3",#N/A,TRUE,"general"}</definedName>
    <definedName name="______v2" hidden="1">{"via1",#N/A,TRUE,"general";"via2",#N/A,TRUE,"general";"via3",#N/A,TRUE,"general"}</definedName>
    <definedName name="______v3" localSheetId="4" hidden="1">{"TAB1",#N/A,TRUE,"GENERAL";"TAB2",#N/A,TRUE,"GENERAL";"TAB3",#N/A,TRUE,"GENERAL";"TAB4",#N/A,TRUE,"GENERAL";"TAB5",#N/A,TRUE,"GENERAL"}</definedName>
    <definedName name="______v3" localSheetId="9" hidden="1">{"TAB1",#N/A,TRUE,"GENERAL";"TAB2",#N/A,TRUE,"GENERAL";"TAB3",#N/A,TRUE,"GENERAL";"TAB4",#N/A,TRUE,"GENERAL";"TAB5",#N/A,TRUE,"GENERAL"}</definedName>
    <definedName name="______v3"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9" hidden="1">{"TAB1",#N/A,TRUE,"GENERAL";"TAB2",#N/A,TRUE,"GENERAL";"TAB3",#N/A,TRUE,"GENERAL";"TAB4",#N/A,TRUE,"GENERAL";"TAB5",#N/A,TRUE,"GENERAL"}</definedName>
    <definedName name="______v4" hidden="1">{"TAB1",#N/A,TRUE,"GENERAL";"TAB2",#N/A,TRUE,"GENERAL";"TAB3",#N/A,TRUE,"GENERAL";"TAB4",#N/A,TRUE,"GENERAL";"TAB5",#N/A,TRUE,"GENERAL"}</definedName>
    <definedName name="______v5" localSheetId="4" hidden="1">{"TAB1",#N/A,TRUE,"GENERAL";"TAB2",#N/A,TRUE,"GENERAL";"TAB3",#N/A,TRUE,"GENERAL";"TAB4",#N/A,TRUE,"GENERAL";"TAB5",#N/A,TRUE,"GENERAL"}</definedName>
    <definedName name="______v5" localSheetId="9" hidden="1">{"TAB1",#N/A,TRUE,"GENERAL";"TAB2",#N/A,TRUE,"GENERAL";"TAB3",#N/A,TRUE,"GENERAL";"TAB4",#N/A,TRUE,"GENERAL";"TAB5",#N/A,TRUE,"GENERAL"}</definedName>
    <definedName name="______v5"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9" hidden="1">{"TAB1",#N/A,TRUE,"GENERAL";"TAB2",#N/A,TRUE,"GENERAL";"TAB3",#N/A,TRUE,"GENERAL";"TAB4",#N/A,TRUE,"GENERAL";"TAB5",#N/A,TRUE,"GENERAL"}</definedName>
    <definedName name="______v6" hidden="1">{"TAB1",#N/A,TRUE,"GENERAL";"TAB2",#N/A,TRUE,"GENERAL";"TAB3",#N/A,TRUE,"GENERAL";"TAB4",#N/A,TRUE,"GENERAL";"TAB5",#N/A,TRUE,"GENERAL"}</definedName>
    <definedName name="______v7" localSheetId="4" hidden="1">{"via1",#N/A,TRUE,"general";"via2",#N/A,TRUE,"general";"via3",#N/A,TRUE,"general"}</definedName>
    <definedName name="______v7" localSheetId="9" hidden="1">{"via1",#N/A,TRUE,"general";"via2",#N/A,TRUE,"general";"via3",#N/A,TRUE,"general"}</definedName>
    <definedName name="______v7" hidden="1">{"via1",#N/A,TRUE,"general";"via2",#N/A,TRUE,"general";"via3",#N/A,TRUE,"general"}</definedName>
    <definedName name="______v8" localSheetId="4" hidden="1">{"TAB1",#N/A,TRUE,"GENERAL";"TAB2",#N/A,TRUE,"GENERAL";"TAB3",#N/A,TRUE,"GENERAL";"TAB4",#N/A,TRUE,"GENERAL";"TAB5",#N/A,TRUE,"GENERAL"}</definedName>
    <definedName name="______v8" localSheetId="9" hidden="1">{"TAB1",#N/A,TRUE,"GENERAL";"TAB2",#N/A,TRUE,"GENERAL";"TAB3",#N/A,TRUE,"GENERAL";"TAB4",#N/A,TRUE,"GENERAL";"TAB5",#N/A,TRUE,"GENERAL"}</definedName>
    <definedName name="______v8" hidden="1">{"TAB1",#N/A,TRUE,"GENERAL";"TAB2",#N/A,TRUE,"GENERAL";"TAB3",#N/A,TRUE,"GENERAL";"TAB4",#N/A,TRUE,"GENERAL";"TAB5",#N/A,TRUE,"GENERAL"}</definedName>
    <definedName name="______v9" localSheetId="4" hidden="1">{"TAB1",#N/A,TRUE,"GENERAL";"TAB2",#N/A,TRUE,"GENERAL";"TAB3",#N/A,TRUE,"GENERAL";"TAB4",#N/A,TRUE,"GENERAL";"TAB5",#N/A,TRUE,"GENERAL"}</definedName>
    <definedName name="______v9" localSheetId="9" hidden="1">{"TAB1",#N/A,TRUE,"GENERAL";"TAB2",#N/A,TRUE,"GENERAL";"TAB3",#N/A,TRUE,"GENERAL";"TAB4",#N/A,TRUE,"GENERAL";"TAB5",#N/A,TRUE,"GENERAL"}</definedName>
    <definedName name="______v9" hidden="1">{"TAB1",#N/A,TRUE,"GENERAL";"TAB2",#N/A,TRUE,"GENERAL";"TAB3",#N/A,TRUE,"GENERAL";"TAB4",#N/A,TRUE,"GENERAL";"TAB5",#N/A,TRUE,"GENERAL"}</definedName>
    <definedName name="______vfv4" localSheetId="4" hidden="1">{"via1",#N/A,TRUE,"general";"via2",#N/A,TRUE,"general";"via3",#N/A,TRUE,"general"}</definedName>
    <definedName name="______vfv4" localSheetId="9" hidden="1">{"via1",#N/A,TRUE,"general";"via2",#N/A,TRUE,"general";"via3",#N/A,TRUE,"general"}</definedName>
    <definedName name="______vfv4" hidden="1">{"via1",#N/A,TRUE,"general";"via2",#N/A,TRUE,"general";"via3",#N/A,TRUE,"general"}</definedName>
    <definedName name="______x1" localSheetId="4" hidden="1">{"TAB1",#N/A,TRUE,"GENERAL";"TAB2",#N/A,TRUE,"GENERAL";"TAB3",#N/A,TRUE,"GENERAL";"TAB4",#N/A,TRUE,"GENERAL";"TAB5",#N/A,TRUE,"GENERAL"}</definedName>
    <definedName name="______x1" localSheetId="9" hidden="1">{"TAB1",#N/A,TRUE,"GENERAL";"TAB2",#N/A,TRUE,"GENERAL";"TAB3",#N/A,TRUE,"GENERAL";"TAB4",#N/A,TRUE,"GENERAL";"TAB5",#N/A,TRUE,"GENERAL"}</definedName>
    <definedName name="______x1" hidden="1">{"TAB1",#N/A,TRUE,"GENERAL";"TAB2",#N/A,TRUE,"GENERAL";"TAB3",#N/A,TRUE,"GENERAL";"TAB4",#N/A,TRUE,"GENERAL";"TAB5",#N/A,TRUE,"GENERAL"}</definedName>
    <definedName name="______x2" localSheetId="4" hidden="1">{"via1",#N/A,TRUE,"general";"via2",#N/A,TRUE,"general";"via3",#N/A,TRUE,"general"}</definedName>
    <definedName name="______x2" localSheetId="9" hidden="1">{"via1",#N/A,TRUE,"general";"via2",#N/A,TRUE,"general";"via3",#N/A,TRUE,"general"}</definedName>
    <definedName name="______x2" hidden="1">{"via1",#N/A,TRUE,"general";"via2",#N/A,TRUE,"general";"via3",#N/A,TRUE,"general"}</definedName>
    <definedName name="______x3" localSheetId="4" hidden="1">{"via1",#N/A,TRUE,"general";"via2",#N/A,TRUE,"general";"via3",#N/A,TRUE,"general"}</definedName>
    <definedName name="______x3" localSheetId="9" hidden="1">{"via1",#N/A,TRUE,"general";"via2",#N/A,TRUE,"general";"via3",#N/A,TRUE,"general"}</definedName>
    <definedName name="______x3" hidden="1">{"via1",#N/A,TRUE,"general";"via2",#N/A,TRUE,"general";"via3",#N/A,TRUE,"general"}</definedName>
    <definedName name="______x4" localSheetId="4" hidden="1">{"via1",#N/A,TRUE,"general";"via2",#N/A,TRUE,"general";"via3",#N/A,TRUE,"general"}</definedName>
    <definedName name="______x4" localSheetId="9" hidden="1">{"via1",#N/A,TRUE,"general";"via2",#N/A,TRUE,"general";"via3",#N/A,TRUE,"general"}</definedName>
    <definedName name="______x4" hidden="1">{"via1",#N/A,TRUE,"general";"via2",#N/A,TRUE,"general";"via3",#N/A,TRUE,"general"}</definedName>
    <definedName name="______x5" localSheetId="4" hidden="1">{"TAB1",#N/A,TRUE,"GENERAL";"TAB2",#N/A,TRUE,"GENERAL";"TAB3",#N/A,TRUE,"GENERAL";"TAB4",#N/A,TRUE,"GENERAL";"TAB5",#N/A,TRUE,"GENERAL"}</definedName>
    <definedName name="______x5" localSheetId="9" hidden="1">{"TAB1",#N/A,TRUE,"GENERAL";"TAB2",#N/A,TRUE,"GENERAL";"TAB3",#N/A,TRUE,"GENERAL";"TAB4",#N/A,TRUE,"GENERAL";"TAB5",#N/A,TRUE,"GENERAL"}</definedName>
    <definedName name="______x5"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9" hidden="1">{"TAB1",#N/A,TRUE,"GENERAL";"TAB2",#N/A,TRUE,"GENERAL";"TAB3",#N/A,TRUE,"GENERAL";"TAB4",#N/A,TRUE,"GENERAL";"TAB5",#N/A,TRUE,"GENERAL"}</definedName>
    <definedName name="______x6"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9" hidden="1">{"TAB1",#N/A,TRUE,"GENERAL";"TAB2",#N/A,TRUE,"GENERAL";"TAB3",#N/A,TRUE,"GENERAL";"TAB4",#N/A,TRUE,"GENERAL";"TAB5",#N/A,TRUE,"GENERAL"}</definedName>
    <definedName name="______x7" hidden="1">{"TAB1",#N/A,TRUE,"GENERAL";"TAB2",#N/A,TRUE,"GENERAL";"TAB3",#N/A,TRUE,"GENERAL";"TAB4",#N/A,TRUE,"GENERAL";"TAB5",#N/A,TRUE,"GENERAL"}</definedName>
    <definedName name="______x8" localSheetId="4" hidden="1">{"via1",#N/A,TRUE,"general";"via2",#N/A,TRUE,"general";"via3",#N/A,TRUE,"general"}</definedName>
    <definedName name="______x8" localSheetId="9" hidden="1">{"via1",#N/A,TRUE,"general";"via2",#N/A,TRUE,"general";"via3",#N/A,TRUE,"general"}</definedName>
    <definedName name="______x8" hidden="1">{"via1",#N/A,TRUE,"general";"via2",#N/A,TRUE,"general";"via3",#N/A,TRUE,"general"}</definedName>
    <definedName name="______x9" localSheetId="4" hidden="1">{"TAB1",#N/A,TRUE,"GENERAL";"TAB2",#N/A,TRUE,"GENERAL";"TAB3",#N/A,TRUE,"GENERAL";"TAB4",#N/A,TRUE,"GENERAL";"TAB5",#N/A,TRUE,"GENERAL"}</definedName>
    <definedName name="______x9" localSheetId="9" hidden="1">{"TAB1",#N/A,TRUE,"GENERAL";"TAB2",#N/A,TRUE,"GENERAL";"TAB3",#N/A,TRUE,"GENERAL";"TAB4",#N/A,TRUE,"GENERAL";"TAB5",#N/A,TRUE,"GENERAL"}</definedName>
    <definedName name="______x9" hidden="1">{"TAB1",#N/A,TRUE,"GENERAL";"TAB2",#N/A,TRUE,"GENERAL";"TAB3",#N/A,TRUE,"GENERAL";"TAB4",#N/A,TRUE,"GENERAL";"TAB5",#N/A,TRUE,"GENERAL"}</definedName>
    <definedName name="______y2" localSheetId="4" hidden="1">{"TAB1",#N/A,TRUE,"GENERAL";"TAB2",#N/A,TRUE,"GENERAL";"TAB3",#N/A,TRUE,"GENERAL";"TAB4",#N/A,TRUE,"GENERAL";"TAB5",#N/A,TRUE,"GENERAL"}</definedName>
    <definedName name="______y2" localSheetId="9" hidden="1">{"TAB1",#N/A,TRUE,"GENERAL";"TAB2",#N/A,TRUE,"GENERAL";"TAB3",#N/A,TRUE,"GENERAL";"TAB4",#N/A,TRUE,"GENERAL";"TAB5",#N/A,TRUE,"GENERAL"}</definedName>
    <definedName name="______y2" hidden="1">{"TAB1",#N/A,TRUE,"GENERAL";"TAB2",#N/A,TRUE,"GENERAL";"TAB3",#N/A,TRUE,"GENERAL";"TAB4",#N/A,TRUE,"GENERAL";"TAB5",#N/A,TRUE,"GENERAL"}</definedName>
    <definedName name="______y3" localSheetId="4" hidden="1">{"via1",#N/A,TRUE,"general";"via2",#N/A,TRUE,"general";"via3",#N/A,TRUE,"general"}</definedName>
    <definedName name="______y3" localSheetId="9" hidden="1">{"via1",#N/A,TRUE,"general";"via2",#N/A,TRUE,"general";"via3",#N/A,TRUE,"general"}</definedName>
    <definedName name="______y3" hidden="1">{"via1",#N/A,TRUE,"general";"via2",#N/A,TRUE,"general";"via3",#N/A,TRUE,"general"}</definedName>
    <definedName name="______y4" localSheetId="4" hidden="1">{"via1",#N/A,TRUE,"general";"via2",#N/A,TRUE,"general";"via3",#N/A,TRUE,"general"}</definedName>
    <definedName name="______y4" localSheetId="9" hidden="1">{"via1",#N/A,TRUE,"general";"via2",#N/A,TRUE,"general";"via3",#N/A,TRUE,"general"}</definedName>
    <definedName name="______y4" hidden="1">{"via1",#N/A,TRUE,"general";"via2",#N/A,TRUE,"general";"via3",#N/A,TRUE,"general"}</definedName>
    <definedName name="______y5" localSheetId="4" hidden="1">{"TAB1",#N/A,TRUE,"GENERAL";"TAB2",#N/A,TRUE,"GENERAL";"TAB3",#N/A,TRUE,"GENERAL";"TAB4",#N/A,TRUE,"GENERAL";"TAB5",#N/A,TRUE,"GENERAL"}</definedName>
    <definedName name="______y5" localSheetId="9" hidden="1">{"TAB1",#N/A,TRUE,"GENERAL";"TAB2",#N/A,TRUE,"GENERAL";"TAB3",#N/A,TRUE,"GENERAL";"TAB4",#N/A,TRUE,"GENERAL";"TAB5",#N/A,TRUE,"GENERAL"}</definedName>
    <definedName name="______y5" hidden="1">{"TAB1",#N/A,TRUE,"GENERAL";"TAB2",#N/A,TRUE,"GENERAL";"TAB3",#N/A,TRUE,"GENERAL";"TAB4",#N/A,TRUE,"GENERAL";"TAB5",#N/A,TRUE,"GENERAL"}</definedName>
    <definedName name="______y6" localSheetId="4" hidden="1">{"via1",#N/A,TRUE,"general";"via2",#N/A,TRUE,"general";"via3",#N/A,TRUE,"general"}</definedName>
    <definedName name="______y6" localSheetId="9" hidden="1">{"via1",#N/A,TRUE,"general";"via2",#N/A,TRUE,"general";"via3",#N/A,TRUE,"general"}</definedName>
    <definedName name="______y6" hidden="1">{"via1",#N/A,TRUE,"general";"via2",#N/A,TRUE,"general";"via3",#N/A,TRUE,"general"}</definedName>
    <definedName name="______y7" localSheetId="4" hidden="1">{"via1",#N/A,TRUE,"general";"via2",#N/A,TRUE,"general";"via3",#N/A,TRUE,"general"}</definedName>
    <definedName name="______y7" localSheetId="9" hidden="1">{"via1",#N/A,TRUE,"general";"via2",#N/A,TRUE,"general";"via3",#N/A,TRUE,"general"}</definedName>
    <definedName name="______y7" hidden="1">{"via1",#N/A,TRUE,"general";"via2",#N/A,TRUE,"general";"via3",#N/A,TRUE,"general"}</definedName>
    <definedName name="______y8" localSheetId="4" hidden="1">{"via1",#N/A,TRUE,"general";"via2",#N/A,TRUE,"general";"via3",#N/A,TRUE,"general"}</definedName>
    <definedName name="______y8" localSheetId="9" hidden="1">{"via1",#N/A,TRUE,"general";"via2",#N/A,TRUE,"general";"via3",#N/A,TRUE,"general"}</definedName>
    <definedName name="______y8" hidden="1">{"via1",#N/A,TRUE,"general";"via2",#N/A,TRUE,"general";"via3",#N/A,TRUE,"general"}</definedName>
    <definedName name="______y9" localSheetId="4" hidden="1">{"TAB1",#N/A,TRUE,"GENERAL";"TAB2",#N/A,TRUE,"GENERAL";"TAB3",#N/A,TRUE,"GENERAL";"TAB4",#N/A,TRUE,"GENERAL";"TAB5",#N/A,TRUE,"GENERAL"}</definedName>
    <definedName name="______y9" localSheetId="9" hidden="1">{"TAB1",#N/A,TRUE,"GENERAL";"TAB2",#N/A,TRUE,"GENERAL";"TAB3",#N/A,TRUE,"GENERAL";"TAB4",#N/A,TRUE,"GENERAL";"TAB5",#N/A,TRUE,"GENERAL"}</definedName>
    <definedName name="______y9"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9" hidden="1">{"TAB1",#N/A,TRUE,"GENERAL";"TAB2",#N/A,TRUE,"GENERAL";"TAB3",#N/A,TRUE,"GENERAL";"TAB4",#N/A,TRUE,"GENERAL";"TAB5",#N/A,TRUE,"GENERAL"}</definedName>
    <definedName name="______z1" hidden="1">{"TAB1",#N/A,TRUE,"GENERAL";"TAB2",#N/A,TRUE,"GENERAL";"TAB3",#N/A,TRUE,"GENERAL";"TAB4",#N/A,TRUE,"GENERAL";"TAB5",#N/A,TRUE,"GENERAL"}</definedName>
    <definedName name="______z2" localSheetId="4" hidden="1">{"via1",#N/A,TRUE,"general";"via2",#N/A,TRUE,"general";"via3",#N/A,TRUE,"general"}</definedName>
    <definedName name="______z2" localSheetId="9" hidden="1">{"via1",#N/A,TRUE,"general";"via2",#N/A,TRUE,"general";"via3",#N/A,TRUE,"general"}</definedName>
    <definedName name="______z2" hidden="1">{"via1",#N/A,TRUE,"general";"via2",#N/A,TRUE,"general";"via3",#N/A,TRUE,"general"}</definedName>
    <definedName name="______z3" localSheetId="4" hidden="1">{"via1",#N/A,TRUE,"general";"via2",#N/A,TRUE,"general";"via3",#N/A,TRUE,"general"}</definedName>
    <definedName name="______z3" localSheetId="9" hidden="1">{"via1",#N/A,TRUE,"general";"via2",#N/A,TRUE,"general";"via3",#N/A,TRUE,"general"}</definedName>
    <definedName name="______z3" hidden="1">{"via1",#N/A,TRUE,"general";"via2",#N/A,TRUE,"general";"via3",#N/A,TRUE,"general"}</definedName>
    <definedName name="______z4" localSheetId="4" hidden="1">{"TAB1",#N/A,TRUE,"GENERAL";"TAB2",#N/A,TRUE,"GENERAL";"TAB3",#N/A,TRUE,"GENERAL";"TAB4",#N/A,TRUE,"GENERAL";"TAB5",#N/A,TRUE,"GENERAL"}</definedName>
    <definedName name="______z4" localSheetId="9" hidden="1">{"TAB1",#N/A,TRUE,"GENERAL";"TAB2",#N/A,TRUE,"GENERAL";"TAB3",#N/A,TRUE,"GENERAL";"TAB4",#N/A,TRUE,"GENERAL";"TAB5",#N/A,TRUE,"GENERAL"}</definedName>
    <definedName name="______z4" hidden="1">{"TAB1",#N/A,TRUE,"GENERAL";"TAB2",#N/A,TRUE,"GENERAL";"TAB3",#N/A,TRUE,"GENERAL";"TAB4",#N/A,TRUE,"GENERAL";"TAB5",#N/A,TRUE,"GENERAL"}</definedName>
    <definedName name="______z5" localSheetId="4" hidden="1">{"via1",#N/A,TRUE,"general";"via2",#N/A,TRUE,"general";"via3",#N/A,TRUE,"general"}</definedName>
    <definedName name="______z5" localSheetId="9" hidden="1">{"via1",#N/A,TRUE,"general";"via2",#N/A,TRUE,"general";"via3",#N/A,TRUE,"general"}</definedName>
    <definedName name="______z5" hidden="1">{"via1",#N/A,TRUE,"general";"via2",#N/A,TRUE,"general";"via3",#N/A,TRUE,"general"}</definedName>
    <definedName name="______z6" localSheetId="4" hidden="1">{"TAB1",#N/A,TRUE,"GENERAL";"TAB2",#N/A,TRUE,"GENERAL";"TAB3",#N/A,TRUE,"GENERAL";"TAB4",#N/A,TRUE,"GENERAL";"TAB5",#N/A,TRUE,"GENERAL"}</definedName>
    <definedName name="______z6" localSheetId="9" hidden="1">{"TAB1",#N/A,TRUE,"GENERAL";"TAB2",#N/A,TRUE,"GENERAL";"TAB3",#N/A,TRUE,"GENERAL";"TAB4",#N/A,TRUE,"GENERAL";"TAB5",#N/A,TRUE,"GENERAL"}</definedName>
    <definedName name="______z6" hidden="1">{"TAB1",#N/A,TRUE,"GENERAL";"TAB2",#N/A,TRUE,"GENERAL";"TAB3",#N/A,TRUE,"GENERAL";"TAB4",#N/A,TRUE,"GENERAL";"TAB5",#N/A,TRUE,"GENERAL"}</definedName>
    <definedName name="_____a1" localSheetId="4" hidden="1">{"TAB1",#N/A,TRUE,"GENERAL";"TAB2",#N/A,TRUE,"GENERAL";"TAB3",#N/A,TRUE,"GENERAL";"TAB4",#N/A,TRUE,"GENERAL";"TAB5",#N/A,TRUE,"GENERAL"}</definedName>
    <definedName name="_____a1" localSheetId="9" hidden="1">{"TAB1",#N/A,TRUE,"GENERAL";"TAB2",#N/A,TRUE,"GENERAL";"TAB3",#N/A,TRUE,"GENERAL";"TAB4",#N/A,TRUE,"GENERAL";"TAB5",#N/A,TRUE,"GENERAL"}</definedName>
    <definedName name="_____a1" hidden="1">{"TAB1",#N/A,TRUE,"GENERAL";"TAB2",#N/A,TRUE,"GENERAL";"TAB3",#N/A,TRUE,"GENERAL";"TAB4",#N/A,TRUE,"GENERAL";"TAB5",#N/A,TRUE,"GENERAL"}</definedName>
    <definedName name="_____a3" localSheetId="4" hidden="1">{"TAB1",#N/A,TRUE,"GENERAL";"TAB2",#N/A,TRUE,"GENERAL";"TAB3",#N/A,TRUE,"GENERAL";"TAB4",#N/A,TRUE,"GENERAL";"TAB5",#N/A,TRUE,"GENERAL"}</definedName>
    <definedName name="_____a3" localSheetId="9" hidden="1">{"TAB1",#N/A,TRUE,"GENERAL";"TAB2",#N/A,TRUE,"GENERAL";"TAB3",#N/A,TRUE,"GENERAL";"TAB4",#N/A,TRUE,"GENERAL";"TAB5",#N/A,TRUE,"GENERAL"}</definedName>
    <definedName name="_____a3" hidden="1">{"TAB1",#N/A,TRUE,"GENERAL";"TAB2",#N/A,TRUE,"GENERAL";"TAB3",#N/A,TRUE,"GENERAL";"TAB4",#N/A,TRUE,"GENERAL";"TAB5",#N/A,TRUE,"GENERAL"}</definedName>
    <definedName name="_____a4" localSheetId="4" hidden="1">{"via1",#N/A,TRUE,"general";"via2",#N/A,TRUE,"general";"via3",#N/A,TRUE,"general"}</definedName>
    <definedName name="_____a4" localSheetId="9" hidden="1">{"via1",#N/A,TRUE,"general";"via2",#N/A,TRUE,"general";"via3",#N/A,TRUE,"general"}</definedName>
    <definedName name="_____a4" hidden="1">{"via1",#N/A,TRUE,"general";"via2",#N/A,TRUE,"general";"via3",#N/A,TRUE,"general"}</definedName>
    <definedName name="_____a5" localSheetId="4" hidden="1">{"TAB1",#N/A,TRUE,"GENERAL";"TAB2",#N/A,TRUE,"GENERAL";"TAB3",#N/A,TRUE,"GENERAL";"TAB4",#N/A,TRUE,"GENERAL";"TAB5",#N/A,TRUE,"GENERAL"}</definedName>
    <definedName name="_____a5" localSheetId="9" hidden="1">{"TAB1",#N/A,TRUE,"GENERAL";"TAB2",#N/A,TRUE,"GENERAL";"TAB3",#N/A,TRUE,"GENERAL";"TAB4",#N/A,TRUE,"GENERAL";"TAB5",#N/A,TRUE,"GENERAL"}</definedName>
    <definedName name="_____a5"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9" hidden="1">{"TAB1",#N/A,TRUE,"GENERAL";"TAB2",#N/A,TRUE,"GENERAL";"TAB3",#N/A,TRUE,"GENERAL";"TAB4",#N/A,TRUE,"GENERAL";"TAB5",#N/A,TRUE,"GENERAL"}</definedName>
    <definedName name="_____a6" hidden="1">{"TAB1",#N/A,TRUE,"GENERAL";"TAB2",#N/A,TRUE,"GENERAL";"TAB3",#N/A,TRUE,"GENERAL";"TAB4",#N/A,TRUE,"GENERAL";"TAB5",#N/A,TRUE,"GENERAL"}</definedName>
    <definedName name="_____aiu2">[4]AIU!$J$105</definedName>
    <definedName name="_____b2" localSheetId="4" hidden="1">{"TAB1",#N/A,TRUE,"GENERAL";"TAB2",#N/A,TRUE,"GENERAL";"TAB3",#N/A,TRUE,"GENERAL";"TAB4",#N/A,TRUE,"GENERAL";"TAB5",#N/A,TRUE,"GENERAL"}</definedName>
    <definedName name="_____b2" localSheetId="9" hidden="1">{"TAB1",#N/A,TRUE,"GENERAL";"TAB2",#N/A,TRUE,"GENERAL";"TAB3",#N/A,TRUE,"GENERAL";"TAB4",#N/A,TRUE,"GENERAL";"TAB5",#N/A,TRUE,"GENERAL"}</definedName>
    <definedName name="_____b2"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9" hidden="1">{"TAB1",#N/A,TRUE,"GENERAL";"TAB2",#N/A,TRUE,"GENERAL";"TAB3",#N/A,TRUE,"GENERAL";"TAB4",#N/A,TRUE,"GENERAL";"TAB5",#N/A,TRUE,"GENERAL"}</definedName>
    <definedName name="_____b3"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9" hidden="1">{"TAB1",#N/A,TRUE,"GENERAL";"TAB2",#N/A,TRUE,"GENERAL";"TAB3",#N/A,TRUE,"GENERAL";"TAB4",#N/A,TRUE,"GENERAL";"TAB5",#N/A,TRUE,"GENERAL"}</definedName>
    <definedName name="_____b4"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9" hidden="1">{"TAB1",#N/A,TRUE,"GENERAL";"TAB2",#N/A,TRUE,"GENERAL";"TAB3",#N/A,TRUE,"GENERAL";"TAB4",#N/A,TRUE,"GENERAL";"TAB5",#N/A,TRUE,"GENERAL"}</definedName>
    <definedName name="_____b5"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9" hidden="1">{"TAB1",#N/A,TRUE,"GENERAL";"TAB2",#N/A,TRUE,"GENERAL";"TAB3",#N/A,TRUE,"GENERAL";"TAB4",#N/A,TRUE,"GENERAL";"TAB5",#N/A,TRUE,"GENERAL"}</definedName>
    <definedName name="_____b6" hidden="1">{"TAB1",#N/A,TRUE,"GENERAL";"TAB2",#N/A,TRUE,"GENERAL";"TAB3",#N/A,TRUE,"GENERAL";"TAB4",#N/A,TRUE,"GENERAL";"TAB5",#N/A,TRUE,"GENERAL"}</definedName>
    <definedName name="_____b7" localSheetId="4" hidden="1">{"via1",#N/A,TRUE,"general";"via2",#N/A,TRUE,"general";"via3",#N/A,TRUE,"general"}</definedName>
    <definedName name="_____b7" localSheetId="9" hidden="1">{"via1",#N/A,TRUE,"general";"via2",#N/A,TRUE,"general";"via3",#N/A,TRUE,"general"}</definedName>
    <definedName name="_____b7" hidden="1">{"via1",#N/A,TRUE,"general";"via2",#N/A,TRUE,"general";"via3",#N/A,TRUE,"general"}</definedName>
    <definedName name="_____b8" localSheetId="4" hidden="1">{"via1",#N/A,TRUE,"general";"via2",#N/A,TRUE,"general";"via3",#N/A,TRUE,"general"}</definedName>
    <definedName name="_____b8" localSheetId="9" hidden="1">{"via1",#N/A,TRUE,"general";"via2",#N/A,TRUE,"general";"via3",#N/A,TRUE,"general"}</definedName>
    <definedName name="_____b8" hidden="1">{"via1",#N/A,TRUE,"general";"via2",#N/A,TRUE,"general";"via3",#N/A,TRUE,"general"}</definedName>
    <definedName name="_____bb9" localSheetId="4" hidden="1">{"TAB1",#N/A,TRUE,"GENERAL";"TAB2",#N/A,TRUE,"GENERAL";"TAB3",#N/A,TRUE,"GENERAL";"TAB4",#N/A,TRUE,"GENERAL";"TAB5",#N/A,TRUE,"GENERAL"}</definedName>
    <definedName name="_____bb9" localSheetId="9" hidden="1">{"TAB1",#N/A,TRUE,"GENERAL";"TAB2",#N/A,TRUE,"GENERAL";"TAB3",#N/A,TRUE,"GENERAL";"TAB4",#N/A,TRUE,"GENERAL";"TAB5",#N/A,TRUE,"GENERAL"}</definedName>
    <definedName name="_____bb9"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9" hidden="1">{"TAB1",#N/A,TRUE,"GENERAL";"TAB2",#N/A,TRUE,"GENERAL";"TAB3",#N/A,TRUE,"GENERAL";"TAB4",#N/A,TRUE,"GENERAL";"TAB5",#N/A,TRUE,"GENERAL"}</definedName>
    <definedName name="_____bgb5" hidden="1">{"TAB1",#N/A,TRUE,"GENERAL";"TAB2",#N/A,TRUE,"GENERAL";"TAB3",#N/A,TRUE,"GENERAL";"TAB4",#N/A,TRUE,"GENERAL";"TAB5",#N/A,TRUE,"GENERAL"}</definedName>
    <definedName name="_____COD1" localSheetId="4">#REF!</definedName>
    <definedName name="_____COD1">#REF!</definedName>
    <definedName name="_____EST1" localSheetId="4">#REF!</definedName>
    <definedName name="_____EST1">#REF!</definedName>
    <definedName name="_____EST10" localSheetId="4">#REF!</definedName>
    <definedName name="_____EST10">#REF!</definedName>
    <definedName name="_____EST11" localSheetId="4">#REF!</definedName>
    <definedName name="_____EST11">#REF!</definedName>
    <definedName name="_____EST12" localSheetId="4">#REF!</definedName>
    <definedName name="_____EST12">#REF!</definedName>
    <definedName name="_____EST13" localSheetId="4">#REF!</definedName>
    <definedName name="_____EST13">#REF!</definedName>
    <definedName name="_____EST14" localSheetId="4">#REF!</definedName>
    <definedName name="_____EST14">#REF!</definedName>
    <definedName name="_____EST15" localSheetId="4">#REF!</definedName>
    <definedName name="_____EST15">#REF!</definedName>
    <definedName name="_____EST16" localSheetId="4">#REF!</definedName>
    <definedName name="_____EST16">#REF!</definedName>
    <definedName name="_____EST17" localSheetId="4">#REF!</definedName>
    <definedName name="_____EST17">#REF!</definedName>
    <definedName name="_____EST18" localSheetId="4">#REF!</definedName>
    <definedName name="_____EST18">#REF!</definedName>
    <definedName name="_____EST19" localSheetId="4">#REF!</definedName>
    <definedName name="_____EST19">#REF!</definedName>
    <definedName name="_____EST2" localSheetId="4">#REF!</definedName>
    <definedName name="_____EST2">#REF!</definedName>
    <definedName name="_____EST3" localSheetId="4">#REF!</definedName>
    <definedName name="_____EST3">#REF!</definedName>
    <definedName name="_____EST4" localSheetId="4">#REF!</definedName>
    <definedName name="_____EST4">#REF!</definedName>
    <definedName name="_____EST5" localSheetId="4">#REF!</definedName>
    <definedName name="_____EST5">#REF!</definedName>
    <definedName name="_____EST6" localSheetId="4">#REF!</definedName>
    <definedName name="_____EST6">#REF!</definedName>
    <definedName name="_____EST7" localSheetId="4">#REF!</definedName>
    <definedName name="_____EST7">#REF!</definedName>
    <definedName name="_____EST8" localSheetId="4">#REF!</definedName>
    <definedName name="_____EST8">#REF!</definedName>
    <definedName name="_____EST9" localSheetId="4">#REF!</definedName>
    <definedName name="_____EST9">#REF!</definedName>
    <definedName name="_____EXC1" localSheetId="4">#REF!</definedName>
    <definedName name="_____EXC1">#REF!</definedName>
    <definedName name="_____EXC10" localSheetId="4">#REF!</definedName>
    <definedName name="_____EXC10">#REF!</definedName>
    <definedName name="_____EXC11" localSheetId="4">#REF!</definedName>
    <definedName name="_____EXC11">#REF!</definedName>
    <definedName name="_____EXC12" localSheetId="4">#REF!</definedName>
    <definedName name="_____EXC12">#REF!</definedName>
    <definedName name="_____EXC2" localSheetId="4">#REF!</definedName>
    <definedName name="_____EXC2">#REF!</definedName>
    <definedName name="_____EXC3" localSheetId="4">#REF!</definedName>
    <definedName name="_____EXC3">#REF!</definedName>
    <definedName name="_____EXC4" localSheetId="4">#REF!</definedName>
    <definedName name="_____EXC4">#REF!</definedName>
    <definedName name="_____EXC5" localSheetId="4">#REF!</definedName>
    <definedName name="_____EXC5">#REF!</definedName>
    <definedName name="_____EXC6" localSheetId="4">#REF!</definedName>
    <definedName name="_____EXC6">#REF!</definedName>
    <definedName name="_____EXC7" localSheetId="4">#REF!</definedName>
    <definedName name="_____EXC7">#REF!</definedName>
    <definedName name="_____EXC8" localSheetId="4">#REF!</definedName>
    <definedName name="_____EXC8">#REF!</definedName>
    <definedName name="_____EXC9" localSheetId="4">#REF!</definedName>
    <definedName name="_____EXC9">#REF!</definedName>
    <definedName name="_____g2" localSheetId="4" hidden="1">{"TAB1",#N/A,TRUE,"GENERAL";"TAB2",#N/A,TRUE,"GENERAL";"TAB3",#N/A,TRUE,"GENERAL";"TAB4",#N/A,TRUE,"GENERAL";"TAB5",#N/A,TRUE,"GENERAL"}</definedName>
    <definedName name="_____g2" localSheetId="9" hidden="1">{"TAB1",#N/A,TRUE,"GENERAL";"TAB2",#N/A,TRUE,"GENERAL";"TAB3",#N/A,TRUE,"GENERAL";"TAB4",#N/A,TRUE,"GENERAL";"TAB5",#N/A,TRUE,"GENERAL"}</definedName>
    <definedName name="_____g2" hidden="1">{"TAB1",#N/A,TRUE,"GENERAL";"TAB2",#N/A,TRUE,"GENERAL";"TAB3",#N/A,TRUE,"GENERAL";"TAB4",#N/A,TRUE,"GENERAL";"TAB5",#N/A,TRUE,"GENERAL"}</definedName>
    <definedName name="_____g3" localSheetId="4" hidden="1">{"via1",#N/A,TRUE,"general";"via2",#N/A,TRUE,"general";"via3",#N/A,TRUE,"general"}</definedName>
    <definedName name="_____g3" localSheetId="9" hidden="1">{"via1",#N/A,TRUE,"general";"via2",#N/A,TRUE,"general";"via3",#N/A,TRUE,"general"}</definedName>
    <definedName name="_____g3" hidden="1">{"via1",#N/A,TRUE,"general";"via2",#N/A,TRUE,"general";"via3",#N/A,TRUE,"general"}</definedName>
    <definedName name="_____g4" localSheetId="4" hidden="1">{"via1",#N/A,TRUE,"general";"via2",#N/A,TRUE,"general";"via3",#N/A,TRUE,"general"}</definedName>
    <definedName name="_____g4" localSheetId="9" hidden="1">{"via1",#N/A,TRUE,"general";"via2",#N/A,TRUE,"general";"via3",#N/A,TRUE,"general"}</definedName>
    <definedName name="_____g4" hidden="1">{"via1",#N/A,TRUE,"general";"via2",#N/A,TRUE,"general";"via3",#N/A,TRUE,"general"}</definedName>
    <definedName name="_____g5" localSheetId="4" hidden="1">{"via1",#N/A,TRUE,"general";"via2",#N/A,TRUE,"general";"via3",#N/A,TRUE,"general"}</definedName>
    <definedName name="_____g5" localSheetId="9" hidden="1">{"via1",#N/A,TRUE,"general";"via2",#N/A,TRUE,"general";"via3",#N/A,TRUE,"general"}</definedName>
    <definedName name="_____g5" hidden="1">{"via1",#N/A,TRUE,"general";"via2",#N/A,TRUE,"general";"via3",#N/A,TRUE,"general"}</definedName>
    <definedName name="_____g6" localSheetId="4" hidden="1">{"via1",#N/A,TRUE,"general";"via2",#N/A,TRUE,"general";"via3",#N/A,TRUE,"general"}</definedName>
    <definedName name="_____g6" localSheetId="9" hidden="1">{"via1",#N/A,TRUE,"general";"via2",#N/A,TRUE,"general";"via3",#N/A,TRUE,"general"}</definedName>
    <definedName name="_____g6" hidden="1">{"via1",#N/A,TRUE,"general";"via2",#N/A,TRUE,"general";"via3",#N/A,TRUE,"general"}</definedName>
    <definedName name="_____g7" localSheetId="4" hidden="1">{"TAB1",#N/A,TRUE,"GENERAL";"TAB2",#N/A,TRUE,"GENERAL";"TAB3",#N/A,TRUE,"GENERAL";"TAB4",#N/A,TRUE,"GENERAL";"TAB5",#N/A,TRUE,"GENERAL"}</definedName>
    <definedName name="_____g7" localSheetId="9" hidden="1">{"TAB1",#N/A,TRUE,"GENERAL";"TAB2",#N/A,TRUE,"GENERAL";"TAB3",#N/A,TRUE,"GENERAL";"TAB4",#N/A,TRUE,"GENERAL";"TAB5",#N/A,TRUE,"GENERAL"}</definedName>
    <definedName name="_____g7"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9" hidden="1">{"TAB1",#N/A,TRUE,"GENERAL";"TAB2",#N/A,TRUE,"GENERAL";"TAB3",#N/A,TRUE,"GENERAL";"TAB4",#N/A,TRUE,"GENERAL";"TAB5",#N/A,TRUE,"GENERAL"}</definedName>
    <definedName name="_____GR1" hidden="1">{"TAB1",#N/A,TRUE,"GENERAL";"TAB2",#N/A,TRUE,"GENERAL";"TAB3",#N/A,TRUE,"GENERAL";"TAB4",#N/A,TRUE,"GENERAL";"TAB5",#N/A,TRUE,"GENERAL"}</definedName>
    <definedName name="_____gtr4" localSheetId="4" hidden="1">{"via1",#N/A,TRUE,"general";"via2",#N/A,TRUE,"general";"via3",#N/A,TRUE,"general"}</definedName>
    <definedName name="_____gtr4" localSheetId="9" hidden="1">{"via1",#N/A,TRUE,"general";"via2",#N/A,TRUE,"general";"via3",#N/A,TRUE,"general"}</definedName>
    <definedName name="_____gtr4" hidden="1">{"via1",#N/A,TRUE,"general";"via2",#N/A,TRUE,"general";"via3",#N/A,TRUE,"general"}</definedName>
    <definedName name="_____h2" localSheetId="4" hidden="1">{"via1",#N/A,TRUE,"general";"via2",#N/A,TRUE,"general";"via3",#N/A,TRUE,"general"}</definedName>
    <definedName name="_____h2" localSheetId="9" hidden="1">{"via1",#N/A,TRUE,"general";"via2",#N/A,TRUE,"general";"via3",#N/A,TRUE,"general"}</definedName>
    <definedName name="_____h2" hidden="1">{"via1",#N/A,TRUE,"general";"via2",#N/A,TRUE,"general";"via3",#N/A,TRUE,"general"}</definedName>
    <definedName name="_____h3" localSheetId="4" hidden="1">{"via1",#N/A,TRUE,"general";"via2",#N/A,TRUE,"general";"via3",#N/A,TRUE,"general"}</definedName>
    <definedName name="_____h3" localSheetId="9" hidden="1">{"via1",#N/A,TRUE,"general";"via2",#N/A,TRUE,"general";"via3",#N/A,TRUE,"general"}</definedName>
    <definedName name="_____h3" hidden="1">{"via1",#N/A,TRUE,"general";"via2",#N/A,TRUE,"general";"via3",#N/A,TRUE,"general"}</definedName>
    <definedName name="_____h4" localSheetId="4" hidden="1">{"TAB1",#N/A,TRUE,"GENERAL";"TAB2",#N/A,TRUE,"GENERAL";"TAB3",#N/A,TRUE,"GENERAL";"TAB4",#N/A,TRUE,"GENERAL";"TAB5",#N/A,TRUE,"GENERAL"}</definedName>
    <definedName name="_____h4" localSheetId="9" hidden="1">{"TAB1",#N/A,TRUE,"GENERAL";"TAB2",#N/A,TRUE,"GENERAL";"TAB3",#N/A,TRUE,"GENERAL";"TAB4",#N/A,TRUE,"GENERAL";"TAB5",#N/A,TRUE,"GENERAL"}</definedName>
    <definedName name="_____h4"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9" hidden="1">{"TAB1",#N/A,TRUE,"GENERAL";"TAB2",#N/A,TRUE,"GENERAL";"TAB3",#N/A,TRUE,"GENERAL";"TAB4",#N/A,TRUE,"GENERAL";"TAB5",#N/A,TRUE,"GENERAL"}</definedName>
    <definedName name="_____h5" hidden="1">{"TAB1",#N/A,TRUE,"GENERAL";"TAB2",#N/A,TRUE,"GENERAL";"TAB3",#N/A,TRUE,"GENERAL";"TAB4",#N/A,TRUE,"GENERAL";"TAB5",#N/A,TRUE,"GENERAL"}</definedName>
    <definedName name="_____h6" localSheetId="4" hidden="1">{"via1",#N/A,TRUE,"general";"via2",#N/A,TRUE,"general";"via3",#N/A,TRUE,"general"}</definedName>
    <definedName name="_____h6" localSheetId="9" hidden="1">{"via1",#N/A,TRUE,"general";"via2",#N/A,TRUE,"general";"via3",#N/A,TRUE,"general"}</definedName>
    <definedName name="_____h6" hidden="1">{"via1",#N/A,TRUE,"general";"via2",#N/A,TRUE,"general";"via3",#N/A,TRUE,"general"}</definedName>
    <definedName name="_____h7" localSheetId="4" hidden="1">{"TAB1",#N/A,TRUE,"GENERAL";"TAB2",#N/A,TRUE,"GENERAL";"TAB3",#N/A,TRUE,"GENERAL";"TAB4",#N/A,TRUE,"GENERAL";"TAB5",#N/A,TRUE,"GENERAL"}</definedName>
    <definedName name="_____h7" localSheetId="9" hidden="1">{"TAB1",#N/A,TRUE,"GENERAL";"TAB2",#N/A,TRUE,"GENERAL";"TAB3",#N/A,TRUE,"GENERAL";"TAB4",#N/A,TRUE,"GENERAL";"TAB5",#N/A,TRUE,"GENERAL"}</definedName>
    <definedName name="_____h7" hidden="1">{"TAB1",#N/A,TRUE,"GENERAL";"TAB2",#N/A,TRUE,"GENERAL";"TAB3",#N/A,TRUE,"GENERAL";"TAB4",#N/A,TRUE,"GENERAL";"TAB5",#N/A,TRUE,"GENERAL"}</definedName>
    <definedName name="_____h8" localSheetId="4" hidden="1">{"via1",#N/A,TRUE,"general";"via2",#N/A,TRUE,"general";"via3",#N/A,TRUE,"general"}</definedName>
    <definedName name="_____h8" localSheetId="9" hidden="1">{"via1",#N/A,TRUE,"general";"via2",#N/A,TRUE,"general";"via3",#N/A,TRUE,"general"}</definedName>
    <definedName name="_____h8" hidden="1">{"via1",#N/A,TRUE,"general";"via2",#N/A,TRUE,"general";"via3",#N/A,TRUE,"general"}</definedName>
    <definedName name="_____hfh7" localSheetId="4" hidden="1">{"via1",#N/A,TRUE,"general";"via2",#N/A,TRUE,"general";"via3",#N/A,TRUE,"general"}</definedName>
    <definedName name="_____hfh7" localSheetId="9" hidden="1">{"via1",#N/A,TRUE,"general";"via2",#N/A,TRUE,"general";"via3",#N/A,TRUE,"general"}</definedName>
    <definedName name="_____hfh7" hidden="1">{"via1",#N/A,TRUE,"general";"via2",#N/A,TRUE,"general";"via3",#N/A,TRUE,"general"}</definedName>
    <definedName name="_____i4" localSheetId="4" hidden="1">{"via1",#N/A,TRUE,"general";"via2",#N/A,TRUE,"general";"via3",#N/A,TRUE,"general"}</definedName>
    <definedName name="_____i4" localSheetId="9" hidden="1">{"via1",#N/A,TRUE,"general";"via2",#N/A,TRUE,"general";"via3",#N/A,TRUE,"general"}</definedName>
    <definedName name="_____i4" hidden="1">{"via1",#N/A,TRUE,"general";"via2",#N/A,TRUE,"general";"via3",#N/A,TRUE,"general"}</definedName>
    <definedName name="_____i5" localSheetId="4" hidden="1">{"TAB1",#N/A,TRUE,"GENERAL";"TAB2",#N/A,TRUE,"GENERAL";"TAB3",#N/A,TRUE,"GENERAL";"TAB4",#N/A,TRUE,"GENERAL";"TAB5",#N/A,TRUE,"GENERAL"}</definedName>
    <definedName name="_____i5" localSheetId="9" hidden="1">{"TAB1",#N/A,TRUE,"GENERAL";"TAB2",#N/A,TRUE,"GENERAL";"TAB3",#N/A,TRUE,"GENERAL";"TAB4",#N/A,TRUE,"GENERAL";"TAB5",#N/A,TRUE,"GENERAL"}</definedName>
    <definedName name="_____i5"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9" hidden="1">{"TAB1",#N/A,TRUE,"GENERAL";"TAB2",#N/A,TRUE,"GENERAL";"TAB3",#N/A,TRUE,"GENERAL";"TAB4",#N/A,TRUE,"GENERAL";"TAB5",#N/A,TRUE,"GENERAL"}</definedName>
    <definedName name="_____i6" hidden="1">{"TAB1",#N/A,TRUE,"GENERAL";"TAB2",#N/A,TRUE,"GENERAL";"TAB3",#N/A,TRUE,"GENERAL";"TAB4",#N/A,TRUE,"GENERAL";"TAB5",#N/A,TRUE,"GENERAL"}</definedName>
    <definedName name="_____i7" localSheetId="4" hidden="1">{"via1",#N/A,TRUE,"general";"via2",#N/A,TRUE,"general";"via3",#N/A,TRUE,"general"}</definedName>
    <definedName name="_____i7" localSheetId="9" hidden="1">{"via1",#N/A,TRUE,"general";"via2",#N/A,TRUE,"general";"via3",#N/A,TRUE,"general"}</definedName>
    <definedName name="_____i7" hidden="1">{"via1",#N/A,TRUE,"general";"via2",#N/A,TRUE,"general";"via3",#N/A,TRUE,"general"}</definedName>
    <definedName name="_____i77" localSheetId="4" hidden="1">{"TAB1",#N/A,TRUE,"GENERAL";"TAB2",#N/A,TRUE,"GENERAL";"TAB3",#N/A,TRUE,"GENERAL";"TAB4",#N/A,TRUE,"GENERAL";"TAB5",#N/A,TRUE,"GENERAL"}</definedName>
    <definedName name="_____i77" localSheetId="9" hidden="1">{"TAB1",#N/A,TRUE,"GENERAL";"TAB2",#N/A,TRUE,"GENERAL";"TAB3",#N/A,TRUE,"GENERAL";"TAB4",#N/A,TRUE,"GENERAL";"TAB5",#N/A,TRUE,"GENERAL"}</definedName>
    <definedName name="_____i77" hidden="1">{"TAB1",#N/A,TRUE,"GENERAL";"TAB2",#N/A,TRUE,"GENERAL";"TAB3",#N/A,TRUE,"GENERAL";"TAB4",#N/A,TRUE,"GENERAL";"TAB5",#N/A,TRUE,"GENERAL"}</definedName>
    <definedName name="_____i8" localSheetId="4" hidden="1">{"via1",#N/A,TRUE,"general";"via2",#N/A,TRUE,"general";"via3",#N/A,TRUE,"general"}</definedName>
    <definedName name="_____i8" localSheetId="9" hidden="1">{"via1",#N/A,TRUE,"general";"via2",#N/A,TRUE,"general";"via3",#N/A,TRUE,"general"}</definedName>
    <definedName name="_____i8" hidden="1">{"via1",#N/A,TRUE,"general";"via2",#N/A,TRUE,"general";"via3",#N/A,TRUE,"general"}</definedName>
    <definedName name="_____i9" localSheetId="4" hidden="1">{"TAB1",#N/A,TRUE,"GENERAL";"TAB2",#N/A,TRUE,"GENERAL";"TAB3",#N/A,TRUE,"GENERAL";"TAB4",#N/A,TRUE,"GENERAL";"TAB5",#N/A,TRUE,"GENERAL"}</definedName>
    <definedName name="_____i9" localSheetId="9" hidden="1">{"TAB1",#N/A,TRUE,"GENERAL";"TAB2",#N/A,TRUE,"GENERAL";"TAB3",#N/A,TRUE,"GENERAL";"TAB4",#N/A,TRUE,"GENERAL";"TAB5",#N/A,TRUE,"GENERAL"}</definedName>
    <definedName name="_____i9" hidden="1">{"TAB1",#N/A,TRUE,"GENERAL";"TAB2",#N/A,TRUE,"GENERAL";"TAB3",#N/A,TRUE,"GENERAL";"TAB4",#N/A,TRUE,"GENERAL";"TAB5",#N/A,TRUE,"GENERAL"}</definedName>
    <definedName name="_____k3" localSheetId="4" hidden="1">{"TAB1",#N/A,TRUE,"GENERAL";"TAB2",#N/A,TRUE,"GENERAL";"TAB3",#N/A,TRUE,"GENERAL";"TAB4",#N/A,TRUE,"GENERAL";"TAB5",#N/A,TRUE,"GENERAL"}</definedName>
    <definedName name="_____k3" localSheetId="9" hidden="1">{"TAB1",#N/A,TRUE,"GENERAL";"TAB2",#N/A,TRUE,"GENERAL";"TAB3",#N/A,TRUE,"GENERAL";"TAB4",#N/A,TRUE,"GENERAL";"TAB5",#N/A,TRUE,"GENERAL"}</definedName>
    <definedName name="_____k3" hidden="1">{"TAB1",#N/A,TRUE,"GENERAL";"TAB2",#N/A,TRUE,"GENERAL";"TAB3",#N/A,TRUE,"GENERAL";"TAB4",#N/A,TRUE,"GENERAL";"TAB5",#N/A,TRUE,"GENERAL"}</definedName>
    <definedName name="_____k4" localSheetId="4" hidden="1">{"via1",#N/A,TRUE,"general";"via2",#N/A,TRUE,"general";"via3",#N/A,TRUE,"general"}</definedName>
    <definedName name="_____k4" localSheetId="9" hidden="1">{"via1",#N/A,TRUE,"general";"via2",#N/A,TRUE,"general";"via3",#N/A,TRUE,"general"}</definedName>
    <definedName name="_____k4" hidden="1">{"via1",#N/A,TRUE,"general";"via2",#N/A,TRUE,"general";"via3",#N/A,TRUE,"general"}</definedName>
    <definedName name="_____k5" localSheetId="4" hidden="1">{"via1",#N/A,TRUE,"general";"via2",#N/A,TRUE,"general";"via3",#N/A,TRUE,"general"}</definedName>
    <definedName name="_____k5" localSheetId="9" hidden="1">{"via1",#N/A,TRUE,"general";"via2",#N/A,TRUE,"general";"via3",#N/A,TRUE,"general"}</definedName>
    <definedName name="_____k5" hidden="1">{"via1",#N/A,TRUE,"general";"via2",#N/A,TRUE,"general";"via3",#N/A,TRUE,"general"}</definedName>
    <definedName name="_____k6" localSheetId="4" hidden="1">{"TAB1",#N/A,TRUE,"GENERAL";"TAB2",#N/A,TRUE,"GENERAL";"TAB3",#N/A,TRUE,"GENERAL";"TAB4",#N/A,TRUE,"GENERAL";"TAB5",#N/A,TRUE,"GENERAL"}</definedName>
    <definedName name="_____k6" localSheetId="9" hidden="1">{"TAB1",#N/A,TRUE,"GENERAL";"TAB2",#N/A,TRUE,"GENERAL";"TAB3",#N/A,TRUE,"GENERAL";"TAB4",#N/A,TRUE,"GENERAL";"TAB5",#N/A,TRUE,"GENERAL"}</definedName>
    <definedName name="_____k6" hidden="1">{"TAB1",#N/A,TRUE,"GENERAL";"TAB2",#N/A,TRUE,"GENERAL";"TAB3",#N/A,TRUE,"GENERAL";"TAB4",#N/A,TRUE,"GENERAL";"TAB5",#N/A,TRUE,"GENERAL"}</definedName>
    <definedName name="_____k7" localSheetId="4" hidden="1">{"via1",#N/A,TRUE,"general";"via2",#N/A,TRUE,"general";"via3",#N/A,TRUE,"general"}</definedName>
    <definedName name="_____k7" localSheetId="9" hidden="1">{"via1",#N/A,TRUE,"general";"via2",#N/A,TRUE,"general";"via3",#N/A,TRUE,"general"}</definedName>
    <definedName name="_____k7" hidden="1">{"via1",#N/A,TRUE,"general";"via2",#N/A,TRUE,"general";"via3",#N/A,TRUE,"general"}</definedName>
    <definedName name="_____k8" localSheetId="4" hidden="1">{"via1",#N/A,TRUE,"general";"via2",#N/A,TRUE,"general";"via3",#N/A,TRUE,"general"}</definedName>
    <definedName name="_____k8" localSheetId="9" hidden="1">{"via1",#N/A,TRUE,"general";"via2",#N/A,TRUE,"general";"via3",#N/A,TRUE,"general"}</definedName>
    <definedName name="_____k8" hidden="1">{"via1",#N/A,TRUE,"general";"via2",#N/A,TRUE,"general";"via3",#N/A,TRUE,"general"}</definedName>
    <definedName name="_____k9" localSheetId="4" hidden="1">{"TAB1",#N/A,TRUE,"GENERAL";"TAB2",#N/A,TRUE,"GENERAL";"TAB3",#N/A,TRUE,"GENERAL";"TAB4",#N/A,TRUE,"GENERAL";"TAB5",#N/A,TRUE,"GENERAL"}</definedName>
    <definedName name="_____k9" localSheetId="9" hidden="1">{"TAB1",#N/A,TRUE,"GENERAL";"TAB2",#N/A,TRUE,"GENERAL";"TAB3",#N/A,TRUE,"GENERAL";"TAB4",#N/A,TRUE,"GENERAL";"TAB5",#N/A,TRUE,"GENERAL"}</definedName>
    <definedName name="_____k9"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9" hidden="1">{"TAB1",#N/A,TRUE,"GENERAL";"TAB2",#N/A,TRUE,"GENERAL";"TAB3",#N/A,TRUE,"GENERAL";"TAB4",#N/A,TRUE,"GENERAL";"TAB5",#N/A,TRUE,"GENERAL"}</definedName>
    <definedName name="_____kjk6" hidden="1">{"TAB1",#N/A,TRUE,"GENERAL";"TAB2",#N/A,TRUE,"GENERAL";"TAB3",#N/A,TRUE,"GENERAL";"TAB4",#N/A,TRUE,"GENERAL";"TAB5",#N/A,TRUE,"GENERAL"}</definedName>
    <definedName name="_____m3" localSheetId="4" hidden="1">{"via1",#N/A,TRUE,"general";"via2",#N/A,TRUE,"general";"via3",#N/A,TRUE,"general"}</definedName>
    <definedName name="_____m3" localSheetId="9" hidden="1">{"via1",#N/A,TRUE,"general";"via2",#N/A,TRUE,"general";"via3",#N/A,TRUE,"general"}</definedName>
    <definedName name="_____m3" hidden="1">{"via1",#N/A,TRUE,"general";"via2",#N/A,TRUE,"general";"via3",#N/A,TRUE,"general"}</definedName>
    <definedName name="_____m4" localSheetId="4" hidden="1">{"TAB1",#N/A,TRUE,"GENERAL";"TAB2",#N/A,TRUE,"GENERAL";"TAB3",#N/A,TRUE,"GENERAL";"TAB4",#N/A,TRUE,"GENERAL";"TAB5",#N/A,TRUE,"GENERAL"}</definedName>
    <definedName name="_____m4" localSheetId="9" hidden="1">{"TAB1",#N/A,TRUE,"GENERAL";"TAB2",#N/A,TRUE,"GENERAL";"TAB3",#N/A,TRUE,"GENERAL";"TAB4",#N/A,TRUE,"GENERAL";"TAB5",#N/A,TRUE,"GENERAL"}</definedName>
    <definedName name="_____m4" hidden="1">{"TAB1",#N/A,TRUE,"GENERAL";"TAB2",#N/A,TRUE,"GENERAL";"TAB3",#N/A,TRUE,"GENERAL";"TAB4",#N/A,TRUE,"GENERAL";"TAB5",#N/A,TRUE,"GENERAL"}</definedName>
    <definedName name="_____m5" localSheetId="4" hidden="1">{"via1",#N/A,TRUE,"general";"via2",#N/A,TRUE,"general";"via3",#N/A,TRUE,"general"}</definedName>
    <definedName name="_____m5" localSheetId="9" hidden="1">{"via1",#N/A,TRUE,"general";"via2",#N/A,TRUE,"general";"via3",#N/A,TRUE,"general"}</definedName>
    <definedName name="_____m5" hidden="1">{"via1",#N/A,TRUE,"general";"via2",#N/A,TRUE,"general";"via3",#N/A,TRUE,"general"}</definedName>
    <definedName name="_____m6" localSheetId="4" hidden="1">{"TAB1",#N/A,TRUE,"GENERAL";"TAB2",#N/A,TRUE,"GENERAL";"TAB3",#N/A,TRUE,"GENERAL";"TAB4",#N/A,TRUE,"GENERAL";"TAB5",#N/A,TRUE,"GENERAL"}</definedName>
    <definedName name="_____m6" localSheetId="9" hidden="1">{"TAB1",#N/A,TRUE,"GENERAL";"TAB2",#N/A,TRUE,"GENERAL";"TAB3",#N/A,TRUE,"GENERAL";"TAB4",#N/A,TRUE,"GENERAL";"TAB5",#N/A,TRUE,"GENERAL"}</definedName>
    <definedName name="_____m6"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9" hidden="1">{"TAB1",#N/A,TRUE,"GENERAL";"TAB2",#N/A,TRUE,"GENERAL";"TAB3",#N/A,TRUE,"GENERAL";"TAB4",#N/A,TRUE,"GENERAL";"TAB5",#N/A,TRUE,"GENERAL"}</definedName>
    <definedName name="_____m7" hidden="1">{"TAB1",#N/A,TRUE,"GENERAL";"TAB2",#N/A,TRUE,"GENERAL";"TAB3",#N/A,TRUE,"GENERAL";"TAB4",#N/A,TRUE,"GENERAL";"TAB5",#N/A,TRUE,"GENERAL"}</definedName>
    <definedName name="_____m8" localSheetId="4" hidden="1">{"via1",#N/A,TRUE,"general";"via2",#N/A,TRUE,"general";"via3",#N/A,TRUE,"general"}</definedName>
    <definedName name="_____m8" localSheetId="9" hidden="1">{"via1",#N/A,TRUE,"general";"via2",#N/A,TRUE,"general";"via3",#N/A,TRUE,"general"}</definedName>
    <definedName name="_____m8" hidden="1">{"via1",#N/A,TRUE,"general";"via2",#N/A,TRUE,"general";"via3",#N/A,TRUE,"general"}</definedName>
    <definedName name="_____m9" localSheetId="4" hidden="1">{"via1",#N/A,TRUE,"general";"via2",#N/A,TRUE,"general";"via3",#N/A,TRUE,"general"}</definedName>
    <definedName name="_____m9" localSheetId="9" hidden="1">{"via1",#N/A,TRUE,"general";"via2",#N/A,TRUE,"general";"via3",#N/A,TRUE,"general"}</definedName>
    <definedName name="_____m9" hidden="1">{"via1",#N/A,TRUE,"general";"via2",#N/A,TRUE,"general";"via3",#N/A,TRUE,"general"}</definedName>
    <definedName name="_____n3" localSheetId="4" hidden="1">{"TAB1",#N/A,TRUE,"GENERAL";"TAB2",#N/A,TRUE,"GENERAL";"TAB3",#N/A,TRUE,"GENERAL";"TAB4",#N/A,TRUE,"GENERAL";"TAB5",#N/A,TRUE,"GENERAL"}</definedName>
    <definedName name="_____n3" localSheetId="9" hidden="1">{"TAB1",#N/A,TRUE,"GENERAL";"TAB2",#N/A,TRUE,"GENERAL";"TAB3",#N/A,TRUE,"GENERAL";"TAB4",#N/A,TRUE,"GENERAL";"TAB5",#N/A,TRUE,"GENERAL"}</definedName>
    <definedName name="_____n3" hidden="1">{"TAB1",#N/A,TRUE,"GENERAL";"TAB2",#N/A,TRUE,"GENERAL";"TAB3",#N/A,TRUE,"GENERAL";"TAB4",#N/A,TRUE,"GENERAL";"TAB5",#N/A,TRUE,"GENERAL"}</definedName>
    <definedName name="_____n4" localSheetId="4" hidden="1">{"via1",#N/A,TRUE,"general";"via2",#N/A,TRUE,"general";"via3",#N/A,TRUE,"general"}</definedName>
    <definedName name="_____n4" localSheetId="9" hidden="1">{"via1",#N/A,TRUE,"general";"via2",#N/A,TRUE,"general";"via3",#N/A,TRUE,"general"}</definedName>
    <definedName name="_____n4" hidden="1">{"via1",#N/A,TRUE,"general";"via2",#N/A,TRUE,"general";"via3",#N/A,TRUE,"general"}</definedName>
    <definedName name="_____n5" localSheetId="4" hidden="1">{"TAB1",#N/A,TRUE,"GENERAL";"TAB2",#N/A,TRUE,"GENERAL";"TAB3",#N/A,TRUE,"GENERAL";"TAB4",#N/A,TRUE,"GENERAL";"TAB5",#N/A,TRUE,"GENERAL"}</definedName>
    <definedName name="_____n5" localSheetId="9" hidden="1">{"TAB1",#N/A,TRUE,"GENERAL";"TAB2",#N/A,TRUE,"GENERAL";"TAB3",#N/A,TRUE,"GENERAL";"TAB4",#N/A,TRUE,"GENERAL";"TAB5",#N/A,TRUE,"GENERAL"}</definedName>
    <definedName name="_____n5" hidden="1">{"TAB1",#N/A,TRUE,"GENERAL";"TAB2",#N/A,TRUE,"GENERAL";"TAB3",#N/A,TRUE,"GENERAL";"TAB4",#N/A,TRUE,"GENERAL";"TAB5",#N/A,TRUE,"GENERAL"}</definedName>
    <definedName name="_____nyn7" localSheetId="4" hidden="1">{"via1",#N/A,TRUE,"general";"via2",#N/A,TRUE,"general";"via3",#N/A,TRUE,"general"}</definedName>
    <definedName name="_____nyn7" localSheetId="9" hidden="1">{"via1",#N/A,TRUE,"general";"via2",#N/A,TRUE,"general";"via3",#N/A,TRUE,"general"}</definedName>
    <definedName name="_____nyn7" hidden="1">{"via1",#N/A,TRUE,"general";"via2",#N/A,TRUE,"general";"via3",#N/A,TRUE,"general"}</definedName>
    <definedName name="_____o4" localSheetId="4" hidden="1">{"via1",#N/A,TRUE,"general";"via2",#N/A,TRUE,"general";"via3",#N/A,TRUE,"general"}</definedName>
    <definedName name="_____o4" localSheetId="9" hidden="1">{"via1",#N/A,TRUE,"general";"via2",#N/A,TRUE,"general";"via3",#N/A,TRUE,"general"}</definedName>
    <definedName name="_____o4" hidden="1">{"via1",#N/A,TRUE,"general";"via2",#N/A,TRUE,"general";"via3",#N/A,TRUE,"general"}</definedName>
    <definedName name="_____o5" localSheetId="4" hidden="1">{"TAB1",#N/A,TRUE,"GENERAL";"TAB2",#N/A,TRUE,"GENERAL";"TAB3",#N/A,TRUE,"GENERAL";"TAB4",#N/A,TRUE,"GENERAL";"TAB5",#N/A,TRUE,"GENERAL"}</definedName>
    <definedName name="_____o5" localSheetId="9" hidden="1">{"TAB1",#N/A,TRUE,"GENERAL";"TAB2",#N/A,TRUE,"GENERAL";"TAB3",#N/A,TRUE,"GENERAL";"TAB4",#N/A,TRUE,"GENERAL";"TAB5",#N/A,TRUE,"GENERAL"}</definedName>
    <definedName name="_____o5"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9" hidden="1">{"TAB1",#N/A,TRUE,"GENERAL";"TAB2",#N/A,TRUE,"GENERAL";"TAB3",#N/A,TRUE,"GENERAL";"TAB4",#N/A,TRUE,"GENERAL";"TAB5",#N/A,TRUE,"GENERAL"}</definedName>
    <definedName name="_____o6"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9" hidden="1">{"TAB1",#N/A,TRUE,"GENERAL";"TAB2",#N/A,TRUE,"GENERAL";"TAB3",#N/A,TRUE,"GENERAL";"TAB4",#N/A,TRUE,"GENERAL";"TAB5",#N/A,TRUE,"GENERAL"}</definedName>
    <definedName name="_____o7" hidden="1">{"TAB1",#N/A,TRUE,"GENERAL";"TAB2",#N/A,TRUE,"GENERAL";"TAB3",#N/A,TRUE,"GENERAL";"TAB4",#N/A,TRUE,"GENERAL";"TAB5",#N/A,TRUE,"GENERAL"}</definedName>
    <definedName name="_____o8" localSheetId="4" hidden="1">{"via1",#N/A,TRUE,"general";"via2",#N/A,TRUE,"general";"via3",#N/A,TRUE,"general"}</definedName>
    <definedName name="_____o8" localSheetId="9" hidden="1">{"via1",#N/A,TRUE,"general";"via2",#N/A,TRUE,"general";"via3",#N/A,TRUE,"general"}</definedName>
    <definedName name="_____o8" hidden="1">{"via1",#N/A,TRUE,"general";"via2",#N/A,TRUE,"general";"via3",#N/A,TRUE,"general"}</definedName>
    <definedName name="_____o9" localSheetId="4" hidden="1">{"TAB1",#N/A,TRUE,"GENERAL";"TAB2",#N/A,TRUE,"GENERAL";"TAB3",#N/A,TRUE,"GENERAL";"TAB4",#N/A,TRUE,"GENERAL";"TAB5",#N/A,TRUE,"GENERAL"}</definedName>
    <definedName name="_____o9" localSheetId="9" hidden="1">{"TAB1",#N/A,TRUE,"GENERAL";"TAB2",#N/A,TRUE,"GENERAL";"TAB3",#N/A,TRUE,"GENERAL";"TAB4",#N/A,TRUE,"GENERAL";"TAB5",#N/A,TRUE,"GENERAL"}</definedName>
    <definedName name="_____o9" hidden="1">{"TAB1",#N/A,TRUE,"GENERAL";"TAB2",#N/A,TRUE,"GENERAL";"TAB3",#N/A,TRUE,"GENERAL";"TAB4",#N/A,TRUE,"GENERAL";"TAB5",#N/A,TRUE,"GENERAL"}</definedName>
    <definedName name="_____ORO10" localSheetId="4">#REF!</definedName>
    <definedName name="_____ORO10">#REF!</definedName>
    <definedName name="_____ORO11" localSheetId="4">#REF!</definedName>
    <definedName name="_____ORO11">#REF!</definedName>
    <definedName name="_____ORO12" localSheetId="4">#REF!</definedName>
    <definedName name="_____ORO12">#REF!</definedName>
    <definedName name="_____ORO13" localSheetId="4">#REF!</definedName>
    <definedName name="_____ORO13">#REF!</definedName>
    <definedName name="_____ORO14" localSheetId="4">#REF!</definedName>
    <definedName name="_____ORO14">#REF!</definedName>
    <definedName name="_____ORO15" localSheetId="4">#REF!</definedName>
    <definedName name="_____ORO15">#REF!</definedName>
    <definedName name="_____ORO16" localSheetId="4">#REF!</definedName>
    <definedName name="_____ORO16">#REF!</definedName>
    <definedName name="_____ORO17" localSheetId="4">#REF!</definedName>
    <definedName name="_____ORO17">#REF!</definedName>
    <definedName name="_____ORO18" localSheetId="4">#REF!</definedName>
    <definedName name="_____ORO18">#REF!</definedName>
    <definedName name="_____ORO19" localSheetId="4">#REF!</definedName>
    <definedName name="_____ORO19">#REF!</definedName>
    <definedName name="_____p6" localSheetId="4" hidden="1">{"via1",#N/A,TRUE,"general";"via2",#N/A,TRUE,"general";"via3",#N/A,TRUE,"general"}</definedName>
    <definedName name="_____p6" localSheetId="9" hidden="1">{"via1",#N/A,TRUE,"general";"via2",#N/A,TRUE,"general";"via3",#N/A,TRUE,"general"}</definedName>
    <definedName name="_____p6" hidden="1">{"via1",#N/A,TRUE,"general";"via2",#N/A,TRUE,"general";"via3",#N/A,TRUE,"general"}</definedName>
    <definedName name="_____p7" localSheetId="4" hidden="1">{"via1",#N/A,TRUE,"general";"via2",#N/A,TRUE,"general";"via3",#N/A,TRUE,"general"}</definedName>
    <definedName name="_____p7" localSheetId="9" hidden="1">{"via1",#N/A,TRUE,"general";"via2",#N/A,TRUE,"general";"via3",#N/A,TRUE,"general"}</definedName>
    <definedName name="_____p7" hidden="1">{"via1",#N/A,TRUE,"general";"via2",#N/A,TRUE,"general";"via3",#N/A,TRUE,"general"}</definedName>
    <definedName name="_____p8" localSheetId="4" hidden="1">{"TAB1",#N/A,TRUE,"GENERAL";"TAB2",#N/A,TRUE,"GENERAL";"TAB3",#N/A,TRUE,"GENERAL";"TAB4",#N/A,TRUE,"GENERAL";"TAB5",#N/A,TRUE,"GENERAL"}</definedName>
    <definedName name="_____p8" localSheetId="9" hidden="1">{"TAB1",#N/A,TRUE,"GENERAL";"TAB2",#N/A,TRUE,"GENERAL";"TAB3",#N/A,TRUE,"GENERAL";"TAB4",#N/A,TRUE,"GENERAL";"TAB5",#N/A,TRUE,"GENERAL"}</definedName>
    <definedName name="_____p8" hidden="1">{"TAB1",#N/A,TRUE,"GENERAL";"TAB2",#N/A,TRUE,"GENERAL";"TAB3",#N/A,TRUE,"GENERAL";"TAB4",#N/A,TRUE,"GENERAL";"TAB5",#N/A,TRUE,"GENERAL"}</definedName>
    <definedName name="_____PMT5671" localSheetId="4">[3]MEMORIAS!#REF!</definedName>
    <definedName name="_____PMT5671">[3]MEMORIAS!#REF!</definedName>
    <definedName name="_____PMT5805" localSheetId="4">[3]MEMORIAS!#REF!</definedName>
    <definedName name="_____PMT5805">[3]MEMORIAS!#REF!</definedName>
    <definedName name="_____PMT5806" localSheetId="4">[3]MEMORIAS!#REF!</definedName>
    <definedName name="_____PMT5806">[3]MEMORIAS!#REF!</definedName>
    <definedName name="_____PMT5815" localSheetId="4">[3]MEMORIAS!#REF!</definedName>
    <definedName name="_____PMT5815">[3]MEMORIAS!#REF!</definedName>
    <definedName name="_____PMT5820" localSheetId="4">[3]MEMORIAS!#REF!</definedName>
    <definedName name="_____PMT5820">[3]MEMORIAS!#REF!</definedName>
    <definedName name="_____r" localSheetId="4">#REF!</definedName>
    <definedName name="_____r">#REF!</definedName>
    <definedName name="_____r4r" localSheetId="4" hidden="1">{"via1",#N/A,TRUE,"general";"via2",#N/A,TRUE,"general";"via3",#N/A,TRUE,"general"}</definedName>
    <definedName name="_____r4r" localSheetId="9" hidden="1">{"via1",#N/A,TRUE,"general";"via2",#N/A,TRUE,"general";"via3",#N/A,TRUE,"general"}</definedName>
    <definedName name="_____r4r" hidden="1">{"via1",#N/A,TRUE,"general";"via2",#N/A,TRUE,"general";"via3",#N/A,TRUE,"general"}</definedName>
    <definedName name="_____rtu6" localSheetId="4" hidden="1">{"via1",#N/A,TRUE,"general";"via2",#N/A,TRUE,"general";"via3",#N/A,TRUE,"general"}</definedName>
    <definedName name="_____rtu6" localSheetId="9" hidden="1">{"via1",#N/A,TRUE,"general";"via2",#N/A,TRUE,"general";"via3",#N/A,TRUE,"general"}</definedName>
    <definedName name="_____rtu6" hidden="1">{"via1",#N/A,TRUE,"general";"via2",#N/A,TRUE,"general";"via3",#N/A,TRUE,"general"}</definedName>
    <definedName name="_____s1" localSheetId="4" hidden="1">{"via1",#N/A,TRUE,"general";"via2",#N/A,TRUE,"general";"via3",#N/A,TRUE,"general"}</definedName>
    <definedName name="_____s1" localSheetId="9" hidden="1">{"via1",#N/A,TRUE,"general";"via2",#N/A,TRUE,"general";"via3",#N/A,TRUE,"general"}</definedName>
    <definedName name="_____s1" hidden="1">{"via1",#N/A,TRUE,"general";"via2",#N/A,TRUE,"general";"via3",#N/A,TRUE,"general"}</definedName>
    <definedName name="_____s2" localSheetId="4" hidden="1">{"TAB1",#N/A,TRUE,"GENERAL";"TAB2",#N/A,TRUE,"GENERAL";"TAB3",#N/A,TRUE,"GENERAL";"TAB4",#N/A,TRUE,"GENERAL";"TAB5",#N/A,TRUE,"GENERAL"}</definedName>
    <definedName name="_____s2" localSheetId="9" hidden="1">{"TAB1",#N/A,TRUE,"GENERAL";"TAB2",#N/A,TRUE,"GENERAL";"TAB3",#N/A,TRUE,"GENERAL";"TAB4",#N/A,TRUE,"GENERAL";"TAB5",#N/A,TRUE,"GENERAL"}</definedName>
    <definedName name="_____s2"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9" hidden="1">{"TAB1",#N/A,TRUE,"GENERAL";"TAB2",#N/A,TRUE,"GENERAL";"TAB3",#N/A,TRUE,"GENERAL";"TAB4",#N/A,TRUE,"GENERAL";"TAB5",#N/A,TRUE,"GENERAL"}</definedName>
    <definedName name="_____s3" hidden="1">{"TAB1",#N/A,TRUE,"GENERAL";"TAB2",#N/A,TRUE,"GENERAL";"TAB3",#N/A,TRUE,"GENERAL";"TAB4",#N/A,TRUE,"GENERAL";"TAB5",#N/A,TRUE,"GENERAL"}</definedName>
    <definedName name="_____s4" localSheetId="4" hidden="1">{"via1",#N/A,TRUE,"general";"via2",#N/A,TRUE,"general";"via3",#N/A,TRUE,"general"}</definedName>
    <definedName name="_____s4" localSheetId="9" hidden="1">{"via1",#N/A,TRUE,"general";"via2",#N/A,TRUE,"general";"via3",#N/A,TRUE,"general"}</definedName>
    <definedName name="_____s4" hidden="1">{"via1",#N/A,TRUE,"general";"via2",#N/A,TRUE,"general";"via3",#N/A,TRUE,"general"}</definedName>
    <definedName name="_____s5" localSheetId="4" hidden="1">{"via1",#N/A,TRUE,"general";"via2",#N/A,TRUE,"general";"via3",#N/A,TRUE,"general"}</definedName>
    <definedName name="_____s5" localSheetId="9" hidden="1">{"via1",#N/A,TRUE,"general";"via2",#N/A,TRUE,"general";"via3",#N/A,TRUE,"general"}</definedName>
    <definedName name="_____s5" hidden="1">{"via1",#N/A,TRUE,"general";"via2",#N/A,TRUE,"general";"via3",#N/A,TRUE,"general"}</definedName>
    <definedName name="_____s6" localSheetId="4" hidden="1">{"TAB1",#N/A,TRUE,"GENERAL";"TAB2",#N/A,TRUE,"GENERAL";"TAB3",#N/A,TRUE,"GENERAL";"TAB4",#N/A,TRUE,"GENERAL";"TAB5",#N/A,TRUE,"GENERAL"}</definedName>
    <definedName name="_____s6" localSheetId="9" hidden="1">{"TAB1",#N/A,TRUE,"GENERAL";"TAB2",#N/A,TRUE,"GENERAL";"TAB3",#N/A,TRUE,"GENERAL";"TAB4",#N/A,TRUE,"GENERAL";"TAB5",#N/A,TRUE,"GENERAL"}</definedName>
    <definedName name="_____s6" hidden="1">{"TAB1",#N/A,TRUE,"GENERAL";"TAB2",#N/A,TRUE,"GENERAL";"TAB3",#N/A,TRUE,"GENERAL";"TAB4",#N/A,TRUE,"GENERAL";"TAB5",#N/A,TRUE,"GENERAL"}</definedName>
    <definedName name="_____s7" localSheetId="4" hidden="1">{"via1",#N/A,TRUE,"general";"via2",#N/A,TRUE,"general";"via3",#N/A,TRUE,"general"}</definedName>
    <definedName name="_____s7" localSheetId="9" hidden="1">{"via1",#N/A,TRUE,"general";"via2",#N/A,TRUE,"general";"via3",#N/A,TRUE,"general"}</definedName>
    <definedName name="_____s7" hidden="1">{"via1",#N/A,TRUE,"general";"via2",#N/A,TRUE,"general";"via3",#N/A,TRUE,"general"}</definedName>
    <definedName name="_____t3" localSheetId="4" hidden="1">{"TAB1",#N/A,TRUE,"GENERAL";"TAB2",#N/A,TRUE,"GENERAL";"TAB3",#N/A,TRUE,"GENERAL";"TAB4",#N/A,TRUE,"GENERAL";"TAB5",#N/A,TRUE,"GENERAL"}</definedName>
    <definedName name="_____t3" localSheetId="9" hidden="1">{"TAB1",#N/A,TRUE,"GENERAL";"TAB2",#N/A,TRUE,"GENERAL";"TAB3",#N/A,TRUE,"GENERAL";"TAB4",#N/A,TRUE,"GENERAL";"TAB5",#N/A,TRUE,"GENERAL"}</definedName>
    <definedName name="_____t3" hidden="1">{"TAB1",#N/A,TRUE,"GENERAL";"TAB2",#N/A,TRUE,"GENERAL";"TAB3",#N/A,TRUE,"GENERAL";"TAB4",#N/A,TRUE,"GENERAL";"TAB5",#N/A,TRUE,"GENERAL"}</definedName>
    <definedName name="_____t4" localSheetId="4" hidden="1">{"via1",#N/A,TRUE,"general";"via2",#N/A,TRUE,"general";"via3",#N/A,TRUE,"general"}</definedName>
    <definedName name="_____t4" localSheetId="9" hidden="1">{"via1",#N/A,TRUE,"general";"via2",#N/A,TRUE,"general";"via3",#N/A,TRUE,"general"}</definedName>
    <definedName name="_____t4" hidden="1">{"via1",#N/A,TRUE,"general";"via2",#N/A,TRUE,"general";"via3",#N/A,TRUE,"general"}</definedName>
    <definedName name="_____t5" localSheetId="4" hidden="1">{"TAB1",#N/A,TRUE,"GENERAL";"TAB2",#N/A,TRUE,"GENERAL";"TAB3",#N/A,TRUE,"GENERAL";"TAB4",#N/A,TRUE,"GENERAL";"TAB5",#N/A,TRUE,"GENERAL"}</definedName>
    <definedName name="_____t5" localSheetId="9" hidden="1">{"TAB1",#N/A,TRUE,"GENERAL";"TAB2",#N/A,TRUE,"GENERAL";"TAB3",#N/A,TRUE,"GENERAL";"TAB4",#N/A,TRUE,"GENERAL";"TAB5",#N/A,TRUE,"GENERAL"}</definedName>
    <definedName name="_____t5" hidden="1">{"TAB1",#N/A,TRUE,"GENERAL";"TAB2",#N/A,TRUE,"GENERAL";"TAB3",#N/A,TRUE,"GENERAL";"TAB4",#N/A,TRUE,"GENERAL";"TAB5",#N/A,TRUE,"GENERAL"}</definedName>
    <definedName name="_____t6" localSheetId="4" hidden="1">{"via1",#N/A,TRUE,"general";"via2",#N/A,TRUE,"general";"via3",#N/A,TRUE,"general"}</definedName>
    <definedName name="_____t6" localSheetId="9" hidden="1">{"via1",#N/A,TRUE,"general";"via2",#N/A,TRUE,"general";"via3",#N/A,TRUE,"general"}</definedName>
    <definedName name="_____t6" hidden="1">{"via1",#N/A,TRUE,"general";"via2",#N/A,TRUE,"general";"via3",#N/A,TRUE,"general"}</definedName>
    <definedName name="_____t66" localSheetId="4" hidden="1">{"TAB1",#N/A,TRUE,"GENERAL";"TAB2",#N/A,TRUE,"GENERAL";"TAB3",#N/A,TRUE,"GENERAL";"TAB4",#N/A,TRUE,"GENERAL";"TAB5",#N/A,TRUE,"GENERAL"}</definedName>
    <definedName name="_____t66" localSheetId="9" hidden="1">{"TAB1",#N/A,TRUE,"GENERAL";"TAB2",#N/A,TRUE,"GENERAL";"TAB3",#N/A,TRUE,"GENERAL";"TAB4",#N/A,TRUE,"GENERAL";"TAB5",#N/A,TRUE,"GENERAL"}</definedName>
    <definedName name="_____t66" hidden="1">{"TAB1",#N/A,TRUE,"GENERAL";"TAB2",#N/A,TRUE,"GENERAL";"TAB3",#N/A,TRUE,"GENERAL";"TAB4",#N/A,TRUE,"GENERAL";"TAB5",#N/A,TRUE,"GENERAL"}</definedName>
    <definedName name="_____t7" localSheetId="4" hidden="1">{"via1",#N/A,TRUE,"general";"via2",#N/A,TRUE,"general";"via3",#N/A,TRUE,"general"}</definedName>
    <definedName name="_____t7" localSheetId="9" hidden="1">{"via1",#N/A,TRUE,"general";"via2",#N/A,TRUE,"general";"via3",#N/A,TRUE,"general"}</definedName>
    <definedName name="_____t7" hidden="1">{"via1",#N/A,TRUE,"general";"via2",#N/A,TRUE,"general";"via3",#N/A,TRUE,"general"}</definedName>
    <definedName name="_____t77" localSheetId="4" hidden="1">{"TAB1",#N/A,TRUE,"GENERAL";"TAB2",#N/A,TRUE,"GENERAL";"TAB3",#N/A,TRUE,"GENERAL";"TAB4",#N/A,TRUE,"GENERAL";"TAB5",#N/A,TRUE,"GENERAL"}</definedName>
    <definedName name="_____t77" localSheetId="9" hidden="1">{"TAB1",#N/A,TRUE,"GENERAL";"TAB2",#N/A,TRUE,"GENERAL";"TAB3",#N/A,TRUE,"GENERAL";"TAB4",#N/A,TRUE,"GENERAL";"TAB5",#N/A,TRUE,"GENERAL"}</definedName>
    <definedName name="_____t77"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9" hidden="1">{"TAB1",#N/A,TRUE,"GENERAL";"TAB2",#N/A,TRUE,"GENERAL";"TAB3",#N/A,TRUE,"GENERAL";"TAB4",#N/A,TRUE,"GENERAL";"TAB5",#N/A,TRUE,"GENERAL"}</definedName>
    <definedName name="_____t8" hidden="1">{"TAB1",#N/A,TRUE,"GENERAL";"TAB2",#N/A,TRUE,"GENERAL";"TAB3",#N/A,TRUE,"GENERAL";"TAB4",#N/A,TRUE,"GENERAL";"TAB5",#N/A,TRUE,"GENERAL"}</definedName>
    <definedName name="_____t88" localSheetId="4" hidden="1">{"via1",#N/A,TRUE,"general";"via2",#N/A,TRUE,"general";"via3",#N/A,TRUE,"general"}</definedName>
    <definedName name="_____t88" localSheetId="9" hidden="1">{"via1",#N/A,TRUE,"general";"via2",#N/A,TRUE,"general";"via3",#N/A,TRUE,"general"}</definedName>
    <definedName name="_____t88" hidden="1">{"via1",#N/A,TRUE,"general";"via2",#N/A,TRUE,"general";"via3",#N/A,TRUE,"general"}</definedName>
    <definedName name="_____t9" localSheetId="4" hidden="1">{"TAB1",#N/A,TRUE,"GENERAL";"TAB2",#N/A,TRUE,"GENERAL";"TAB3",#N/A,TRUE,"GENERAL";"TAB4",#N/A,TRUE,"GENERAL";"TAB5",#N/A,TRUE,"GENERAL"}</definedName>
    <definedName name="_____t9" localSheetId="9" hidden="1">{"TAB1",#N/A,TRUE,"GENERAL";"TAB2",#N/A,TRUE,"GENERAL";"TAB3",#N/A,TRUE,"GENERAL";"TAB4",#N/A,TRUE,"GENERAL";"TAB5",#N/A,TRUE,"GENERAL"}</definedName>
    <definedName name="_____t9" hidden="1">{"TAB1",#N/A,TRUE,"GENERAL";"TAB2",#N/A,TRUE,"GENERAL";"TAB3",#N/A,TRUE,"GENERAL";"TAB4",#N/A,TRUE,"GENERAL";"TAB5",#N/A,TRUE,"GENERAL"}</definedName>
    <definedName name="_____t99" localSheetId="4" hidden="1">{"via1",#N/A,TRUE,"general";"via2",#N/A,TRUE,"general";"via3",#N/A,TRUE,"general"}</definedName>
    <definedName name="_____t99" localSheetId="9" hidden="1">{"via1",#N/A,TRUE,"general";"via2",#N/A,TRUE,"general";"via3",#N/A,TRUE,"general"}</definedName>
    <definedName name="_____t99" hidden="1">{"via1",#N/A,TRUE,"general";"via2",#N/A,TRUE,"general";"via3",#N/A,TRUE,"general"}</definedName>
    <definedName name="_____tab1" localSheetId="4">#REF!</definedName>
    <definedName name="_____tab1">#REF!</definedName>
    <definedName name="_____tab2" localSheetId="4">#REF!</definedName>
    <definedName name="_____tab2">#REF!</definedName>
    <definedName name="_____tab3" localSheetId="4">#REF!</definedName>
    <definedName name="_____tab3">#REF!</definedName>
    <definedName name="_____TAB4" localSheetId="4">#REF!</definedName>
    <definedName name="_____TAB4">#REF!</definedName>
    <definedName name="_____TYW6" localSheetId="4">#REF!</definedName>
    <definedName name="_____TYW6">#REF!</definedName>
    <definedName name="_____u4" localSheetId="4" hidden="1">{"TAB1",#N/A,TRUE,"GENERAL";"TAB2",#N/A,TRUE,"GENERAL";"TAB3",#N/A,TRUE,"GENERAL";"TAB4",#N/A,TRUE,"GENERAL";"TAB5",#N/A,TRUE,"GENERAL"}</definedName>
    <definedName name="_____u4" localSheetId="9" hidden="1">{"TAB1",#N/A,TRUE,"GENERAL";"TAB2",#N/A,TRUE,"GENERAL";"TAB3",#N/A,TRUE,"GENERAL";"TAB4",#N/A,TRUE,"GENERAL";"TAB5",#N/A,TRUE,"GENERAL"}</definedName>
    <definedName name="_____u4"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9" hidden="1">{"TAB1",#N/A,TRUE,"GENERAL";"TAB2",#N/A,TRUE,"GENERAL";"TAB3",#N/A,TRUE,"GENERAL";"TAB4",#N/A,TRUE,"GENERAL";"TAB5",#N/A,TRUE,"GENERAL"}</definedName>
    <definedName name="_____u5"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9" hidden="1">{"TAB1",#N/A,TRUE,"GENERAL";"TAB2",#N/A,TRUE,"GENERAL";"TAB3",#N/A,TRUE,"GENERAL";"TAB4",#N/A,TRUE,"GENERAL";"TAB5",#N/A,TRUE,"GENERAL"}</definedName>
    <definedName name="_____u6" hidden="1">{"TAB1",#N/A,TRUE,"GENERAL";"TAB2",#N/A,TRUE,"GENERAL";"TAB3",#N/A,TRUE,"GENERAL";"TAB4",#N/A,TRUE,"GENERAL";"TAB5",#N/A,TRUE,"GENERAL"}</definedName>
    <definedName name="_____u7" localSheetId="4" hidden="1">{"via1",#N/A,TRUE,"general";"via2",#N/A,TRUE,"general";"via3",#N/A,TRUE,"general"}</definedName>
    <definedName name="_____u7" localSheetId="9" hidden="1">{"via1",#N/A,TRUE,"general";"via2",#N/A,TRUE,"general";"via3",#N/A,TRUE,"general"}</definedName>
    <definedName name="_____u7" hidden="1">{"via1",#N/A,TRUE,"general";"via2",#N/A,TRUE,"general";"via3",#N/A,TRUE,"general"}</definedName>
    <definedName name="_____u8" localSheetId="4" hidden="1">{"TAB1",#N/A,TRUE,"GENERAL";"TAB2",#N/A,TRUE,"GENERAL";"TAB3",#N/A,TRUE,"GENERAL";"TAB4",#N/A,TRUE,"GENERAL";"TAB5",#N/A,TRUE,"GENERAL"}</definedName>
    <definedName name="_____u8" localSheetId="9" hidden="1">{"TAB1",#N/A,TRUE,"GENERAL";"TAB2",#N/A,TRUE,"GENERAL";"TAB3",#N/A,TRUE,"GENERAL";"TAB4",#N/A,TRUE,"GENERAL";"TAB5",#N/A,TRUE,"GENERAL"}</definedName>
    <definedName name="_____u8"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9" hidden="1">{"TAB1",#N/A,TRUE,"GENERAL";"TAB2",#N/A,TRUE,"GENERAL";"TAB3",#N/A,TRUE,"GENERAL";"TAB4",#N/A,TRUE,"GENERAL";"TAB5",#N/A,TRUE,"GENERAL"}</definedName>
    <definedName name="_____u9"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9" hidden="1">{"TAB1",#N/A,TRUE,"GENERAL";"TAB2",#N/A,TRUE,"GENERAL";"TAB3",#N/A,TRUE,"GENERAL";"TAB4",#N/A,TRUE,"GENERAL";"TAB5",#N/A,TRUE,"GENERAL"}</definedName>
    <definedName name="_____ur7" hidden="1">{"TAB1",#N/A,TRUE,"GENERAL";"TAB2",#N/A,TRUE,"GENERAL";"TAB3",#N/A,TRUE,"GENERAL";"TAB4",#N/A,TRUE,"GENERAL";"TAB5",#N/A,TRUE,"GENERAL"}</definedName>
    <definedName name="_____v2" localSheetId="4" hidden="1">{"via1",#N/A,TRUE,"general";"via2",#N/A,TRUE,"general";"via3",#N/A,TRUE,"general"}</definedName>
    <definedName name="_____v2" localSheetId="9" hidden="1">{"via1",#N/A,TRUE,"general";"via2",#N/A,TRUE,"general";"via3",#N/A,TRUE,"general"}</definedName>
    <definedName name="_____v2" hidden="1">{"via1",#N/A,TRUE,"general";"via2",#N/A,TRUE,"general";"via3",#N/A,TRUE,"general"}</definedName>
    <definedName name="_____v3" localSheetId="4" hidden="1">{"TAB1",#N/A,TRUE,"GENERAL";"TAB2",#N/A,TRUE,"GENERAL";"TAB3",#N/A,TRUE,"GENERAL";"TAB4",#N/A,TRUE,"GENERAL";"TAB5",#N/A,TRUE,"GENERAL"}</definedName>
    <definedName name="_____v3" localSheetId="9" hidden="1">{"TAB1",#N/A,TRUE,"GENERAL";"TAB2",#N/A,TRUE,"GENERAL";"TAB3",#N/A,TRUE,"GENERAL";"TAB4",#N/A,TRUE,"GENERAL";"TAB5",#N/A,TRUE,"GENERAL"}</definedName>
    <definedName name="_____v3"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9" hidden="1">{"TAB1",#N/A,TRUE,"GENERAL";"TAB2",#N/A,TRUE,"GENERAL";"TAB3",#N/A,TRUE,"GENERAL";"TAB4",#N/A,TRUE,"GENERAL";"TAB5",#N/A,TRUE,"GENERAL"}</definedName>
    <definedName name="_____v4" hidden="1">{"TAB1",#N/A,TRUE,"GENERAL";"TAB2",#N/A,TRUE,"GENERAL";"TAB3",#N/A,TRUE,"GENERAL";"TAB4",#N/A,TRUE,"GENERAL";"TAB5",#N/A,TRUE,"GENERAL"}</definedName>
    <definedName name="_____v5" localSheetId="4" hidden="1">{"TAB1",#N/A,TRUE,"GENERAL";"TAB2",#N/A,TRUE,"GENERAL";"TAB3",#N/A,TRUE,"GENERAL";"TAB4",#N/A,TRUE,"GENERAL";"TAB5",#N/A,TRUE,"GENERAL"}</definedName>
    <definedName name="_____v5" localSheetId="9" hidden="1">{"TAB1",#N/A,TRUE,"GENERAL";"TAB2",#N/A,TRUE,"GENERAL";"TAB3",#N/A,TRUE,"GENERAL";"TAB4",#N/A,TRUE,"GENERAL";"TAB5",#N/A,TRUE,"GENERAL"}</definedName>
    <definedName name="_____v5"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9" hidden="1">{"TAB1",#N/A,TRUE,"GENERAL";"TAB2",#N/A,TRUE,"GENERAL";"TAB3",#N/A,TRUE,"GENERAL";"TAB4",#N/A,TRUE,"GENERAL";"TAB5",#N/A,TRUE,"GENERAL"}</definedName>
    <definedName name="_____v6" hidden="1">{"TAB1",#N/A,TRUE,"GENERAL";"TAB2",#N/A,TRUE,"GENERAL";"TAB3",#N/A,TRUE,"GENERAL";"TAB4",#N/A,TRUE,"GENERAL";"TAB5",#N/A,TRUE,"GENERAL"}</definedName>
    <definedName name="_____v7" localSheetId="4" hidden="1">{"via1",#N/A,TRUE,"general";"via2",#N/A,TRUE,"general";"via3",#N/A,TRUE,"general"}</definedName>
    <definedName name="_____v7" localSheetId="9" hidden="1">{"via1",#N/A,TRUE,"general";"via2",#N/A,TRUE,"general";"via3",#N/A,TRUE,"general"}</definedName>
    <definedName name="_____v7" hidden="1">{"via1",#N/A,TRUE,"general";"via2",#N/A,TRUE,"general";"via3",#N/A,TRUE,"general"}</definedName>
    <definedName name="_____v8" localSheetId="4" hidden="1">{"TAB1",#N/A,TRUE,"GENERAL";"TAB2",#N/A,TRUE,"GENERAL";"TAB3",#N/A,TRUE,"GENERAL";"TAB4",#N/A,TRUE,"GENERAL";"TAB5",#N/A,TRUE,"GENERAL"}</definedName>
    <definedName name="_____v8" localSheetId="9" hidden="1">{"TAB1",#N/A,TRUE,"GENERAL";"TAB2",#N/A,TRUE,"GENERAL";"TAB3",#N/A,TRUE,"GENERAL";"TAB4",#N/A,TRUE,"GENERAL";"TAB5",#N/A,TRUE,"GENERAL"}</definedName>
    <definedName name="_____v8" hidden="1">{"TAB1",#N/A,TRUE,"GENERAL";"TAB2",#N/A,TRUE,"GENERAL";"TAB3",#N/A,TRUE,"GENERAL";"TAB4",#N/A,TRUE,"GENERAL";"TAB5",#N/A,TRUE,"GENERAL"}</definedName>
    <definedName name="_____v9" localSheetId="4" hidden="1">{"TAB1",#N/A,TRUE,"GENERAL";"TAB2",#N/A,TRUE,"GENERAL";"TAB3",#N/A,TRUE,"GENERAL";"TAB4",#N/A,TRUE,"GENERAL";"TAB5",#N/A,TRUE,"GENERAL"}</definedName>
    <definedName name="_____v9" localSheetId="9" hidden="1">{"TAB1",#N/A,TRUE,"GENERAL";"TAB2",#N/A,TRUE,"GENERAL";"TAB3",#N/A,TRUE,"GENERAL";"TAB4",#N/A,TRUE,"GENERAL";"TAB5",#N/A,TRUE,"GENERAL"}</definedName>
    <definedName name="_____v9" hidden="1">{"TAB1",#N/A,TRUE,"GENERAL";"TAB2",#N/A,TRUE,"GENERAL";"TAB3",#N/A,TRUE,"GENERAL";"TAB4",#N/A,TRUE,"GENERAL";"TAB5",#N/A,TRUE,"GENERAL"}</definedName>
    <definedName name="_____vfv4" localSheetId="4" hidden="1">{"via1",#N/A,TRUE,"general";"via2",#N/A,TRUE,"general";"via3",#N/A,TRUE,"general"}</definedName>
    <definedName name="_____vfv4" localSheetId="9" hidden="1">{"via1",#N/A,TRUE,"general";"via2",#N/A,TRUE,"general";"via3",#N/A,TRUE,"general"}</definedName>
    <definedName name="_____vfv4" hidden="1">{"via1",#N/A,TRUE,"general";"via2",#N/A,TRUE,"general";"via3",#N/A,TRUE,"general"}</definedName>
    <definedName name="_____Vol1">[5]Item!$A:$D</definedName>
    <definedName name="_____x1" localSheetId="4" hidden="1">{"TAB1",#N/A,TRUE,"GENERAL";"TAB2",#N/A,TRUE,"GENERAL";"TAB3",#N/A,TRUE,"GENERAL";"TAB4",#N/A,TRUE,"GENERAL";"TAB5",#N/A,TRUE,"GENERAL"}</definedName>
    <definedName name="_____x1" localSheetId="9" hidden="1">{"TAB1",#N/A,TRUE,"GENERAL";"TAB2",#N/A,TRUE,"GENERAL";"TAB3",#N/A,TRUE,"GENERAL";"TAB4",#N/A,TRUE,"GENERAL";"TAB5",#N/A,TRUE,"GENERAL"}</definedName>
    <definedName name="_____x1" hidden="1">{"TAB1",#N/A,TRUE,"GENERAL";"TAB2",#N/A,TRUE,"GENERAL";"TAB3",#N/A,TRUE,"GENERAL";"TAB4",#N/A,TRUE,"GENERAL";"TAB5",#N/A,TRUE,"GENERAL"}</definedName>
    <definedName name="_____x2" localSheetId="4" hidden="1">{"via1",#N/A,TRUE,"general";"via2",#N/A,TRUE,"general";"via3",#N/A,TRUE,"general"}</definedName>
    <definedName name="_____x2" localSheetId="9" hidden="1">{"via1",#N/A,TRUE,"general";"via2",#N/A,TRUE,"general";"via3",#N/A,TRUE,"general"}</definedName>
    <definedName name="_____x2" hidden="1">{"via1",#N/A,TRUE,"general";"via2",#N/A,TRUE,"general";"via3",#N/A,TRUE,"general"}</definedName>
    <definedName name="_____x3" localSheetId="4" hidden="1">{"via1",#N/A,TRUE,"general";"via2",#N/A,TRUE,"general";"via3",#N/A,TRUE,"general"}</definedName>
    <definedName name="_____x3" localSheetId="9" hidden="1">{"via1",#N/A,TRUE,"general";"via2",#N/A,TRUE,"general";"via3",#N/A,TRUE,"general"}</definedName>
    <definedName name="_____x3" hidden="1">{"via1",#N/A,TRUE,"general";"via2",#N/A,TRUE,"general";"via3",#N/A,TRUE,"general"}</definedName>
    <definedName name="_____x4" localSheetId="4" hidden="1">{"via1",#N/A,TRUE,"general";"via2",#N/A,TRUE,"general";"via3",#N/A,TRUE,"general"}</definedName>
    <definedName name="_____x4" localSheetId="9" hidden="1">{"via1",#N/A,TRUE,"general";"via2",#N/A,TRUE,"general";"via3",#N/A,TRUE,"general"}</definedName>
    <definedName name="_____x4" hidden="1">{"via1",#N/A,TRUE,"general";"via2",#N/A,TRUE,"general";"via3",#N/A,TRUE,"general"}</definedName>
    <definedName name="_____x5" localSheetId="4" hidden="1">{"TAB1",#N/A,TRUE,"GENERAL";"TAB2",#N/A,TRUE,"GENERAL";"TAB3",#N/A,TRUE,"GENERAL";"TAB4",#N/A,TRUE,"GENERAL";"TAB5",#N/A,TRUE,"GENERAL"}</definedName>
    <definedName name="_____x5" localSheetId="9" hidden="1">{"TAB1",#N/A,TRUE,"GENERAL";"TAB2",#N/A,TRUE,"GENERAL";"TAB3",#N/A,TRUE,"GENERAL";"TAB4",#N/A,TRUE,"GENERAL";"TAB5",#N/A,TRUE,"GENERAL"}</definedName>
    <definedName name="_____x5"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9" hidden="1">{"TAB1",#N/A,TRUE,"GENERAL";"TAB2",#N/A,TRUE,"GENERAL";"TAB3",#N/A,TRUE,"GENERAL";"TAB4",#N/A,TRUE,"GENERAL";"TAB5",#N/A,TRUE,"GENERAL"}</definedName>
    <definedName name="_____x6"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9" hidden="1">{"TAB1",#N/A,TRUE,"GENERAL";"TAB2",#N/A,TRUE,"GENERAL";"TAB3",#N/A,TRUE,"GENERAL";"TAB4",#N/A,TRUE,"GENERAL";"TAB5",#N/A,TRUE,"GENERAL"}</definedName>
    <definedName name="_____x7" hidden="1">{"TAB1",#N/A,TRUE,"GENERAL";"TAB2",#N/A,TRUE,"GENERAL";"TAB3",#N/A,TRUE,"GENERAL";"TAB4",#N/A,TRUE,"GENERAL";"TAB5",#N/A,TRUE,"GENERAL"}</definedName>
    <definedName name="_____x8" localSheetId="4" hidden="1">{"via1",#N/A,TRUE,"general";"via2",#N/A,TRUE,"general";"via3",#N/A,TRUE,"general"}</definedName>
    <definedName name="_____x8" localSheetId="9" hidden="1">{"via1",#N/A,TRUE,"general";"via2",#N/A,TRUE,"general";"via3",#N/A,TRUE,"general"}</definedName>
    <definedName name="_____x8" hidden="1">{"via1",#N/A,TRUE,"general";"via2",#N/A,TRUE,"general";"via3",#N/A,TRUE,"general"}</definedName>
    <definedName name="_____x9" localSheetId="4" hidden="1">{"TAB1",#N/A,TRUE,"GENERAL";"TAB2",#N/A,TRUE,"GENERAL";"TAB3",#N/A,TRUE,"GENERAL";"TAB4",#N/A,TRUE,"GENERAL";"TAB5",#N/A,TRUE,"GENERAL"}</definedName>
    <definedName name="_____x9" localSheetId="9" hidden="1">{"TAB1",#N/A,TRUE,"GENERAL";"TAB2",#N/A,TRUE,"GENERAL";"TAB3",#N/A,TRUE,"GENERAL";"TAB4",#N/A,TRUE,"GENERAL";"TAB5",#N/A,TRUE,"GENERAL"}</definedName>
    <definedName name="_____x9" hidden="1">{"TAB1",#N/A,TRUE,"GENERAL";"TAB2",#N/A,TRUE,"GENERAL";"TAB3",#N/A,TRUE,"GENERAL";"TAB4",#N/A,TRUE,"GENERAL";"TAB5",#N/A,TRUE,"GENERAL"}</definedName>
    <definedName name="_____y2" localSheetId="4" hidden="1">{"TAB1",#N/A,TRUE,"GENERAL";"TAB2",#N/A,TRUE,"GENERAL";"TAB3",#N/A,TRUE,"GENERAL";"TAB4",#N/A,TRUE,"GENERAL";"TAB5",#N/A,TRUE,"GENERAL"}</definedName>
    <definedName name="_____y2" localSheetId="9" hidden="1">{"TAB1",#N/A,TRUE,"GENERAL";"TAB2",#N/A,TRUE,"GENERAL";"TAB3",#N/A,TRUE,"GENERAL";"TAB4",#N/A,TRUE,"GENERAL";"TAB5",#N/A,TRUE,"GENERAL"}</definedName>
    <definedName name="_____y2" hidden="1">{"TAB1",#N/A,TRUE,"GENERAL";"TAB2",#N/A,TRUE,"GENERAL";"TAB3",#N/A,TRUE,"GENERAL";"TAB4",#N/A,TRUE,"GENERAL";"TAB5",#N/A,TRUE,"GENERAL"}</definedName>
    <definedName name="_____y3" localSheetId="4" hidden="1">{"via1",#N/A,TRUE,"general";"via2",#N/A,TRUE,"general";"via3",#N/A,TRUE,"general"}</definedName>
    <definedName name="_____y3" localSheetId="9" hidden="1">{"via1",#N/A,TRUE,"general";"via2",#N/A,TRUE,"general";"via3",#N/A,TRUE,"general"}</definedName>
    <definedName name="_____y3" hidden="1">{"via1",#N/A,TRUE,"general";"via2",#N/A,TRUE,"general";"via3",#N/A,TRUE,"general"}</definedName>
    <definedName name="_____y4" localSheetId="4" hidden="1">{"via1",#N/A,TRUE,"general";"via2",#N/A,TRUE,"general";"via3",#N/A,TRUE,"general"}</definedName>
    <definedName name="_____y4" localSheetId="9" hidden="1">{"via1",#N/A,TRUE,"general";"via2",#N/A,TRUE,"general";"via3",#N/A,TRUE,"general"}</definedName>
    <definedName name="_____y4" hidden="1">{"via1",#N/A,TRUE,"general";"via2",#N/A,TRUE,"general";"via3",#N/A,TRUE,"general"}</definedName>
    <definedName name="_____y5" localSheetId="4" hidden="1">{"TAB1",#N/A,TRUE,"GENERAL";"TAB2",#N/A,TRUE,"GENERAL";"TAB3",#N/A,TRUE,"GENERAL";"TAB4",#N/A,TRUE,"GENERAL";"TAB5",#N/A,TRUE,"GENERAL"}</definedName>
    <definedName name="_____y5" localSheetId="9" hidden="1">{"TAB1",#N/A,TRUE,"GENERAL";"TAB2",#N/A,TRUE,"GENERAL";"TAB3",#N/A,TRUE,"GENERAL";"TAB4",#N/A,TRUE,"GENERAL";"TAB5",#N/A,TRUE,"GENERAL"}</definedName>
    <definedName name="_____y5" hidden="1">{"TAB1",#N/A,TRUE,"GENERAL";"TAB2",#N/A,TRUE,"GENERAL";"TAB3",#N/A,TRUE,"GENERAL";"TAB4",#N/A,TRUE,"GENERAL";"TAB5",#N/A,TRUE,"GENERAL"}</definedName>
    <definedName name="_____y6" localSheetId="4" hidden="1">{"via1",#N/A,TRUE,"general";"via2",#N/A,TRUE,"general";"via3",#N/A,TRUE,"general"}</definedName>
    <definedName name="_____y6" localSheetId="9" hidden="1">{"via1",#N/A,TRUE,"general";"via2",#N/A,TRUE,"general";"via3",#N/A,TRUE,"general"}</definedName>
    <definedName name="_____y6" hidden="1">{"via1",#N/A,TRUE,"general";"via2",#N/A,TRUE,"general";"via3",#N/A,TRUE,"general"}</definedName>
    <definedName name="_____y7" localSheetId="4" hidden="1">{"via1",#N/A,TRUE,"general";"via2",#N/A,TRUE,"general";"via3",#N/A,TRUE,"general"}</definedName>
    <definedName name="_____y7" localSheetId="9" hidden="1">{"via1",#N/A,TRUE,"general";"via2",#N/A,TRUE,"general";"via3",#N/A,TRUE,"general"}</definedName>
    <definedName name="_____y7" hidden="1">{"via1",#N/A,TRUE,"general";"via2",#N/A,TRUE,"general";"via3",#N/A,TRUE,"general"}</definedName>
    <definedName name="_____y8" localSheetId="4" hidden="1">{"via1",#N/A,TRUE,"general";"via2",#N/A,TRUE,"general";"via3",#N/A,TRUE,"general"}</definedName>
    <definedName name="_____y8" localSheetId="9" hidden="1">{"via1",#N/A,TRUE,"general";"via2",#N/A,TRUE,"general";"via3",#N/A,TRUE,"general"}</definedName>
    <definedName name="_____y8" hidden="1">{"via1",#N/A,TRUE,"general";"via2",#N/A,TRUE,"general";"via3",#N/A,TRUE,"general"}</definedName>
    <definedName name="_____y9" localSheetId="4" hidden="1">{"TAB1",#N/A,TRUE,"GENERAL";"TAB2",#N/A,TRUE,"GENERAL";"TAB3",#N/A,TRUE,"GENERAL";"TAB4",#N/A,TRUE,"GENERAL";"TAB5",#N/A,TRUE,"GENERAL"}</definedName>
    <definedName name="_____y9" localSheetId="9" hidden="1">{"TAB1",#N/A,TRUE,"GENERAL";"TAB2",#N/A,TRUE,"GENERAL";"TAB3",#N/A,TRUE,"GENERAL";"TAB4",#N/A,TRUE,"GENERAL";"TAB5",#N/A,TRUE,"GENERAL"}</definedName>
    <definedName name="_____y9"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9" hidden="1">{"TAB1",#N/A,TRUE,"GENERAL";"TAB2",#N/A,TRUE,"GENERAL";"TAB3",#N/A,TRUE,"GENERAL";"TAB4",#N/A,TRUE,"GENERAL";"TAB5",#N/A,TRUE,"GENERAL"}</definedName>
    <definedName name="_____z1" hidden="1">{"TAB1",#N/A,TRUE,"GENERAL";"TAB2",#N/A,TRUE,"GENERAL";"TAB3",#N/A,TRUE,"GENERAL";"TAB4",#N/A,TRUE,"GENERAL";"TAB5",#N/A,TRUE,"GENERAL"}</definedName>
    <definedName name="_____z2" localSheetId="4" hidden="1">{"via1",#N/A,TRUE,"general";"via2",#N/A,TRUE,"general";"via3",#N/A,TRUE,"general"}</definedName>
    <definedName name="_____z2" localSheetId="9" hidden="1">{"via1",#N/A,TRUE,"general";"via2",#N/A,TRUE,"general";"via3",#N/A,TRUE,"general"}</definedName>
    <definedName name="_____z2" hidden="1">{"via1",#N/A,TRUE,"general";"via2",#N/A,TRUE,"general";"via3",#N/A,TRUE,"general"}</definedName>
    <definedName name="_____z3" localSheetId="4" hidden="1">{"via1",#N/A,TRUE,"general";"via2",#N/A,TRUE,"general";"via3",#N/A,TRUE,"general"}</definedName>
    <definedName name="_____z3" localSheetId="9" hidden="1">{"via1",#N/A,TRUE,"general";"via2",#N/A,TRUE,"general";"via3",#N/A,TRUE,"general"}</definedName>
    <definedName name="_____z3" hidden="1">{"via1",#N/A,TRUE,"general";"via2",#N/A,TRUE,"general";"via3",#N/A,TRUE,"general"}</definedName>
    <definedName name="_____z4" localSheetId="4" hidden="1">{"TAB1",#N/A,TRUE,"GENERAL";"TAB2",#N/A,TRUE,"GENERAL";"TAB3",#N/A,TRUE,"GENERAL";"TAB4",#N/A,TRUE,"GENERAL";"TAB5",#N/A,TRUE,"GENERAL"}</definedName>
    <definedName name="_____z4" localSheetId="9" hidden="1">{"TAB1",#N/A,TRUE,"GENERAL";"TAB2",#N/A,TRUE,"GENERAL";"TAB3",#N/A,TRUE,"GENERAL";"TAB4",#N/A,TRUE,"GENERAL";"TAB5",#N/A,TRUE,"GENERAL"}</definedName>
    <definedName name="_____z4" hidden="1">{"TAB1",#N/A,TRUE,"GENERAL";"TAB2",#N/A,TRUE,"GENERAL";"TAB3",#N/A,TRUE,"GENERAL";"TAB4",#N/A,TRUE,"GENERAL";"TAB5",#N/A,TRUE,"GENERAL"}</definedName>
    <definedName name="_____z5" localSheetId="4" hidden="1">{"via1",#N/A,TRUE,"general";"via2",#N/A,TRUE,"general";"via3",#N/A,TRUE,"general"}</definedName>
    <definedName name="_____z5" localSheetId="9" hidden="1">{"via1",#N/A,TRUE,"general";"via2",#N/A,TRUE,"general";"via3",#N/A,TRUE,"general"}</definedName>
    <definedName name="_____z5" hidden="1">{"via1",#N/A,TRUE,"general";"via2",#N/A,TRUE,"general";"via3",#N/A,TRUE,"general"}</definedName>
    <definedName name="_____z6" localSheetId="4" hidden="1">{"TAB1",#N/A,TRUE,"GENERAL";"TAB2",#N/A,TRUE,"GENERAL";"TAB3",#N/A,TRUE,"GENERAL";"TAB4",#N/A,TRUE,"GENERAL";"TAB5",#N/A,TRUE,"GENERAL"}</definedName>
    <definedName name="_____z6" localSheetId="9" hidden="1">{"TAB1",#N/A,TRUE,"GENERAL";"TAB2",#N/A,TRUE,"GENERAL";"TAB3",#N/A,TRUE,"GENERAL";"TAB4",#N/A,TRUE,"GENERAL";"TAB5",#N/A,TRUE,"GENERAL"}</definedName>
    <definedName name="_____z6" hidden="1">{"TAB1",#N/A,TRUE,"GENERAL";"TAB2",#N/A,TRUE,"GENERAL";"TAB3",#N/A,TRUE,"GENERAL";"TAB4",#N/A,TRUE,"GENERAL";"TAB5",#N/A,TRUE,"GENERAL"}</definedName>
    <definedName name="____a1" localSheetId="4" hidden="1">{"TAB1",#N/A,TRUE,"GENERAL";"TAB2",#N/A,TRUE,"GENERAL";"TAB3",#N/A,TRUE,"GENERAL";"TAB4",#N/A,TRUE,"GENERAL";"TAB5",#N/A,TRUE,"GENERAL"}</definedName>
    <definedName name="____a1" localSheetId="9" hidden="1">{"TAB1",#N/A,TRUE,"GENERAL";"TAB2",#N/A,TRUE,"GENERAL";"TAB3",#N/A,TRUE,"GENERAL";"TAB4",#N/A,TRUE,"GENERAL";"TAB5",#N/A,TRUE,"GENERAL"}</definedName>
    <definedName name="____a1" hidden="1">{"TAB1",#N/A,TRUE,"GENERAL";"TAB2",#N/A,TRUE,"GENERAL";"TAB3",#N/A,TRUE,"GENERAL";"TAB4",#N/A,TRUE,"GENERAL";"TAB5",#N/A,TRUE,"GENERAL"}</definedName>
    <definedName name="____a3" localSheetId="4" hidden="1">{"TAB1",#N/A,TRUE,"GENERAL";"TAB2",#N/A,TRUE,"GENERAL";"TAB3",#N/A,TRUE,"GENERAL";"TAB4",#N/A,TRUE,"GENERAL";"TAB5",#N/A,TRUE,"GENERAL"}</definedName>
    <definedName name="____a3" localSheetId="9" hidden="1">{"TAB1",#N/A,TRUE,"GENERAL";"TAB2",#N/A,TRUE,"GENERAL";"TAB3",#N/A,TRUE,"GENERAL";"TAB4",#N/A,TRUE,"GENERAL";"TAB5",#N/A,TRUE,"GENERAL"}</definedName>
    <definedName name="____a3" hidden="1">{"TAB1",#N/A,TRUE,"GENERAL";"TAB2",#N/A,TRUE,"GENERAL";"TAB3",#N/A,TRUE,"GENERAL";"TAB4",#N/A,TRUE,"GENERAL";"TAB5",#N/A,TRUE,"GENERAL"}</definedName>
    <definedName name="____a4" localSheetId="4" hidden="1">{"via1",#N/A,TRUE,"general";"via2",#N/A,TRUE,"general";"via3",#N/A,TRUE,"general"}</definedName>
    <definedName name="____a4" localSheetId="9" hidden="1">{"via1",#N/A,TRUE,"general";"via2",#N/A,TRUE,"general";"via3",#N/A,TRUE,"general"}</definedName>
    <definedName name="____a4" hidden="1">{"via1",#N/A,TRUE,"general";"via2",#N/A,TRUE,"general";"via3",#N/A,TRUE,"general"}</definedName>
    <definedName name="____a5" localSheetId="4" hidden="1">{"TAB1",#N/A,TRUE,"GENERAL";"TAB2",#N/A,TRUE,"GENERAL";"TAB3",#N/A,TRUE,"GENERAL";"TAB4",#N/A,TRUE,"GENERAL";"TAB5",#N/A,TRUE,"GENERAL"}</definedName>
    <definedName name="____a5" localSheetId="9" hidden="1">{"TAB1",#N/A,TRUE,"GENERAL";"TAB2",#N/A,TRUE,"GENERAL";"TAB3",#N/A,TRUE,"GENERAL";"TAB4",#N/A,TRUE,"GENERAL";"TAB5",#N/A,TRUE,"GENERAL"}</definedName>
    <definedName name="____a5"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9" hidden="1">{"TAB1",#N/A,TRUE,"GENERAL";"TAB2",#N/A,TRUE,"GENERAL";"TAB3",#N/A,TRUE,"GENERAL";"TAB4",#N/A,TRUE,"GENERAL";"TAB5",#N/A,TRUE,"GENERAL"}</definedName>
    <definedName name="____a6" hidden="1">{"TAB1",#N/A,TRUE,"GENERAL";"TAB2",#N/A,TRUE,"GENERAL";"TAB3",#N/A,TRUE,"GENERAL";"TAB4",#N/A,TRUE,"GENERAL";"TAB5",#N/A,TRUE,"GENERAL"}</definedName>
    <definedName name="____aiu2">[4]AIU!$J$105</definedName>
    <definedName name="____b2" localSheetId="4" hidden="1">{"TAB1",#N/A,TRUE,"GENERAL";"TAB2",#N/A,TRUE,"GENERAL";"TAB3",#N/A,TRUE,"GENERAL";"TAB4",#N/A,TRUE,"GENERAL";"TAB5",#N/A,TRUE,"GENERAL"}</definedName>
    <definedName name="____b2" localSheetId="9" hidden="1">{"TAB1",#N/A,TRUE,"GENERAL";"TAB2",#N/A,TRUE,"GENERAL";"TAB3",#N/A,TRUE,"GENERAL";"TAB4",#N/A,TRUE,"GENERAL";"TAB5",#N/A,TRUE,"GENERAL"}</definedName>
    <definedName name="____b2"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9" hidden="1">{"TAB1",#N/A,TRUE,"GENERAL";"TAB2",#N/A,TRUE,"GENERAL";"TAB3",#N/A,TRUE,"GENERAL";"TAB4",#N/A,TRUE,"GENERAL";"TAB5",#N/A,TRUE,"GENERAL"}</definedName>
    <definedName name="____b3"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9" hidden="1">{"TAB1",#N/A,TRUE,"GENERAL";"TAB2",#N/A,TRUE,"GENERAL";"TAB3",#N/A,TRUE,"GENERAL";"TAB4",#N/A,TRUE,"GENERAL";"TAB5",#N/A,TRUE,"GENERAL"}</definedName>
    <definedName name="____b4"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9" hidden="1">{"TAB1",#N/A,TRUE,"GENERAL";"TAB2",#N/A,TRUE,"GENERAL";"TAB3",#N/A,TRUE,"GENERAL";"TAB4",#N/A,TRUE,"GENERAL";"TAB5",#N/A,TRUE,"GENERAL"}</definedName>
    <definedName name="____b5"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9" hidden="1">{"TAB1",#N/A,TRUE,"GENERAL";"TAB2",#N/A,TRUE,"GENERAL";"TAB3",#N/A,TRUE,"GENERAL";"TAB4",#N/A,TRUE,"GENERAL";"TAB5",#N/A,TRUE,"GENERAL"}</definedName>
    <definedName name="____b6" hidden="1">{"TAB1",#N/A,TRUE,"GENERAL";"TAB2",#N/A,TRUE,"GENERAL";"TAB3",#N/A,TRUE,"GENERAL";"TAB4",#N/A,TRUE,"GENERAL";"TAB5",#N/A,TRUE,"GENERAL"}</definedName>
    <definedName name="____b7" localSheetId="4" hidden="1">{"via1",#N/A,TRUE,"general";"via2",#N/A,TRUE,"general";"via3",#N/A,TRUE,"general"}</definedName>
    <definedName name="____b7" localSheetId="9" hidden="1">{"via1",#N/A,TRUE,"general";"via2",#N/A,TRUE,"general";"via3",#N/A,TRUE,"general"}</definedName>
    <definedName name="____b7" hidden="1">{"via1",#N/A,TRUE,"general";"via2",#N/A,TRUE,"general";"via3",#N/A,TRUE,"general"}</definedName>
    <definedName name="____b8" localSheetId="4" hidden="1">{"via1",#N/A,TRUE,"general";"via2",#N/A,TRUE,"general";"via3",#N/A,TRUE,"general"}</definedName>
    <definedName name="____b8" localSheetId="9" hidden="1">{"via1",#N/A,TRUE,"general";"via2",#N/A,TRUE,"general";"via3",#N/A,TRUE,"general"}</definedName>
    <definedName name="____b8" hidden="1">{"via1",#N/A,TRUE,"general";"via2",#N/A,TRUE,"general";"via3",#N/A,TRUE,"general"}</definedName>
    <definedName name="____bb9" localSheetId="4" hidden="1">{"TAB1",#N/A,TRUE,"GENERAL";"TAB2",#N/A,TRUE,"GENERAL";"TAB3",#N/A,TRUE,"GENERAL";"TAB4",#N/A,TRUE,"GENERAL";"TAB5",#N/A,TRUE,"GENERAL"}</definedName>
    <definedName name="____bb9" localSheetId="9" hidden="1">{"TAB1",#N/A,TRUE,"GENERAL";"TAB2",#N/A,TRUE,"GENERAL";"TAB3",#N/A,TRUE,"GENERAL";"TAB4",#N/A,TRUE,"GENERAL";"TAB5",#N/A,TRUE,"GENERAL"}</definedName>
    <definedName name="____bb9"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9" hidden="1">{"TAB1",#N/A,TRUE,"GENERAL";"TAB2",#N/A,TRUE,"GENERAL";"TAB3",#N/A,TRUE,"GENERAL";"TAB4",#N/A,TRUE,"GENERAL";"TAB5",#N/A,TRUE,"GENERAL"}</definedName>
    <definedName name="____bgb5" hidden="1">{"TAB1",#N/A,TRUE,"GENERAL";"TAB2",#N/A,TRUE,"GENERAL";"TAB3",#N/A,TRUE,"GENERAL";"TAB4",#N/A,TRUE,"GENERAL";"TAB5",#N/A,TRUE,"GENERAL"}</definedName>
    <definedName name="____COD1" localSheetId="4">#REF!</definedName>
    <definedName name="____COD1">#REF!</definedName>
    <definedName name="____EST1" localSheetId="4">#REF!</definedName>
    <definedName name="____EST1">#REF!</definedName>
    <definedName name="____EST10" localSheetId="4">#REF!</definedName>
    <definedName name="____EST10">#REF!</definedName>
    <definedName name="____EST11" localSheetId="4">#REF!</definedName>
    <definedName name="____EST11">#REF!</definedName>
    <definedName name="____EST12" localSheetId="4">#REF!</definedName>
    <definedName name="____EST12">#REF!</definedName>
    <definedName name="____EST13" localSheetId="4">#REF!</definedName>
    <definedName name="____EST13">#REF!</definedName>
    <definedName name="____EST14" localSheetId="4">#REF!</definedName>
    <definedName name="____EST14">#REF!</definedName>
    <definedName name="____EST15" localSheetId="4">#REF!</definedName>
    <definedName name="____EST15">#REF!</definedName>
    <definedName name="____EST16" localSheetId="4">#REF!</definedName>
    <definedName name="____EST16">#REF!</definedName>
    <definedName name="____EST17" localSheetId="4">#REF!</definedName>
    <definedName name="____EST17">#REF!</definedName>
    <definedName name="____EST18" localSheetId="4">#REF!</definedName>
    <definedName name="____EST18">#REF!</definedName>
    <definedName name="____EST19" localSheetId="4">#REF!</definedName>
    <definedName name="____EST19">#REF!</definedName>
    <definedName name="____EST2" localSheetId="4">#REF!</definedName>
    <definedName name="____EST2">#REF!</definedName>
    <definedName name="____EST3" localSheetId="4">#REF!</definedName>
    <definedName name="____EST3">#REF!</definedName>
    <definedName name="____EST4" localSheetId="4">#REF!</definedName>
    <definedName name="____EST4">#REF!</definedName>
    <definedName name="____EST5" localSheetId="4">#REF!</definedName>
    <definedName name="____EST5">#REF!</definedName>
    <definedName name="____EST6" localSheetId="4">#REF!</definedName>
    <definedName name="____EST6">#REF!</definedName>
    <definedName name="____EST7" localSheetId="4">#REF!</definedName>
    <definedName name="____EST7">#REF!</definedName>
    <definedName name="____EST8" localSheetId="4">#REF!</definedName>
    <definedName name="____EST8">#REF!</definedName>
    <definedName name="____EST9" localSheetId="4">#REF!</definedName>
    <definedName name="____EST9">#REF!</definedName>
    <definedName name="____EXC1" localSheetId="4">#REF!</definedName>
    <definedName name="____EXC1">#REF!</definedName>
    <definedName name="____EXC10" localSheetId="4">#REF!</definedName>
    <definedName name="____EXC10">#REF!</definedName>
    <definedName name="____EXC11" localSheetId="4">#REF!</definedName>
    <definedName name="____EXC11">#REF!</definedName>
    <definedName name="____EXC12" localSheetId="4">#REF!</definedName>
    <definedName name="____EXC12">#REF!</definedName>
    <definedName name="____EXC2" localSheetId="4">#REF!</definedName>
    <definedName name="____EXC2">#REF!</definedName>
    <definedName name="____EXC3" localSheetId="4">#REF!</definedName>
    <definedName name="____EXC3">#REF!</definedName>
    <definedName name="____EXC4" localSheetId="4">#REF!</definedName>
    <definedName name="____EXC4">#REF!</definedName>
    <definedName name="____EXC5" localSheetId="4">#REF!</definedName>
    <definedName name="____EXC5">#REF!</definedName>
    <definedName name="____EXC6" localSheetId="4">#REF!</definedName>
    <definedName name="____EXC6">#REF!</definedName>
    <definedName name="____EXC7" localSheetId="4">#REF!</definedName>
    <definedName name="____EXC7">#REF!</definedName>
    <definedName name="____EXC8" localSheetId="4">#REF!</definedName>
    <definedName name="____EXC8">#REF!</definedName>
    <definedName name="____EXC9" localSheetId="4">#REF!</definedName>
    <definedName name="____EXC9">#REF!</definedName>
    <definedName name="____FOR1">#REF!</definedName>
    <definedName name="____g2" localSheetId="4" hidden="1">{"TAB1",#N/A,TRUE,"GENERAL";"TAB2",#N/A,TRUE,"GENERAL";"TAB3",#N/A,TRUE,"GENERAL";"TAB4",#N/A,TRUE,"GENERAL";"TAB5",#N/A,TRUE,"GENERAL"}</definedName>
    <definedName name="____g2" localSheetId="9" hidden="1">{"TAB1",#N/A,TRUE,"GENERAL";"TAB2",#N/A,TRUE,"GENERAL";"TAB3",#N/A,TRUE,"GENERAL";"TAB4",#N/A,TRUE,"GENERAL";"TAB5",#N/A,TRUE,"GENERAL"}</definedName>
    <definedName name="____g2" hidden="1">{"TAB1",#N/A,TRUE,"GENERAL";"TAB2",#N/A,TRUE,"GENERAL";"TAB3",#N/A,TRUE,"GENERAL";"TAB4",#N/A,TRUE,"GENERAL";"TAB5",#N/A,TRUE,"GENERAL"}</definedName>
    <definedName name="____g3" localSheetId="4" hidden="1">{"via1",#N/A,TRUE,"general";"via2",#N/A,TRUE,"general";"via3",#N/A,TRUE,"general"}</definedName>
    <definedName name="____g3" localSheetId="9" hidden="1">{"via1",#N/A,TRUE,"general";"via2",#N/A,TRUE,"general";"via3",#N/A,TRUE,"general"}</definedName>
    <definedName name="____g3" hidden="1">{"via1",#N/A,TRUE,"general";"via2",#N/A,TRUE,"general";"via3",#N/A,TRUE,"general"}</definedName>
    <definedName name="____g4" localSheetId="4" hidden="1">{"via1",#N/A,TRUE,"general";"via2",#N/A,TRUE,"general";"via3",#N/A,TRUE,"general"}</definedName>
    <definedName name="____g4" localSheetId="9" hidden="1">{"via1",#N/A,TRUE,"general";"via2",#N/A,TRUE,"general";"via3",#N/A,TRUE,"general"}</definedName>
    <definedName name="____g4" hidden="1">{"via1",#N/A,TRUE,"general";"via2",#N/A,TRUE,"general";"via3",#N/A,TRUE,"general"}</definedName>
    <definedName name="____g5" localSheetId="4" hidden="1">{"via1",#N/A,TRUE,"general";"via2",#N/A,TRUE,"general";"via3",#N/A,TRUE,"general"}</definedName>
    <definedName name="____g5" localSheetId="9" hidden="1">{"via1",#N/A,TRUE,"general";"via2",#N/A,TRUE,"general";"via3",#N/A,TRUE,"general"}</definedName>
    <definedName name="____g5" hidden="1">{"via1",#N/A,TRUE,"general";"via2",#N/A,TRUE,"general";"via3",#N/A,TRUE,"general"}</definedName>
    <definedName name="____g6" localSheetId="4" hidden="1">{"via1",#N/A,TRUE,"general";"via2",#N/A,TRUE,"general";"via3",#N/A,TRUE,"general"}</definedName>
    <definedName name="____g6" localSheetId="9" hidden="1">{"via1",#N/A,TRUE,"general";"via2",#N/A,TRUE,"general";"via3",#N/A,TRUE,"general"}</definedName>
    <definedName name="____g6" hidden="1">{"via1",#N/A,TRUE,"general";"via2",#N/A,TRUE,"general";"via3",#N/A,TRUE,"general"}</definedName>
    <definedName name="____g7" localSheetId="4" hidden="1">{"TAB1",#N/A,TRUE,"GENERAL";"TAB2",#N/A,TRUE,"GENERAL";"TAB3",#N/A,TRUE,"GENERAL";"TAB4",#N/A,TRUE,"GENERAL";"TAB5",#N/A,TRUE,"GENERAL"}</definedName>
    <definedName name="____g7" localSheetId="9" hidden="1">{"TAB1",#N/A,TRUE,"GENERAL";"TAB2",#N/A,TRUE,"GENERAL";"TAB3",#N/A,TRUE,"GENERAL";"TAB4",#N/A,TRUE,"GENERAL";"TAB5",#N/A,TRUE,"GENERAL"}</definedName>
    <definedName name="____g7"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9" hidden="1">{"TAB1",#N/A,TRUE,"GENERAL";"TAB2",#N/A,TRUE,"GENERAL";"TAB3",#N/A,TRUE,"GENERAL";"TAB4",#N/A,TRUE,"GENERAL";"TAB5",#N/A,TRUE,"GENERAL"}</definedName>
    <definedName name="____GR1" hidden="1">{"TAB1",#N/A,TRUE,"GENERAL";"TAB2",#N/A,TRUE,"GENERAL";"TAB3",#N/A,TRUE,"GENERAL";"TAB4",#N/A,TRUE,"GENERAL";"TAB5",#N/A,TRUE,"GENERAL"}</definedName>
    <definedName name="____gtr4" localSheetId="4" hidden="1">{"via1",#N/A,TRUE,"general";"via2",#N/A,TRUE,"general";"via3",#N/A,TRUE,"general"}</definedName>
    <definedName name="____gtr4" localSheetId="9" hidden="1">{"via1",#N/A,TRUE,"general";"via2",#N/A,TRUE,"general";"via3",#N/A,TRUE,"general"}</definedName>
    <definedName name="____gtr4" hidden="1">{"via1",#N/A,TRUE,"general";"via2",#N/A,TRUE,"general";"via3",#N/A,TRUE,"general"}</definedName>
    <definedName name="____h2" localSheetId="4" hidden="1">{"via1",#N/A,TRUE,"general";"via2",#N/A,TRUE,"general";"via3",#N/A,TRUE,"general"}</definedName>
    <definedName name="____h2" localSheetId="9" hidden="1">{"via1",#N/A,TRUE,"general";"via2",#N/A,TRUE,"general";"via3",#N/A,TRUE,"general"}</definedName>
    <definedName name="____h2" hidden="1">{"via1",#N/A,TRUE,"general";"via2",#N/A,TRUE,"general";"via3",#N/A,TRUE,"general"}</definedName>
    <definedName name="____h3" localSheetId="4" hidden="1">{"via1",#N/A,TRUE,"general";"via2",#N/A,TRUE,"general";"via3",#N/A,TRUE,"general"}</definedName>
    <definedName name="____h3" localSheetId="9" hidden="1">{"via1",#N/A,TRUE,"general";"via2",#N/A,TRUE,"general";"via3",#N/A,TRUE,"general"}</definedName>
    <definedName name="____h3" hidden="1">{"via1",#N/A,TRUE,"general";"via2",#N/A,TRUE,"general";"via3",#N/A,TRUE,"general"}</definedName>
    <definedName name="____h4" localSheetId="4" hidden="1">{"TAB1",#N/A,TRUE,"GENERAL";"TAB2",#N/A,TRUE,"GENERAL";"TAB3",#N/A,TRUE,"GENERAL";"TAB4",#N/A,TRUE,"GENERAL";"TAB5",#N/A,TRUE,"GENERAL"}</definedName>
    <definedName name="____h4" localSheetId="9" hidden="1">{"TAB1",#N/A,TRUE,"GENERAL";"TAB2",#N/A,TRUE,"GENERAL";"TAB3",#N/A,TRUE,"GENERAL";"TAB4",#N/A,TRUE,"GENERAL";"TAB5",#N/A,TRUE,"GENERAL"}</definedName>
    <definedName name="____h4"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9" hidden="1">{"TAB1",#N/A,TRUE,"GENERAL";"TAB2",#N/A,TRUE,"GENERAL";"TAB3",#N/A,TRUE,"GENERAL";"TAB4",#N/A,TRUE,"GENERAL";"TAB5",#N/A,TRUE,"GENERAL"}</definedName>
    <definedName name="____h5" hidden="1">{"TAB1",#N/A,TRUE,"GENERAL";"TAB2",#N/A,TRUE,"GENERAL";"TAB3",#N/A,TRUE,"GENERAL";"TAB4",#N/A,TRUE,"GENERAL";"TAB5",#N/A,TRUE,"GENERAL"}</definedName>
    <definedName name="____h6" localSheetId="4" hidden="1">{"via1",#N/A,TRUE,"general";"via2",#N/A,TRUE,"general";"via3",#N/A,TRUE,"general"}</definedName>
    <definedName name="____h6" localSheetId="9" hidden="1">{"via1",#N/A,TRUE,"general";"via2",#N/A,TRUE,"general";"via3",#N/A,TRUE,"general"}</definedName>
    <definedName name="____h6" hidden="1">{"via1",#N/A,TRUE,"general";"via2",#N/A,TRUE,"general";"via3",#N/A,TRUE,"general"}</definedName>
    <definedName name="____h7" localSheetId="4" hidden="1">{"TAB1",#N/A,TRUE,"GENERAL";"TAB2",#N/A,TRUE,"GENERAL";"TAB3",#N/A,TRUE,"GENERAL";"TAB4",#N/A,TRUE,"GENERAL";"TAB5",#N/A,TRUE,"GENERAL"}</definedName>
    <definedName name="____h7" localSheetId="9" hidden="1">{"TAB1",#N/A,TRUE,"GENERAL";"TAB2",#N/A,TRUE,"GENERAL";"TAB3",#N/A,TRUE,"GENERAL";"TAB4",#N/A,TRUE,"GENERAL";"TAB5",#N/A,TRUE,"GENERAL"}</definedName>
    <definedName name="____h7" hidden="1">{"TAB1",#N/A,TRUE,"GENERAL";"TAB2",#N/A,TRUE,"GENERAL";"TAB3",#N/A,TRUE,"GENERAL";"TAB4",#N/A,TRUE,"GENERAL";"TAB5",#N/A,TRUE,"GENERAL"}</definedName>
    <definedName name="____h8" localSheetId="4" hidden="1">{"via1",#N/A,TRUE,"general";"via2",#N/A,TRUE,"general";"via3",#N/A,TRUE,"general"}</definedName>
    <definedName name="____h8" localSheetId="9" hidden="1">{"via1",#N/A,TRUE,"general";"via2",#N/A,TRUE,"general";"via3",#N/A,TRUE,"general"}</definedName>
    <definedName name="____h8" hidden="1">{"via1",#N/A,TRUE,"general";"via2",#N/A,TRUE,"general";"via3",#N/A,TRUE,"general"}</definedName>
    <definedName name="____hfh7" localSheetId="4" hidden="1">{"via1",#N/A,TRUE,"general";"via2",#N/A,TRUE,"general";"via3",#N/A,TRUE,"general"}</definedName>
    <definedName name="____hfh7" localSheetId="9" hidden="1">{"via1",#N/A,TRUE,"general";"via2",#N/A,TRUE,"general";"via3",#N/A,TRUE,"general"}</definedName>
    <definedName name="____hfh7" hidden="1">{"via1",#N/A,TRUE,"general";"via2",#N/A,TRUE,"general";"via3",#N/A,TRUE,"general"}</definedName>
    <definedName name="____i4" localSheetId="4" hidden="1">{"via1",#N/A,TRUE,"general";"via2",#N/A,TRUE,"general";"via3",#N/A,TRUE,"general"}</definedName>
    <definedName name="____i4" localSheetId="9" hidden="1">{"via1",#N/A,TRUE,"general";"via2",#N/A,TRUE,"general";"via3",#N/A,TRUE,"general"}</definedName>
    <definedName name="____i4" hidden="1">{"via1",#N/A,TRUE,"general";"via2",#N/A,TRUE,"general";"via3",#N/A,TRUE,"general"}</definedName>
    <definedName name="____i5" localSheetId="4" hidden="1">{"TAB1",#N/A,TRUE,"GENERAL";"TAB2",#N/A,TRUE,"GENERAL";"TAB3",#N/A,TRUE,"GENERAL";"TAB4",#N/A,TRUE,"GENERAL";"TAB5",#N/A,TRUE,"GENERAL"}</definedName>
    <definedName name="____i5" localSheetId="9" hidden="1">{"TAB1",#N/A,TRUE,"GENERAL";"TAB2",#N/A,TRUE,"GENERAL";"TAB3",#N/A,TRUE,"GENERAL";"TAB4",#N/A,TRUE,"GENERAL";"TAB5",#N/A,TRUE,"GENERAL"}</definedName>
    <definedName name="____i5"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9" hidden="1">{"TAB1",#N/A,TRUE,"GENERAL";"TAB2",#N/A,TRUE,"GENERAL";"TAB3",#N/A,TRUE,"GENERAL";"TAB4",#N/A,TRUE,"GENERAL";"TAB5",#N/A,TRUE,"GENERAL"}</definedName>
    <definedName name="____i6" hidden="1">{"TAB1",#N/A,TRUE,"GENERAL";"TAB2",#N/A,TRUE,"GENERAL";"TAB3",#N/A,TRUE,"GENERAL";"TAB4",#N/A,TRUE,"GENERAL";"TAB5",#N/A,TRUE,"GENERAL"}</definedName>
    <definedName name="____i7" localSheetId="4" hidden="1">{"via1",#N/A,TRUE,"general";"via2",#N/A,TRUE,"general";"via3",#N/A,TRUE,"general"}</definedName>
    <definedName name="____i7" localSheetId="9" hidden="1">{"via1",#N/A,TRUE,"general";"via2",#N/A,TRUE,"general";"via3",#N/A,TRUE,"general"}</definedName>
    <definedName name="____i7" hidden="1">{"via1",#N/A,TRUE,"general";"via2",#N/A,TRUE,"general";"via3",#N/A,TRUE,"general"}</definedName>
    <definedName name="____i77" localSheetId="4" hidden="1">{"TAB1",#N/A,TRUE,"GENERAL";"TAB2",#N/A,TRUE,"GENERAL";"TAB3",#N/A,TRUE,"GENERAL";"TAB4",#N/A,TRUE,"GENERAL";"TAB5",#N/A,TRUE,"GENERAL"}</definedName>
    <definedName name="____i77" localSheetId="9" hidden="1">{"TAB1",#N/A,TRUE,"GENERAL";"TAB2",#N/A,TRUE,"GENERAL";"TAB3",#N/A,TRUE,"GENERAL";"TAB4",#N/A,TRUE,"GENERAL";"TAB5",#N/A,TRUE,"GENERAL"}</definedName>
    <definedName name="____i77" hidden="1">{"TAB1",#N/A,TRUE,"GENERAL";"TAB2",#N/A,TRUE,"GENERAL";"TAB3",#N/A,TRUE,"GENERAL";"TAB4",#N/A,TRUE,"GENERAL";"TAB5",#N/A,TRUE,"GENERAL"}</definedName>
    <definedName name="____i8" localSheetId="4" hidden="1">{"via1",#N/A,TRUE,"general";"via2",#N/A,TRUE,"general";"via3",#N/A,TRUE,"general"}</definedName>
    <definedName name="____i8" localSheetId="9" hidden="1">{"via1",#N/A,TRUE,"general";"via2",#N/A,TRUE,"general";"via3",#N/A,TRUE,"general"}</definedName>
    <definedName name="____i8" hidden="1">{"via1",#N/A,TRUE,"general";"via2",#N/A,TRUE,"general";"via3",#N/A,TRUE,"general"}</definedName>
    <definedName name="____i9" localSheetId="4" hidden="1">{"TAB1",#N/A,TRUE,"GENERAL";"TAB2",#N/A,TRUE,"GENERAL";"TAB3",#N/A,TRUE,"GENERAL";"TAB4",#N/A,TRUE,"GENERAL";"TAB5",#N/A,TRUE,"GENERAL"}</definedName>
    <definedName name="____i9" localSheetId="9" hidden="1">{"TAB1",#N/A,TRUE,"GENERAL";"TAB2",#N/A,TRUE,"GENERAL";"TAB3",#N/A,TRUE,"GENERAL";"TAB4",#N/A,TRUE,"GENERAL";"TAB5",#N/A,TRUE,"GENERAL"}</definedName>
    <definedName name="____i9" hidden="1">{"TAB1",#N/A,TRUE,"GENERAL";"TAB2",#N/A,TRUE,"GENERAL";"TAB3",#N/A,TRUE,"GENERAL";"TAB4",#N/A,TRUE,"GENERAL";"TAB5",#N/A,TRUE,"GENERAL"}</definedName>
    <definedName name="____k3" localSheetId="4" hidden="1">{"TAB1",#N/A,TRUE,"GENERAL";"TAB2",#N/A,TRUE,"GENERAL";"TAB3",#N/A,TRUE,"GENERAL";"TAB4",#N/A,TRUE,"GENERAL";"TAB5",#N/A,TRUE,"GENERAL"}</definedName>
    <definedName name="____k3" localSheetId="9" hidden="1">{"TAB1",#N/A,TRUE,"GENERAL";"TAB2",#N/A,TRUE,"GENERAL";"TAB3",#N/A,TRUE,"GENERAL";"TAB4",#N/A,TRUE,"GENERAL";"TAB5",#N/A,TRUE,"GENERAL"}</definedName>
    <definedName name="____k3" hidden="1">{"TAB1",#N/A,TRUE,"GENERAL";"TAB2",#N/A,TRUE,"GENERAL";"TAB3",#N/A,TRUE,"GENERAL";"TAB4",#N/A,TRUE,"GENERAL";"TAB5",#N/A,TRUE,"GENERAL"}</definedName>
    <definedName name="____k4" localSheetId="4" hidden="1">{"via1",#N/A,TRUE,"general";"via2",#N/A,TRUE,"general";"via3",#N/A,TRUE,"general"}</definedName>
    <definedName name="____k4" localSheetId="9" hidden="1">{"via1",#N/A,TRUE,"general";"via2",#N/A,TRUE,"general";"via3",#N/A,TRUE,"general"}</definedName>
    <definedName name="____k4" hidden="1">{"via1",#N/A,TRUE,"general";"via2",#N/A,TRUE,"general";"via3",#N/A,TRUE,"general"}</definedName>
    <definedName name="____k5" localSheetId="4" hidden="1">{"via1",#N/A,TRUE,"general";"via2",#N/A,TRUE,"general";"via3",#N/A,TRUE,"general"}</definedName>
    <definedName name="____k5" localSheetId="9" hidden="1">{"via1",#N/A,TRUE,"general";"via2",#N/A,TRUE,"general";"via3",#N/A,TRUE,"general"}</definedName>
    <definedName name="____k5" hidden="1">{"via1",#N/A,TRUE,"general";"via2",#N/A,TRUE,"general";"via3",#N/A,TRUE,"general"}</definedName>
    <definedName name="____k6" localSheetId="4" hidden="1">{"TAB1",#N/A,TRUE,"GENERAL";"TAB2",#N/A,TRUE,"GENERAL";"TAB3",#N/A,TRUE,"GENERAL";"TAB4",#N/A,TRUE,"GENERAL";"TAB5",#N/A,TRUE,"GENERAL"}</definedName>
    <definedName name="____k6" localSheetId="9" hidden="1">{"TAB1",#N/A,TRUE,"GENERAL";"TAB2",#N/A,TRUE,"GENERAL";"TAB3",#N/A,TRUE,"GENERAL";"TAB4",#N/A,TRUE,"GENERAL";"TAB5",#N/A,TRUE,"GENERAL"}</definedName>
    <definedName name="____k6" hidden="1">{"TAB1",#N/A,TRUE,"GENERAL";"TAB2",#N/A,TRUE,"GENERAL";"TAB3",#N/A,TRUE,"GENERAL";"TAB4",#N/A,TRUE,"GENERAL";"TAB5",#N/A,TRUE,"GENERAL"}</definedName>
    <definedName name="____k7" localSheetId="4" hidden="1">{"via1",#N/A,TRUE,"general";"via2",#N/A,TRUE,"general";"via3",#N/A,TRUE,"general"}</definedName>
    <definedName name="____k7" localSheetId="9" hidden="1">{"via1",#N/A,TRUE,"general";"via2",#N/A,TRUE,"general";"via3",#N/A,TRUE,"general"}</definedName>
    <definedName name="____k7" hidden="1">{"via1",#N/A,TRUE,"general";"via2",#N/A,TRUE,"general";"via3",#N/A,TRUE,"general"}</definedName>
    <definedName name="____k8" localSheetId="4" hidden="1">{"via1",#N/A,TRUE,"general";"via2",#N/A,TRUE,"general";"via3",#N/A,TRUE,"general"}</definedName>
    <definedName name="____k8" localSheetId="9" hidden="1">{"via1",#N/A,TRUE,"general";"via2",#N/A,TRUE,"general";"via3",#N/A,TRUE,"general"}</definedName>
    <definedName name="____k8" hidden="1">{"via1",#N/A,TRUE,"general";"via2",#N/A,TRUE,"general";"via3",#N/A,TRUE,"general"}</definedName>
    <definedName name="____k9" localSheetId="4" hidden="1">{"TAB1",#N/A,TRUE,"GENERAL";"TAB2",#N/A,TRUE,"GENERAL";"TAB3",#N/A,TRUE,"GENERAL";"TAB4",#N/A,TRUE,"GENERAL";"TAB5",#N/A,TRUE,"GENERAL"}</definedName>
    <definedName name="____k9" localSheetId="9" hidden="1">{"TAB1",#N/A,TRUE,"GENERAL";"TAB2",#N/A,TRUE,"GENERAL";"TAB3",#N/A,TRUE,"GENERAL";"TAB4",#N/A,TRUE,"GENERAL";"TAB5",#N/A,TRUE,"GENERAL"}</definedName>
    <definedName name="____k9"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9" hidden="1">{"TAB1",#N/A,TRUE,"GENERAL";"TAB2",#N/A,TRUE,"GENERAL";"TAB3",#N/A,TRUE,"GENERAL";"TAB4",#N/A,TRUE,"GENERAL";"TAB5",#N/A,TRUE,"GENERAL"}</definedName>
    <definedName name="____kjk6" hidden="1">{"TAB1",#N/A,TRUE,"GENERAL";"TAB2",#N/A,TRUE,"GENERAL";"TAB3",#N/A,TRUE,"GENERAL";"TAB4",#N/A,TRUE,"GENERAL";"TAB5",#N/A,TRUE,"GENERAL"}</definedName>
    <definedName name="____m3" localSheetId="4" hidden="1">{"via1",#N/A,TRUE,"general";"via2",#N/A,TRUE,"general";"via3",#N/A,TRUE,"general"}</definedName>
    <definedName name="____m3" localSheetId="9" hidden="1">{"via1",#N/A,TRUE,"general";"via2",#N/A,TRUE,"general";"via3",#N/A,TRUE,"general"}</definedName>
    <definedName name="____m3" hidden="1">{"via1",#N/A,TRUE,"general";"via2",#N/A,TRUE,"general";"via3",#N/A,TRUE,"general"}</definedName>
    <definedName name="____m4" localSheetId="4" hidden="1">{"TAB1",#N/A,TRUE,"GENERAL";"TAB2",#N/A,TRUE,"GENERAL";"TAB3",#N/A,TRUE,"GENERAL";"TAB4",#N/A,TRUE,"GENERAL";"TAB5",#N/A,TRUE,"GENERAL"}</definedName>
    <definedName name="____m4" localSheetId="9" hidden="1">{"TAB1",#N/A,TRUE,"GENERAL";"TAB2",#N/A,TRUE,"GENERAL";"TAB3",#N/A,TRUE,"GENERAL";"TAB4",#N/A,TRUE,"GENERAL";"TAB5",#N/A,TRUE,"GENERAL"}</definedName>
    <definedName name="____m4" hidden="1">{"TAB1",#N/A,TRUE,"GENERAL";"TAB2",#N/A,TRUE,"GENERAL";"TAB3",#N/A,TRUE,"GENERAL";"TAB4",#N/A,TRUE,"GENERAL";"TAB5",#N/A,TRUE,"GENERAL"}</definedName>
    <definedName name="____m5" localSheetId="4" hidden="1">{"via1",#N/A,TRUE,"general";"via2",#N/A,TRUE,"general";"via3",#N/A,TRUE,"general"}</definedName>
    <definedName name="____m5" localSheetId="9" hidden="1">{"via1",#N/A,TRUE,"general";"via2",#N/A,TRUE,"general";"via3",#N/A,TRUE,"general"}</definedName>
    <definedName name="____m5" hidden="1">{"via1",#N/A,TRUE,"general";"via2",#N/A,TRUE,"general";"via3",#N/A,TRUE,"general"}</definedName>
    <definedName name="____m6" localSheetId="4" hidden="1">{"TAB1",#N/A,TRUE,"GENERAL";"TAB2",#N/A,TRUE,"GENERAL";"TAB3",#N/A,TRUE,"GENERAL";"TAB4",#N/A,TRUE,"GENERAL";"TAB5",#N/A,TRUE,"GENERAL"}</definedName>
    <definedName name="____m6" localSheetId="9" hidden="1">{"TAB1",#N/A,TRUE,"GENERAL";"TAB2",#N/A,TRUE,"GENERAL";"TAB3",#N/A,TRUE,"GENERAL";"TAB4",#N/A,TRUE,"GENERAL";"TAB5",#N/A,TRUE,"GENERAL"}</definedName>
    <definedName name="____m6"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9" hidden="1">{"TAB1",#N/A,TRUE,"GENERAL";"TAB2",#N/A,TRUE,"GENERAL";"TAB3",#N/A,TRUE,"GENERAL";"TAB4",#N/A,TRUE,"GENERAL";"TAB5",#N/A,TRUE,"GENERAL"}</definedName>
    <definedName name="____m7" hidden="1">{"TAB1",#N/A,TRUE,"GENERAL";"TAB2",#N/A,TRUE,"GENERAL";"TAB3",#N/A,TRUE,"GENERAL";"TAB4",#N/A,TRUE,"GENERAL";"TAB5",#N/A,TRUE,"GENERAL"}</definedName>
    <definedName name="____m8" localSheetId="4" hidden="1">{"via1",#N/A,TRUE,"general";"via2",#N/A,TRUE,"general";"via3",#N/A,TRUE,"general"}</definedName>
    <definedName name="____m8" localSheetId="9" hidden="1">{"via1",#N/A,TRUE,"general";"via2",#N/A,TRUE,"general";"via3",#N/A,TRUE,"general"}</definedName>
    <definedName name="____m8" hidden="1">{"via1",#N/A,TRUE,"general";"via2",#N/A,TRUE,"general";"via3",#N/A,TRUE,"general"}</definedName>
    <definedName name="____m9" localSheetId="4" hidden="1">{"via1",#N/A,TRUE,"general";"via2",#N/A,TRUE,"general";"via3",#N/A,TRUE,"general"}</definedName>
    <definedName name="____m9" localSheetId="9" hidden="1">{"via1",#N/A,TRUE,"general";"via2",#N/A,TRUE,"general";"via3",#N/A,TRUE,"general"}</definedName>
    <definedName name="____m9" hidden="1">{"via1",#N/A,TRUE,"general";"via2",#N/A,TRUE,"general";"via3",#N/A,TRUE,"general"}</definedName>
    <definedName name="____n3" localSheetId="4" hidden="1">{"TAB1",#N/A,TRUE,"GENERAL";"TAB2",#N/A,TRUE,"GENERAL";"TAB3",#N/A,TRUE,"GENERAL";"TAB4",#N/A,TRUE,"GENERAL";"TAB5",#N/A,TRUE,"GENERAL"}</definedName>
    <definedName name="____n3" localSheetId="9" hidden="1">{"TAB1",#N/A,TRUE,"GENERAL";"TAB2",#N/A,TRUE,"GENERAL";"TAB3",#N/A,TRUE,"GENERAL";"TAB4",#N/A,TRUE,"GENERAL";"TAB5",#N/A,TRUE,"GENERAL"}</definedName>
    <definedName name="____n3" hidden="1">{"TAB1",#N/A,TRUE,"GENERAL";"TAB2",#N/A,TRUE,"GENERAL";"TAB3",#N/A,TRUE,"GENERAL";"TAB4",#N/A,TRUE,"GENERAL";"TAB5",#N/A,TRUE,"GENERAL"}</definedName>
    <definedName name="____n4" localSheetId="4" hidden="1">{"via1",#N/A,TRUE,"general";"via2",#N/A,TRUE,"general";"via3",#N/A,TRUE,"general"}</definedName>
    <definedName name="____n4" localSheetId="9" hidden="1">{"via1",#N/A,TRUE,"general";"via2",#N/A,TRUE,"general";"via3",#N/A,TRUE,"general"}</definedName>
    <definedName name="____n4" hidden="1">{"via1",#N/A,TRUE,"general";"via2",#N/A,TRUE,"general";"via3",#N/A,TRUE,"general"}</definedName>
    <definedName name="____n5" localSheetId="4" hidden="1">{"TAB1",#N/A,TRUE,"GENERAL";"TAB2",#N/A,TRUE,"GENERAL";"TAB3",#N/A,TRUE,"GENERAL";"TAB4",#N/A,TRUE,"GENERAL";"TAB5",#N/A,TRUE,"GENERAL"}</definedName>
    <definedName name="____n5" localSheetId="9" hidden="1">{"TAB1",#N/A,TRUE,"GENERAL";"TAB2",#N/A,TRUE,"GENERAL";"TAB3",#N/A,TRUE,"GENERAL";"TAB4",#N/A,TRUE,"GENERAL";"TAB5",#N/A,TRUE,"GENERAL"}</definedName>
    <definedName name="____n5" hidden="1">{"TAB1",#N/A,TRUE,"GENERAL";"TAB2",#N/A,TRUE,"GENERAL";"TAB3",#N/A,TRUE,"GENERAL";"TAB4",#N/A,TRUE,"GENERAL";"TAB5",#N/A,TRUE,"GENERAL"}</definedName>
    <definedName name="____nyn7" localSheetId="4" hidden="1">{"via1",#N/A,TRUE,"general";"via2",#N/A,TRUE,"general";"via3",#N/A,TRUE,"general"}</definedName>
    <definedName name="____nyn7" localSheetId="9" hidden="1">{"via1",#N/A,TRUE,"general";"via2",#N/A,TRUE,"general";"via3",#N/A,TRUE,"general"}</definedName>
    <definedName name="____nyn7" hidden="1">{"via1",#N/A,TRUE,"general";"via2",#N/A,TRUE,"general";"via3",#N/A,TRUE,"general"}</definedName>
    <definedName name="____o4" localSheetId="4" hidden="1">{"via1",#N/A,TRUE,"general";"via2",#N/A,TRUE,"general";"via3",#N/A,TRUE,"general"}</definedName>
    <definedName name="____o4" localSheetId="9" hidden="1">{"via1",#N/A,TRUE,"general";"via2",#N/A,TRUE,"general";"via3",#N/A,TRUE,"general"}</definedName>
    <definedName name="____o4" hidden="1">{"via1",#N/A,TRUE,"general";"via2",#N/A,TRUE,"general";"via3",#N/A,TRUE,"general"}</definedName>
    <definedName name="____o5" localSheetId="4" hidden="1">{"TAB1",#N/A,TRUE,"GENERAL";"TAB2",#N/A,TRUE,"GENERAL";"TAB3",#N/A,TRUE,"GENERAL";"TAB4",#N/A,TRUE,"GENERAL";"TAB5",#N/A,TRUE,"GENERAL"}</definedName>
    <definedName name="____o5" localSheetId="9" hidden="1">{"TAB1",#N/A,TRUE,"GENERAL";"TAB2",#N/A,TRUE,"GENERAL";"TAB3",#N/A,TRUE,"GENERAL";"TAB4",#N/A,TRUE,"GENERAL";"TAB5",#N/A,TRUE,"GENERAL"}</definedName>
    <definedName name="____o5"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9" hidden="1">{"TAB1",#N/A,TRUE,"GENERAL";"TAB2",#N/A,TRUE,"GENERAL";"TAB3",#N/A,TRUE,"GENERAL";"TAB4",#N/A,TRUE,"GENERAL";"TAB5",#N/A,TRUE,"GENERAL"}</definedName>
    <definedName name="____o6"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9" hidden="1">{"TAB1",#N/A,TRUE,"GENERAL";"TAB2",#N/A,TRUE,"GENERAL";"TAB3",#N/A,TRUE,"GENERAL";"TAB4",#N/A,TRUE,"GENERAL";"TAB5",#N/A,TRUE,"GENERAL"}</definedName>
    <definedName name="____o7" hidden="1">{"TAB1",#N/A,TRUE,"GENERAL";"TAB2",#N/A,TRUE,"GENERAL";"TAB3",#N/A,TRUE,"GENERAL";"TAB4",#N/A,TRUE,"GENERAL";"TAB5",#N/A,TRUE,"GENERAL"}</definedName>
    <definedName name="____o8" localSheetId="4" hidden="1">{"via1",#N/A,TRUE,"general";"via2",#N/A,TRUE,"general";"via3",#N/A,TRUE,"general"}</definedName>
    <definedName name="____o8" localSheetId="9" hidden="1">{"via1",#N/A,TRUE,"general";"via2",#N/A,TRUE,"general";"via3",#N/A,TRUE,"general"}</definedName>
    <definedName name="____o8" hidden="1">{"via1",#N/A,TRUE,"general";"via2",#N/A,TRUE,"general";"via3",#N/A,TRUE,"general"}</definedName>
    <definedName name="____o9" localSheetId="4" hidden="1">{"TAB1",#N/A,TRUE,"GENERAL";"TAB2",#N/A,TRUE,"GENERAL";"TAB3",#N/A,TRUE,"GENERAL";"TAB4",#N/A,TRUE,"GENERAL";"TAB5",#N/A,TRUE,"GENERAL"}</definedName>
    <definedName name="____o9" localSheetId="9" hidden="1">{"TAB1",#N/A,TRUE,"GENERAL";"TAB2",#N/A,TRUE,"GENERAL";"TAB3",#N/A,TRUE,"GENERAL";"TAB4",#N/A,TRUE,"GENERAL";"TAB5",#N/A,TRUE,"GENERAL"}</definedName>
    <definedName name="____o9" hidden="1">{"TAB1",#N/A,TRUE,"GENERAL";"TAB2",#N/A,TRUE,"GENERAL";"TAB3",#N/A,TRUE,"GENERAL";"TAB4",#N/A,TRUE,"GENERAL";"TAB5",#N/A,TRUE,"GENERAL"}</definedName>
    <definedName name="____ORO10" localSheetId="4">#REF!</definedName>
    <definedName name="____ORO10">#REF!</definedName>
    <definedName name="____ORO11" localSheetId="4">#REF!</definedName>
    <definedName name="____ORO11">#REF!</definedName>
    <definedName name="____ORO12" localSheetId="4">#REF!</definedName>
    <definedName name="____ORO12">#REF!</definedName>
    <definedName name="____ORO13" localSheetId="4">#REF!</definedName>
    <definedName name="____ORO13">#REF!</definedName>
    <definedName name="____ORO14" localSheetId="4">#REF!</definedName>
    <definedName name="____ORO14">#REF!</definedName>
    <definedName name="____ORO15" localSheetId="4">#REF!</definedName>
    <definedName name="____ORO15">#REF!</definedName>
    <definedName name="____ORO16" localSheetId="4">#REF!</definedName>
    <definedName name="____ORO16">#REF!</definedName>
    <definedName name="____ORO17" localSheetId="4">#REF!</definedName>
    <definedName name="____ORO17">#REF!</definedName>
    <definedName name="____ORO18" localSheetId="4">#REF!</definedName>
    <definedName name="____ORO18">#REF!</definedName>
    <definedName name="____ORO19" localSheetId="4">#REF!</definedName>
    <definedName name="____ORO19">#REF!</definedName>
    <definedName name="____p6" localSheetId="4" hidden="1">{"via1",#N/A,TRUE,"general";"via2",#N/A,TRUE,"general";"via3",#N/A,TRUE,"general"}</definedName>
    <definedName name="____p6" localSheetId="9" hidden="1">{"via1",#N/A,TRUE,"general";"via2",#N/A,TRUE,"general";"via3",#N/A,TRUE,"general"}</definedName>
    <definedName name="____p6" hidden="1">{"via1",#N/A,TRUE,"general";"via2",#N/A,TRUE,"general";"via3",#N/A,TRUE,"general"}</definedName>
    <definedName name="____p7" localSheetId="4" hidden="1">{"via1",#N/A,TRUE,"general";"via2",#N/A,TRUE,"general";"via3",#N/A,TRUE,"general"}</definedName>
    <definedName name="____p7" localSheetId="9" hidden="1">{"via1",#N/A,TRUE,"general";"via2",#N/A,TRUE,"general";"via3",#N/A,TRUE,"general"}</definedName>
    <definedName name="____p7" hidden="1">{"via1",#N/A,TRUE,"general";"via2",#N/A,TRUE,"general";"via3",#N/A,TRUE,"general"}</definedName>
    <definedName name="____p8" localSheetId="4" hidden="1">{"TAB1",#N/A,TRUE,"GENERAL";"TAB2",#N/A,TRUE,"GENERAL";"TAB3",#N/A,TRUE,"GENERAL";"TAB4",#N/A,TRUE,"GENERAL";"TAB5",#N/A,TRUE,"GENERAL"}</definedName>
    <definedName name="____p8" localSheetId="9" hidden="1">{"TAB1",#N/A,TRUE,"GENERAL";"TAB2",#N/A,TRUE,"GENERAL";"TAB3",#N/A,TRUE,"GENERAL";"TAB4",#N/A,TRUE,"GENERAL";"TAB5",#N/A,TRUE,"GENERAL"}</definedName>
    <definedName name="____p8" hidden="1">{"TAB1",#N/A,TRUE,"GENERAL";"TAB2",#N/A,TRUE,"GENERAL";"TAB3",#N/A,TRUE,"GENERAL";"TAB4",#N/A,TRUE,"GENERAL";"TAB5",#N/A,TRUE,"GENERAL"}</definedName>
    <definedName name="____PMT5671" localSheetId="4">[3]MEMORIAS!#REF!</definedName>
    <definedName name="____PMT5671">[3]MEMORIAS!#REF!</definedName>
    <definedName name="____PMT5805" localSheetId="4">[3]MEMORIAS!#REF!</definedName>
    <definedName name="____PMT5805">[3]MEMORIAS!#REF!</definedName>
    <definedName name="____PMT5806" localSheetId="4">[3]MEMORIAS!#REF!</definedName>
    <definedName name="____PMT5806">[3]MEMORIAS!#REF!</definedName>
    <definedName name="____PMT5815" localSheetId="4">[3]MEMORIAS!#REF!</definedName>
    <definedName name="____PMT5815">[3]MEMORIAS!#REF!</definedName>
    <definedName name="____PMT5820" localSheetId="4">[3]MEMORIAS!#REF!</definedName>
    <definedName name="____PMT5820">[3]MEMORIAS!#REF!</definedName>
    <definedName name="____r" localSheetId="4">#REF!</definedName>
    <definedName name="____r">#REF!</definedName>
    <definedName name="____r4r" localSheetId="4" hidden="1">{"via1",#N/A,TRUE,"general";"via2",#N/A,TRUE,"general";"via3",#N/A,TRUE,"general"}</definedName>
    <definedName name="____r4r" localSheetId="9" hidden="1">{"via1",#N/A,TRUE,"general";"via2",#N/A,TRUE,"general";"via3",#N/A,TRUE,"general"}</definedName>
    <definedName name="____r4r" hidden="1">{"via1",#N/A,TRUE,"general";"via2",#N/A,TRUE,"general";"via3",#N/A,TRUE,"general"}</definedName>
    <definedName name="____rtu6" localSheetId="4" hidden="1">{"via1",#N/A,TRUE,"general";"via2",#N/A,TRUE,"general";"via3",#N/A,TRUE,"general"}</definedName>
    <definedName name="____rtu6" localSheetId="9" hidden="1">{"via1",#N/A,TRUE,"general";"via2",#N/A,TRUE,"general";"via3",#N/A,TRUE,"general"}</definedName>
    <definedName name="____rtu6" hidden="1">{"via1",#N/A,TRUE,"general";"via2",#N/A,TRUE,"general";"via3",#N/A,TRUE,"general"}</definedName>
    <definedName name="____s1" localSheetId="4" hidden="1">{"via1",#N/A,TRUE,"general";"via2",#N/A,TRUE,"general";"via3",#N/A,TRUE,"general"}</definedName>
    <definedName name="____s1" localSheetId="9" hidden="1">{"via1",#N/A,TRUE,"general";"via2",#N/A,TRUE,"general";"via3",#N/A,TRUE,"general"}</definedName>
    <definedName name="____s1" hidden="1">{"via1",#N/A,TRUE,"general";"via2",#N/A,TRUE,"general";"via3",#N/A,TRUE,"general"}</definedName>
    <definedName name="____s2" localSheetId="4" hidden="1">{"TAB1",#N/A,TRUE,"GENERAL";"TAB2",#N/A,TRUE,"GENERAL";"TAB3",#N/A,TRUE,"GENERAL";"TAB4",#N/A,TRUE,"GENERAL";"TAB5",#N/A,TRUE,"GENERAL"}</definedName>
    <definedName name="____s2" localSheetId="9" hidden="1">{"TAB1",#N/A,TRUE,"GENERAL";"TAB2",#N/A,TRUE,"GENERAL";"TAB3",#N/A,TRUE,"GENERAL";"TAB4",#N/A,TRUE,"GENERAL";"TAB5",#N/A,TRUE,"GENERAL"}</definedName>
    <definedName name="____s2"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9" hidden="1">{"TAB1",#N/A,TRUE,"GENERAL";"TAB2",#N/A,TRUE,"GENERAL";"TAB3",#N/A,TRUE,"GENERAL";"TAB4",#N/A,TRUE,"GENERAL";"TAB5",#N/A,TRUE,"GENERAL"}</definedName>
    <definedName name="____s3" hidden="1">{"TAB1",#N/A,TRUE,"GENERAL";"TAB2",#N/A,TRUE,"GENERAL";"TAB3",#N/A,TRUE,"GENERAL";"TAB4",#N/A,TRUE,"GENERAL";"TAB5",#N/A,TRUE,"GENERAL"}</definedName>
    <definedName name="____s4" localSheetId="4" hidden="1">{"via1",#N/A,TRUE,"general";"via2",#N/A,TRUE,"general";"via3",#N/A,TRUE,"general"}</definedName>
    <definedName name="____s4" localSheetId="9" hidden="1">{"via1",#N/A,TRUE,"general";"via2",#N/A,TRUE,"general";"via3",#N/A,TRUE,"general"}</definedName>
    <definedName name="____s4" hidden="1">{"via1",#N/A,TRUE,"general";"via2",#N/A,TRUE,"general";"via3",#N/A,TRUE,"general"}</definedName>
    <definedName name="____s5" localSheetId="4" hidden="1">{"via1",#N/A,TRUE,"general";"via2",#N/A,TRUE,"general";"via3",#N/A,TRUE,"general"}</definedName>
    <definedName name="____s5" localSheetId="9" hidden="1">{"via1",#N/A,TRUE,"general";"via2",#N/A,TRUE,"general";"via3",#N/A,TRUE,"general"}</definedName>
    <definedName name="____s5" hidden="1">{"via1",#N/A,TRUE,"general";"via2",#N/A,TRUE,"general";"via3",#N/A,TRUE,"general"}</definedName>
    <definedName name="____s6" localSheetId="4" hidden="1">{"TAB1",#N/A,TRUE,"GENERAL";"TAB2",#N/A,TRUE,"GENERAL";"TAB3",#N/A,TRUE,"GENERAL";"TAB4",#N/A,TRUE,"GENERAL";"TAB5",#N/A,TRUE,"GENERAL"}</definedName>
    <definedName name="____s6" localSheetId="9" hidden="1">{"TAB1",#N/A,TRUE,"GENERAL";"TAB2",#N/A,TRUE,"GENERAL";"TAB3",#N/A,TRUE,"GENERAL";"TAB4",#N/A,TRUE,"GENERAL";"TAB5",#N/A,TRUE,"GENERAL"}</definedName>
    <definedName name="____s6" hidden="1">{"TAB1",#N/A,TRUE,"GENERAL";"TAB2",#N/A,TRUE,"GENERAL";"TAB3",#N/A,TRUE,"GENERAL";"TAB4",#N/A,TRUE,"GENERAL";"TAB5",#N/A,TRUE,"GENERAL"}</definedName>
    <definedName name="____s7" localSheetId="4" hidden="1">{"via1",#N/A,TRUE,"general";"via2",#N/A,TRUE,"general";"via3",#N/A,TRUE,"general"}</definedName>
    <definedName name="____s7" localSheetId="9" hidden="1">{"via1",#N/A,TRUE,"general";"via2",#N/A,TRUE,"general";"via3",#N/A,TRUE,"general"}</definedName>
    <definedName name="____s7" hidden="1">{"via1",#N/A,TRUE,"general";"via2",#N/A,TRUE,"general";"via3",#N/A,TRUE,"general"}</definedName>
    <definedName name="____SAL1" localSheetId="4">#REF!</definedName>
    <definedName name="____SAL1">#REF!</definedName>
    <definedName name="____t3" localSheetId="4" hidden="1">{"TAB1",#N/A,TRUE,"GENERAL";"TAB2",#N/A,TRUE,"GENERAL";"TAB3",#N/A,TRUE,"GENERAL";"TAB4",#N/A,TRUE,"GENERAL";"TAB5",#N/A,TRUE,"GENERAL"}</definedName>
    <definedName name="____t3" localSheetId="9" hidden="1">{"TAB1",#N/A,TRUE,"GENERAL";"TAB2",#N/A,TRUE,"GENERAL";"TAB3",#N/A,TRUE,"GENERAL";"TAB4",#N/A,TRUE,"GENERAL";"TAB5",#N/A,TRUE,"GENERAL"}</definedName>
    <definedName name="____t3" hidden="1">{"TAB1",#N/A,TRUE,"GENERAL";"TAB2",#N/A,TRUE,"GENERAL";"TAB3",#N/A,TRUE,"GENERAL";"TAB4",#N/A,TRUE,"GENERAL";"TAB5",#N/A,TRUE,"GENERAL"}</definedName>
    <definedName name="____t4" localSheetId="4" hidden="1">{"via1",#N/A,TRUE,"general";"via2",#N/A,TRUE,"general";"via3",#N/A,TRUE,"general"}</definedName>
    <definedName name="____t4" localSheetId="9" hidden="1">{"via1",#N/A,TRUE,"general";"via2",#N/A,TRUE,"general";"via3",#N/A,TRUE,"general"}</definedName>
    <definedName name="____t4" hidden="1">{"via1",#N/A,TRUE,"general";"via2",#N/A,TRUE,"general";"via3",#N/A,TRUE,"general"}</definedName>
    <definedName name="____t5" localSheetId="4" hidden="1">{"TAB1",#N/A,TRUE,"GENERAL";"TAB2",#N/A,TRUE,"GENERAL";"TAB3",#N/A,TRUE,"GENERAL";"TAB4",#N/A,TRUE,"GENERAL";"TAB5",#N/A,TRUE,"GENERAL"}</definedName>
    <definedName name="____t5" localSheetId="9" hidden="1">{"TAB1",#N/A,TRUE,"GENERAL";"TAB2",#N/A,TRUE,"GENERAL";"TAB3",#N/A,TRUE,"GENERAL";"TAB4",#N/A,TRUE,"GENERAL";"TAB5",#N/A,TRUE,"GENERAL"}</definedName>
    <definedName name="____t5" hidden="1">{"TAB1",#N/A,TRUE,"GENERAL";"TAB2",#N/A,TRUE,"GENERAL";"TAB3",#N/A,TRUE,"GENERAL";"TAB4",#N/A,TRUE,"GENERAL";"TAB5",#N/A,TRUE,"GENERAL"}</definedName>
    <definedName name="____t6" localSheetId="4" hidden="1">{"via1",#N/A,TRUE,"general";"via2",#N/A,TRUE,"general";"via3",#N/A,TRUE,"general"}</definedName>
    <definedName name="____t6" localSheetId="9" hidden="1">{"via1",#N/A,TRUE,"general";"via2",#N/A,TRUE,"general";"via3",#N/A,TRUE,"general"}</definedName>
    <definedName name="____t6" hidden="1">{"via1",#N/A,TRUE,"general";"via2",#N/A,TRUE,"general";"via3",#N/A,TRUE,"general"}</definedName>
    <definedName name="____t66" localSheetId="4" hidden="1">{"TAB1",#N/A,TRUE,"GENERAL";"TAB2",#N/A,TRUE,"GENERAL";"TAB3",#N/A,TRUE,"GENERAL";"TAB4",#N/A,TRUE,"GENERAL";"TAB5",#N/A,TRUE,"GENERAL"}</definedName>
    <definedName name="____t66" localSheetId="9" hidden="1">{"TAB1",#N/A,TRUE,"GENERAL";"TAB2",#N/A,TRUE,"GENERAL";"TAB3",#N/A,TRUE,"GENERAL";"TAB4",#N/A,TRUE,"GENERAL";"TAB5",#N/A,TRUE,"GENERAL"}</definedName>
    <definedName name="____t66" hidden="1">{"TAB1",#N/A,TRUE,"GENERAL";"TAB2",#N/A,TRUE,"GENERAL";"TAB3",#N/A,TRUE,"GENERAL";"TAB4",#N/A,TRUE,"GENERAL";"TAB5",#N/A,TRUE,"GENERAL"}</definedName>
    <definedName name="____t7" localSheetId="4" hidden="1">{"via1",#N/A,TRUE,"general";"via2",#N/A,TRUE,"general";"via3",#N/A,TRUE,"general"}</definedName>
    <definedName name="____t7" localSheetId="9" hidden="1">{"via1",#N/A,TRUE,"general";"via2",#N/A,TRUE,"general";"via3",#N/A,TRUE,"general"}</definedName>
    <definedName name="____t7" hidden="1">{"via1",#N/A,TRUE,"general";"via2",#N/A,TRUE,"general";"via3",#N/A,TRUE,"general"}</definedName>
    <definedName name="____t77" localSheetId="4" hidden="1">{"TAB1",#N/A,TRUE,"GENERAL";"TAB2",#N/A,TRUE,"GENERAL";"TAB3",#N/A,TRUE,"GENERAL";"TAB4",#N/A,TRUE,"GENERAL";"TAB5",#N/A,TRUE,"GENERAL"}</definedName>
    <definedName name="____t77" localSheetId="9" hidden="1">{"TAB1",#N/A,TRUE,"GENERAL";"TAB2",#N/A,TRUE,"GENERAL";"TAB3",#N/A,TRUE,"GENERAL";"TAB4",#N/A,TRUE,"GENERAL";"TAB5",#N/A,TRUE,"GENERAL"}</definedName>
    <definedName name="____t77"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9" hidden="1">{"TAB1",#N/A,TRUE,"GENERAL";"TAB2",#N/A,TRUE,"GENERAL";"TAB3",#N/A,TRUE,"GENERAL";"TAB4",#N/A,TRUE,"GENERAL";"TAB5",#N/A,TRUE,"GENERAL"}</definedName>
    <definedName name="____t8" hidden="1">{"TAB1",#N/A,TRUE,"GENERAL";"TAB2",#N/A,TRUE,"GENERAL";"TAB3",#N/A,TRUE,"GENERAL";"TAB4",#N/A,TRUE,"GENERAL";"TAB5",#N/A,TRUE,"GENERAL"}</definedName>
    <definedName name="____t88" localSheetId="4" hidden="1">{"via1",#N/A,TRUE,"general";"via2",#N/A,TRUE,"general";"via3",#N/A,TRUE,"general"}</definedName>
    <definedName name="____t88" localSheetId="9" hidden="1">{"via1",#N/A,TRUE,"general";"via2",#N/A,TRUE,"general";"via3",#N/A,TRUE,"general"}</definedName>
    <definedName name="____t88" hidden="1">{"via1",#N/A,TRUE,"general";"via2",#N/A,TRUE,"general";"via3",#N/A,TRUE,"general"}</definedName>
    <definedName name="____t9" localSheetId="4" hidden="1">{"TAB1",#N/A,TRUE,"GENERAL";"TAB2",#N/A,TRUE,"GENERAL";"TAB3",#N/A,TRUE,"GENERAL";"TAB4",#N/A,TRUE,"GENERAL";"TAB5",#N/A,TRUE,"GENERAL"}</definedName>
    <definedName name="____t9" localSheetId="9" hidden="1">{"TAB1",#N/A,TRUE,"GENERAL";"TAB2",#N/A,TRUE,"GENERAL";"TAB3",#N/A,TRUE,"GENERAL";"TAB4",#N/A,TRUE,"GENERAL";"TAB5",#N/A,TRUE,"GENERAL"}</definedName>
    <definedName name="____t9" hidden="1">{"TAB1",#N/A,TRUE,"GENERAL";"TAB2",#N/A,TRUE,"GENERAL";"TAB3",#N/A,TRUE,"GENERAL";"TAB4",#N/A,TRUE,"GENERAL";"TAB5",#N/A,TRUE,"GENERAL"}</definedName>
    <definedName name="____t99" localSheetId="4" hidden="1">{"via1",#N/A,TRUE,"general";"via2",#N/A,TRUE,"general";"via3",#N/A,TRUE,"general"}</definedName>
    <definedName name="____t99" localSheetId="9" hidden="1">{"via1",#N/A,TRUE,"general";"via2",#N/A,TRUE,"general";"via3",#N/A,TRUE,"general"}</definedName>
    <definedName name="____t99" hidden="1">{"via1",#N/A,TRUE,"general";"via2",#N/A,TRUE,"general";"via3",#N/A,TRUE,"general"}</definedName>
    <definedName name="____tab1" localSheetId="4">#REF!</definedName>
    <definedName name="____tab1">#REF!</definedName>
    <definedName name="____tab2" localSheetId="4">#REF!</definedName>
    <definedName name="____tab2">#REF!</definedName>
    <definedName name="____tab3" localSheetId="4">#REF!</definedName>
    <definedName name="____tab3">#REF!</definedName>
    <definedName name="____TAB4" localSheetId="4">#REF!</definedName>
    <definedName name="____TAB4">#REF!</definedName>
    <definedName name="____TT1" localSheetId="4">#REF!</definedName>
    <definedName name="____TT1">#REF!</definedName>
    <definedName name="____TYW6" localSheetId="4">#REF!</definedName>
    <definedName name="____TYW6">#REF!</definedName>
    <definedName name="____u4" localSheetId="4" hidden="1">{"TAB1",#N/A,TRUE,"GENERAL";"TAB2",#N/A,TRUE,"GENERAL";"TAB3",#N/A,TRUE,"GENERAL";"TAB4",#N/A,TRUE,"GENERAL";"TAB5",#N/A,TRUE,"GENERAL"}</definedName>
    <definedName name="____u4" localSheetId="9" hidden="1">{"TAB1",#N/A,TRUE,"GENERAL";"TAB2",#N/A,TRUE,"GENERAL";"TAB3",#N/A,TRUE,"GENERAL";"TAB4",#N/A,TRUE,"GENERAL";"TAB5",#N/A,TRUE,"GENERAL"}</definedName>
    <definedName name="____u4"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9" hidden="1">{"TAB1",#N/A,TRUE,"GENERAL";"TAB2",#N/A,TRUE,"GENERAL";"TAB3",#N/A,TRUE,"GENERAL";"TAB4",#N/A,TRUE,"GENERAL";"TAB5",#N/A,TRUE,"GENERAL"}</definedName>
    <definedName name="____u5"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9" hidden="1">{"TAB1",#N/A,TRUE,"GENERAL";"TAB2",#N/A,TRUE,"GENERAL";"TAB3",#N/A,TRUE,"GENERAL";"TAB4",#N/A,TRUE,"GENERAL";"TAB5",#N/A,TRUE,"GENERAL"}</definedName>
    <definedName name="____u6" hidden="1">{"TAB1",#N/A,TRUE,"GENERAL";"TAB2",#N/A,TRUE,"GENERAL";"TAB3",#N/A,TRUE,"GENERAL";"TAB4",#N/A,TRUE,"GENERAL";"TAB5",#N/A,TRUE,"GENERAL"}</definedName>
    <definedName name="____u7" localSheetId="4" hidden="1">{"via1",#N/A,TRUE,"general";"via2",#N/A,TRUE,"general";"via3",#N/A,TRUE,"general"}</definedName>
    <definedName name="____u7" localSheetId="9" hidden="1">{"via1",#N/A,TRUE,"general";"via2",#N/A,TRUE,"general";"via3",#N/A,TRUE,"general"}</definedName>
    <definedName name="____u7" hidden="1">{"via1",#N/A,TRUE,"general";"via2",#N/A,TRUE,"general";"via3",#N/A,TRUE,"general"}</definedName>
    <definedName name="____u8" localSheetId="4" hidden="1">{"TAB1",#N/A,TRUE,"GENERAL";"TAB2",#N/A,TRUE,"GENERAL";"TAB3",#N/A,TRUE,"GENERAL";"TAB4",#N/A,TRUE,"GENERAL";"TAB5",#N/A,TRUE,"GENERAL"}</definedName>
    <definedName name="____u8" localSheetId="9" hidden="1">{"TAB1",#N/A,TRUE,"GENERAL";"TAB2",#N/A,TRUE,"GENERAL";"TAB3",#N/A,TRUE,"GENERAL";"TAB4",#N/A,TRUE,"GENERAL";"TAB5",#N/A,TRUE,"GENERAL"}</definedName>
    <definedName name="____u8"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9" hidden="1">{"TAB1",#N/A,TRUE,"GENERAL";"TAB2",#N/A,TRUE,"GENERAL";"TAB3",#N/A,TRUE,"GENERAL";"TAB4",#N/A,TRUE,"GENERAL";"TAB5",#N/A,TRUE,"GENERAL"}</definedName>
    <definedName name="____u9"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9" hidden="1">{"TAB1",#N/A,TRUE,"GENERAL";"TAB2",#N/A,TRUE,"GENERAL";"TAB3",#N/A,TRUE,"GENERAL";"TAB4",#N/A,TRUE,"GENERAL";"TAB5",#N/A,TRUE,"GENERAL"}</definedName>
    <definedName name="____ur7" hidden="1">{"TAB1",#N/A,TRUE,"GENERAL";"TAB2",#N/A,TRUE,"GENERAL";"TAB3",#N/A,TRUE,"GENERAL";"TAB4",#N/A,TRUE,"GENERAL";"TAB5",#N/A,TRUE,"GENERAL"}</definedName>
    <definedName name="____v2" localSheetId="4" hidden="1">{"via1",#N/A,TRUE,"general";"via2",#N/A,TRUE,"general";"via3",#N/A,TRUE,"general"}</definedName>
    <definedName name="____v2" localSheetId="9" hidden="1">{"via1",#N/A,TRUE,"general";"via2",#N/A,TRUE,"general";"via3",#N/A,TRUE,"general"}</definedName>
    <definedName name="____v2" hidden="1">{"via1",#N/A,TRUE,"general";"via2",#N/A,TRUE,"general";"via3",#N/A,TRUE,"general"}</definedName>
    <definedName name="____v3" localSheetId="4" hidden="1">{"TAB1",#N/A,TRUE,"GENERAL";"TAB2",#N/A,TRUE,"GENERAL";"TAB3",#N/A,TRUE,"GENERAL";"TAB4",#N/A,TRUE,"GENERAL";"TAB5",#N/A,TRUE,"GENERAL"}</definedName>
    <definedName name="____v3" localSheetId="9" hidden="1">{"TAB1",#N/A,TRUE,"GENERAL";"TAB2",#N/A,TRUE,"GENERAL";"TAB3",#N/A,TRUE,"GENERAL";"TAB4",#N/A,TRUE,"GENERAL";"TAB5",#N/A,TRUE,"GENERAL"}</definedName>
    <definedName name="____v3"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9" hidden="1">{"TAB1",#N/A,TRUE,"GENERAL";"TAB2",#N/A,TRUE,"GENERAL";"TAB3",#N/A,TRUE,"GENERAL";"TAB4",#N/A,TRUE,"GENERAL";"TAB5",#N/A,TRUE,"GENERAL"}</definedName>
    <definedName name="____v4" hidden="1">{"TAB1",#N/A,TRUE,"GENERAL";"TAB2",#N/A,TRUE,"GENERAL";"TAB3",#N/A,TRUE,"GENERAL";"TAB4",#N/A,TRUE,"GENERAL";"TAB5",#N/A,TRUE,"GENERAL"}</definedName>
    <definedName name="____v5" localSheetId="4" hidden="1">{"TAB1",#N/A,TRUE,"GENERAL";"TAB2",#N/A,TRUE,"GENERAL";"TAB3",#N/A,TRUE,"GENERAL";"TAB4",#N/A,TRUE,"GENERAL";"TAB5",#N/A,TRUE,"GENERAL"}</definedName>
    <definedName name="____v5" localSheetId="9" hidden="1">{"TAB1",#N/A,TRUE,"GENERAL";"TAB2",#N/A,TRUE,"GENERAL";"TAB3",#N/A,TRUE,"GENERAL";"TAB4",#N/A,TRUE,"GENERAL";"TAB5",#N/A,TRUE,"GENERAL"}</definedName>
    <definedName name="____v5"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9" hidden="1">{"TAB1",#N/A,TRUE,"GENERAL";"TAB2",#N/A,TRUE,"GENERAL";"TAB3",#N/A,TRUE,"GENERAL";"TAB4",#N/A,TRUE,"GENERAL";"TAB5",#N/A,TRUE,"GENERAL"}</definedName>
    <definedName name="____v6" hidden="1">{"TAB1",#N/A,TRUE,"GENERAL";"TAB2",#N/A,TRUE,"GENERAL";"TAB3",#N/A,TRUE,"GENERAL";"TAB4",#N/A,TRUE,"GENERAL";"TAB5",#N/A,TRUE,"GENERAL"}</definedName>
    <definedName name="____v7" localSheetId="4" hidden="1">{"via1",#N/A,TRUE,"general";"via2",#N/A,TRUE,"general";"via3",#N/A,TRUE,"general"}</definedName>
    <definedName name="____v7" localSheetId="9" hidden="1">{"via1",#N/A,TRUE,"general";"via2",#N/A,TRUE,"general";"via3",#N/A,TRUE,"general"}</definedName>
    <definedName name="____v7" hidden="1">{"via1",#N/A,TRUE,"general";"via2",#N/A,TRUE,"general";"via3",#N/A,TRUE,"general"}</definedName>
    <definedName name="____v8" localSheetId="4" hidden="1">{"TAB1",#N/A,TRUE,"GENERAL";"TAB2",#N/A,TRUE,"GENERAL";"TAB3",#N/A,TRUE,"GENERAL";"TAB4",#N/A,TRUE,"GENERAL";"TAB5",#N/A,TRUE,"GENERAL"}</definedName>
    <definedName name="____v8" localSheetId="9" hidden="1">{"TAB1",#N/A,TRUE,"GENERAL";"TAB2",#N/A,TRUE,"GENERAL";"TAB3",#N/A,TRUE,"GENERAL";"TAB4",#N/A,TRUE,"GENERAL";"TAB5",#N/A,TRUE,"GENERAL"}</definedName>
    <definedName name="____v8" hidden="1">{"TAB1",#N/A,TRUE,"GENERAL";"TAB2",#N/A,TRUE,"GENERAL";"TAB3",#N/A,TRUE,"GENERAL";"TAB4",#N/A,TRUE,"GENERAL";"TAB5",#N/A,TRUE,"GENERAL"}</definedName>
    <definedName name="____v9" localSheetId="4" hidden="1">{"TAB1",#N/A,TRUE,"GENERAL";"TAB2",#N/A,TRUE,"GENERAL";"TAB3",#N/A,TRUE,"GENERAL";"TAB4",#N/A,TRUE,"GENERAL";"TAB5",#N/A,TRUE,"GENERAL"}</definedName>
    <definedName name="____v9" localSheetId="9" hidden="1">{"TAB1",#N/A,TRUE,"GENERAL";"TAB2",#N/A,TRUE,"GENERAL";"TAB3",#N/A,TRUE,"GENERAL";"TAB4",#N/A,TRUE,"GENERAL";"TAB5",#N/A,TRUE,"GENERAL"}</definedName>
    <definedName name="____v9" hidden="1">{"TAB1",#N/A,TRUE,"GENERAL";"TAB2",#N/A,TRUE,"GENERAL";"TAB3",#N/A,TRUE,"GENERAL";"TAB4",#N/A,TRUE,"GENERAL";"TAB5",#N/A,TRUE,"GENERAL"}</definedName>
    <definedName name="____vfv4" localSheetId="4" hidden="1">{"via1",#N/A,TRUE,"general";"via2",#N/A,TRUE,"general";"via3",#N/A,TRUE,"general"}</definedName>
    <definedName name="____vfv4" localSheetId="9" hidden="1">{"via1",#N/A,TRUE,"general";"via2",#N/A,TRUE,"general";"via3",#N/A,TRUE,"general"}</definedName>
    <definedName name="____vfv4" hidden="1">{"via1",#N/A,TRUE,"general";"via2",#N/A,TRUE,"general";"via3",#N/A,TRUE,"general"}</definedName>
    <definedName name="____Vol1">[5]Item!$A:$D</definedName>
    <definedName name="____x1" localSheetId="4" hidden="1">{"TAB1",#N/A,TRUE,"GENERAL";"TAB2",#N/A,TRUE,"GENERAL";"TAB3",#N/A,TRUE,"GENERAL";"TAB4",#N/A,TRUE,"GENERAL";"TAB5",#N/A,TRUE,"GENERAL"}</definedName>
    <definedName name="____x1" localSheetId="9" hidden="1">{"TAB1",#N/A,TRUE,"GENERAL";"TAB2",#N/A,TRUE,"GENERAL";"TAB3",#N/A,TRUE,"GENERAL";"TAB4",#N/A,TRUE,"GENERAL";"TAB5",#N/A,TRUE,"GENERAL"}</definedName>
    <definedName name="____x1" hidden="1">{"TAB1",#N/A,TRUE,"GENERAL";"TAB2",#N/A,TRUE,"GENERAL";"TAB3",#N/A,TRUE,"GENERAL";"TAB4",#N/A,TRUE,"GENERAL";"TAB5",#N/A,TRUE,"GENERAL"}</definedName>
    <definedName name="____x2" localSheetId="4" hidden="1">{"via1",#N/A,TRUE,"general";"via2",#N/A,TRUE,"general";"via3",#N/A,TRUE,"general"}</definedName>
    <definedName name="____x2" localSheetId="9" hidden="1">{"via1",#N/A,TRUE,"general";"via2",#N/A,TRUE,"general";"via3",#N/A,TRUE,"general"}</definedName>
    <definedName name="____x2" hidden="1">{"via1",#N/A,TRUE,"general";"via2",#N/A,TRUE,"general";"via3",#N/A,TRUE,"general"}</definedName>
    <definedName name="____x3" localSheetId="4" hidden="1">{"via1",#N/A,TRUE,"general";"via2",#N/A,TRUE,"general";"via3",#N/A,TRUE,"general"}</definedName>
    <definedName name="____x3" localSheetId="9" hidden="1">{"via1",#N/A,TRUE,"general";"via2",#N/A,TRUE,"general";"via3",#N/A,TRUE,"general"}</definedName>
    <definedName name="____x3" hidden="1">{"via1",#N/A,TRUE,"general";"via2",#N/A,TRUE,"general";"via3",#N/A,TRUE,"general"}</definedName>
    <definedName name="____x4" localSheetId="4" hidden="1">{"via1",#N/A,TRUE,"general";"via2",#N/A,TRUE,"general";"via3",#N/A,TRUE,"general"}</definedName>
    <definedName name="____x4" localSheetId="9" hidden="1">{"via1",#N/A,TRUE,"general";"via2",#N/A,TRUE,"general";"via3",#N/A,TRUE,"general"}</definedName>
    <definedName name="____x4" hidden="1">{"via1",#N/A,TRUE,"general";"via2",#N/A,TRUE,"general";"via3",#N/A,TRUE,"general"}</definedName>
    <definedName name="____x5" localSheetId="4" hidden="1">{"TAB1",#N/A,TRUE,"GENERAL";"TAB2",#N/A,TRUE,"GENERAL";"TAB3",#N/A,TRUE,"GENERAL";"TAB4",#N/A,TRUE,"GENERAL";"TAB5",#N/A,TRUE,"GENERAL"}</definedName>
    <definedName name="____x5" localSheetId="9" hidden="1">{"TAB1",#N/A,TRUE,"GENERAL";"TAB2",#N/A,TRUE,"GENERAL";"TAB3",#N/A,TRUE,"GENERAL";"TAB4",#N/A,TRUE,"GENERAL";"TAB5",#N/A,TRUE,"GENERAL"}</definedName>
    <definedName name="____x5"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9" hidden="1">{"TAB1",#N/A,TRUE,"GENERAL";"TAB2",#N/A,TRUE,"GENERAL";"TAB3",#N/A,TRUE,"GENERAL";"TAB4",#N/A,TRUE,"GENERAL";"TAB5",#N/A,TRUE,"GENERAL"}</definedName>
    <definedName name="____x6"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9" hidden="1">{"TAB1",#N/A,TRUE,"GENERAL";"TAB2",#N/A,TRUE,"GENERAL";"TAB3",#N/A,TRUE,"GENERAL";"TAB4",#N/A,TRUE,"GENERAL";"TAB5",#N/A,TRUE,"GENERAL"}</definedName>
    <definedName name="____x7" hidden="1">{"TAB1",#N/A,TRUE,"GENERAL";"TAB2",#N/A,TRUE,"GENERAL";"TAB3",#N/A,TRUE,"GENERAL";"TAB4",#N/A,TRUE,"GENERAL";"TAB5",#N/A,TRUE,"GENERAL"}</definedName>
    <definedName name="____x8" localSheetId="4" hidden="1">{"via1",#N/A,TRUE,"general";"via2",#N/A,TRUE,"general";"via3",#N/A,TRUE,"general"}</definedName>
    <definedName name="____x8" localSheetId="9" hidden="1">{"via1",#N/A,TRUE,"general";"via2",#N/A,TRUE,"general";"via3",#N/A,TRUE,"general"}</definedName>
    <definedName name="____x8" hidden="1">{"via1",#N/A,TRUE,"general";"via2",#N/A,TRUE,"general";"via3",#N/A,TRUE,"general"}</definedName>
    <definedName name="____x9" localSheetId="4" hidden="1">{"TAB1",#N/A,TRUE,"GENERAL";"TAB2",#N/A,TRUE,"GENERAL";"TAB3",#N/A,TRUE,"GENERAL";"TAB4",#N/A,TRUE,"GENERAL";"TAB5",#N/A,TRUE,"GENERAL"}</definedName>
    <definedName name="____x9" localSheetId="9" hidden="1">{"TAB1",#N/A,TRUE,"GENERAL";"TAB2",#N/A,TRUE,"GENERAL";"TAB3",#N/A,TRUE,"GENERAL";"TAB4",#N/A,TRUE,"GENERAL";"TAB5",#N/A,TRUE,"GENERAL"}</definedName>
    <definedName name="____x9" hidden="1">{"TAB1",#N/A,TRUE,"GENERAL";"TAB2",#N/A,TRUE,"GENERAL";"TAB3",#N/A,TRUE,"GENERAL";"TAB4",#N/A,TRUE,"GENERAL";"TAB5",#N/A,TRUE,"GENERAL"}</definedName>
    <definedName name="____y2" localSheetId="4" hidden="1">{"TAB1",#N/A,TRUE,"GENERAL";"TAB2",#N/A,TRUE,"GENERAL";"TAB3",#N/A,TRUE,"GENERAL";"TAB4",#N/A,TRUE,"GENERAL";"TAB5",#N/A,TRUE,"GENERAL"}</definedName>
    <definedName name="____y2" localSheetId="9" hidden="1">{"TAB1",#N/A,TRUE,"GENERAL";"TAB2",#N/A,TRUE,"GENERAL";"TAB3",#N/A,TRUE,"GENERAL";"TAB4",#N/A,TRUE,"GENERAL";"TAB5",#N/A,TRUE,"GENERAL"}</definedName>
    <definedName name="____y2" hidden="1">{"TAB1",#N/A,TRUE,"GENERAL";"TAB2",#N/A,TRUE,"GENERAL";"TAB3",#N/A,TRUE,"GENERAL";"TAB4",#N/A,TRUE,"GENERAL";"TAB5",#N/A,TRUE,"GENERAL"}</definedName>
    <definedName name="____y3" localSheetId="4" hidden="1">{"via1",#N/A,TRUE,"general";"via2",#N/A,TRUE,"general";"via3",#N/A,TRUE,"general"}</definedName>
    <definedName name="____y3" localSheetId="9" hidden="1">{"via1",#N/A,TRUE,"general";"via2",#N/A,TRUE,"general";"via3",#N/A,TRUE,"general"}</definedName>
    <definedName name="____y3" hidden="1">{"via1",#N/A,TRUE,"general";"via2",#N/A,TRUE,"general";"via3",#N/A,TRUE,"general"}</definedName>
    <definedName name="____y4" localSheetId="4" hidden="1">{"via1",#N/A,TRUE,"general";"via2",#N/A,TRUE,"general";"via3",#N/A,TRUE,"general"}</definedName>
    <definedName name="____y4" localSheetId="9" hidden="1">{"via1",#N/A,TRUE,"general";"via2",#N/A,TRUE,"general";"via3",#N/A,TRUE,"general"}</definedName>
    <definedName name="____y4" hidden="1">{"via1",#N/A,TRUE,"general";"via2",#N/A,TRUE,"general";"via3",#N/A,TRUE,"general"}</definedName>
    <definedName name="____y5" localSheetId="4" hidden="1">{"TAB1",#N/A,TRUE,"GENERAL";"TAB2",#N/A,TRUE,"GENERAL";"TAB3",#N/A,TRUE,"GENERAL";"TAB4",#N/A,TRUE,"GENERAL";"TAB5",#N/A,TRUE,"GENERAL"}</definedName>
    <definedName name="____y5" localSheetId="9" hidden="1">{"TAB1",#N/A,TRUE,"GENERAL";"TAB2",#N/A,TRUE,"GENERAL";"TAB3",#N/A,TRUE,"GENERAL";"TAB4",#N/A,TRUE,"GENERAL";"TAB5",#N/A,TRUE,"GENERAL"}</definedName>
    <definedName name="____y5" hidden="1">{"TAB1",#N/A,TRUE,"GENERAL";"TAB2",#N/A,TRUE,"GENERAL";"TAB3",#N/A,TRUE,"GENERAL";"TAB4",#N/A,TRUE,"GENERAL";"TAB5",#N/A,TRUE,"GENERAL"}</definedName>
    <definedName name="____y6" localSheetId="4" hidden="1">{"via1",#N/A,TRUE,"general";"via2",#N/A,TRUE,"general";"via3",#N/A,TRUE,"general"}</definedName>
    <definedName name="____y6" localSheetId="9" hidden="1">{"via1",#N/A,TRUE,"general";"via2",#N/A,TRUE,"general";"via3",#N/A,TRUE,"general"}</definedName>
    <definedName name="____y6" hidden="1">{"via1",#N/A,TRUE,"general";"via2",#N/A,TRUE,"general";"via3",#N/A,TRUE,"general"}</definedName>
    <definedName name="____y7" localSheetId="4" hidden="1">{"via1",#N/A,TRUE,"general";"via2",#N/A,TRUE,"general";"via3",#N/A,TRUE,"general"}</definedName>
    <definedName name="____y7" localSheetId="9" hidden="1">{"via1",#N/A,TRUE,"general";"via2",#N/A,TRUE,"general";"via3",#N/A,TRUE,"general"}</definedName>
    <definedName name="____y7" hidden="1">{"via1",#N/A,TRUE,"general";"via2",#N/A,TRUE,"general";"via3",#N/A,TRUE,"general"}</definedName>
    <definedName name="____y8" localSheetId="4" hidden="1">{"via1",#N/A,TRUE,"general";"via2",#N/A,TRUE,"general";"via3",#N/A,TRUE,"general"}</definedName>
    <definedName name="____y8" localSheetId="9" hidden="1">{"via1",#N/A,TRUE,"general";"via2",#N/A,TRUE,"general";"via3",#N/A,TRUE,"general"}</definedName>
    <definedName name="____y8" hidden="1">{"via1",#N/A,TRUE,"general";"via2",#N/A,TRUE,"general";"via3",#N/A,TRUE,"general"}</definedName>
    <definedName name="____y9" localSheetId="4" hidden="1">{"TAB1",#N/A,TRUE,"GENERAL";"TAB2",#N/A,TRUE,"GENERAL";"TAB3",#N/A,TRUE,"GENERAL";"TAB4",#N/A,TRUE,"GENERAL";"TAB5",#N/A,TRUE,"GENERAL"}</definedName>
    <definedName name="____y9" localSheetId="9" hidden="1">{"TAB1",#N/A,TRUE,"GENERAL";"TAB2",#N/A,TRUE,"GENERAL";"TAB3",#N/A,TRUE,"GENERAL";"TAB4",#N/A,TRUE,"GENERAL";"TAB5",#N/A,TRUE,"GENERAL"}</definedName>
    <definedName name="____y9"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9" hidden="1">{"TAB1",#N/A,TRUE,"GENERAL";"TAB2",#N/A,TRUE,"GENERAL";"TAB3",#N/A,TRUE,"GENERAL";"TAB4",#N/A,TRUE,"GENERAL";"TAB5",#N/A,TRUE,"GENERAL"}</definedName>
    <definedName name="____z1" hidden="1">{"TAB1",#N/A,TRUE,"GENERAL";"TAB2",#N/A,TRUE,"GENERAL";"TAB3",#N/A,TRUE,"GENERAL";"TAB4",#N/A,TRUE,"GENERAL";"TAB5",#N/A,TRUE,"GENERAL"}</definedName>
    <definedName name="____z2" localSheetId="4" hidden="1">{"via1",#N/A,TRUE,"general";"via2",#N/A,TRUE,"general";"via3",#N/A,TRUE,"general"}</definedName>
    <definedName name="____z2" localSheetId="9" hidden="1">{"via1",#N/A,TRUE,"general";"via2",#N/A,TRUE,"general";"via3",#N/A,TRUE,"general"}</definedName>
    <definedName name="____z2" hidden="1">{"via1",#N/A,TRUE,"general";"via2",#N/A,TRUE,"general";"via3",#N/A,TRUE,"general"}</definedName>
    <definedName name="____z3" localSheetId="4" hidden="1">{"via1",#N/A,TRUE,"general";"via2",#N/A,TRUE,"general";"via3",#N/A,TRUE,"general"}</definedName>
    <definedName name="____z3" localSheetId="9" hidden="1">{"via1",#N/A,TRUE,"general";"via2",#N/A,TRUE,"general";"via3",#N/A,TRUE,"general"}</definedName>
    <definedName name="____z3" hidden="1">{"via1",#N/A,TRUE,"general";"via2",#N/A,TRUE,"general";"via3",#N/A,TRUE,"general"}</definedName>
    <definedName name="____z4" localSheetId="4" hidden="1">{"TAB1",#N/A,TRUE,"GENERAL";"TAB2",#N/A,TRUE,"GENERAL";"TAB3",#N/A,TRUE,"GENERAL";"TAB4",#N/A,TRUE,"GENERAL";"TAB5",#N/A,TRUE,"GENERAL"}</definedName>
    <definedName name="____z4" localSheetId="9" hidden="1">{"TAB1",#N/A,TRUE,"GENERAL";"TAB2",#N/A,TRUE,"GENERAL";"TAB3",#N/A,TRUE,"GENERAL";"TAB4",#N/A,TRUE,"GENERAL";"TAB5",#N/A,TRUE,"GENERAL"}</definedName>
    <definedName name="____z4" hidden="1">{"TAB1",#N/A,TRUE,"GENERAL";"TAB2",#N/A,TRUE,"GENERAL";"TAB3",#N/A,TRUE,"GENERAL";"TAB4",#N/A,TRUE,"GENERAL";"TAB5",#N/A,TRUE,"GENERAL"}</definedName>
    <definedName name="____z5" localSheetId="4" hidden="1">{"via1",#N/A,TRUE,"general";"via2",#N/A,TRUE,"general";"via3",#N/A,TRUE,"general"}</definedName>
    <definedName name="____z5" localSheetId="9" hidden="1">{"via1",#N/A,TRUE,"general";"via2",#N/A,TRUE,"general";"via3",#N/A,TRUE,"general"}</definedName>
    <definedName name="____z5" hidden="1">{"via1",#N/A,TRUE,"general";"via2",#N/A,TRUE,"general";"via3",#N/A,TRUE,"general"}</definedName>
    <definedName name="____z6" localSheetId="4" hidden="1">{"TAB1",#N/A,TRUE,"GENERAL";"TAB2",#N/A,TRUE,"GENERAL";"TAB3",#N/A,TRUE,"GENERAL";"TAB4",#N/A,TRUE,"GENERAL";"TAB5",#N/A,TRUE,"GENERAL"}</definedName>
    <definedName name="____z6" localSheetId="9" hidden="1">{"TAB1",#N/A,TRUE,"GENERAL";"TAB2",#N/A,TRUE,"GENERAL";"TAB3",#N/A,TRUE,"GENERAL";"TAB4",#N/A,TRUE,"GENERAL";"TAB5",#N/A,TRUE,"GENERAL"}</definedName>
    <definedName name="____z6" hidden="1">{"TAB1",#N/A,TRUE,"GENERAL";"TAB2",#N/A,TRUE,"GENERAL";"TAB3",#N/A,TRUE,"GENERAL";"TAB4",#N/A,TRUE,"GENERAL";"TAB5",#N/A,TRUE,"GENERAL"}</definedName>
    <definedName name="___a1" localSheetId="4" hidden="1">{"TAB1",#N/A,TRUE,"GENERAL";"TAB2",#N/A,TRUE,"GENERAL";"TAB3",#N/A,TRUE,"GENERAL";"TAB4",#N/A,TRUE,"GENERAL";"TAB5",#N/A,TRUE,"GENERAL"}</definedName>
    <definedName name="___a1" localSheetId="9" hidden="1">{"TAB1",#N/A,TRUE,"GENERAL";"TAB2",#N/A,TRUE,"GENERAL";"TAB3",#N/A,TRUE,"GENERAL";"TAB4",#N/A,TRUE,"GENERAL";"TAB5",#N/A,TRUE,"GENERAL"}</definedName>
    <definedName name="___a1" hidden="1">{"TAB1",#N/A,TRUE,"GENERAL";"TAB2",#N/A,TRUE,"GENERAL";"TAB3",#N/A,TRUE,"GENERAL";"TAB4",#N/A,TRUE,"GENERAL";"TAB5",#N/A,TRUE,"GENERAL"}</definedName>
    <definedName name="___a3" localSheetId="4" hidden="1">{"TAB1",#N/A,TRUE,"GENERAL";"TAB2",#N/A,TRUE,"GENERAL";"TAB3",#N/A,TRUE,"GENERAL";"TAB4",#N/A,TRUE,"GENERAL";"TAB5",#N/A,TRUE,"GENERAL"}</definedName>
    <definedName name="___a3" localSheetId="9" hidden="1">{"TAB1",#N/A,TRUE,"GENERAL";"TAB2",#N/A,TRUE,"GENERAL";"TAB3",#N/A,TRUE,"GENERAL";"TAB4",#N/A,TRUE,"GENERAL";"TAB5",#N/A,TRUE,"GENERAL"}</definedName>
    <definedName name="___a3" hidden="1">{"TAB1",#N/A,TRUE,"GENERAL";"TAB2",#N/A,TRUE,"GENERAL";"TAB3",#N/A,TRUE,"GENERAL";"TAB4",#N/A,TRUE,"GENERAL";"TAB5",#N/A,TRUE,"GENERAL"}</definedName>
    <definedName name="___a4" localSheetId="4" hidden="1">{"via1",#N/A,TRUE,"general";"via2",#N/A,TRUE,"general";"via3",#N/A,TRUE,"general"}</definedName>
    <definedName name="___a4" localSheetId="9" hidden="1">{"via1",#N/A,TRUE,"general";"via2",#N/A,TRUE,"general";"via3",#N/A,TRUE,"general"}</definedName>
    <definedName name="___a4" hidden="1">{"via1",#N/A,TRUE,"general";"via2",#N/A,TRUE,"general";"via3",#N/A,TRUE,"general"}</definedName>
    <definedName name="___a5" localSheetId="4" hidden="1">{"TAB1",#N/A,TRUE,"GENERAL";"TAB2",#N/A,TRUE,"GENERAL";"TAB3",#N/A,TRUE,"GENERAL";"TAB4",#N/A,TRUE,"GENERAL";"TAB5",#N/A,TRUE,"GENERAL"}</definedName>
    <definedName name="___a5" localSheetId="9" hidden="1">{"TAB1",#N/A,TRUE,"GENERAL";"TAB2",#N/A,TRUE,"GENERAL";"TAB3",#N/A,TRUE,"GENERAL";"TAB4",#N/A,TRUE,"GENERAL";"TAB5",#N/A,TRUE,"GENERAL"}</definedName>
    <definedName name="___a5" hidden="1">{"TAB1",#N/A,TRUE,"GENERAL";"TAB2",#N/A,TRUE,"GENERAL";"TAB3",#N/A,TRUE,"GENERAL";"TAB4",#N/A,TRUE,"GENERAL";"TAB5",#N/A,TRUE,"GENERAL"}</definedName>
    <definedName name="___a6" localSheetId="4" hidden="1">{"TAB1",#N/A,TRUE,"GENERAL";"TAB2",#N/A,TRUE,"GENERAL";"TAB3",#N/A,TRUE,"GENERAL";"TAB4",#N/A,TRUE,"GENERAL";"TAB5",#N/A,TRUE,"GENERAL"}</definedName>
    <definedName name="___a6" localSheetId="9" hidden="1">{"TAB1",#N/A,TRUE,"GENERAL";"TAB2",#N/A,TRUE,"GENERAL";"TAB3",#N/A,TRUE,"GENERAL";"TAB4",#N/A,TRUE,"GENERAL";"TAB5",#N/A,TRUE,"GENERAL"}</definedName>
    <definedName name="___a6" hidden="1">{"TAB1",#N/A,TRUE,"GENERAL";"TAB2",#N/A,TRUE,"GENERAL";"TAB3",#N/A,TRUE,"GENERAL";"TAB4",#N/A,TRUE,"GENERAL";"TAB5",#N/A,TRUE,"GENERAL"}</definedName>
    <definedName name="___aiu2">[4]AIU!$J$105</definedName>
    <definedName name="___b2" localSheetId="4" hidden="1">{"TAB1",#N/A,TRUE,"GENERAL";"TAB2",#N/A,TRUE,"GENERAL";"TAB3",#N/A,TRUE,"GENERAL";"TAB4",#N/A,TRUE,"GENERAL";"TAB5",#N/A,TRUE,"GENERAL"}</definedName>
    <definedName name="___b2" localSheetId="9" hidden="1">{"TAB1",#N/A,TRUE,"GENERAL";"TAB2",#N/A,TRUE,"GENERAL";"TAB3",#N/A,TRUE,"GENERAL";"TAB4",#N/A,TRUE,"GENERAL";"TAB5",#N/A,TRUE,"GENERAL"}</definedName>
    <definedName name="___b2" hidden="1">{"TAB1",#N/A,TRUE,"GENERAL";"TAB2",#N/A,TRUE,"GENERAL";"TAB3",#N/A,TRUE,"GENERAL";"TAB4",#N/A,TRUE,"GENERAL";"TAB5",#N/A,TRUE,"GENERAL"}</definedName>
    <definedName name="___b3" localSheetId="4" hidden="1">{"TAB1",#N/A,TRUE,"GENERAL";"TAB2",#N/A,TRUE,"GENERAL";"TAB3",#N/A,TRUE,"GENERAL";"TAB4",#N/A,TRUE,"GENERAL";"TAB5",#N/A,TRUE,"GENERAL"}</definedName>
    <definedName name="___b3" localSheetId="9" hidden="1">{"TAB1",#N/A,TRUE,"GENERAL";"TAB2",#N/A,TRUE,"GENERAL";"TAB3",#N/A,TRUE,"GENERAL";"TAB4",#N/A,TRUE,"GENERAL";"TAB5",#N/A,TRUE,"GENERAL"}</definedName>
    <definedName name="___b3" hidden="1">{"TAB1",#N/A,TRUE,"GENERAL";"TAB2",#N/A,TRUE,"GENERAL";"TAB3",#N/A,TRUE,"GENERAL";"TAB4",#N/A,TRUE,"GENERAL";"TAB5",#N/A,TRUE,"GENERAL"}</definedName>
    <definedName name="___b4" localSheetId="4" hidden="1">{"TAB1",#N/A,TRUE,"GENERAL";"TAB2",#N/A,TRUE,"GENERAL";"TAB3",#N/A,TRUE,"GENERAL";"TAB4",#N/A,TRUE,"GENERAL";"TAB5",#N/A,TRUE,"GENERAL"}</definedName>
    <definedName name="___b4" localSheetId="9" hidden="1">{"TAB1",#N/A,TRUE,"GENERAL";"TAB2",#N/A,TRUE,"GENERAL";"TAB3",#N/A,TRUE,"GENERAL";"TAB4",#N/A,TRUE,"GENERAL";"TAB5",#N/A,TRUE,"GENERAL"}</definedName>
    <definedName name="___b4" hidden="1">{"TAB1",#N/A,TRUE,"GENERAL";"TAB2",#N/A,TRUE,"GENERAL";"TAB3",#N/A,TRUE,"GENERAL";"TAB4",#N/A,TRUE,"GENERAL";"TAB5",#N/A,TRUE,"GENERAL"}</definedName>
    <definedName name="___b5" localSheetId="4" hidden="1">{"TAB1",#N/A,TRUE,"GENERAL";"TAB2",#N/A,TRUE,"GENERAL";"TAB3",#N/A,TRUE,"GENERAL";"TAB4",#N/A,TRUE,"GENERAL";"TAB5",#N/A,TRUE,"GENERAL"}</definedName>
    <definedName name="___b5" localSheetId="9" hidden="1">{"TAB1",#N/A,TRUE,"GENERAL";"TAB2",#N/A,TRUE,"GENERAL";"TAB3",#N/A,TRUE,"GENERAL";"TAB4",#N/A,TRUE,"GENERAL";"TAB5",#N/A,TRUE,"GENERAL"}</definedName>
    <definedName name="___b5" hidden="1">{"TAB1",#N/A,TRUE,"GENERAL";"TAB2",#N/A,TRUE,"GENERAL";"TAB3",#N/A,TRUE,"GENERAL";"TAB4",#N/A,TRUE,"GENERAL";"TAB5",#N/A,TRUE,"GENERAL"}</definedName>
    <definedName name="___b6" localSheetId="4" hidden="1">{"TAB1",#N/A,TRUE,"GENERAL";"TAB2",#N/A,TRUE,"GENERAL";"TAB3",#N/A,TRUE,"GENERAL";"TAB4",#N/A,TRUE,"GENERAL";"TAB5",#N/A,TRUE,"GENERAL"}</definedName>
    <definedName name="___b6" localSheetId="9" hidden="1">{"TAB1",#N/A,TRUE,"GENERAL";"TAB2",#N/A,TRUE,"GENERAL";"TAB3",#N/A,TRUE,"GENERAL";"TAB4",#N/A,TRUE,"GENERAL";"TAB5",#N/A,TRUE,"GENERAL"}</definedName>
    <definedName name="___b6" hidden="1">{"TAB1",#N/A,TRUE,"GENERAL";"TAB2",#N/A,TRUE,"GENERAL";"TAB3",#N/A,TRUE,"GENERAL";"TAB4",#N/A,TRUE,"GENERAL";"TAB5",#N/A,TRUE,"GENERAL"}</definedName>
    <definedName name="___b7" localSheetId="4" hidden="1">{"via1",#N/A,TRUE,"general";"via2",#N/A,TRUE,"general";"via3",#N/A,TRUE,"general"}</definedName>
    <definedName name="___b7" localSheetId="9" hidden="1">{"via1",#N/A,TRUE,"general";"via2",#N/A,TRUE,"general";"via3",#N/A,TRUE,"general"}</definedName>
    <definedName name="___b7" hidden="1">{"via1",#N/A,TRUE,"general";"via2",#N/A,TRUE,"general";"via3",#N/A,TRUE,"general"}</definedName>
    <definedName name="___b8" localSheetId="4" hidden="1">{"via1",#N/A,TRUE,"general";"via2",#N/A,TRUE,"general";"via3",#N/A,TRUE,"general"}</definedName>
    <definedName name="___b8" localSheetId="9" hidden="1">{"via1",#N/A,TRUE,"general";"via2",#N/A,TRUE,"general";"via3",#N/A,TRUE,"general"}</definedName>
    <definedName name="___b8" hidden="1">{"via1",#N/A,TRUE,"general";"via2",#N/A,TRUE,"general";"via3",#N/A,TRUE,"general"}</definedName>
    <definedName name="___bb9" localSheetId="4" hidden="1">{"TAB1",#N/A,TRUE,"GENERAL";"TAB2",#N/A,TRUE,"GENERAL";"TAB3",#N/A,TRUE,"GENERAL";"TAB4",#N/A,TRUE,"GENERAL";"TAB5",#N/A,TRUE,"GENERAL"}</definedName>
    <definedName name="___bb9" localSheetId="9" hidden="1">{"TAB1",#N/A,TRUE,"GENERAL";"TAB2",#N/A,TRUE,"GENERAL";"TAB3",#N/A,TRUE,"GENERAL";"TAB4",#N/A,TRUE,"GENERAL";"TAB5",#N/A,TRUE,"GENERAL"}</definedName>
    <definedName name="___bb9"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9" hidden="1">{"TAB1",#N/A,TRUE,"GENERAL";"TAB2",#N/A,TRUE,"GENERAL";"TAB3",#N/A,TRUE,"GENERAL";"TAB4",#N/A,TRUE,"GENERAL";"TAB5",#N/A,TRUE,"GENERAL"}</definedName>
    <definedName name="___bgb5" hidden="1">{"TAB1",#N/A,TRUE,"GENERAL";"TAB2",#N/A,TRUE,"GENERAL";"TAB3",#N/A,TRUE,"GENERAL";"TAB4",#N/A,TRUE,"GENERAL";"TAB5",#N/A,TRUE,"GENERAL"}</definedName>
    <definedName name="___COD1" localSheetId="4">#REF!</definedName>
    <definedName name="___COD1">#REF!</definedName>
    <definedName name="___EST1" localSheetId="4">#REF!</definedName>
    <definedName name="___EST1">#REF!</definedName>
    <definedName name="___EST10" localSheetId="4">#REF!</definedName>
    <definedName name="___EST10">#REF!</definedName>
    <definedName name="___EST11" localSheetId="4">#REF!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TR13" localSheetId="4">#REF!</definedName>
    <definedName name="___ETR13">#REF!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FC">#REF!</definedName>
    <definedName name="___FOR1">#REF!</definedName>
    <definedName name="___g2" localSheetId="4" hidden="1">{"TAB1",#N/A,TRUE,"GENERAL";"TAB2",#N/A,TRUE,"GENERAL";"TAB3",#N/A,TRUE,"GENERAL";"TAB4",#N/A,TRUE,"GENERAL";"TAB5",#N/A,TRUE,"GENERAL"}</definedName>
    <definedName name="___g2" localSheetId="9" hidden="1">{"TAB1",#N/A,TRUE,"GENERAL";"TAB2",#N/A,TRUE,"GENERAL";"TAB3",#N/A,TRUE,"GENERAL";"TAB4",#N/A,TRUE,"GENERAL";"TAB5",#N/A,TRUE,"GENERAL"}</definedName>
    <definedName name="___g2" hidden="1">{"TAB1",#N/A,TRUE,"GENERAL";"TAB2",#N/A,TRUE,"GENERAL";"TAB3",#N/A,TRUE,"GENERAL";"TAB4",#N/A,TRUE,"GENERAL";"TAB5",#N/A,TRUE,"GENERAL"}</definedName>
    <definedName name="___g3" localSheetId="4" hidden="1">{"via1",#N/A,TRUE,"general";"via2",#N/A,TRUE,"general";"via3",#N/A,TRUE,"general"}</definedName>
    <definedName name="___g3" localSheetId="9" hidden="1">{"via1",#N/A,TRUE,"general";"via2",#N/A,TRUE,"general";"via3",#N/A,TRUE,"general"}</definedName>
    <definedName name="___g3" hidden="1">{"via1",#N/A,TRUE,"general";"via2",#N/A,TRUE,"general";"via3",#N/A,TRUE,"general"}</definedName>
    <definedName name="___g4" localSheetId="4" hidden="1">{"via1",#N/A,TRUE,"general";"via2",#N/A,TRUE,"general";"via3",#N/A,TRUE,"general"}</definedName>
    <definedName name="___g4" localSheetId="9" hidden="1">{"via1",#N/A,TRUE,"general";"via2",#N/A,TRUE,"general";"via3",#N/A,TRUE,"general"}</definedName>
    <definedName name="___g4" hidden="1">{"via1",#N/A,TRUE,"general";"via2",#N/A,TRUE,"general";"via3",#N/A,TRUE,"general"}</definedName>
    <definedName name="___g5" localSheetId="4" hidden="1">{"via1",#N/A,TRUE,"general";"via2",#N/A,TRUE,"general";"via3",#N/A,TRUE,"general"}</definedName>
    <definedName name="___g5" localSheetId="9" hidden="1">{"via1",#N/A,TRUE,"general";"via2",#N/A,TRUE,"general";"via3",#N/A,TRUE,"general"}</definedName>
    <definedName name="___g5" hidden="1">{"via1",#N/A,TRUE,"general";"via2",#N/A,TRUE,"general";"via3",#N/A,TRUE,"general"}</definedName>
    <definedName name="___g6" localSheetId="4" hidden="1">{"via1",#N/A,TRUE,"general";"via2",#N/A,TRUE,"general";"via3",#N/A,TRUE,"general"}</definedName>
    <definedName name="___g6" localSheetId="9" hidden="1">{"via1",#N/A,TRUE,"general";"via2",#N/A,TRUE,"general";"via3",#N/A,TRUE,"general"}</definedName>
    <definedName name="___g6" hidden="1">{"via1",#N/A,TRUE,"general";"via2",#N/A,TRUE,"general";"via3",#N/A,TRUE,"general"}</definedName>
    <definedName name="___g7" localSheetId="4" hidden="1">{"TAB1",#N/A,TRUE,"GENERAL";"TAB2",#N/A,TRUE,"GENERAL";"TAB3",#N/A,TRUE,"GENERAL";"TAB4",#N/A,TRUE,"GENERAL";"TAB5",#N/A,TRUE,"GENERAL"}</definedName>
    <definedName name="___g7" localSheetId="9" hidden="1">{"TAB1",#N/A,TRUE,"GENERAL";"TAB2",#N/A,TRUE,"GENERAL";"TAB3",#N/A,TRUE,"GENERAL";"TAB4",#N/A,TRUE,"GENERAL";"TAB5",#N/A,TRUE,"GENERAL"}</definedName>
    <definedName name="___g7"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9" hidden="1">{"TAB1",#N/A,TRUE,"GENERAL";"TAB2",#N/A,TRUE,"GENERAL";"TAB3",#N/A,TRUE,"GENERAL";"TAB4",#N/A,TRUE,"GENERAL";"TAB5",#N/A,TRUE,"GENERAL"}</definedName>
    <definedName name="___GR1" hidden="1">{"TAB1",#N/A,TRUE,"GENERAL";"TAB2",#N/A,TRUE,"GENERAL";"TAB3",#N/A,TRUE,"GENERAL";"TAB4",#N/A,TRUE,"GENERAL";"TAB5",#N/A,TRUE,"GENERAL"}</definedName>
    <definedName name="___gtr4" localSheetId="4" hidden="1">{"via1",#N/A,TRUE,"general";"via2",#N/A,TRUE,"general";"via3",#N/A,TRUE,"general"}</definedName>
    <definedName name="___gtr4" localSheetId="9" hidden="1">{"via1",#N/A,TRUE,"general";"via2",#N/A,TRUE,"general";"via3",#N/A,TRUE,"general"}</definedName>
    <definedName name="___gtr4" hidden="1">{"via1",#N/A,TRUE,"general";"via2",#N/A,TRUE,"general";"via3",#N/A,TRUE,"general"}</definedName>
    <definedName name="___h2" localSheetId="4" hidden="1">{"via1",#N/A,TRUE,"general";"via2",#N/A,TRUE,"general";"via3",#N/A,TRUE,"general"}</definedName>
    <definedName name="___h2" localSheetId="9" hidden="1">{"via1",#N/A,TRUE,"general";"via2",#N/A,TRUE,"general";"via3",#N/A,TRUE,"general"}</definedName>
    <definedName name="___h2" hidden="1">{"via1",#N/A,TRUE,"general";"via2",#N/A,TRUE,"general";"via3",#N/A,TRUE,"general"}</definedName>
    <definedName name="___h3" localSheetId="4" hidden="1">{"via1",#N/A,TRUE,"general";"via2",#N/A,TRUE,"general";"via3",#N/A,TRUE,"general"}</definedName>
    <definedName name="___h3" localSheetId="9" hidden="1">{"via1",#N/A,TRUE,"general";"via2",#N/A,TRUE,"general";"via3",#N/A,TRUE,"general"}</definedName>
    <definedName name="___h3" hidden="1">{"via1",#N/A,TRUE,"general";"via2",#N/A,TRUE,"general";"via3",#N/A,TRUE,"general"}</definedName>
    <definedName name="___h4" localSheetId="4" hidden="1">{"TAB1",#N/A,TRUE,"GENERAL";"TAB2",#N/A,TRUE,"GENERAL";"TAB3",#N/A,TRUE,"GENERAL";"TAB4",#N/A,TRUE,"GENERAL";"TAB5",#N/A,TRUE,"GENERAL"}</definedName>
    <definedName name="___h4" localSheetId="9" hidden="1">{"TAB1",#N/A,TRUE,"GENERAL";"TAB2",#N/A,TRUE,"GENERAL";"TAB3",#N/A,TRUE,"GENERAL";"TAB4",#N/A,TRUE,"GENERAL";"TAB5",#N/A,TRUE,"GENERAL"}</definedName>
    <definedName name="___h4" hidden="1">{"TAB1",#N/A,TRUE,"GENERAL";"TAB2",#N/A,TRUE,"GENERAL";"TAB3",#N/A,TRUE,"GENERAL";"TAB4",#N/A,TRUE,"GENERAL";"TAB5",#N/A,TRUE,"GENERAL"}</definedName>
    <definedName name="___h5" localSheetId="4" hidden="1">{"TAB1",#N/A,TRUE,"GENERAL";"TAB2",#N/A,TRUE,"GENERAL";"TAB3",#N/A,TRUE,"GENERAL";"TAB4",#N/A,TRUE,"GENERAL";"TAB5",#N/A,TRUE,"GENERAL"}</definedName>
    <definedName name="___h5" localSheetId="9" hidden="1">{"TAB1",#N/A,TRUE,"GENERAL";"TAB2",#N/A,TRUE,"GENERAL";"TAB3",#N/A,TRUE,"GENERAL";"TAB4",#N/A,TRUE,"GENERAL";"TAB5",#N/A,TRUE,"GENERAL"}</definedName>
    <definedName name="___h5" hidden="1">{"TAB1",#N/A,TRUE,"GENERAL";"TAB2",#N/A,TRUE,"GENERAL";"TAB3",#N/A,TRUE,"GENERAL";"TAB4",#N/A,TRUE,"GENERAL";"TAB5",#N/A,TRUE,"GENERAL"}</definedName>
    <definedName name="___h6" localSheetId="4" hidden="1">{"via1",#N/A,TRUE,"general";"via2",#N/A,TRUE,"general";"via3",#N/A,TRUE,"general"}</definedName>
    <definedName name="___h6" localSheetId="9" hidden="1">{"via1",#N/A,TRUE,"general";"via2",#N/A,TRUE,"general";"via3",#N/A,TRUE,"general"}</definedName>
    <definedName name="___h6" hidden="1">{"via1",#N/A,TRUE,"general";"via2",#N/A,TRUE,"general";"via3",#N/A,TRUE,"general"}</definedName>
    <definedName name="___h7" localSheetId="4" hidden="1">{"TAB1",#N/A,TRUE,"GENERAL";"TAB2",#N/A,TRUE,"GENERAL";"TAB3",#N/A,TRUE,"GENERAL";"TAB4",#N/A,TRUE,"GENERAL";"TAB5",#N/A,TRUE,"GENERAL"}</definedName>
    <definedName name="___h7" localSheetId="9" hidden="1">{"TAB1",#N/A,TRUE,"GENERAL";"TAB2",#N/A,TRUE,"GENERAL";"TAB3",#N/A,TRUE,"GENERAL";"TAB4",#N/A,TRUE,"GENERAL";"TAB5",#N/A,TRUE,"GENERAL"}</definedName>
    <definedName name="___h7" hidden="1">{"TAB1",#N/A,TRUE,"GENERAL";"TAB2",#N/A,TRUE,"GENERAL";"TAB3",#N/A,TRUE,"GENERAL";"TAB4",#N/A,TRUE,"GENERAL";"TAB5",#N/A,TRUE,"GENERAL"}</definedName>
    <definedName name="___h8" localSheetId="4" hidden="1">{"via1",#N/A,TRUE,"general";"via2",#N/A,TRUE,"general";"via3",#N/A,TRUE,"general"}</definedName>
    <definedName name="___h8" localSheetId="9" hidden="1">{"via1",#N/A,TRUE,"general";"via2",#N/A,TRUE,"general";"via3",#N/A,TRUE,"general"}</definedName>
    <definedName name="___h8" hidden="1">{"via1",#N/A,TRUE,"general";"via2",#N/A,TRUE,"general";"via3",#N/A,TRUE,"general"}</definedName>
    <definedName name="___hfh7" localSheetId="4" hidden="1">{"via1",#N/A,TRUE,"general";"via2",#N/A,TRUE,"general";"via3",#N/A,TRUE,"general"}</definedName>
    <definedName name="___hfh7" localSheetId="9" hidden="1">{"via1",#N/A,TRUE,"general";"via2",#N/A,TRUE,"general";"via3",#N/A,TRUE,"general"}</definedName>
    <definedName name="___hfh7" hidden="1">{"via1",#N/A,TRUE,"general";"via2",#N/A,TRUE,"general";"via3",#N/A,TRUE,"general"}</definedName>
    <definedName name="___i4" localSheetId="4" hidden="1">{"via1",#N/A,TRUE,"general";"via2",#N/A,TRUE,"general";"via3",#N/A,TRUE,"general"}</definedName>
    <definedName name="___i4" localSheetId="9" hidden="1">{"via1",#N/A,TRUE,"general";"via2",#N/A,TRUE,"general";"via3",#N/A,TRUE,"general"}</definedName>
    <definedName name="___i4" hidden="1">{"via1",#N/A,TRUE,"general";"via2",#N/A,TRUE,"general";"via3",#N/A,TRUE,"general"}</definedName>
    <definedName name="___i5" localSheetId="4" hidden="1">{"TAB1",#N/A,TRUE,"GENERAL";"TAB2",#N/A,TRUE,"GENERAL";"TAB3",#N/A,TRUE,"GENERAL";"TAB4",#N/A,TRUE,"GENERAL";"TAB5",#N/A,TRUE,"GENERAL"}</definedName>
    <definedName name="___i5" localSheetId="9" hidden="1">{"TAB1",#N/A,TRUE,"GENERAL";"TAB2",#N/A,TRUE,"GENERAL";"TAB3",#N/A,TRUE,"GENERAL";"TAB4",#N/A,TRUE,"GENERAL";"TAB5",#N/A,TRUE,"GENERAL"}</definedName>
    <definedName name="___i5" hidden="1">{"TAB1",#N/A,TRUE,"GENERAL";"TAB2",#N/A,TRUE,"GENERAL";"TAB3",#N/A,TRUE,"GENERAL";"TAB4",#N/A,TRUE,"GENERAL";"TAB5",#N/A,TRUE,"GENERAL"}</definedName>
    <definedName name="___i6" localSheetId="4" hidden="1">{"TAB1",#N/A,TRUE,"GENERAL";"TAB2",#N/A,TRUE,"GENERAL";"TAB3",#N/A,TRUE,"GENERAL";"TAB4",#N/A,TRUE,"GENERAL";"TAB5",#N/A,TRUE,"GENERAL"}</definedName>
    <definedName name="___i6" localSheetId="9" hidden="1">{"TAB1",#N/A,TRUE,"GENERAL";"TAB2",#N/A,TRUE,"GENERAL";"TAB3",#N/A,TRUE,"GENERAL";"TAB4",#N/A,TRUE,"GENERAL";"TAB5",#N/A,TRUE,"GENERAL"}</definedName>
    <definedName name="___i6" hidden="1">{"TAB1",#N/A,TRUE,"GENERAL";"TAB2",#N/A,TRUE,"GENERAL";"TAB3",#N/A,TRUE,"GENERAL";"TAB4",#N/A,TRUE,"GENERAL";"TAB5",#N/A,TRUE,"GENERAL"}</definedName>
    <definedName name="___i7" localSheetId="4" hidden="1">{"via1",#N/A,TRUE,"general";"via2",#N/A,TRUE,"general";"via3",#N/A,TRUE,"general"}</definedName>
    <definedName name="___i7" localSheetId="9" hidden="1">{"via1",#N/A,TRUE,"general";"via2",#N/A,TRUE,"general";"via3",#N/A,TRUE,"general"}</definedName>
    <definedName name="___i7" hidden="1">{"via1",#N/A,TRUE,"general";"via2",#N/A,TRUE,"general";"via3",#N/A,TRUE,"general"}</definedName>
    <definedName name="___i77" localSheetId="4" hidden="1">{"TAB1",#N/A,TRUE,"GENERAL";"TAB2",#N/A,TRUE,"GENERAL";"TAB3",#N/A,TRUE,"GENERAL";"TAB4",#N/A,TRUE,"GENERAL";"TAB5",#N/A,TRUE,"GENERAL"}</definedName>
    <definedName name="___i77" localSheetId="9" hidden="1">{"TAB1",#N/A,TRUE,"GENERAL";"TAB2",#N/A,TRUE,"GENERAL";"TAB3",#N/A,TRUE,"GENERAL";"TAB4",#N/A,TRUE,"GENERAL";"TAB5",#N/A,TRUE,"GENERAL"}</definedName>
    <definedName name="___i77" hidden="1">{"TAB1",#N/A,TRUE,"GENERAL";"TAB2",#N/A,TRUE,"GENERAL";"TAB3",#N/A,TRUE,"GENERAL";"TAB4",#N/A,TRUE,"GENERAL";"TAB5",#N/A,TRUE,"GENERAL"}</definedName>
    <definedName name="___i8" localSheetId="4" hidden="1">{"via1",#N/A,TRUE,"general";"via2",#N/A,TRUE,"general";"via3",#N/A,TRUE,"general"}</definedName>
    <definedName name="___i8" localSheetId="9" hidden="1">{"via1",#N/A,TRUE,"general";"via2",#N/A,TRUE,"general";"via3",#N/A,TRUE,"general"}</definedName>
    <definedName name="___i8" hidden="1">{"via1",#N/A,TRUE,"general";"via2",#N/A,TRUE,"general";"via3",#N/A,TRUE,"general"}</definedName>
    <definedName name="___i9" localSheetId="4" hidden="1">{"TAB1",#N/A,TRUE,"GENERAL";"TAB2",#N/A,TRUE,"GENERAL";"TAB3",#N/A,TRUE,"GENERAL";"TAB4",#N/A,TRUE,"GENERAL";"TAB5",#N/A,TRUE,"GENERAL"}</definedName>
    <definedName name="___i9" localSheetId="9" hidden="1">{"TAB1",#N/A,TRUE,"GENERAL";"TAB2",#N/A,TRUE,"GENERAL";"TAB3",#N/A,TRUE,"GENERAL";"TAB4",#N/A,TRUE,"GENERAL";"TAB5",#N/A,TRUE,"GENERAL"}</definedName>
    <definedName name="___i9" hidden="1">{"TAB1",#N/A,TRUE,"GENERAL";"TAB2",#N/A,TRUE,"GENERAL";"TAB3",#N/A,TRUE,"GENERAL";"TAB4",#N/A,TRUE,"GENERAL";"TAB5",#N/A,TRUE,"GENERAL"}</definedName>
    <definedName name="___k3" localSheetId="4" hidden="1">{"TAB1",#N/A,TRUE,"GENERAL";"TAB2",#N/A,TRUE,"GENERAL";"TAB3",#N/A,TRUE,"GENERAL";"TAB4",#N/A,TRUE,"GENERAL";"TAB5",#N/A,TRUE,"GENERAL"}</definedName>
    <definedName name="___k3" localSheetId="9" hidden="1">{"TAB1",#N/A,TRUE,"GENERAL";"TAB2",#N/A,TRUE,"GENERAL";"TAB3",#N/A,TRUE,"GENERAL";"TAB4",#N/A,TRUE,"GENERAL";"TAB5",#N/A,TRUE,"GENERAL"}</definedName>
    <definedName name="___k3" hidden="1">{"TAB1",#N/A,TRUE,"GENERAL";"TAB2",#N/A,TRUE,"GENERAL";"TAB3",#N/A,TRUE,"GENERAL";"TAB4",#N/A,TRUE,"GENERAL";"TAB5",#N/A,TRUE,"GENERAL"}</definedName>
    <definedName name="___k4" localSheetId="4" hidden="1">{"via1",#N/A,TRUE,"general";"via2",#N/A,TRUE,"general";"via3",#N/A,TRUE,"general"}</definedName>
    <definedName name="___k4" localSheetId="9" hidden="1">{"via1",#N/A,TRUE,"general";"via2",#N/A,TRUE,"general";"via3",#N/A,TRUE,"general"}</definedName>
    <definedName name="___k4" hidden="1">{"via1",#N/A,TRUE,"general";"via2",#N/A,TRUE,"general";"via3",#N/A,TRUE,"general"}</definedName>
    <definedName name="___k5" localSheetId="4" hidden="1">{"via1",#N/A,TRUE,"general";"via2",#N/A,TRUE,"general";"via3",#N/A,TRUE,"general"}</definedName>
    <definedName name="___k5" localSheetId="9" hidden="1">{"via1",#N/A,TRUE,"general";"via2",#N/A,TRUE,"general";"via3",#N/A,TRUE,"general"}</definedName>
    <definedName name="___k5" hidden="1">{"via1",#N/A,TRUE,"general";"via2",#N/A,TRUE,"general";"via3",#N/A,TRUE,"general"}</definedName>
    <definedName name="___k6" localSheetId="4" hidden="1">{"TAB1",#N/A,TRUE,"GENERAL";"TAB2",#N/A,TRUE,"GENERAL";"TAB3",#N/A,TRUE,"GENERAL";"TAB4",#N/A,TRUE,"GENERAL";"TAB5",#N/A,TRUE,"GENERAL"}</definedName>
    <definedName name="___k6" localSheetId="9" hidden="1">{"TAB1",#N/A,TRUE,"GENERAL";"TAB2",#N/A,TRUE,"GENERAL";"TAB3",#N/A,TRUE,"GENERAL";"TAB4",#N/A,TRUE,"GENERAL";"TAB5",#N/A,TRUE,"GENERAL"}</definedName>
    <definedName name="___k6" hidden="1">{"TAB1",#N/A,TRUE,"GENERAL";"TAB2",#N/A,TRUE,"GENERAL";"TAB3",#N/A,TRUE,"GENERAL";"TAB4",#N/A,TRUE,"GENERAL";"TAB5",#N/A,TRUE,"GENERAL"}</definedName>
    <definedName name="___k7" localSheetId="4" hidden="1">{"via1",#N/A,TRUE,"general";"via2",#N/A,TRUE,"general";"via3",#N/A,TRUE,"general"}</definedName>
    <definedName name="___k7" localSheetId="9" hidden="1">{"via1",#N/A,TRUE,"general";"via2",#N/A,TRUE,"general";"via3",#N/A,TRUE,"general"}</definedName>
    <definedName name="___k7" hidden="1">{"via1",#N/A,TRUE,"general";"via2",#N/A,TRUE,"general";"via3",#N/A,TRUE,"general"}</definedName>
    <definedName name="___k8" localSheetId="4" hidden="1">{"via1",#N/A,TRUE,"general";"via2",#N/A,TRUE,"general";"via3",#N/A,TRUE,"general"}</definedName>
    <definedName name="___k8" localSheetId="9" hidden="1">{"via1",#N/A,TRUE,"general";"via2",#N/A,TRUE,"general";"via3",#N/A,TRUE,"general"}</definedName>
    <definedName name="___k8" hidden="1">{"via1",#N/A,TRUE,"general";"via2",#N/A,TRUE,"general";"via3",#N/A,TRUE,"general"}</definedName>
    <definedName name="___k9" localSheetId="4" hidden="1">{"TAB1",#N/A,TRUE,"GENERAL";"TAB2",#N/A,TRUE,"GENERAL";"TAB3",#N/A,TRUE,"GENERAL";"TAB4",#N/A,TRUE,"GENERAL";"TAB5",#N/A,TRUE,"GENERAL"}</definedName>
    <definedName name="___k9" localSheetId="9" hidden="1">{"TAB1",#N/A,TRUE,"GENERAL";"TAB2",#N/A,TRUE,"GENERAL";"TAB3",#N/A,TRUE,"GENERAL";"TAB4",#N/A,TRUE,"GENERAL";"TAB5",#N/A,TRUE,"GENERAL"}</definedName>
    <definedName name="___k9"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9" hidden="1">{"TAB1",#N/A,TRUE,"GENERAL";"TAB2",#N/A,TRUE,"GENERAL";"TAB3",#N/A,TRUE,"GENERAL";"TAB4",#N/A,TRUE,"GENERAL";"TAB5",#N/A,TRUE,"GENERAL"}</definedName>
    <definedName name="___kjk6" hidden="1">{"TAB1",#N/A,TRUE,"GENERAL";"TAB2",#N/A,TRUE,"GENERAL";"TAB3",#N/A,TRUE,"GENERAL";"TAB4",#N/A,TRUE,"GENERAL";"TAB5",#N/A,TRUE,"GENERAL"}</definedName>
    <definedName name="___m3" localSheetId="4" hidden="1">{"via1",#N/A,TRUE,"general";"via2",#N/A,TRUE,"general";"via3",#N/A,TRUE,"general"}</definedName>
    <definedName name="___m3" localSheetId="9" hidden="1">{"via1",#N/A,TRUE,"general";"via2",#N/A,TRUE,"general";"via3",#N/A,TRUE,"general"}</definedName>
    <definedName name="___m3" hidden="1">{"via1",#N/A,TRUE,"general";"via2",#N/A,TRUE,"general";"via3",#N/A,TRUE,"general"}</definedName>
    <definedName name="___m4" localSheetId="4" hidden="1">{"TAB1",#N/A,TRUE,"GENERAL";"TAB2",#N/A,TRUE,"GENERAL";"TAB3",#N/A,TRUE,"GENERAL";"TAB4",#N/A,TRUE,"GENERAL";"TAB5",#N/A,TRUE,"GENERAL"}</definedName>
    <definedName name="___m4" localSheetId="9" hidden="1">{"TAB1",#N/A,TRUE,"GENERAL";"TAB2",#N/A,TRUE,"GENERAL";"TAB3",#N/A,TRUE,"GENERAL";"TAB4",#N/A,TRUE,"GENERAL";"TAB5",#N/A,TRUE,"GENERAL"}</definedName>
    <definedName name="___m4" hidden="1">{"TAB1",#N/A,TRUE,"GENERAL";"TAB2",#N/A,TRUE,"GENERAL";"TAB3",#N/A,TRUE,"GENERAL";"TAB4",#N/A,TRUE,"GENERAL";"TAB5",#N/A,TRUE,"GENERAL"}</definedName>
    <definedName name="___m5" localSheetId="4" hidden="1">{"via1",#N/A,TRUE,"general";"via2",#N/A,TRUE,"general";"via3",#N/A,TRUE,"general"}</definedName>
    <definedName name="___m5" localSheetId="9" hidden="1">{"via1",#N/A,TRUE,"general";"via2",#N/A,TRUE,"general";"via3",#N/A,TRUE,"general"}</definedName>
    <definedName name="___m5" hidden="1">{"via1",#N/A,TRUE,"general";"via2",#N/A,TRUE,"general";"via3",#N/A,TRUE,"general"}</definedName>
    <definedName name="___m6" localSheetId="4" hidden="1">{"TAB1",#N/A,TRUE,"GENERAL";"TAB2",#N/A,TRUE,"GENERAL";"TAB3",#N/A,TRUE,"GENERAL";"TAB4",#N/A,TRUE,"GENERAL";"TAB5",#N/A,TRUE,"GENERAL"}</definedName>
    <definedName name="___m6" localSheetId="9" hidden="1">{"TAB1",#N/A,TRUE,"GENERAL";"TAB2",#N/A,TRUE,"GENERAL";"TAB3",#N/A,TRUE,"GENERAL";"TAB4",#N/A,TRUE,"GENERAL";"TAB5",#N/A,TRUE,"GENERAL"}</definedName>
    <definedName name="___m6" hidden="1">{"TAB1",#N/A,TRUE,"GENERAL";"TAB2",#N/A,TRUE,"GENERAL";"TAB3",#N/A,TRUE,"GENERAL";"TAB4",#N/A,TRUE,"GENERAL";"TAB5",#N/A,TRUE,"GENERAL"}</definedName>
    <definedName name="___m7" localSheetId="4" hidden="1">{"TAB1",#N/A,TRUE,"GENERAL";"TAB2",#N/A,TRUE,"GENERAL";"TAB3",#N/A,TRUE,"GENERAL";"TAB4",#N/A,TRUE,"GENERAL";"TAB5",#N/A,TRUE,"GENERAL"}</definedName>
    <definedName name="___m7" localSheetId="9" hidden="1">{"TAB1",#N/A,TRUE,"GENERAL";"TAB2",#N/A,TRUE,"GENERAL";"TAB3",#N/A,TRUE,"GENERAL";"TAB4",#N/A,TRUE,"GENERAL";"TAB5",#N/A,TRUE,"GENERAL"}</definedName>
    <definedName name="___m7" hidden="1">{"TAB1",#N/A,TRUE,"GENERAL";"TAB2",#N/A,TRUE,"GENERAL";"TAB3",#N/A,TRUE,"GENERAL";"TAB4",#N/A,TRUE,"GENERAL";"TAB5",#N/A,TRUE,"GENERAL"}</definedName>
    <definedName name="___m8" localSheetId="4" hidden="1">{"via1",#N/A,TRUE,"general";"via2",#N/A,TRUE,"general";"via3",#N/A,TRUE,"general"}</definedName>
    <definedName name="___m8" localSheetId="9" hidden="1">{"via1",#N/A,TRUE,"general";"via2",#N/A,TRUE,"general";"via3",#N/A,TRUE,"general"}</definedName>
    <definedName name="___m8" hidden="1">{"via1",#N/A,TRUE,"general";"via2",#N/A,TRUE,"general";"via3",#N/A,TRUE,"general"}</definedName>
    <definedName name="___m9" localSheetId="4" hidden="1">{"via1",#N/A,TRUE,"general";"via2",#N/A,TRUE,"general";"via3",#N/A,TRUE,"general"}</definedName>
    <definedName name="___m9" localSheetId="9" hidden="1">{"via1",#N/A,TRUE,"general";"via2",#N/A,TRUE,"general";"via3",#N/A,TRUE,"general"}</definedName>
    <definedName name="___m9" hidden="1">{"via1",#N/A,TRUE,"general";"via2",#N/A,TRUE,"general";"via3",#N/A,TRUE,"general"}</definedName>
    <definedName name="___n3" localSheetId="4" hidden="1">{"TAB1",#N/A,TRUE,"GENERAL";"TAB2",#N/A,TRUE,"GENERAL";"TAB3",#N/A,TRUE,"GENERAL";"TAB4",#N/A,TRUE,"GENERAL";"TAB5",#N/A,TRUE,"GENERAL"}</definedName>
    <definedName name="___n3" localSheetId="9" hidden="1">{"TAB1",#N/A,TRUE,"GENERAL";"TAB2",#N/A,TRUE,"GENERAL";"TAB3",#N/A,TRUE,"GENERAL";"TAB4",#N/A,TRUE,"GENERAL";"TAB5",#N/A,TRUE,"GENERAL"}</definedName>
    <definedName name="___n3" hidden="1">{"TAB1",#N/A,TRUE,"GENERAL";"TAB2",#N/A,TRUE,"GENERAL";"TAB3",#N/A,TRUE,"GENERAL";"TAB4",#N/A,TRUE,"GENERAL";"TAB5",#N/A,TRUE,"GENERAL"}</definedName>
    <definedName name="___n4" localSheetId="4" hidden="1">{"via1",#N/A,TRUE,"general";"via2",#N/A,TRUE,"general";"via3",#N/A,TRUE,"general"}</definedName>
    <definedName name="___n4" localSheetId="9" hidden="1">{"via1",#N/A,TRUE,"general";"via2",#N/A,TRUE,"general";"via3",#N/A,TRUE,"general"}</definedName>
    <definedName name="___n4" hidden="1">{"via1",#N/A,TRUE,"general";"via2",#N/A,TRUE,"general";"via3",#N/A,TRUE,"general"}</definedName>
    <definedName name="___n5" localSheetId="4" hidden="1">{"TAB1",#N/A,TRUE,"GENERAL";"TAB2",#N/A,TRUE,"GENERAL";"TAB3",#N/A,TRUE,"GENERAL";"TAB4",#N/A,TRUE,"GENERAL";"TAB5",#N/A,TRUE,"GENERAL"}</definedName>
    <definedName name="___n5" localSheetId="9" hidden="1">{"TAB1",#N/A,TRUE,"GENERAL";"TAB2",#N/A,TRUE,"GENERAL";"TAB3",#N/A,TRUE,"GENERAL";"TAB4",#N/A,TRUE,"GENERAL";"TAB5",#N/A,TRUE,"GENERAL"}</definedName>
    <definedName name="___n5" hidden="1">{"TAB1",#N/A,TRUE,"GENERAL";"TAB2",#N/A,TRUE,"GENERAL";"TAB3",#N/A,TRUE,"GENERAL";"TAB4",#N/A,TRUE,"GENERAL";"TAB5",#N/A,TRUE,"GENERAL"}</definedName>
    <definedName name="___nyn7" localSheetId="4" hidden="1">{"via1",#N/A,TRUE,"general";"via2",#N/A,TRUE,"general";"via3",#N/A,TRUE,"general"}</definedName>
    <definedName name="___nyn7" localSheetId="9" hidden="1">{"via1",#N/A,TRUE,"general";"via2",#N/A,TRUE,"general";"via3",#N/A,TRUE,"general"}</definedName>
    <definedName name="___nyn7" hidden="1">{"via1",#N/A,TRUE,"general";"via2",#N/A,TRUE,"general";"via3",#N/A,TRUE,"general"}</definedName>
    <definedName name="___o4" localSheetId="4" hidden="1">{"via1",#N/A,TRUE,"general";"via2",#N/A,TRUE,"general";"via3",#N/A,TRUE,"general"}</definedName>
    <definedName name="___o4" localSheetId="9" hidden="1">{"via1",#N/A,TRUE,"general";"via2",#N/A,TRUE,"general";"via3",#N/A,TRUE,"general"}</definedName>
    <definedName name="___o4" hidden="1">{"via1",#N/A,TRUE,"general";"via2",#N/A,TRUE,"general";"via3",#N/A,TRUE,"general"}</definedName>
    <definedName name="___o5" localSheetId="4" hidden="1">{"TAB1",#N/A,TRUE,"GENERAL";"TAB2",#N/A,TRUE,"GENERAL";"TAB3",#N/A,TRUE,"GENERAL";"TAB4",#N/A,TRUE,"GENERAL";"TAB5",#N/A,TRUE,"GENERAL"}</definedName>
    <definedName name="___o5" localSheetId="9" hidden="1">{"TAB1",#N/A,TRUE,"GENERAL";"TAB2",#N/A,TRUE,"GENERAL";"TAB3",#N/A,TRUE,"GENERAL";"TAB4",#N/A,TRUE,"GENERAL";"TAB5",#N/A,TRUE,"GENERAL"}</definedName>
    <definedName name="___o5" hidden="1">{"TAB1",#N/A,TRUE,"GENERAL";"TAB2",#N/A,TRUE,"GENERAL";"TAB3",#N/A,TRUE,"GENERAL";"TAB4",#N/A,TRUE,"GENERAL";"TAB5",#N/A,TRUE,"GENERAL"}</definedName>
    <definedName name="___o6" localSheetId="4" hidden="1">{"TAB1",#N/A,TRUE,"GENERAL";"TAB2",#N/A,TRUE,"GENERAL";"TAB3",#N/A,TRUE,"GENERAL";"TAB4",#N/A,TRUE,"GENERAL";"TAB5",#N/A,TRUE,"GENERAL"}</definedName>
    <definedName name="___o6" localSheetId="9" hidden="1">{"TAB1",#N/A,TRUE,"GENERAL";"TAB2",#N/A,TRUE,"GENERAL";"TAB3",#N/A,TRUE,"GENERAL";"TAB4",#N/A,TRUE,"GENERAL";"TAB5",#N/A,TRUE,"GENERAL"}</definedName>
    <definedName name="___o6" hidden="1">{"TAB1",#N/A,TRUE,"GENERAL";"TAB2",#N/A,TRUE,"GENERAL";"TAB3",#N/A,TRUE,"GENERAL";"TAB4",#N/A,TRUE,"GENERAL";"TAB5",#N/A,TRUE,"GENERAL"}</definedName>
    <definedName name="___o7" localSheetId="4" hidden="1">{"TAB1",#N/A,TRUE,"GENERAL";"TAB2",#N/A,TRUE,"GENERAL";"TAB3",#N/A,TRUE,"GENERAL";"TAB4",#N/A,TRUE,"GENERAL";"TAB5",#N/A,TRUE,"GENERAL"}</definedName>
    <definedName name="___o7" localSheetId="9" hidden="1">{"TAB1",#N/A,TRUE,"GENERAL";"TAB2",#N/A,TRUE,"GENERAL";"TAB3",#N/A,TRUE,"GENERAL";"TAB4",#N/A,TRUE,"GENERAL";"TAB5",#N/A,TRUE,"GENERAL"}</definedName>
    <definedName name="___o7" hidden="1">{"TAB1",#N/A,TRUE,"GENERAL";"TAB2",#N/A,TRUE,"GENERAL";"TAB3",#N/A,TRUE,"GENERAL";"TAB4",#N/A,TRUE,"GENERAL";"TAB5",#N/A,TRUE,"GENERAL"}</definedName>
    <definedName name="___o8" localSheetId="4" hidden="1">{"via1",#N/A,TRUE,"general";"via2",#N/A,TRUE,"general";"via3",#N/A,TRUE,"general"}</definedName>
    <definedName name="___o8" localSheetId="9" hidden="1">{"via1",#N/A,TRUE,"general";"via2",#N/A,TRUE,"general";"via3",#N/A,TRUE,"general"}</definedName>
    <definedName name="___o8" hidden="1">{"via1",#N/A,TRUE,"general";"via2",#N/A,TRUE,"general";"via3",#N/A,TRUE,"general"}</definedName>
    <definedName name="___o9" localSheetId="4" hidden="1">{"TAB1",#N/A,TRUE,"GENERAL";"TAB2",#N/A,TRUE,"GENERAL";"TAB3",#N/A,TRUE,"GENERAL";"TAB4",#N/A,TRUE,"GENERAL";"TAB5",#N/A,TRUE,"GENERAL"}</definedName>
    <definedName name="___o9" localSheetId="9" hidden="1">{"TAB1",#N/A,TRUE,"GENERAL";"TAB2",#N/A,TRUE,"GENERAL";"TAB3",#N/A,TRUE,"GENERAL";"TAB4",#N/A,TRUE,"GENERAL";"TAB5",#N/A,TRUE,"GENERAL"}</definedName>
    <definedName name="___o9" hidden="1">{"TAB1",#N/A,TRUE,"GENERAL";"TAB2",#N/A,TRUE,"GENERAL";"TAB3",#N/A,TRUE,"GENERAL";"TAB4",#N/A,TRUE,"GENERAL";"TAB5",#N/A,TRUE,"GENERAL"}</definedName>
    <definedName name="___ORO10" localSheetId="4">#REF!</definedName>
    <definedName name="___ORO10">#REF!</definedName>
    <definedName name="___ORO11" localSheetId="4">#REF!</definedName>
    <definedName name="___ORO11">#REF!</definedName>
    <definedName name="___ORO12" localSheetId="4">#REF!</definedName>
    <definedName name="___ORO12">#REF!</definedName>
    <definedName name="___ORO13" localSheetId="4">#REF!</definedName>
    <definedName name="___ORO13">#REF!</definedName>
    <definedName name="___ORO14" localSheetId="4">#REF!</definedName>
    <definedName name="___ORO14">#REF!</definedName>
    <definedName name="___ORO15" localSheetId="4">#REF!</definedName>
    <definedName name="___ORO15">#REF!</definedName>
    <definedName name="___ORO16" localSheetId="4">#REF!</definedName>
    <definedName name="___ORO16">#REF!</definedName>
    <definedName name="___ORO17" localSheetId="4">#REF!</definedName>
    <definedName name="___ORO17">#REF!</definedName>
    <definedName name="___ORO18" localSheetId="4">#REF!</definedName>
    <definedName name="___ORO18">#REF!</definedName>
    <definedName name="___ORO19" localSheetId="4">#REF!</definedName>
    <definedName name="___ORO19">#REF!</definedName>
    <definedName name="___p6" localSheetId="4" hidden="1">{"via1",#N/A,TRUE,"general";"via2",#N/A,TRUE,"general";"via3",#N/A,TRUE,"general"}</definedName>
    <definedName name="___p6" localSheetId="9" hidden="1">{"via1",#N/A,TRUE,"general";"via2",#N/A,TRUE,"general";"via3",#N/A,TRUE,"general"}</definedName>
    <definedName name="___p6" hidden="1">{"via1",#N/A,TRUE,"general";"via2",#N/A,TRUE,"general";"via3",#N/A,TRUE,"general"}</definedName>
    <definedName name="___p7" localSheetId="4" hidden="1">{"via1",#N/A,TRUE,"general";"via2",#N/A,TRUE,"general";"via3",#N/A,TRUE,"general"}</definedName>
    <definedName name="___p7" localSheetId="9" hidden="1">{"via1",#N/A,TRUE,"general";"via2",#N/A,TRUE,"general";"via3",#N/A,TRUE,"general"}</definedName>
    <definedName name="___p7" hidden="1">{"via1",#N/A,TRUE,"general";"via2",#N/A,TRUE,"general";"via3",#N/A,TRUE,"general"}</definedName>
    <definedName name="___p8" localSheetId="4" hidden="1">{"TAB1",#N/A,TRUE,"GENERAL";"TAB2",#N/A,TRUE,"GENERAL";"TAB3",#N/A,TRUE,"GENERAL";"TAB4",#N/A,TRUE,"GENERAL";"TAB5",#N/A,TRUE,"GENERAL"}</definedName>
    <definedName name="___p8" localSheetId="9" hidden="1">{"TAB1",#N/A,TRUE,"GENERAL";"TAB2",#N/A,TRUE,"GENERAL";"TAB3",#N/A,TRUE,"GENERAL";"TAB4",#N/A,TRUE,"GENERAL";"TAB5",#N/A,TRUE,"GENERAL"}</definedName>
    <definedName name="___p8" hidden="1">{"TAB1",#N/A,TRUE,"GENERAL";"TAB2",#N/A,TRUE,"GENERAL";"TAB3",#N/A,TRUE,"GENERAL";"TAB4",#N/A,TRUE,"GENERAL";"TAB5",#N/A,TRUE,"GENERAL"}</definedName>
    <definedName name="___PMT5671" localSheetId="4">[3]MEMORIAS!#REF!</definedName>
    <definedName name="___PMT5671">[3]MEMORIAS!#REF!</definedName>
    <definedName name="___PMT5805" localSheetId="4">[3]MEMORIAS!#REF!</definedName>
    <definedName name="___PMT5805">[3]MEMORIAS!#REF!</definedName>
    <definedName name="___PMT5806" localSheetId="4">[3]MEMORIAS!#REF!</definedName>
    <definedName name="___PMT5806">[3]MEMORIAS!#REF!</definedName>
    <definedName name="___PMT5815" localSheetId="4">[3]MEMORIAS!#REF!</definedName>
    <definedName name="___PMT5815">[3]MEMORIAS!#REF!</definedName>
    <definedName name="___PMT5820" localSheetId="4">[3]MEMORIAS!#REF!</definedName>
    <definedName name="___PMT5820">[3]MEMORIAS!#REF!</definedName>
    <definedName name="___r" localSheetId="4">#REF!</definedName>
    <definedName name="___r">#REF!</definedName>
    <definedName name="___r4r" localSheetId="4" hidden="1">{"via1",#N/A,TRUE,"general";"via2",#N/A,TRUE,"general";"via3",#N/A,TRUE,"general"}</definedName>
    <definedName name="___r4r" localSheetId="9" hidden="1">{"via1",#N/A,TRUE,"general";"via2",#N/A,TRUE,"general";"via3",#N/A,TRUE,"general"}</definedName>
    <definedName name="___r4r" hidden="1">{"via1",#N/A,TRUE,"general";"via2",#N/A,TRUE,"general";"via3",#N/A,TRUE,"general"}</definedName>
    <definedName name="___rtu6" localSheetId="4" hidden="1">{"via1",#N/A,TRUE,"general";"via2",#N/A,TRUE,"general";"via3",#N/A,TRUE,"general"}</definedName>
    <definedName name="___rtu6" localSheetId="9" hidden="1">{"via1",#N/A,TRUE,"general";"via2",#N/A,TRUE,"general";"via3",#N/A,TRUE,"general"}</definedName>
    <definedName name="___rtu6" hidden="1">{"via1",#N/A,TRUE,"general";"via2",#N/A,TRUE,"general";"via3",#N/A,TRUE,"general"}</definedName>
    <definedName name="___s1" localSheetId="4" hidden="1">{"via1",#N/A,TRUE,"general";"via2",#N/A,TRUE,"general";"via3",#N/A,TRUE,"general"}</definedName>
    <definedName name="___s1" localSheetId="9" hidden="1">{"via1",#N/A,TRUE,"general";"via2",#N/A,TRUE,"general";"via3",#N/A,TRUE,"general"}</definedName>
    <definedName name="___s1" hidden="1">{"via1",#N/A,TRUE,"general";"via2",#N/A,TRUE,"general";"via3",#N/A,TRUE,"general"}</definedName>
    <definedName name="___s2" localSheetId="4" hidden="1">{"TAB1",#N/A,TRUE,"GENERAL";"TAB2",#N/A,TRUE,"GENERAL";"TAB3",#N/A,TRUE,"GENERAL";"TAB4",#N/A,TRUE,"GENERAL";"TAB5",#N/A,TRUE,"GENERAL"}</definedName>
    <definedName name="___s2" localSheetId="9" hidden="1">{"TAB1",#N/A,TRUE,"GENERAL";"TAB2",#N/A,TRUE,"GENERAL";"TAB3",#N/A,TRUE,"GENERAL";"TAB4",#N/A,TRUE,"GENERAL";"TAB5",#N/A,TRUE,"GENERAL"}</definedName>
    <definedName name="___s2" hidden="1">{"TAB1",#N/A,TRUE,"GENERAL";"TAB2",#N/A,TRUE,"GENERAL";"TAB3",#N/A,TRUE,"GENERAL";"TAB4",#N/A,TRUE,"GENERAL";"TAB5",#N/A,TRUE,"GENERAL"}</definedName>
    <definedName name="___s3" localSheetId="4" hidden="1">{"TAB1",#N/A,TRUE,"GENERAL";"TAB2",#N/A,TRUE,"GENERAL";"TAB3",#N/A,TRUE,"GENERAL";"TAB4",#N/A,TRUE,"GENERAL";"TAB5",#N/A,TRUE,"GENERAL"}</definedName>
    <definedName name="___s3" localSheetId="9" hidden="1">{"TAB1",#N/A,TRUE,"GENERAL";"TAB2",#N/A,TRUE,"GENERAL";"TAB3",#N/A,TRUE,"GENERAL";"TAB4",#N/A,TRUE,"GENERAL";"TAB5",#N/A,TRUE,"GENERAL"}</definedName>
    <definedName name="___s3" hidden="1">{"TAB1",#N/A,TRUE,"GENERAL";"TAB2",#N/A,TRUE,"GENERAL";"TAB3",#N/A,TRUE,"GENERAL";"TAB4",#N/A,TRUE,"GENERAL";"TAB5",#N/A,TRUE,"GENERAL"}</definedName>
    <definedName name="___s4" localSheetId="4" hidden="1">{"via1",#N/A,TRUE,"general";"via2",#N/A,TRUE,"general";"via3",#N/A,TRUE,"general"}</definedName>
    <definedName name="___s4" localSheetId="9" hidden="1">{"via1",#N/A,TRUE,"general";"via2",#N/A,TRUE,"general";"via3",#N/A,TRUE,"general"}</definedName>
    <definedName name="___s4" hidden="1">{"via1",#N/A,TRUE,"general";"via2",#N/A,TRUE,"general";"via3",#N/A,TRUE,"general"}</definedName>
    <definedName name="___s5" localSheetId="4" hidden="1">{"via1",#N/A,TRUE,"general";"via2",#N/A,TRUE,"general";"via3",#N/A,TRUE,"general"}</definedName>
    <definedName name="___s5" localSheetId="9" hidden="1">{"via1",#N/A,TRUE,"general";"via2",#N/A,TRUE,"general";"via3",#N/A,TRUE,"general"}</definedName>
    <definedName name="___s5" hidden="1">{"via1",#N/A,TRUE,"general";"via2",#N/A,TRUE,"general";"via3",#N/A,TRUE,"general"}</definedName>
    <definedName name="___s6" localSheetId="4" hidden="1">{"TAB1",#N/A,TRUE,"GENERAL";"TAB2",#N/A,TRUE,"GENERAL";"TAB3",#N/A,TRUE,"GENERAL";"TAB4",#N/A,TRUE,"GENERAL";"TAB5",#N/A,TRUE,"GENERAL"}</definedName>
    <definedName name="___s6" localSheetId="9" hidden="1">{"TAB1",#N/A,TRUE,"GENERAL";"TAB2",#N/A,TRUE,"GENERAL";"TAB3",#N/A,TRUE,"GENERAL";"TAB4",#N/A,TRUE,"GENERAL";"TAB5",#N/A,TRUE,"GENERAL"}</definedName>
    <definedName name="___s6" hidden="1">{"TAB1",#N/A,TRUE,"GENERAL";"TAB2",#N/A,TRUE,"GENERAL";"TAB3",#N/A,TRUE,"GENERAL";"TAB4",#N/A,TRUE,"GENERAL";"TAB5",#N/A,TRUE,"GENERAL"}</definedName>
    <definedName name="___s7" localSheetId="4" hidden="1">{"via1",#N/A,TRUE,"general";"via2",#N/A,TRUE,"general";"via3",#N/A,TRUE,"general"}</definedName>
    <definedName name="___s7" localSheetId="9" hidden="1">{"via1",#N/A,TRUE,"general";"via2",#N/A,TRUE,"general";"via3",#N/A,TRUE,"general"}</definedName>
    <definedName name="___s7" hidden="1">{"via1",#N/A,TRUE,"general";"via2",#N/A,TRUE,"general";"via3",#N/A,TRUE,"general"}</definedName>
    <definedName name="___t3" localSheetId="4" hidden="1">{"TAB1",#N/A,TRUE,"GENERAL";"TAB2",#N/A,TRUE,"GENERAL";"TAB3",#N/A,TRUE,"GENERAL";"TAB4",#N/A,TRUE,"GENERAL";"TAB5",#N/A,TRUE,"GENERAL"}</definedName>
    <definedName name="___t3" localSheetId="9" hidden="1">{"TAB1",#N/A,TRUE,"GENERAL";"TAB2",#N/A,TRUE,"GENERAL";"TAB3",#N/A,TRUE,"GENERAL";"TAB4",#N/A,TRUE,"GENERAL";"TAB5",#N/A,TRUE,"GENERAL"}</definedName>
    <definedName name="___t3" hidden="1">{"TAB1",#N/A,TRUE,"GENERAL";"TAB2",#N/A,TRUE,"GENERAL";"TAB3",#N/A,TRUE,"GENERAL";"TAB4",#N/A,TRUE,"GENERAL";"TAB5",#N/A,TRUE,"GENERAL"}</definedName>
    <definedName name="___t4" localSheetId="4" hidden="1">{"via1",#N/A,TRUE,"general";"via2",#N/A,TRUE,"general";"via3",#N/A,TRUE,"general"}</definedName>
    <definedName name="___t4" localSheetId="9" hidden="1">{"via1",#N/A,TRUE,"general";"via2",#N/A,TRUE,"general";"via3",#N/A,TRUE,"general"}</definedName>
    <definedName name="___t4" hidden="1">{"via1",#N/A,TRUE,"general";"via2",#N/A,TRUE,"general";"via3",#N/A,TRUE,"general"}</definedName>
    <definedName name="___t5" localSheetId="4" hidden="1">{"TAB1",#N/A,TRUE,"GENERAL";"TAB2",#N/A,TRUE,"GENERAL";"TAB3",#N/A,TRUE,"GENERAL";"TAB4",#N/A,TRUE,"GENERAL";"TAB5",#N/A,TRUE,"GENERAL"}</definedName>
    <definedName name="___t5" localSheetId="9" hidden="1">{"TAB1",#N/A,TRUE,"GENERAL";"TAB2",#N/A,TRUE,"GENERAL";"TAB3",#N/A,TRUE,"GENERAL";"TAB4",#N/A,TRUE,"GENERAL";"TAB5",#N/A,TRUE,"GENERAL"}</definedName>
    <definedName name="___t5" hidden="1">{"TAB1",#N/A,TRUE,"GENERAL";"TAB2",#N/A,TRUE,"GENERAL";"TAB3",#N/A,TRUE,"GENERAL";"TAB4",#N/A,TRUE,"GENERAL";"TAB5",#N/A,TRUE,"GENERAL"}</definedName>
    <definedName name="___t6" localSheetId="4" hidden="1">{"via1",#N/A,TRUE,"general";"via2",#N/A,TRUE,"general";"via3",#N/A,TRUE,"general"}</definedName>
    <definedName name="___t6" localSheetId="9" hidden="1">{"via1",#N/A,TRUE,"general";"via2",#N/A,TRUE,"general";"via3",#N/A,TRUE,"general"}</definedName>
    <definedName name="___t6" hidden="1">{"via1",#N/A,TRUE,"general";"via2",#N/A,TRUE,"general";"via3",#N/A,TRUE,"general"}</definedName>
    <definedName name="___t66" localSheetId="4" hidden="1">{"TAB1",#N/A,TRUE,"GENERAL";"TAB2",#N/A,TRUE,"GENERAL";"TAB3",#N/A,TRUE,"GENERAL";"TAB4",#N/A,TRUE,"GENERAL";"TAB5",#N/A,TRUE,"GENERAL"}</definedName>
    <definedName name="___t66" localSheetId="9" hidden="1">{"TAB1",#N/A,TRUE,"GENERAL";"TAB2",#N/A,TRUE,"GENERAL";"TAB3",#N/A,TRUE,"GENERAL";"TAB4",#N/A,TRUE,"GENERAL";"TAB5",#N/A,TRUE,"GENERAL"}</definedName>
    <definedName name="___t66" hidden="1">{"TAB1",#N/A,TRUE,"GENERAL";"TAB2",#N/A,TRUE,"GENERAL";"TAB3",#N/A,TRUE,"GENERAL";"TAB4",#N/A,TRUE,"GENERAL";"TAB5",#N/A,TRUE,"GENERAL"}</definedName>
    <definedName name="___t7" localSheetId="4" hidden="1">{"via1",#N/A,TRUE,"general";"via2",#N/A,TRUE,"general";"via3",#N/A,TRUE,"general"}</definedName>
    <definedName name="___t7" localSheetId="9" hidden="1">{"via1",#N/A,TRUE,"general";"via2",#N/A,TRUE,"general";"via3",#N/A,TRUE,"general"}</definedName>
    <definedName name="___t7" hidden="1">{"via1",#N/A,TRUE,"general";"via2",#N/A,TRUE,"general";"via3",#N/A,TRUE,"general"}</definedName>
    <definedName name="___t77" localSheetId="4" hidden="1">{"TAB1",#N/A,TRUE,"GENERAL";"TAB2",#N/A,TRUE,"GENERAL";"TAB3",#N/A,TRUE,"GENERAL";"TAB4",#N/A,TRUE,"GENERAL";"TAB5",#N/A,TRUE,"GENERAL"}</definedName>
    <definedName name="___t77" localSheetId="9" hidden="1">{"TAB1",#N/A,TRUE,"GENERAL";"TAB2",#N/A,TRUE,"GENERAL";"TAB3",#N/A,TRUE,"GENERAL";"TAB4",#N/A,TRUE,"GENERAL";"TAB5",#N/A,TRUE,"GENERAL"}</definedName>
    <definedName name="___t77" hidden="1">{"TAB1",#N/A,TRUE,"GENERAL";"TAB2",#N/A,TRUE,"GENERAL";"TAB3",#N/A,TRUE,"GENERAL";"TAB4",#N/A,TRUE,"GENERAL";"TAB5",#N/A,TRUE,"GENERAL"}</definedName>
    <definedName name="___t8" localSheetId="4" hidden="1">{"TAB1",#N/A,TRUE,"GENERAL";"TAB2",#N/A,TRUE,"GENERAL";"TAB3",#N/A,TRUE,"GENERAL";"TAB4",#N/A,TRUE,"GENERAL";"TAB5",#N/A,TRUE,"GENERAL"}</definedName>
    <definedName name="___t8" localSheetId="9" hidden="1">{"TAB1",#N/A,TRUE,"GENERAL";"TAB2",#N/A,TRUE,"GENERAL";"TAB3",#N/A,TRUE,"GENERAL";"TAB4",#N/A,TRUE,"GENERAL";"TAB5",#N/A,TRUE,"GENERAL"}</definedName>
    <definedName name="___t8" hidden="1">{"TAB1",#N/A,TRUE,"GENERAL";"TAB2",#N/A,TRUE,"GENERAL";"TAB3",#N/A,TRUE,"GENERAL";"TAB4",#N/A,TRUE,"GENERAL";"TAB5",#N/A,TRUE,"GENERAL"}</definedName>
    <definedName name="___t88" localSheetId="4" hidden="1">{"via1",#N/A,TRUE,"general";"via2",#N/A,TRUE,"general";"via3",#N/A,TRUE,"general"}</definedName>
    <definedName name="___t88" localSheetId="9" hidden="1">{"via1",#N/A,TRUE,"general";"via2",#N/A,TRUE,"general";"via3",#N/A,TRUE,"general"}</definedName>
    <definedName name="___t88" hidden="1">{"via1",#N/A,TRUE,"general";"via2",#N/A,TRUE,"general";"via3",#N/A,TRUE,"general"}</definedName>
    <definedName name="___t9" localSheetId="4" hidden="1">{"TAB1",#N/A,TRUE,"GENERAL";"TAB2",#N/A,TRUE,"GENERAL";"TAB3",#N/A,TRUE,"GENERAL";"TAB4",#N/A,TRUE,"GENERAL";"TAB5",#N/A,TRUE,"GENERAL"}</definedName>
    <definedName name="___t9" localSheetId="9" hidden="1">{"TAB1",#N/A,TRUE,"GENERAL";"TAB2",#N/A,TRUE,"GENERAL";"TAB3",#N/A,TRUE,"GENERAL";"TAB4",#N/A,TRUE,"GENERAL";"TAB5",#N/A,TRUE,"GENERAL"}</definedName>
    <definedName name="___t9" hidden="1">{"TAB1",#N/A,TRUE,"GENERAL";"TAB2",#N/A,TRUE,"GENERAL";"TAB3",#N/A,TRUE,"GENERAL";"TAB4",#N/A,TRUE,"GENERAL";"TAB5",#N/A,TRUE,"GENERAL"}</definedName>
    <definedName name="___t99" localSheetId="4" hidden="1">{"via1",#N/A,TRUE,"general";"via2",#N/A,TRUE,"general";"via3",#N/A,TRUE,"general"}</definedName>
    <definedName name="___t99" localSheetId="9" hidden="1">{"via1",#N/A,TRUE,"general";"via2",#N/A,TRUE,"general";"via3",#N/A,TRUE,"general"}</definedName>
    <definedName name="___t99" hidden="1">{"via1",#N/A,TRUE,"general";"via2",#N/A,TRUE,"general";"via3",#N/A,TRUE,"general"}</definedName>
    <definedName name="___tab1" localSheetId="4">#REF!</definedName>
    <definedName name="___tab1">#REF!</definedName>
    <definedName name="___tab2" localSheetId="4">#REF!</definedName>
    <definedName name="___tab2">#REF!</definedName>
    <definedName name="___tab3" localSheetId="4">#REF!</definedName>
    <definedName name="___tab3">#REF!</definedName>
    <definedName name="___TAB4" localSheetId="4">#REF!</definedName>
    <definedName name="___TAB4">#REF!</definedName>
    <definedName name="___TYW6" localSheetId="4">#REF!</definedName>
    <definedName name="___TYW6">#REF!</definedName>
    <definedName name="___u4" localSheetId="4" hidden="1">{"TAB1",#N/A,TRUE,"GENERAL";"TAB2",#N/A,TRUE,"GENERAL";"TAB3",#N/A,TRUE,"GENERAL";"TAB4",#N/A,TRUE,"GENERAL";"TAB5",#N/A,TRUE,"GENERAL"}</definedName>
    <definedName name="___u4" localSheetId="9" hidden="1">{"TAB1",#N/A,TRUE,"GENERAL";"TAB2",#N/A,TRUE,"GENERAL";"TAB3",#N/A,TRUE,"GENERAL";"TAB4",#N/A,TRUE,"GENERAL";"TAB5",#N/A,TRUE,"GENERAL"}</definedName>
    <definedName name="___u4" hidden="1">{"TAB1",#N/A,TRUE,"GENERAL";"TAB2",#N/A,TRUE,"GENERAL";"TAB3",#N/A,TRUE,"GENERAL";"TAB4",#N/A,TRUE,"GENERAL";"TAB5",#N/A,TRUE,"GENERAL"}</definedName>
    <definedName name="___u5" localSheetId="4" hidden="1">{"TAB1",#N/A,TRUE,"GENERAL";"TAB2",#N/A,TRUE,"GENERAL";"TAB3",#N/A,TRUE,"GENERAL";"TAB4",#N/A,TRUE,"GENERAL";"TAB5",#N/A,TRUE,"GENERAL"}</definedName>
    <definedName name="___u5" localSheetId="9" hidden="1">{"TAB1",#N/A,TRUE,"GENERAL";"TAB2",#N/A,TRUE,"GENERAL";"TAB3",#N/A,TRUE,"GENERAL";"TAB4",#N/A,TRUE,"GENERAL";"TAB5",#N/A,TRUE,"GENERAL"}</definedName>
    <definedName name="___u5" hidden="1">{"TAB1",#N/A,TRUE,"GENERAL";"TAB2",#N/A,TRUE,"GENERAL";"TAB3",#N/A,TRUE,"GENERAL";"TAB4",#N/A,TRUE,"GENERAL";"TAB5",#N/A,TRUE,"GENERAL"}</definedName>
    <definedName name="___u6" localSheetId="4" hidden="1">{"TAB1",#N/A,TRUE,"GENERAL";"TAB2",#N/A,TRUE,"GENERAL";"TAB3",#N/A,TRUE,"GENERAL";"TAB4",#N/A,TRUE,"GENERAL";"TAB5",#N/A,TRUE,"GENERAL"}</definedName>
    <definedName name="___u6" localSheetId="9" hidden="1">{"TAB1",#N/A,TRUE,"GENERAL";"TAB2",#N/A,TRUE,"GENERAL";"TAB3",#N/A,TRUE,"GENERAL";"TAB4",#N/A,TRUE,"GENERAL";"TAB5",#N/A,TRUE,"GENERAL"}</definedName>
    <definedName name="___u6" hidden="1">{"TAB1",#N/A,TRUE,"GENERAL";"TAB2",#N/A,TRUE,"GENERAL";"TAB3",#N/A,TRUE,"GENERAL";"TAB4",#N/A,TRUE,"GENERAL";"TAB5",#N/A,TRUE,"GENERAL"}</definedName>
    <definedName name="___u7" localSheetId="4" hidden="1">{"via1",#N/A,TRUE,"general";"via2",#N/A,TRUE,"general";"via3",#N/A,TRUE,"general"}</definedName>
    <definedName name="___u7" localSheetId="9" hidden="1">{"via1",#N/A,TRUE,"general";"via2",#N/A,TRUE,"general";"via3",#N/A,TRUE,"general"}</definedName>
    <definedName name="___u7" hidden="1">{"via1",#N/A,TRUE,"general";"via2",#N/A,TRUE,"general";"via3",#N/A,TRUE,"general"}</definedName>
    <definedName name="___u8" localSheetId="4" hidden="1">{"TAB1",#N/A,TRUE,"GENERAL";"TAB2",#N/A,TRUE,"GENERAL";"TAB3",#N/A,TRUE,"GENERAL";"TAB4",#N/A,TRUE,"GENERAL";"TAB5",#N/A,TRUE,"GENERAL"}</definedName>
    <definedName name="___u8" localSheetId="9" hidden="1">{"TAB1",#N/A,TRUE,"GENERAL";"TAB2",#N/A,TRUE,"GENERAL";"TAB3",#N/A,TRUE,"GENERAL";"TAB4",#N/A,TRUE,"GENERAL";"TAB5",#N/A,TRUE,"GENERAL"}</definedName>
    <definedName name="___u8" hidden="1">{"TAB1",#N/A,TRUE,"GENERAL";"TAB2",#N/A,TRUE,"GENERAL";"TAB3",#N/A,TRUE,"GENERAL";"TAB4",#N/A,TRUE,"GENERAL";"TAB5",#N/A,TRUE,"GENERAL"}</definedName>
    <definedName name="___u9" localSheetId="4" hidden="1">{"TAB1",#N/A,TRUE,"GENERAL";"TAB2",#N/A,TRUE,"GENERAL";"TAB3",#N/A,TRUE,"GENERAL";"TAB4",#N/A,TRUE,"GENERAL";"TAB5",#N/A,TRUE,"GENERAL"}</definedName>
    <definedName name="___u9" localSheetId="9" hidden="1">{"TAB1",#N/A,TRUE,"GENERAL";"TAB2",#N/A,TRUE,"GENERAL";"TAB3",#N/A,TRUE,"GENERAL";"TAB4",#N/A,TRUE,"GENERAL";"TAB5",#N/A,TRUE,"GENERAL"}</definedName>
    <definedName name="___u9"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9" hidden="1">{"TAB1",#N/A,TRUE,"GENERAL";"TAB2",#N/A,TRUE,"GENERAL";"TAB3",#N/A,TRUE,"GENERAL";"TAB4",#N/A,TRUE,"GENERAL";"TAB5",#N/A,TRUE,"GENERAL"}</definedName>
    <definedName name="___ur7" hidden="1">{"TAB1",#N/A,TRUE,"GENERAL";"TAB2",#N/A,TRUE,"GENERAL";"TAB3",#N/A,TRUE,"GENERAL";"TAB4",#N/A,TRUE,"GENERAL";"TAB5",#N/A,TRUE,"GENERAL"}</definedName>
    <definedName name="___v2" localSheetId="4" hidden="1">{"via1",#N/A,TRUE,"general";"via2",#N/A,TRUE,"general";"via3",#N/A,TRUE,"general"}</definedName>
    <definedName name="___v2" localSheetId="9" hidden="1">{"via1",#N/A,TRUE,"general";"via2",#N/A,TRUE,"general";"via3",#N/A,TRUE,"general"}</definedName>
    <definedName name="___v2" hidden="1">{"via1",#N/A,TRUE,"general";"via2",#N/A,TRUE,"general";"via3",#N/A,TRUE,"general"}</definedName>
    <definedName name="___v3" localSheetId="4" hidden="1">{"TAB1",#N/A,TRUE,"GENERAL";"TAB2",#N/A,TRUE,"GENERAL";"TAB3",#N/A,TRUE,"GENERAL";"TAB4",#N/A,TRUE,"GENERAL";"TAB5",#N/A,TRUE,"GENERAL"}</definedName>
    <definedName name="___v3" localSheetId="9" hidden="1">{"TAB1",#N/A,TRUE,"GENERAL";"TAB2",#N/A,TRUE,"GENERAL";"TAB3",#N/A,TRUE,"GENERAL";"TAB4",#N/A,TRUE,"GENERAL";"TAB5",#N/A,TRUE,"GENERAL"}</definedName>
    <definedName name="___v3" hidden="1">{"TAB1",#N/A,TRUE,"GENERAL";"TAB2",#N/A,TRUE,"GENERAL";"TAB3",#N/A,TRUE,"GENERAL";"TAB4",#N/A,TRUE,"GENERAL";"TAB5",#N/A,TRUE,"GENERAL"}</definedName>
    <definedName name="___v4" localSheetId="4" hidden="1">{"TAB1",#N/A,TRUE,"GENERAL";"TAB2",#N/A,TRUE,"GENERAL";"TAB3",#N/A,TRUE,"GENERAL";"TAB4",#N/A,TRUE,"GENERAL";"TAB5",#N/A,TRUE,"GENERAL"}</definedName>
    <definedName name="___v4" localSheetId="9" hidden="1">{"TAB1",#N/A,TRUE,"GENERAL";"TAB2",#N/A,TRUE,"GENERAL";"TAB3",#N/A,TRUE,"GENERAL";"TAB4",#N/A,TRUE,"GENERAL";"TAB5",#N/A,TRUE,"GENERAL"}</definedName>
    <definedName name="___v4" hidden="1">{"TAB1",#N/A,TRUE,"GENERAL";"TAB2",#N/A,TRUE,"GENERAL";"TAB3",#N/A,TRUE,"GENERAL";"TAB4",#N/A,TRUE,"GENERAL";"TAB5",#N/A,TRUE,"GENERAL"}</definedName>
    <definedName name="___v5" localSheetId="4" hidden="1">{"TAB1",#N/A,TRUE,"GENERAL";"TAB2",#N/A,TRUE,"GENERAL";"TAB3",#N/A,TRUE,"GENERAL";"TAB4",#N/A,TRUE,"GENERAL";"TAB5",#N/A,TRUE,"GENERAL"}</definedName>
    <definedName name="___v5" localSheetId="9" hidden="1">{"TAB1",#N/A,TRUE,"GENERAL";"TAB2",#N/A,TRUE,"GENERAL";"TAB3",#N/A,TRUE,"GENERAL";"TAB4",#N/A,TRUE,"GENERAL";"TAB5",#N/A,TRUE,"GENERAL"}</definedName>
    <definedName name="___v5" hidden="1">{"TAB1",#N/A,TRUE,"GENERAL";"TAB2",#N/A,TRUE,"GENERAL";"TAB3",#N/A,TRUE,"GENERAL";"TAB4",#N/A,TRUE,"GENERAL";"TAB5",#N/A,TRUE,"GENERAL"}</definedName>
    <definedName name="___v6" localSheetId="4" hidden="1">{"TAB1",#N/A,TRUE,"GENERAL";"TAB2",#N/A,TRUE,"GENERAL";"TAB3",#N/A,TRUE,"GENERAL";"TAB4",#N/A,TRUE,"GENERAL";"TAB5",#N/A,TRUE,"GENERAL"}</definedName>
    <definedName name="___v6" localSheetId="9" hidden="1">{"TAB1",#N/A,TRUE,"GENERAL";"TAB2",#N/A,TRUE,"GENERAL";"TAB3",#N/A,TRUE,"GENERAL";"TAB4",#N/A,TRUE,"GENERAL";"TAB5",#N/A,TRUE,"GENERAL"}</definedName>
    <definedName name="___v6" hidden="1">{"TAB1",#N/A,TRUE,"GENERAL";"TAB2",#N/A,TRUE,"GENERAL";"TAB3",#N/A,TRUE,"GENERAL";"TAB4",#N/A,TRUE,"GENERAL";"TAB5",#N/A,TRUE,"GENERAL"}</definedName>
    <definedName name="___v7" localSheetId="4" hidden="1">{"via1",#N/A,TRUE,"general";"via2",#N/A,TRUE,"general";"via3",#N/A,TRUE,"general"}</definedName>
    <definedName name="___v7" localSheetId="9" hidden="1">{"via1",#N/A,TRUE,"general";"via2",#N/A,TRUE,"general";"via3",#N/A,TRUE,"general"}</definedName>
    <definedName name="___v7" hidden="1">{"via1",#N/A,TRUE,"general";"via2",#N/A,TRUE,"general";"via3",#N/A,TRUE,"general"}</definedName>
    <definedName name="___v8" localSheetId="4" hidden="1">{"TAB1",#N/A,TRUE,"GENERAL";"TAB2",#N/A,TRUE,"GENERAL";"TAB3",#N/A,TRUE,"GENERAL";"TAB4",#N/A,TRUE,"GENERAL";"TAB5",#N/A,TRUE,"GENERAL"}</definedName>
    <definedName name="___v8" localSheetId="9" hidden="1">{"TAB1",#N/A,TRUE,"GENERAL";"TAB2",#N/A,TRUE,"GENERAL";"TAB3",#N/A,TRUE,"GENERAL";"TAB4",#N/A,TRUE,"GENERAL";"TAB5",#N/A,TRUE,"GENERAL"}</definedName>
    <definedName name="___v8" hidden="1">{"TAB1",#N/A,TRUE,"GENERAL";"TAB2",#N/A,TRUE,"GENERAL";"TAB3",#N/A,TRUE,"GENERAL";"TAB4",#N/A,TRUE,"GENERAL";"TAB5",#N/A,TRUE,"GENERAL"}</definedName>
    <definedName name="___v9" localSheetId="4" hidden="1">{"TAB1",#N/A,TRUE,"GENERAL";"TAB2",#N/A,TRUE,"GENERAL";"TAB3",#N/A,TRUE,"GENERAL";"TAB4",#N/A,TRUE,"GENERAL";"TAB5",#N/A,TRUE,"GENERAL"}</definedName>
    <definedName name="___v9" localSheetId="9" hidden="1">{"TAB1",#N/A,TRUE,"GENERAL";"TAB2",#N/A,TRUE,"GENERAL";"TAB3",#N/A,TRUE,"GENERAL";"TAB4",#N/A,TRUE,"GENERAL";"TAB5",#N/A,TRUE,"GENERAL"}</definedName>
    <definedName name="___v9" hidden="1">{"TAB1",#N/A,TRUE,"GENERAL";"TAB2",#N/A,TRUE,"GENERAL";"TAB3",#N/A,TRUE,"GENERAL";"TAB4",#N/A,TRUE,"GENERAL";"TAB5",#N/A,TRUE,"GENERAL"}</definedName>
    <definedName name="___vfv4" localSheetId="4" hidden="1">{"via1",#N/A,TRUE,"general";"via2",#N/A,TRUE,"general";"via3",#N/A,TRUE,"general"}</definedName>
    <definedName name="___vfv4" localSheetId="9" hidden="1">{"via1",#N/A,TRUE,"general";"via2",#N/A,TRUE,"general";"via3",#N/A,TRUE,"general"}</definedName>
    <definedName name="___vfv4" hidden="1">{"via1",#N/A,TRUE,"general";"via2",#N/A,TRUE,"general";"via3",#N/A,TRUE,"general"}</definedName>
    <definedName name="___Vol1">[5]Item!$A:$D</definedName>
    <definedName name="___x1" localSheetId="4" hidden="1">{"TAB1",#N/A,TRUE,"GENERAL";"TAB2",#N/A,TRUE,"GENERAL";"TAB3",#N/A,TRUE,"GENERAL";"TAB4",#N/A,TRUE,"GENERAL";"TAB5",#N/A,TRUE,"GENERAL"}</definedName>
    <definedName name="___x1" localSheetId="9" hidden="1">{"TAB1",#N/A,TRUE,"GENERAL";"TAB2",#N/A,TRUE,"GENERAL";"TAB3",#N/A,TRUE,"GENERAL";"TAB4",#N/A,TRUE,"GENERAL";"TAB5",#N/A,TRUE,"GENERAL"}</definedName>
    <definedName name="___x1" hidden="1">{"TAB1",#N/A,TRUE,"GENERAL";"TAB2",#N/A,TRUE,"GENERAL";"TAB3",#N/A,TRUE,"GENERAL";"TAB4",#N/A,TRUE,"GENERAL";"TAB5",#N/A,TRUE,"GENERAL"}</definedName>
    <definedName name="___x2" localSheetId="4" hidden="1">{"via1",#N/A,TRUE,"general";"via2",#N/A,TRUE,"general";"via3",#N/A,TRUE,"general"}</definedName>
    <definedName name="___x2" localSheetId="9" hidden="1">{"via1",#N/A,TRUE,"general";"via2",#N/A,TRUE,"general";"via3",#N/A,TRUE,"general"}</definedName>
    <definedName name="___x2" hidden="1">{"via1",#N/A,TRUE,"general";"via2",#N/A,TRUE,"general";"via3",#N/A,TRUE,"general"}</definedName>
    <definedName name="___x3" localSheetId="4" hidden="1">{"via1",#N/A,TRUE,"general";"via2",#N/A,TRUE,"general";"via3",#N/A,TRUE,"general"}</definedName>
    <definedName name="___x3" localSheetId="9" hidden="1">{"via1",#N/A,TRUE,"general";"via2",#N/A,TRUE,"general";"via3",#N/A,TRUE,"general"}</definedName>
    <definedName name="___x3" hidden="1">{"via1",#N/A,TRUE,"general";"via2",#N/A,TRUE,"general";"via3",#N/A,TRUE,"general"}</definedName>
    <definedName name="___x4" localSheetId="4" hidden="1">{"via1",#N/A,TRUE,"general";"via2",#N/A,TRUE,"general";"via3",#N/A,TRUE,"general"}</definedName>
    <definedName name="___x4" localSheetId="9" hidden="1">{"via1",#N/A,TRUE,"general";"via2",#N/A,TRUE,"general";"via3",#N/A,TRUE,"general"}</definedName>
    <definedName name="___x4" hidden="1">{"via1",#N/A,TRUE,"general";"via2",#N/A,TRUE,"general";"via3",#N/A,TRUE,"general"}</definedName>
    <definedName name="___x5" localSheetId="4" hidden="1">{"TAB1",#N/A,TRUE,"GENERAL";"TAB2",#N/A,TRUE,"GENERAL";"TAB3",#N/A,TRUE,"GENERAL";"TAB4",#N/A,TRUE,"GENERAL";"TAB5",#N/A,TRUE,"GENERAL"}</definedName>
    <definedName name="___x5" localSheetId="9" hidden="1">{"TAB1",#N/A,TRUE,"GENERAL";"TAB2",#N/A,TRUE,"GENERAL";"TAB3",#N/A,TRUE,"GENERAL";"TAB4",#N/A,TRUE,"GENERAL";"TAB5",#N/A,TRUE,"GENERAL"}</definedName>
    <definedName name="___x5" hidden="1">{"TAB1",#N/A,TRUE,"GENERAL";"TAB2",#N/A,TRUE,"GENERAL";"TAB3",#N/A,TRUE,"GENERAL";"TAB4",#N/A,TRUE,"GENERAL";"TAB5",#N/A,TRUE,"GENERAL"}</definedName>
    <definedName name="___x6" localSheetId="4" hidden="1">{"TAB1",#N/A,TRUE,"GENERAL";"TAB2",#N/A,TRUE,"GENERAL";"TAB3",#N/A,TRUE,"GENERAL";"TAB4",#N/A,TRUE,"GENERAL";"TAB5",#N/A,TRUE,"GENERAL"}</definedName>
    <definedName name="___x6" localSheetId="9" hidden="1">{"TAB1",#N/A,TRUE,"GENERAL";"TAB2",#N/A,TRUE,"GENERAL";"TAB3",#N/A,TRUE,"GENERAL";"TAB4",#N/A,TRUE,"GENERAL";"TAB5",#N/A,TRUE,"GENERAL"}</definedName>
    <definedName name="___x6" hidden="1">{"TAB1",#N/A,TRUE,"GENERAL";"TAB2",#N/A,TRUE,"GENERAL";"TAB3",#N/A,TRUE,"GENERAL";"TAB4",#N/A,TRUE,"GENERAL";"TAB5",#N/A,TRUE,"GENERAL"}</definedName>
    <definedName name="___x7" localSheetId="4" hidden="1">{"TAB1",#N/A,TRUE,"GENERAL";"TAB2",#N/A,TRUE,"GENERAL";"TAB3",#N/A,TRUE,"GENERAL";"TAB4",#N/A,TRUE,"GENERAL";"TAB5",#N/A,TRUE,"GENERAL"}</definedName>
    <definedName name="___x7" localSheetId="9" hidden="1">{"TAB1",#N/A,TRUE,"GENERAL";"TAB2",#N/A,TRUE,"GENERAL";"TAB3",#N/A,TRUE,"GENERAL";"TAB4",#N/A,TRUE,"GENERAL";"TAB5",#N/A,TRUE,"GENERAL"}</definedName>
    <definedName name="___x7" hidden="1">{"TAB1",#N/A,TRUE,"GENERAL";"TAB2",#N/A,TRUE,"GENERAL";"TAB3",#N/A,TRUE,"GENERAL";"TAB4",#N/A,TRUE,"GENERAL";"TAB5",#N/A,TRUE,"GENERAL"}</definedName>
    <definedName name="___x8" localSheetId="4" hidden="1">{"via1",#N/A,TRUE,"general";"via2",#N/A,TRUE,"general";"via3",#N/A,TRUE,"general"}</definedName>
    <definedName name="___x8" localSheetId="9" hidden="1">{"via1",#N/A,TRUE,"general";"via2",#N/A,TRUE,"general";"via3",#N/A,TRUE,"general"}</definedName>
    <definedName name="___x8" hidden="1">{"via1",#N/A,TRUE,"general";"via2",#N/A,TRUE,"general";"via3",#N/A,TRUE,"general"}</definedName>
    <definedName name="___x9" localSheetId="4" hidden="1">{"TAB1",#N/A,TRUE,"GENERAL";"TAB2",#N/A,TRUE,"GENERAL";"TAB3",#N/A,TRUE,"GENERAL";"TAB4",#N/A,TRUE,"GENERAL";"TAB5",#N/A,TRUE,"GENERAL"}</definedName>
    <definedName name="___x9" localSheetId="9" hidden="1">{"TAB1",#N/A,TRUE,"GENERAL";"TAB2",#N/A,TRUE,"GENERAL";"TAB3",#N/A,TRUE,"GENERAL";"TAB4",#N/A,TRUE,"GENERAL";"TAB5",#N/A,TRUE,"GENERAL"}</definedName>
    <definedName name="___x9" hidden="1">{"TAB1",#N/A,TRUE,"GENERAL";"TAB2",#N/A,TRUE,"GENERAL";"TAB3",#N/A,TRUE,"GENERAL";"TAB4",#N/A,TRUE,"GENERAL";"TAB5",#N/A,TRUE,"GENERAL"}</definedName>
    <definedName name="___y2" localSheetId="4" hidden="1">{"TAB1",#N/A,TRUE,"GENERAL";"TAB2",#N/A,TRUE,"GENERAL";"TAB3",#N/A,TRUE,"GENERAL";"TAB4",#N/A,TRUE,"GENERAL";"TAB5",#N/A,TRUE,"GENERAL"}</definedName>
    <definedName name="___y2" localSheetId="9" hidden="1">{"TAB1",#N/A,TRUE,"GENERAL";"TAB2",#N/A,TRUE,"GENERAL";"TAB3",#N/A,TRUE,"GENERAL";"TAB4",#N/A,TRUE,"GENERAL";"TAB5",#N/A,TRUE,"GENERAL"}</definedName>
    <definedName name="___y2" hidden="1">{"TAB1",#N/A,TRUE,"GENERAL";"TAB2",#N/A,TRUE,"GENERAL";"TAB3",#N/A,TRUE,"GENERAL";"TAB4",#N/A,TRUE,"GENERAL";"TAB5",#N/A,TRUE,"GENERAL"}</definedName>
    <definedName name="___y3" localSheetId="4" hidden="1">{"via1",#N/A,TRUE,"general";"via2",#N/A,TRUE,"general";"via3",#N/A,TRUE,"general"}</definedName>
    <definedName name="___y3" localSheetId="9" hidden="1">{"via1",#N/A,TRUE,"general";"via2",#N/A,TRUE,"general";"via3",#N/A,TRUE,"general"}</definedName>
    <definedName name="___y3" hidden="1">{"via1",#N/A,TRUE,"general";"via2",#N/A,TRUE,"general";"via3",#N/A,TRUE,"general"}</definedName>
    <definedName name="___y4" localSheetId="4" hidden="1">{"via1",#N/A,TRUE,"general";"via2",#N/A,TRUE,"general";"via3",#N/A,TRUE,"general"}</definedName>
    <definedName name="___y4" localSheetId="9" hidden="1">{"via1",#N/A,TRUE,"general";"via2",#N/A,TRUE,"general";"via3",#N/A,TRUE,"general"}</definedName>
    <definedName name="___y4" hidden="1">{"via1",#N/A,TRUE,"general";"via2",#N/A,TRUE,"general";"via3",#N/A,TRUE,"general"}</definedName>
    <definedName name="___y5" localSheetId="4" hidden="1">{"TAB1",#N/A,TRUE,"GENERAL";"TAB2",#N/A,TRUE,"GENERAL";"TAB3",#N/A,TRUE,"GENERAL";"TAB4",#N/A,TRUE,"GENERAL";"TAB5",#N/A,TRUE,"GENERAL"}</definedName>
    <definedName name="___y5" localSheetId="9" hidden="1">{"TAB1",#N/A,TRUE,"GENERAL";"TAB2",#N/A,TRUE,"GENERAL";"TAB3",#N/A,TRUE,"GENERAL";"TAB4",#N/A,TRUE,"GENERAL";"TAB5",#N/A,TRUE,"GENERAL"}</definedName>
    <definedName name="___y5" hidden="1">{"TAB1",#N/A,TRUE,"GENERAL";"TAB2",#N/A,TRUE,"GENERAL";"TAB3",#N/A,TRUE,"GENERAL";"TAB4",#N/A,TRUE,"GENERAL";"TAB5",#N/A,TRUE,"GENERAL"}</definedName>
    <definedName name="___y6" localSheetId="4" hidden="1">{"via1",#N/A,TRUE,"general";"via2",#N/A,TRUE,"general";"via3",#N/A,TRUE,"general"}</definedName>
    <definedName name="___y6" localSheetId="9" hidden="1">{"via1",#N/A,TRUE,"general";"via2",#N/A,TRUE,"general";"via3",#N/A,TRUE,"general"}</definedName>
    <definedName name="___y6" hidden="1">{"via1",#N/A,TRUE,"general";"via2",#N/A,TRUE,"general";"via3",#N/A,TRUE,"general"}</definedName>
    <definedName name="___y7" localSheetId="4" hidden="1">{"via1",#N/A,TRUE,"general";"via2",#N/A,TRUE,"general";"via3",#N/A,TRUE,"general"}</definedName>
    <definedName name="___y7" localSheetId="9" hidden="1">{"via1",#N/A,TRUE,"general";"via2",#N/A,TRUE,"general";"via3",#N/A,TRUE,"general"}</definedName>
    <definedName name="___y7" hidden="1">{"via1",#N/A,TRUE,"general";"via2",#N/A,TRUE,"general";"via3",#N/A,TRUE,"general"}</definedName>
    <definedName name="___y8" localSheetId="4" hidden="1">{"via1",#N/A,TRUE,"general";"via2",#N/A,TRUE,"general";"via3",#N/A,TRUE,"general"}</definedName>
    <definedName name="___y8" localSheetId="9" hidden="1">{"via1",#N/A,TRUE,"general";"via2",#N/A,TRUE,"general";"via3",#N/A,TRUE,"general"}</definedName>
    <definedName name="___y8" hidden="1">{"via1",#N/A,TRUE,"general";"via2",#N/A,TRUE,"general";"via3",#N/A,TRUE,"general"}</definedName>
    <definedName name="___y9" localSheetId="4" hidden="1">{"TAB1",#N/A,TRUE,"GENERAL";"TAB2",#N/A,TRUE,"GENERAL";"TAB3",#N/A,TRUE,"GENERAL";"TAB4",#N/A,TRUE,"GENERAL";"TAB5",#N/A,TRUE,"GENERAL"}</definedName>
    <definedName name="___y9" localSheetId="9" hidden="1">{"TAB1",#N/A,TRUE,"GENERAL";"TAB2",#N/A,TRUE,"GENERAL";"TAB3",#N/A,TRUE,"GENERAL";"TAB4",#N/A,TRUE,"GENERAL";"TAB5",#N/A,TRUE,"GENERAL"}</definedName>
    <definedName name="___y9" hidden="1">{"TAB1",#N/A,TRUE,"GENERAL";"TAB2",#N/A,TRUE,"GENERAL";"TAB3",#N/A,TRUE,"GENERAL";"TAB4",#N/A,TRUE,"GENERAL";"TAB5",#N/A,TRUE,"GENERAL"}</definedName>
    <definedName name="___z1" localSheetId="4" hidden="1">{"TAB1",#N/A,TRUE,"GENERAL";"TAB2",#N/A,TRUE,"GENERAL";"TAB3",#N/A,TRUE,"GENERAL";"TAB4",#N/A,TRUE,"GENERAL";"TAB5",#N/A,TRUE,"GENERAL"}</definedName>
    <definedName name="___z1" localSheetId="9" hidden="1">{"TAB1",#N/A,TRUE,"GENERAL";"TAB2",#N/A,TRUE,"GENERAL";"TAB3",#N/A,TRUE,"GENERAL";"TAB4",#N/A,TRUE,"GENERAL";"TAB5",#N/A,TRUE,"GENERAL"}</definedName>
    <definedName name="___z1" hidden="1">{"TAB1",#N/A,TRUE,"GENERAL";"TAB2",#N/A,TRUE,"GENERAL";"TAB3",#N/A,TRUE,"GENERAL";"TAB4",#N/A,TRUE,"GENERAL";"TAB5",#N/A,TRUE,"GENERAL"}</definedName>
    <definedName name="___z2" localSheetId="4" hidden="1">{"via1",#N/A,TRUE,"general";"via2",#N/A,TRUE,"general";"via3",#N/A,TRUE,"general"}</definedName>
    <definedName name="___z2" localSheetId="9" hidden="1">{"via1",#N/A,TRUE,"general";"via2",#N/A,TRUE,"general";"via3",#N/A,TRUE,"general"}</definedName>
    <definedName name="___z2" hidden="1">{"via1",#N/A,TRUE,"general";"via2",#N/A,TRUE,"general";"via3",#N/A,TRUE,"general"}</definedName>
    <definedName name="___z3" localSheetId="4" hidden="1">{"via1",#N/A,TRUE,"general";"via2",#N/A,TRUE,"general";"via3",#N/A,TRUE,"general"}</definedName>
    <definedName name="___z3" localSheetId="9" hidden="1">{"via1",#N/A,TRUE,"general";"via2",#N/A,TRUE,"general";"via3",#N/A,TRUE,"general"}</definedName>
    <definedName name="___z3" hidden="1">{"via1",#N/A,TRUE,"general";"via2",#N/A,TRUE,"general";"via3",#N/A,TRUE,"general"}</definedName>
    <definedName name="___z4" localSheetId="4" hidden="1">{"TAB1",#N/A,TRUE,"GENERAL";"TAB2",#N/A,TRUE,"GENERAL";"TAB3",#N/A,TRUE,"GENERAL";"TAB4",#N/A,TRUE,"GENERAL";"TAB5",#N/A,TRUE,"GENERAL"}</definedName>
    <definedName name="___z4" localSheetId="9" hidden="1">{"TAB1",#N/A,TRUE,"GENERAL";"TAB2",#N/A,TRUE,"GENERAL";"TAB3",#N/A,TRUE,"GENERAL";"TAB4",#N/A,TRUE,"GENERAL";"TAB5",#N/A,TRUE,"GENERAL"}</definedName>
    <definedName name="___z4" hidden="1">{"TAB1",#N/A,TRUE,"GENERAL";"TAB2",#N/A,TRUE,"GENERAL";"TAB3",#N/A,TRUE,"GENERAL";"TAB4",#N/A,TRUE,"GENERAL";"TAB5",#N/A,TRUE,"GENERAL"}</definedName>
    <definedName name="___z5" localSheetId="4" hidden="1">{"via1",#N/A,TRUE,"general";"via2",#N/A,TRUE,"general";"via3",#N/A,TRUE,"general"}</definedName>
    <definedName name="___z5" localSheetId="9" hidden="1">{"via1",#N/A,TRUE,"general";"via2",#N/A,TRUE,"general";"via3",#N/A,TRUE,"general"}</definedName>
    <definedName name="___z5" hidden="1">{"via1",#N/A,TRUE,"general";"via2",#N/A,TRUE,"general";"via3",#N/A,TRUE,"general"}</definedName>
    <definedName name="___z6" localSheetId="4" hidden="1">{"TAB1",#N/A,TRUE,"GENERAL";"TAB2",#N/A,TRUE,"GENERAL";"TAB3",#N/A,TRUE,"GENERAL";"TAB4",#N/A,TRUE,"GENERAL";"TAB5",#N/A,TRUE,"GENERAL"}</definedName>
    <definedName name="___z6" localSheetId="9" hidden="1">{"TAB1",#N/A,TRUE,"GENERAL";"TAB2",#N/A,TRUE,"GENERAL";"TAB3",#N/A,TRUE,"GENERAL";"TAB4",#N/A,TRUE,"GENERAL";"TAB5",#N/A,TRUE,"GENERAL"}</definedName>
    <definedName name="___z6" hidden="1">{"TAB1",#N/A,TRUE,"GENERAL";"TAB2",#N/A,TRUE,"GENERAL";"TAB3",#N/A,TRUE,"GENERAL";"TAB4",#N/A,TRUE,"GENERAL";"TAB5",#N/A,TRUE,"GENERAL"}</definedName>
    <definedName name="__123" localSheetId="4" hidden="1">[6]G.G!#REF!</definedName>
    <definedName name="__123" hidden="1">[6]G.G!#REF!</definedName>
    <definedName name="__1234" localSheetId="4" hidden="1">[6]G.G!#REF!</definedName>
    <definedName name="__1234" hidden="1">[6]G.G!#REF!</definedName>
    <definedName name="__123Graph_A" hidden="1">[7]AIU!$D$338:$D$357</definedName>
    <definedName name="__123Graph_Acaja" hidden="1">[7]EVA!$D$39:$AD$39</definedName>
    <definedName name="__123Graph_ACart_AnticAdic" hidden="1">[7]EVA!$F$95:$I$95</definedName>
    <definedName name="__123Graph_AFACTURAC" hidden="1">[7]Program!$B$120:$Y$120</definedName>
    <definedName name="__123Graph_AGraph2" hidden="1">[7]AIU!$D$338:$D$357</definedName>
    <definedName name="__123Graph_Bcaja" hidden="1">[7]EVA!$D$56:$AD$56</definedName>
    <definedName name="__123Graph_BCart_AnticAdic" hidden="1">[7]EVA!$F$96:$I$96</definedName>
    <definedName name="__123Graph_C" localSheetId="4" hidden="1">#REF!</definedName>
    <definedName name="__123Graph_C" hidden="1">#REF!</definedName>
    <definedName name="__123Graph_Ccaja" hidden="1">[7]EVA!$D$58:$AD$58</definedName>
    <definedName name="__123Graph_CCart_AnticAdic" hidden="1">[7]EVA!$F$97:$I$97</definedName>
    <definedName name="__123Graph_Dcaja" hidden="1">[7]EVA!$D$61:$AD$61</definedName>
    <definedName name="__123Graph_DCart_AnticAdic" hidden="1">[7]EVA!$F$99:$I$99</definedName>
    <definedName name="__123Graph_E" localSheetId="4" hidden="1">#REF!</definedName>
    <definedName name="__123Graph_E" hidden="1">#REF!</definedName>
    <definedName name="__123Graph_ECart_AnticAdic" hidden="1">[7]EVA!$F$99:$I$99</definedName>
    <definedName name="__123Graph_F" localSheetId="4" hidden="1">#REF!</definedName>
    <definedName name="__123Graph_F" hidden="1">#REF!</definedName>
    <definedName name="__123Graph_LBL_ACart_AnticAdic" hidden="1">[7]EVA!$J$95:$K$95</definedName>
    <definedName name="__123Graph_LBL_Ccaja" hidden="1">[7]EVA!$D$58:$AD$58</definedName>
    <definedName name="__123Graph_LBL_DCart_AnticAdic" hidden="1">[7]EVA!$F$98:$I$98</definedName>
    <definedName name="__123Graph_X" hidden="1">[7]AIU!$C$338:$C$357</definedName>
    <definedName name="__123Graph_Xcaja" hidden="1">[7]EVA!$D$6:$AD$6</definedName>
    <definedName name="__1Excel_BuiltIn_Print_Area_1_1_1" localSheetId="4">#REF!</definedName>
    <definedName name="__1Excel_BuiltIn_Print_Area_1_1_1">#REF!</definedName>
    <definedName name="__2Excel_BuiltIn_Print_Titles_1_1_1_1" localSheetId="4">#REF!</definedName>
    <definedName name="__2Excel_BuiltIn_Print_Titles_1_1_1_1">#REF!</definedName>
    <definedName name="__a1" localSheetId="4" hidden="1">{"TAB1",#N/A,TRUE,"GENERAL";"TAB2",#N/A,TRUE,"GENERAL";"TAB3",#N/A,TRUE,"GENERAL";"TAB4",#N/A,TRUE,"GENERAL";"TAB5",#N/A,TRUE,"GENERAL"}</definedName>
    <definedName name="__a1" localSheetId="9" hidden="1">{"TAB1",#N/A,TRUE,"GENERAL";"TAB2",#N/A,TRUE,"GENERAL";"TAB3",#N/A,TRUE,"GENERAL";"TAB4",#N/A,TRUE,"GENERAL";"TAB5",#N/A,TRUE,"GENERAL"}</definedName>
    <definedName name="__a1" hidden="1">{"TAB1",#N/A,TRUE,"GENERAL";"TAB2",#N/A,TRUE,"GENERAL";"TAB3",#N/A,TRUE,"GENERAL";"TAB4",#N/A,TRUE,"GENERAL";"TAB5",#N/A,TRUE,"GENERAL"}</definedName>
    <definedName name="__a3" localSheetId="4" hidden="1">{"TAB1",#N/A,TRUE,"GENERAL";"TAB2",#N/A,TRUE,"GENERAL";"TAB3",#N/A,TRUE,"GENERAL";"TAB4",#N/A,TRUE,"GENERAL";"TAB5",#N/A,TRUE,"GENERAL"}</definedName>
    <definedName name="__a3" localSheetId="9" hidden="1">{"TAB1",#N/A,TRUE,"GENERAL";"TAB2",#N/A,TRUE,"GENERAL";"TAB3",#N/A,TRUE,"GENERAL";"TAB4",#N/A,TRUE,"GENERAL";"TAB5",#N/A,TRUE,"GENERAL"}</definedName>
    <definedName name="__a3" hidden="1">{"TAB1",#N/A,TRUE,"GENERAL";"TAB2",#N/A,TRUE,"GENERAL";"TAB3",#N/A,TRUE,"GENERAL";"TAB4",#N/A,TRUE,"GENERAL";"TAB5",#N/A,TRUE,"GENERAL"}</definedName>
    <definedName name="__a4" localSheetId="4" hidden="1">{"via1",#N/A,TRUE,"general";"via2",#N/A,TRUE,"general";"via3",#N/A,TRUE,"general"}</definedName>
    <definedName name="__a4" localSheetId="9" hidden="1">{"via1",#N/A,TRUE,"general";"via2",#N/A,TRUE,"general";"via3",#N/A,TRUE,"general"}</definedName>
    <definedName name="__a4" hidden="1">{"via1",#N/A,TRUE,"general";"via2",#N/A,TRUE,"general";"via3",#N/A,TRUE,"general"}</definedName>
    <definedName name="__a5" localSheetId="4" hidden="1">{"TAB1",#N/A,TRUE,"GENERAL";"TAB2",#N/A,TRUE,"GENERAL";"TAB3",#N/A,TRUE,"GENERAL";"TAB4",#N/A,TRUE,"GENERAL";"TAB5",#N/A,TRUE,"GENERAL"}</definedName>
    <definedName name="__a5" localSheetId="9" hidden="1">{"TAB1",#N/A,TRUE,"GENERAL";"TAB2",#N/A,TRUE,"GENERAL";"TAB3",#N/A,TRUE,"GENERAL";"TAB4",#N/A,TRUE,"GENERAL";"TAB5",#N/A,TRUE,"GENERAL"}</definedName>
    <definedName name="__a5" hidden="1">{"TAB1",#N/A,TRUE,"GENERAL";"TAB2",#N/A,TRUE,"GENERAL";"TAB3",#N/A,TRUE,"GENERAL";"TAB4",#N/A,TRUE,"GENERAL";"TAB5",#N/A,TRUE,"GENERAL"}</definedName>
    <definedName name="__a6" localSheetId="4" hidden="1">{"TAB1",#N/A,TRUE,"GENERAL";"TAB2",#N/A,TRUE,"GENERAL";"TAB3",#N/A,TRUE,"GENERAL";"TAB4",#N/A,TRUE,"GENERAL";"TAB5",#N/A,TRUE,"GENERAL"}</definedName>
    <definedName name="__a6" localSheetId="9" hidden="1">{"TAB1",#N/A,TRUE,"GENERAL";"TAB2",#N/A,TRUE,"GENERAL";"TAB3",#N/A,TRUE,"GENERAL";"TAB4",#N/A,TRUE,"GENERAL";"TAB5",#N/A,TRUE,"GENERAL"}</definedName>
    <definedName name="__a6" hidden="1">{"TAB1",#N/A,TRUE,"GENERAL";"TAB2",#N/A,TRUE,"GENERAL";"TAB3",#N/A,TRUE,"GENERAL";"TAB4",#N/A,TRUE,"GENERAL";"TAB5",#N/A,TRUE,"GENERAL"}</definedName>
    <definedName name="__aiu2">[4]AIU!$J$105</definedName>
    <definedName name="__b2" localSheetId="4" hidden="1">{"TAB1",#N/A,TRUE,"GENERAL";"TAB2",#N/A,TRUE,"GENERAL";"TAB3",#N/A,TRUE,"GENERAL";"TAB4",#N/A,TRUE,"GENERAL";"TAB5",#N/A,TRUE,"GENERAL"}</definedName>
    <definedName name="__b2" localSheetId="9" hidden="1">{"TAB1",#N/A,TRUE,"GENERAL";"TAB2",#N/A,TRUE,"GENERAL";"TAB3",#N/A,TRUE,"GENERAL";"TAB4",#N/A,TRUE,"GENERAL";"TAB5",#N/A,TRUE,"GENERAL"}</definedName>
    <definedName name="__b2" hidden="1">{"TAB1",#N/A,TRUE,"GENERAL";"TAB2",#N/A,TRUE,"GENERAL";"TAB3",#N/A,TRUE,"GENERAL";"TAB4",#N/A,TRUE,"GENERAL";"TAB5",#N/A,TRUE,"GENERAL"}</definedName>
    <definedName name="__b3" localSheetId="4" hidden="1">{"TAB1",#N/A,TRUE,"GENERAL";"TAB2",#N/A,TRUE,"GENERAL";"TAB3",#N/A,TRUE,"GENERAL";"TAB4",#N/A,TRUE,"GENERAL";"TAB5",#N/A,TRUE,"GENERAL"}</definedName>
    <definedName name="__b3" localSheetId="9" hidden="1">{"TAB1",#N/A,TRUE,"GENERAL";"TAB2",#N/A,TRUE,"GENERAL";"TAB3",#N/A,TRUE,"GENERAL";"TAB4",#N/A,TRUE,"GENERAL";"TAB5",#N/A,TRUE,"GENERAL"}</definedName>
    <definedName name="__b3" hidden="1">{"TAB1",#N/A,TRUE,"GENERAL";"TAB2",#N/A,TRUE,"GENERAL";"TAB3",#N/A,TRUE,"GENERAL";"TAB4",#N/A,TRUE,"GENERAL";"TAB5",#N/A,TRUE,"GENERAL"}</definedName>
    <definedName name="__b4" localSheetId="4" hidden="1">{"TAB1",#N/A,TRUE,"GENERAL";"TAB2",#N/A,TRUE,"GENERAL";"TAB3",#N/A,TRUE,"GENERAL";"TAB4",#N/A,TRUE,"GENERAL";"TAB5",#N/A,TRUE,"GENERAL"}</definedName>
    <definedName name="__b4" localSheetId="9" hidden="1">{"TAB1",#N/A,TRUE,"GENERAL";"TAB2",#N/A,TRUE,"GENERAL";"TAB3",#N/A,TRUE,"GENERAL";"TAB4",#N/A,TRUE,"GENERAL";"TAB5",#N/A,TRUE,"GENERAL"}</definedName>
    <definedName name="__b4" hidden="1">{"TAB1",#N/A,TRUE,"GENERAL";"TAB2",#N/A,TRUE,"GENERAL";"TAB3",#N/A,TRUE,"GENERAL";"TAB4",#N/A,TRUE,"GENERAL";"TAB5",#N/A,TRUE,"GENERAL"}</definedName>
    <definedName name="__b5" localSheetId="4" hidden="1">{"TAB1",#N/A,TRUE,"GENERAL";"TAB2",#N/A,TRUE,"GENERAL";"TAB3",#N/A,TRUE,"GENERAL";"TAB4",#N/A,TRUE,"GENERAL";"TAB5",#N/A,TRUE,"GENERAL"}</definedName>
    <definedName name="__b5" localSheetId="9" hidden="1">{"TAB1",#N/A,TRUE,"GENERAL";"TAB2",#N/A,TRUE,"GENERAL";"TAB3",#N/A,TRUE,"GENERAL";"TAB4",#N/A,TRUE,"GENERAL";"TAB5",#N/A,TRUE,"GENERAL"}</definedName>
    <definedName name="__b5" hidden="1">{"TAB1",#N/A,TRUE,"GENERAL";"TAB2",#N/A,TRUE,"GENERAL";"TAB3",#N/A,TRUE,"GENERAL";"TAB4",#N/A,TRUE,"GENERAL";"TAB5",#N/A,TRUE,"GENERAL"}</definedName>
    <definedName name="__b6" localSheetId="4" hidden="1">{"TAB1",#N/A,TRUE,"GENERAL";"TAB2",#N/A,TRUE,"GENERAL";"TAB3",#N/A,TRUE,"GENERAL";"TAB4",#N/A,TRUE,"GENERAL";"TAB5",#N/A,TRUE,"GENERAL"}</definedName>
    <definedName name="__b6" localSheetId="9" hidden="1">{"TAB1",#N/A,TRUE,"GENERAL";"TAB2",#N/A,TRUE,"GENERAL";"TAB3",#N/A,TRUE,"GENERAL";"TAB4",#N/A,TRUE,"GENERAL";"TAB5",#N/A,TRUE,"GENERAL"}</definedName>
    <definedName name="__b6" hidden="1">{"TAB1",#N/A,TRUE,"GENERAL";"TAB2",#N/A,TRUE,"GENERAL";"TAB3",#N/A,TRUE,"GENERAL";"TAB4",#N/A,TRUE,"GENERAL";"TAB5",#N/A,TRUE,"GENERAL"}</definedName>
    <definedName name="__b7" localSheetId="4" hidden="1">{"via1",#N/A,TRUE,"general";"via2",#N/A,TRUE,"general";"via3",#N/A,TRUE,"general"}</definedName>
    <definedName name="__b7" localSheetId="9" hidden="1">{"via1",#N/A,TRUE,"general";"via2",#N/A,TRUE,"general";"via3",#N/A,TRUE,"general"}</definedName>
    <definedName name="__b7" hidden="1">{"via1",#N/A,TRUE,"general";"via2",#N/A,TRUE,"general";"via3",#N/A,TRUE,"general"}</definedName>
    <definedName name="__b8" localSheetId="4" hidden="1">{"via1",#N/A,TRUE,"general";"via2",#N/A,TRUE,"general";"via3",#N/A,TRUE,"general"}</definedName>
    <definedName name="__b8" localSheetId="9" hidden="1">{"via1",#N/A,TRUE,"general";"via2",#N/A,TRUE,"general";"via3",#N/A,TRUE,"general"}</definedName>
    <definedName name="__b8" hidden="1">{"via1",#N/A,TRUE,"general";"via2",#N/A,TRUE,"general";"via3",#N/A,TRUE,"general"}</definedName>
    <definedName name="__bb9" localSheetId="4" hidden="1">{"TAB1",#N/A,TRUE,"GENERAL";"TAB2",#N/A,TRUE,"GENERAL";"TAB3",#N/A,TRUE,"GENERAL";"TAB4",#N/A,TRUE,"GENERAL";"TAB5",#N/A,TRUE,"GENERAL"}</definedName>
    <definedName name="__bb9" localSheetId="9" hidden="1">{"TAB1",#N/A,TRUE,"GENERAL";"TAB2",#N/A,TRUE,"GENERAL";"TAB3",#N/A,TRUE,"GENERAL";"TAB4",#N/A,TRUE,"GENERAL";"TAB5",#N/A,TRUE,"GENERAL"}</definedName>
    <definedName name="__bb9"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9" hidden="1">{"TAB1",#N/A,TRUE,"GENERAL";"TAB2",#N/A,TRUE,"GENERAL";"TAB3",#N/A,TRUE,"GENERAL";"TAB4",#N/A,TRUE,"GENERAL";"TAB5",#N/A,TRUE,"GENERAL"}</definedName>
    <definedName name="__bgb5" hidden="1">{"TAB1",#N/A,TRUE,"GENERAL";"TAB2",#N/A,TRUE,"GENERAL";"TAB3",#N/A,TRUE,"GENERAL";"TAB4",#N/A,TRUE,"GENERAL";"TAB5",#N/A,TRUE,"GENERAL"}</definedName>
    <definedName name="__COD1" localSheetId="4">#REF!</definedName>
    <definedName name="__COD1">#REF!</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3" localSheetId="4">#REF!</definedName>
    <definedName name="__EST23">#REF!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TR13" localSheetId="4">#REF!</definedName>
    <definedName name="__ETR13">#REF!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FC">#REF!</definedName>
    <definedName name="__FOR1">#REF!</definedName>
    <definedName name="__g2" localSheetId="4" hidden="1">{"TAB1",#N/A,TRUE,"GENERAL";"TAB2",#N/A,TRUE,"GENERAL";"TAB3",#N/A,TRUE,"GENERAL";"TAB4",#N/A,TRUE,"GENERAL";"TAB5",#N/A,TRUE,"GENERAL"}</definedName>
    <definedName name="__g2" localSheetId="9" hidden="1">{"TAB1",#N/A,TRUE,"GENERAL";"TAB2",#N/A,TRUE,"GENERAL";"TAB3",#N/A,TRUE,"GENERAL";"TAB4",#N/A,TRUE,"GENERAL";"TAB5",#N/A,TRUE,"GENERAL"}</definedName>
    <definedName name="__g2" hidden="1">{"TAB1",#N/A,TRUE,"GENERAL";"TAB2",#N/A,TRUE,"GENERAL";"TAB3",#N/A,TRUE,"GENERAL";"TAB4",#N/A,TRUE,"GENERAL";"TAB5",#N/A,TRUE,"GENERAL"}</definedName>
    <definedName name="__g3" localSheetId="4" hidden="1">{"via1",#N/A,TRUE,"general";"via2",#N/A,TRUE,"general";"via3",#N/A,TRUE,"general"}</definedName>
    <definedName name="__g3" localSheetId="9" hidden="1">{"via1",#N/A,TRUE,"general";"via2",#N/A,TRUE,"general";"via3",#N/A,TRUE,"general"}</definedName>
    <definedName name="__g3" hidden="1">{"via1",#N/A,TRUE,"general";"via2",#N/A,TRUE,"general";"via3",#N/A,TRUE,"general"}</definedName>
    <definedName name="__g4" localSheetId="4" hidden="1">{"via1",#N/A,TRUE,"general";"via2",#N/A,TRUE,"general";"via3",#N/A,TRUE,"general"}</definedName>
    <definedName name="__g4" localSheetId="9" hidden="1">{"via1",#N/A,TRUE,"general";"via2",#N/A,TRUE,"general";"via3",#N/A,TRUE,"general"}</definedName>
    <definedName name="__g4" hidden="1">{"via1",#N/A,TRUE,"general";"via2",#N/A,TRUE,"general";"via3",#N/A,TRUE,"general"}</definedName>
    <definedName name="__g5" localSheetId="4" hidden="1">{"via1",#N/A,TRUE,"general";"via2",#N/A,TRUE,"general";"via3",#N/A,TRUE,"general"}</definedName>
    <definedName name="__g5" localSheetId="9" hidden="1">{"via1",#N/A,TRUE,"general";"via2",#N/A,TRUE,"general";"via3",#N/A,TRUE,"general"}</definedName>
    <definedName name="__g5" hidden="1">{"via1",#N/A,TRUE,"general";"via2",#N/A,TRUE,"general";"via3",#N/A,TRUE,"general"}</definedName>
    <definedName name="__g6" localSheetId="4" hidden="1">{"via1",#N/A,TRUE,"general";"via2",#N/A,TRUE,"general";"via3",#N/A,TRUE,"general"}</definedName>
    <definedName name="__g6" localSheetId="9" hidden="1">{"via1",#N/A,TRUE,"general";"via2",#N/A,TRUE,"general";"via3",#N/A,TRUE,"general"}</definedName>
    <definedName name="__g6" hidden="1">{"via1",#N/A,TRUE,"general";"via2",#N/A,TRUE,"general";"via3",#N/A,TRUE,"general"}</definedName>
    <definedName name="__g7" localSheetId="4" hidden="1">{"TAB1",#N/A,TRUE,"GENERAL";"TAB2",#N/A,TRUE,"GENERAL";"TAB3",#N/A,TRUE,"GENERAL";"TAB4",#N/A,TRUE,"GENERAL";"TAB5",#N/A,TRUE,"GENERAL"}</definedName>
    <definedName name="__g7" localSheetId="9" hidden="1">{"TAB1",#N/A,TRUE,"GENERAL";"TAB2",#N/A,TRUE,"GENERAL";"TAB3",#N/A,TRUE,"GENERAL";"TAB4",#N/A,TRUE,"GENERAL";"TAB5",#N/A,TRUE,"GENERAL"}</definedName>
    <definedName name="__g7" hidden="1">{"TAB1",#N/A,TRUE,"GENERAL";"TAB2",#N/A,TRUE,"GENERAL";"TAB3",#N/A,TRUE,"GENERAL";"TAB4",#N/A,TRUE,"GENERAL";"TAB5",#N/A,TRUE,"GENERAL"}</definedName>
    <definedName name="__GR1" localSheetId="4" hidden="1">{"TAB1",#N/A,TRUE,"GENERAL";"TAB2",#N/A,TRUE,"GENERAL";"TAB3",#N/A,TRUE,"GENERAL";"TAB4",#N/A,TRUE,"GENERAL";"TAB5",#N/A,TRUE,"GENERAL"}</definedName>
    <definedName name="__GR1" localSheetId="9" hidden="1">{"TAB1",#N/A,TRUE,"GENERAL";"TAB2",#N/A,TRUE,"GENERAL";"TAB3",#N/A,TRUE,"GENERAL";"TAB4",#N/A,TRUE,"GENERAL";"TAB5",#N/A,TRUE,"GENERAL"}</definedName>
    <definedName name="__GR1" hidden="1">{"TAB1",#N/A,TRUE,"GENERAL";"TAB2",#N/A,TRUE,"GENERAL";"TAB3",#N/A,TRUE,"GENERAL";"TAB4",#N/A,TRUE,"GENERAL";"TAB5",#N/A,TRUE,"GENERAL"}</definedName>
    <definedName name="__gtr4" localSheetId="4" hidden="1">{"via1",#N/A,TRUE,"general";"via2",#N/A,TRUE,"general";"via3",#N/A,TRUE,"general"}</definedName>
    <definedName name="__gtr4" localSheetId="9" hidden="1">{"via1",#N/A,TRUE,"general";"via2",#N/A,TRUE,"general";"via3",#N/A,TRUE,"general"}</definedName>
    <definedName name="__gtr4" hidden="1">{"via1",#N/A,TRUE,"general";"via2",#N/A,TRUE,"general";"via3",#N/A,TRUE,"general"}</definedName>
    <definedName name="__h2" localSheetId="4" hidden="1">{"via1",#N/A,TRUE,"general";"via2",#N/A,TRUE,"general";"via3",#N/A,TRUE,"general"}</definedName>
    <definedName name="__h2" localSheetId="9" hidden="1">{"via1",#N/A,TRUE,"general";"via2",#N/A,TRUE,"general";"via3",#N/A,TRUE,"general"}</definedName>
    <definedName name="__h2" hidden="1">{"via1",#N/A,TRUE,"general";"via2",#N/A,TRUE,"general";"via3",#N/A,TRUE,"general"}</definedName>
    <definedName name="__h3" localSheetId="4" hidden="1">{"via1",#N/A,TRUE,"general";"via2",#N/A,TRUE,"general";"via3",#N/A,TRUE,"general"}</definedName>
    <definedName name="__h3" localSheetId="9" hidden="1">{"via1",#N/A,TRUE,"general";"via2",#N/A,TRUE,"general";"via3",#N/A,TRUE,"general"}</definedName>
    <definedName name="__h3" hidden="1">{"via1",#N/A,TRUE,"general";"via2",#N/A,TRUE,"general";"via3",#N/A,TRUE,"general"}</definedName>
    <definedName name="__h4" localSheetId="4" hidden="1">{"TAB1",#N/A,TRUE,"GENERAL";"TAB2",#N/A,TRUE,"GENERAL";"TAB3",#N/A,TRUE,"GENERAL";"TAB4",#N/A,TRUE,"GENERAL";"TAB5",#N/A,TRUE,"GENERAL"}</definedName>
    <definedName name="__h4" localSheetId="9" hidden="1">{"TAB1",#N/A,TRUE,"GENERAL";"TAB2",#N/A,TRUE,"GENERAL";"TAB3",#N/A,TRUE,"GENERAL";"TAB4",#N/A,TRUE,"GENERAL";"TAB5",#N/A,TRUE,"GENERAL"}</definedName>
    <definedName name="__h4" hidden="1">{"TAB1",#N/A,TRUE,"GENERAL";"TAB2",#N/A,TRUE,"GENERAL";"TAB3",#N/A,TRUE,"GENERAL";"TAB4",#N/A,TRUE,"GENERAL";"TAB5",#N/A,TRUE,"GENERAL"}</definedName>
    <definedName name="__h5" localSheetId="4" hidden="1">{"TAB1",#N/A,TRUE,"GENERAL";"TAB2",#N/A,TRUE,"GENERAL";"TAB3",#N/A,TRUE,"GENERAL";"TAB4",#N/A,TRUE,"GENERAL";"TAB5",#N/A,TRUE,"GENERAL"}</definedName>
    <definedName name="__h5" localSheetId="9" hidden="1">{"TAB1",#N/A,TRUE,"GENERAL";"TAB2",#N/A,TRUE,"GENERAL";"TAB3",#N/A,TRUE,"GENERAL";"TAB4",#N/A,TRUE,"GENERAL";"TAB5",#N/A,TRUE,"GENERAL"}</definedName>
    <definedName name="__h5" hidden="1">{"TAB1",#N/A,TRUE,"GENERAL";"TAB2",#N/A,TRUE,"GENERAL";"TAB3",#N/A,TRUE,"GENERAL";"TAB4",#N/A,TRUE,"GENERAL";"TAB5",#N/A,TRUE,"GENERAL"}</definedName>
    <definedName name="__h6" localSheetId="4" hidden="1">{"via1",#N/A,TRUE,"general";"via2",#N/A,TRUE,"general";"via3",#N/A,TRUE,"general"}</definedName>
    <definedName name="__h6" localSheetId="9" hidden="1">{"via1",#N/A,TRUE,"general";"via2",#N/A,TRUE,"general";"via3",#N/A,TRUE,"general"}</definedName>
    <definedName name="__h6" hidden="1">{"via1",#N/A,TRUE,"general";"via2",#N/A,TRUE,"general";"via3",#N/A,TRUE,"general"}</definedName>
    <definedName name="__h7" localSheetId="4" hidden="1">{"TAB1",#N/A,TRUE,"GENERAL";"TAB2",#N/A,TRUE,"GENERAL";"TAB3",#N/A,TRUE,"GENERAL";"TAB4",#N/A,TRUE,"GENERAL";"TAB5",#N/A,TRUE,"GENERAL"}</definedName>
    <definedName name="__h7" localSheetId="9" hidden="1">{"TAB1",#N/A,TRUE,"GENERAL";"TAB2",#N/A,TRUE,"GENERAL";"TAB3",#N/A,TRUE,"GENERAL";"TAB4",#N/A,TRUE,"GENERAL";"TAB5",#N/A,TRUE,"GENERAL"}</definedName>
    <definedName name="__h7" hidden="1">{"TAB1",#N/A,TRUE,"GENERAL";"TAB2",#N/A,TRUE,"GENERAL";"TAB3",#N/A,TRUE,"GENERAL";"TAB4",#N/A,TRUE,"GENERAL";"TAB5",#N/A,TRUE,"GENERAL"}</definedName>
    <definedName name="__h8" localSheetId="4" hidden="1">{"via1",#N/A,TRUE,"general";"via2",#N/A,TRUE,"general";"via3",#N/A,TRUE,"general"}</definedName>
    <definedName name="__h8" localSheetId="9" hidden="1">{"via1",#N/A,TRUE,"general";"via2",#N/A,TRUE,"general";"via3",#N/A,TRUE,"general"}</definedName>
    <definedName name="__h8" hidden="1">{"via1",#N/A,TRUE,"general";"via2",#N/A,TRUE,"general";"via3",#N/A,TRUE,"general"}</definedName>
    <definedName name="__hfh7" localSheetId="4" hidden="1">{"via1",#N/A,TRUE,"general";"via2",#N/A,TRUE,"general";"via3",#N/A,TRUE,"general"}</definedName>
    <definedName name="__hfh7" localSheetId="9" hidden="1">{"via1",#N/A,TRUE,"general";"via2",#N/A,TRUE,"general";"via3",#N/A,TRUE,"general"}</definedName>
    <definedName name="__hfh7" hidden="1">{"via1",#N/A,TRUE,"general";"via2",#N/A,TRUE,"general";"via3",#N/A,TRUE,"general"}</definedName>
    <definedName name="__i4" localSheetId="4" hidden="1">{"via1",#N/A,TRUE,"general";"via2",#N/A,TRUE,"general";"via3",#N/A,TRUE,"general"}</definedName>
    <definedName name="__i4" localSheetId="9" hidden="1">{"via1",#N/A,TRUE,"general";"via2",#N/A,TRUE,"general";"via3",#N/A,TRUE,"general"}</definedName>
    <definedName name="__i4" hidden="1">{"via1",#N/A,TRUE,"general";"via2",#N/A,TRUE,"general";"via3",#N/A,TRUE,"general"}</definedName>
    <definedName name="__i5" localSheetId="4" hidden="1">{"TAB1",#N/A,TRUE,"GENERAL";"TAB2",#N/A,TRUE,"GENERAL";"TAB3",#N/A,TRUE,"GENERAL";"TAB4",#N/A,TRUE,"GENERAL";"TAB5",#N/A,TRUE,"GENERAL"}</definedName>
    <definedName name="__i5" localSheetId="9" hidden="1">{"TAB1",#N/A,TRUE,"GENERAL";"TAB2",#N/A,TRUE,"GENERAL";"TAB3",#N/A,TRUE,"GENERAL";"TAB4",#N/A,TRUE,"GENERAL";"TAB5",#N/A,TRUE,"GENERAL"}</definedName>
    <definedName name="__i5" hidden="1">{"TAB1",#N/A,TRUE,"GENERAL";"TAB2",#N/A,TRUE,"GENERAL";"TAB3",#N/A,TRUE,"GENERAL";"TAB4",#N/A,TRUE,"GENERAL";"TAB5",#N/A,TRUE,"GENERAL"}</definedName>
    <definedName name="__i6" localSheetId="4" hidden="1">{"TAB1",#N/A,TRUE,"GENERAL";"TAB2",#N/A,TRUE,"GENERAL";"TAB3",#N/A,TRUE,"GENERAL";"TAB4",#N/A,TRUE,"GENERAL";"TAB5",#N/A,TRUE,"GENERAL"}</definedName>
    <definedName name="__i6" localSheetId="9" hidden="1">{"TAB1",#N/A,TRUE,"GENERAL";"TAB2",#N/A,TRUE,"GENERAL";"TAB3",#N/A,TRUE,"GENERAL";"TAB4",#N/A,TRUE,"GENERAL";"TAB5",#N/A,TRUE,"GENERAL"}</definedName>
    <definedName name="__i6" hidden="1">{"TAB1",#N/A,TRUE,"GENERAL";"TAB2",#N/A,TRUE,"GENERAL";"TAB3",#N/A,TRUE,"GENERAL";"TAB4",#N/A,TRUE,"GENERAL";"TAB5",#N/A,TRUE,"GENERAL"}</definedName>
    <definedName name="__i7" localSheetId="4" hidden="1">{"via1",#N/A,TRUE,"general";"via2",#N/A,TRUE,"general";"via3",#N/A,TRUE,"general"}</definedName>
    <definedName name="__i7" localSheetId="9" hidden="1">{"via1",#N/A,TRUE,"general";"via2",#N/A,TRUE,"general";"via3",#N/A,TRUE,"general"}</definedName>
    <definedName name="__i7" hidden="1">{"via1",#N/A,TRUE,"general";"via2",#N/A,TRUE,"general";"via3",#N/A,TRUE,"general"}</definedName>
    <definedName name="__i77" localSheetId="4" hidden="1">{"TAB1",#N/A,TRUE,"GENERAL";"TAB2",#N/A,TRUE,"GENERAL";"TAB3",#N/A,TRUE,"GENERAL";"TAB4",#N/A,TRUE,"GENERAL";"TAB5",#N/A,TRUE,"GENERAL"}</definedName>
    <definedName name="__i77" localSheetId="9" hidden="1">{"TAB1",#N/A,TRUE,"GENERAL";"TAB2",#N/A,TRUE,"GENERAL";"TAB3",#N/A,TRUE,"GENERAL";"TAB4",#N/A,TRUE,"GENERAL";"TAB5",#N/A,TRUE,"GENERAL"}</definedName>
    <definedName name="__i77" hidden="1">{"TAB1",#N/A,TRUE,"GENERAL";"TAB2",#N/A,TRUE,"GENERAL";"TAB3",#N/A,TRUE,"GENERAL";"TAB4",#N/A,TRUE,"GENERAL";"TAB5",#N/A,TRUE,"GENERAL"}</definedName>
    <definedName name="__i8" localSheetId="4" hidden="1">{"via1",#N/A,TRUE,"general";"via2",#N/A,TRUE,"general";"via3",#N/A,TRUE,"general"}</definedName>
    <definedName name="__i8" localSheetId="9" hidden="1">{"via1",#N/A,TRUE,"general";"via2",#N/A,TRUE,"general";"via3",#N/A,TRUE,"general"}</definedName>
    <definedName name="__i8" hidden="1">{"via1",#N/A,TRUE,"general";"via2",#N/A,TRUE,"general";"via3",#N/A,TRUE,"general"}</definedName>
    <definedName name="__i9" localSheetId="4" hidden="1">{"TAB1",#N/A,TRUE,"GENERAL";"TAB2",#N/A,TRUE,"GENERAL";"TAB3",#N/A,TRUE,"GENERAL";"TAB4",#N/A,TRUE,"GENERAL";"TAB5",#N/A,TRUE,"GENERAL"}</definedName>
    <definedName name="__i9" localSheetId="9" hidden="1">{"TAB1",#N/A,TRUE,"GENERAL";"TAB2",#N/A,TRUE,"GENERAL";"TAB3",#N/A,TRUE,"GENERAL";"TAB4",#N/A,TRUE,"GENERAL";"TAB5",#N/A,TRUE,"GENERAL"}</definedName>
    <definedName name="__i9" hidden="1">{"TAB1",#N/A,TRUE,"GENERAL";"TAB2",#N/A,TRUE,"GENERAL";"TAB3",#N/A,TRUE,"GENERAL";"TAB4",#N/A,TRUE,"GENERAL";"TAB5",#N/A,TRUE,"GENERAL"}</definedName>
    <definedName name="__k3" localSheetId="4" hidden="1">{"TAB1",#N/A,TRUE,"GENERAL";"TAB2",#N/A,TRUE,"GENERAL";"TAB3",#N/A,TRUE,"GENERAL";"TAB4",#N/A,TRUE,"GENERAL";"TAB5",#N/A,TRUE,"GENERAL"}</definedName>
    <definedName name="__k3" localSheetId="9" hidden="1">{"TAB1",#N/A,TRUE,"GENERAL";"TAB2",#N/A,TRUE,"GENERAL";"TAB3",#N/A,TRUE,"GENERAL";"TAB4",#N/A,TRUE,"GENERAL";"TAB5",#N/A,TRUE,"GENERAL"}</definedName>
    <definedName name="__k3" hidden="1">{"TAB1",#N/A,TRUE,"GENERAL";"TAB2",#N/A,TRUE,"GENERAL";"TAB3",#N/A,TRUE,"GENERAL";"TAB4",#N/A,TRUE,"GENERAL";"TAB5",#N/A,TRUE,"GENERAL"}</definedName>
    <definedName name="__k4" localSheetId="4" hidden="1">{"via1",#N/A,TRUE,"general";"via2",#N/A,TRUE,"general";"via3",#N/A,TRUE,"general"}</definedName>
    <definedName name="__k4" localSheetId="9" hidden="1">{"via1",#N/A,TRUE,"general";"via2",#N/A,TRUE,"general";"via3",#N/A,TRUE,"general"}</definedName>
    <definedName name="__k4" hidden="1">{"via1",#N/A,TRUE,"general";"via2",#N/A,TRUE,"general";"via3",#N/A,TRUE,"general"}</definedName>
    <definedName name="__k5" localSheetId="4" hidden="1">{"via1",#N/A,TRUE,"general";"via2",#N/A,TRUE,"general";"via3",#N/A,TRUE,"general"}</definedName>
    <definedName name="__k5" localSheetId="9" hidden="1">{"via1",#N/A,TRUE,"general";"via2",#N/A,TRUE,"general";"via3",#N/A,TRUE,"general"}</definedName>
    <definedName name="__k5" hidden="1">{"via1",#N/A,TRUE,"general";"via2",#N/A,TRUE,"general";"via3",#N/A,TRUE,"general"}</definedName>
    <definedName name="__k6" localSheetId="4" hidden="1">{"TAB1",#N/A,TRUE,"GENERAL";"TAB2",#N/A,TRUE,"GENERAL";"TAB3",#N/A,TRUE,"GENERAL";"TAB4",#N/A,TRUE,"GENERAL";"TAB5",#N/A,TRUE,"GENERAL"}</definedName>
    <definedName name="__k6" localSheetId="9" hidden="1">{"TAB1",#N/A,TRUE,"GENERAL";"TAB2",#N/A,TRUE,"GENERAL";"TAB3",#N/A,TRUE,"GENERAL";"TAB4",#N/A,TRUE,"GENERAL";"TAB5",#N/A,TRUE,"GENERAL"}</definedName>
    <definedName name="__k6" hidden="1">{"TAB1",#N/A,TRUE,"GENERAL";"TAB2",#N/A,TRUE,"GENERAL";"TAB3",#N/A,TRUE,"GENERAL";"TAB4",#N/A,TRUE,"GENERAL";"TAB5",#N/A,TRUE,"GENERAL"}</definedName>
    <definedName name="__k7" localSheetId="4" hidden="1">{"via1",#N/A,TRUE,"general";"via2",#N/A,TRUE,"general";"via3",#N/A,TRUE,"general"}</definedName>
    <definedName name="__k7" localSheetId="9" hidden="1">{"via1",#N/A,TRUE,"general";"via2",#N/A,TRUE,"general";"via3",#N/A,TRUE,"general"}</definedName>
    <definedName name="__k7" hidden="1">{"via1",#N/A,TRUE,"general";"via2",#N/A,TRUE,"general";"via3",#N/A,TRUE,"general"}</definedName>
    <definedName name="__k8" localSheetId="4" hidden="1">{"via1",#N/A,TRUE,"general";"via2",#N/A,TRUE,"general";"via3",#N/A,TRUE,"general"}</definedName>
    <definedName name="__k8" localSheetId="9" hidden="1">{"via1",#N/A,TRUE,"general";"via2",#N/A,TRUE,"general";"via3",#N/A,TRUE,"general"}</definedName>
    <definedName name="__k8" hidden="1">{"via1",#N/A,TRUE,"general";"via2",#N/A,TRUE,"general";"via3",#N/A,TRUE,"general"}</definedName>
    <definedName name="__k9" localSheetId="4" hidden="1">{"TAB1",#N/A,TRUE,"GENERAL";"TAB2",#N/A,TRUE,"GENERAL";"TAB3",#N/A,TRUE,"GENERAL";"TAB4",#N/A,TRUE,"GENERAL";"TAB5",#N/A,TRUE,"GENERAL"}</definedName>
    <definedName name="__k9" localSheetId="9" hidden="1">{"TAB1",#N/A,TRUE,"GENERAL";"TAB2",#N/A,TRUE,"GENERAL";"TAB3",#N/A,TRUE,"GENERAL";"TAB4",#N/A,TRUE,"GENERAL";"TAB5",#N/A,TRUE,"GENERAL"}</definedName>
    <definedName name="__k9"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9" hidden="1">{"TAB1",#N/A,TRUE,"GENERAL";"TAB2",#N/A,TRUE,"GENERAL";"TAB3",#N/A,TRUE,"GENERAL";"TAB4",#N/A,TRUE,"GENERAL";"TAB5",#N/A,TRUE,"GENERAL"}</definedName>
    <definedName name="__kjk6" hidden="1">{"TAB1",#N/A,TRUE,"GENERAL";"TAB2",#N/A,TRUE,"GENERAL";"TAB3",#N/A,TRUE,"GENERAL";"TAB4",#N/A,TRUE,"GENERAL";"TAB5",#N/A,TRUE,"GENERAL"}</definedName>
    <definedName name="__m3" localSheetId="4" hidden="1">{"via1",#N/A,TRUE,"general";"via2",#N/A,TRUE,"general";"via3",#N/A,TRUE,"general"}</definedName>
    <definedName name="__m3" localSheetId="9" hidden="1">{"via1",#N/A,TRUE,"general";"via2",#N/A,TRUE,"general";"via3",#N/A,TRUE,"general"}</definedName>
    <definedName name="__m3" hidden="1">{"via1",#N/A,TRUE,"general";"via2",#N/A,TRUE,"general";"via3",#N/A,TRUE,"general"}</definedName>
    <definedName name="__m4" localSheetId="4" hidden="1">{"TAB1",#N/A,TRUE,"GENERAL";"TAB2",#N/A,TRUE,"GENERAL";"TAB3",#N/A,TRUE,"GENERAL";"TAB4",#N/A,TRUE,"GENERAL";"TAB5",#N/A,TRUE,"GENERAL"}</definedName>
    <definedName name="__m4" localSheetId="9" hidden="1">{"TAB1",#N/A,TRUE,"GENERAL";"TAB2",#N/A,TRUE,"GENERAL";"TAB3",#N/A,TRUE,"GENERAL";"TAB4",#N/A,TRUE,"GENERAL";"TAB5",#N/A,TRUE,"GENERAL"}</definedName>
    <definedName name="__m4" hidden="1">{"TAB1",#N/A,TRUE,"GENERAL";"TAB2",#N/A,TRUE,"GENERAL";"TAB3",#N/A,TRUE,"GENERAL";"TAB4",#N/A,TRUE,"GENERAL";"TAB5",#N/A,TRUE,"GENERAL"}</definedName>
    <definedName name="__m5" localSheetId="4" hidden="1">{"via1",#N/A,TRUE,"general";"via2",#N/A,TRUE,"general";"via3",#N/A,TRUE,"general"}</definedName>
    <definedName name="__m5" localSheetId="9" hidden="1">{"via1",#N/A,TRUE,"general";"via2",#N/A,TRUE,"general";"via3",#N/A,TRUE,"general"}</definedName>
    <definedName name="__m5" hidden="1">{"via1",#N/A,TRUE,"general";"via2",#N/A,TRUE,"general";"via3",#N/A,TRUE,"general"}</definedName>
    <definedName name="__m6" localSheetId="4" hidden="1">{"TAB1",#N/A,TRUE,"GENERAL";"TAB2",#N/A,TRUE,"GENERAL";"TAB3",#N/A,TRUE,"GENERAL";"TAB4",#N/A,TRUE,"GENERAL";"TAB5",#N/A,TRUE,"GENERAL"}</definedName>
    <definedName name="__m6" localSheetId="9" hidden="1">{"TAB1",#N/A,TRUE,"GENERAL";"TAB2",#N/A,TRUE,"GENERAL";"TAB3",#N/A,TRUE,"GENERAL";"TAB4",#N/A,TRUE,"GENERAL";"TAB5",#N/A,TRUE,"GENERAL"}</definedName>
    <definedName name="__m6" hidden="1">{"TAB1",#N/A,TRUE,"GENERAL";"TAB2",#N/A,TRUE,"GENERAL";"TAB3",#N/A,TRUE,"GENERAL";"TAB4",#N/A,TRUE,"GENERAL";"TAB5",#N/A,TRUE,"GENERAL"}</definedName>
    <definedName name="__m7" localSheetId="4" hidden="1">{"TAB1",#N/A,TRUE,"GENERAL";"TAB2",#N/A,TRUE,"GENERAL";"TAB3",#N/A,TRUE,"GENERAL";"TAB4",#N/A,TRUE,"GENERAL";"TAB5",#N/A,TRUE,"GENERAL"}</definedName>
    <definedName name="__m7" localSheetId="9" hidden="1">{"TAB1",#N/A,TRUE,"GENERAL";"TAB2",#N/A,TRUE,"GENERAL";"TAB3",#N/A,TRUE,"GENERAL";"TAB4",#N/A,TRUE,"GENERAL";"TAB5",#N/A,TRUE,"GENERAL"}</definedName>
    <definedName name="__m7" hidden="1">{"TAB1",#N/A,TRUE,"GENERAL";"TAB2",#N/A,TRUE,"GENERAL";"TAB3",#N/A,TRUE,"GENERAL";"TAB4",#N/A,TRUE,"GENERAL";"TAB5",#N/A,TRUE,"GENERAL"}</definedName>
    <definedName name="__m8" localSheetId="4" hidden="1">{"via1",#N/A,TRUE,"general";"via2",#N/A,TRUE,"general";"via3",#N/A,TRUE,"general"}</definedName>
    <definedName name="__m8" localSheetId="9" hidden="1">{"via1",#N/A,TRUE,"general";"via2",#N/A,TRUE,"general";"via3",#N/A,TRUE,"general"}</definedName>
    <definedName name="__m8" hidden="1">{"via1",#N/A,TRUE,"general";"via2",#N/A,TRUE,"general";"via3",#N/A,TRUE,"general"}</definedName>
    <definedName name="__m9" localSheetId="4" hidden="1">{"via1",#N/A,TRUE,"general";"via2",#N/A,TRUE,"general";"via3",#N/A,TRUE,"general"}</definedName>
    <definedName name="__m9" localSheetId="9" hidden="1">{"via1",#N/A,TRUE,"general";"via2",#N/A,TRUE,"general";"via3",#N/A,TRUE,"general"}</definedName>
    <definedName name="__m9" hidden="1">{"via1",#N/A,TRUE,"general";"via2",#N/A,TRUE,"general";"via3",#N/A,TRUE,"general"}</definedName>
    <definedName name="__n3" localSheetId="4" hidden="1">{"TAB1",#N/A,TRUE,"GENERAL";"TAB2",#N/A,TRUE,"GENERAL";"TAB3",#N/A,TRUE,"GENERAL";"TAB4",#N/A,TRUE,"GENERAL";"TAB5",#N/A,TRUE,"GENERAL"}</definedName>
    <definedName name="__n3" localSheetId="9" hidden="1">{"TAB1",#N/A,TRUE,"GENERAL";"TAB2",#N/A,TRUE,"GENERAL";"TAB3",#N/A,TRUE,"GENERAL";"TAB4",#N/A,TRUE,"GENERAL";"TAB5",#N/A,TRUE,"GENERAL"}</definedName>
    <definedName name="__n3" hidden="1">{"TAB1",#N/A,TRUE,"GENERAL";"TAB2",#N/A,TRUE,"GENERAL";"TAB3",#N/A,TRUE,"GENERAL";"TAB4",#N/A,TRUE,"GENERAL";"TAB5",#N/A,TRUE,"GENERAL"}</definedName>
    <definedName name="__n4" localSheetId="4" hidden="1">{"via1",#N/A,TRUE,"general";"via2",#N/A,TRUE,"general";"via3",#N/A,TRUE,"general"}</definedName>
    <definedName name="__n4" localSheetId="9" hidden="1">{"via1",#N/A,TRUE,"general";"via2",#N/A,TRUE,"general";"via3",#N/A,TRUE,"general"}</definedName>
    <definedName name="__n4" hidden="1">{"via1",#N/A,TRUE,"general";"via2",#N/A,TRUE,"general";"via3",#N/A,TRUE,"general"}</definedName>
    <definedName name="__n5" localSheetId="4" hidden="1">{"TAB1",#N/A,TRUE,"GENERAL";"TAB2",#N/A,TRUE,"GENERAL";"TAB3",#N/A,TRUE,"GENERAL";"TAB4",#N/A,TRUE,"GENERAL";"TAB5",#N/A,TRUE,"GENERAL"}</definedName>
    <definedName name="__n5" localSheetId="9" hidden="1">{"TAB1",#N/A,TRUE,"GENERAL";"TAB2",#N/A,TRUE,"GENERAL";"TAB3",#N/A,TRUE,"GENERAL";"TAB4",#N/A,TRUE,"GENERAL";"TAB5",#N/A,TRUE,"GENERAL"}</definedName>
    <definedName name="__n5" hidden="1">{"TAB1",#N/A,TRUE,"GENERAL";"TAB2",#N/A,TRUE,"GENERAL";"TAB3",#N/A,TRUE,"GENERAL";"TAB4",#N/A,TRUE,"GENERAL";"TAB5",#N/A,TRUE,"GENERAL"}</definedName>
    <definedName name="__nyn7" localSheetId="4" hidden="1">{"via1",#N/A,TRUE,"general";"via2",#N/A,TRUE,"general";"via3",#N/A,TRUE,"general"}</definedName>
    <definedName name="__nyn7" localSheetId="9" hidden="1">{"via1",#N/A,TRUE,"general";"via2",#N/A,TRUE,"general";"via3",#N/A,TRUE,"general"}</definedName>
    <definedName name="__nyn7" hidden="1">{"via1",#N/A,TRUE,"general";"via2",#N/A,TRUE,"general";"via3",#N/A,TRUE,"general"}</definedName>
    <definedName name="__o4" localSheetId="4" hidden="1">{"via1",#N/A,TRUE,"general";"via2",#N/A,TRUE,"general";"via3",#N/A,TRUE,"general"}</definedName>
    <definedName name="__o4" localSheetId="9" hidden="1">{"via1",#N/A,TRUE,"general";"via2",#N/A,TRUE,"general";"via3",#N/A,TRUE,"general"}</definedName>
    <definedName name="__o4" hidden="1">{"via1",#N/A,TRUE,"general";"via2",#N/A,TRUE,"general";"via3",#N/A,TRUE,"general"}</definedName>
    <definedName name="__o5" localSheetId="4" hidden="1">{"TAB1",#N/A,TRUE,"GENERAL";"TAB2",#N/A,TRUE,"GENERAL";"TAB3",#N/A,TRUE,"GENERAL";"TAB4",#N/A,TRUE,"GENERAL";"TAB5",#N/A,TRUE,"GENERAL"}</definedName>
    <definedName name="__o5" localSheetId="9" hidden="1">{"TAB1",#N/A,TRUE,"GENERAL";"TAB2",#N/A,TRUE,"GENERAL";"TAB3",#N/A,TRUE,"GENERAL";"TAB4",#N/A,TRUE,"GENERAL";"TAB5",#N/A,TRUE,"GENERAL"}</definedName>
    <definedName name="__o5" hidden="1">{"TAB1",#N/A,TRUE,"GENERAL";"TAB2",#N/A,TRUE,"GENERAL";"TAB3",#N/A,TRUE,"GENERAL";"TAB4",#N/A,TRUE,"GENERAL";"TAB5",#N/A,TRUE,"GENERAL"}</definedName>
    <definedName name="__o6" localSheetId="4" hidden="1">{"TAB1",#N/A,TRUE,"GENERAL";"TAB2",#N/A,TRUE,"GENERAL";"TAB3",#N/A,TRUE,"GENERAL";"TAB4",#N/A,TRUE,"GENERAL";"TAB5",#N/A,TRUE,"GENERAL"}</definedName>
    <definedName name="__o6" localSheetId="9" hidden="1">{"TAB1",#N/A,TRUE,"GENERAL";"TAB2",#N/A,TRUE,"GENERAL";"TAB3",#N/A,TRUE,"GENERAL";"TAB4",#N/A,TRUE,"GENERAL";"TAB5",#N/A,TRUE,"GENERAL"}</definedName>
    <definedName name="__o6" hidden="1">{"TAB1",#N/A,TRUE,"GENERAL";"TAB2",#N/A,TRUE,"GENERAL";"TAB3",#N/A,TRUE,"GENERAL";"TAB4",#N/A,TRUE,"GENERAL";"TAB5",#N/A,TRUE,"GENERAL"}</definedName>
    <definedName name="__o7" localSheetId="4" hidden="1">{"TAB1",#N/A,TRUE,"GENERAL";"TAB2",#N/A,TRUE,"GENERAL";"TAB3",#N/A,TRUE,"GENERAL";"TAB4",#N/A,TRUE,"GENERAL";"TAB5",#N/A,TRUE,"GENERAL"}</definedName>
    <definedName name="__o7" localSheetId="9" hidden="1">{"TAB1",#N/A,TRUE,"GENERAL";"TAB2",#N/A,TRUE,"GENERAL";"TAB3",#N/A,TRUE,"GENERAL";"TAB4",#N/A,TRUE,"GENERAL";"TAB5",#N/A,TRUE,"GENERAL"}</definedName>
    <definedName name="__o7" hidden="1">{"TAB1",#N/A,TRUE,"GENERAL";"TAB2",#N/A,TRUE,"GENERAL";"TAB3",#N/A,TRUE,"GENERAL";"TAB4",#N/A,TRUE,"GENERAL";"TAB5",#N/A,TRUE,"GENERAL"}</definedName>
    <definedName name="__o8" localSheetId="4" hidden="1">{"via1",#N/A,TRUE,"general";"via2",#N/A,TRUE,"general";"via3",#N/A,TRUE,"general"}</definedName>
    <definedName name="__o8" localSheetId="9" hidden="1">{"via1",#N/A,TRUE,"general";"via2",#N/A,TRUE,"general";"via3",#N/A,TRUE,"general"}</definedName>
    <definedName name="__o8" hidden="1">{"via1",#N/A,TRUE,"general";"via2",#N/A,TRUE,"general";"via3",#N/A,TRUE,"general"}</definedName>
    <definedName name="__o9" localSheetId="4" hidden="1">{"TAB1",#N/A,TRUE,"GENERAL";"TAB2",#N/A,TRUE,"GENERAL";"TAB3",#N/A,TRUE,"GENERAL";"TAB4",#N/A,TRUE,"GENERAL";"TAB5",#N/A,TRUE,"GENERAL"}</definedName>
    <definedName name="__o9" localSheetId="9" hidden="1">{"TAB1",#N/A,TRUE,"GENERAL";"TAB2",#N/A,TRUE,"GENERAL";"TAB3",#N/A,TRUE,"GENERAL";"TAB4",#N/A,TRUE,"GENERAL";"TAB5",#N/A,TRUE,"GENERAL"}</definedName>
    <definedName name="__o9" hidden="1">{"TAB1",#N/A,TRUE,"GENERAL";"TAB2",#N/A,TRUE,"GENERAL";"TAB3",#N/A,TRUE,"GENERAL";"TAB4",#N/A,TRUE,"GENERAL";"TAB5",#N/A,TRUE,"GENERAL"}</definedName>
    <definedName name="__ORO10" localSheetId="4">#REF!</definedName>
    <definedName name="__ORO10">#REF!</definedName>
    <definedName name="__ORO11" localSheetId="4">#REF!</definedName>
    <definedName name="__ORO11">#REF!</definedName>
    <definedName name="__ORO12" localSheetId="4">#REF!</definedName>
    <definedName name="__ORO12">#REF!</definedName>
    <definedName name="__ORO13" localSheetId="4">#REF!</definedName>
    <definedName name="__ORO13">#REF!</definedName>
    <definedName name="__ORO14" localSheetId="4">#REF!</definedName>
    <definedName name="__ORO14">#REF!</definedName>
    <definedName name="__ORO15" localSheetId="4">#REF!</definedName>
    <definedName name="__ORO15">#REF!</definedName>
    <definedName name="__ORO16" localSheetId="4">#REF!</definedName>
    <definedName name="__ORO16">#REF!</definedName>
    <definedName name="__ORO17" localSheetId="4">#REF!</definedName>
    <definedName name="__ORO17">#REF!</definedName>
    <definedName name="__ORO18" localSheetId="4">#REF!</definedName>
    <definedName name="__ORO18">#REF!</definedName>
    <definedName name="__ORO19" localSheetId="4">#REF!</definedName>
    <definedName name="__ORO19">#REF!</definedName>
    <definedName name="__p6" localSheetId="4" hidden="1">{"via1",#N/A,TRUE,"general";"via2",#N/A,TRUE,"general";"via3",#N/A,TRUE,"general"}</definedName>
    <definedName name="__p6" localSheetId="9" hidden="1">{"via1",#N/A,TRUE,"general";"via2",#N/A,TRUE,"general";"via3",#N/A,TRUE,"general"}</definedName>
    <definedName name="__p6" hidden="1">{"via1",#N/A,TRUE,"general";"via2",#N/A,TRUE,"general";"via3",#N/A,TRUE,"general"}</definedName>
    <definedName name="__p7" localSheetId="4" hidden="1">{"via1",#N/A,TRUE,"general";"via2",#N/A,TRUE,"general";"via3",#N/A,TRUE,"general"}</definedName>
    <definedName name="__p7" localSheetId="9" hidden="1">{"via1",#N/A,TRUE,"general";"via2",#N/A,TRUE,"general";"via3",#N/A,TRUE,"general"}</definedName>
    <definedName name="__p7" hidden="1">{"via1",#N/A,TRUE,"general";"via2",#N/A,TRUE,"general";"via3",#N/A,TRUE,"general"}</definedName>
    <definedName name="__p8" localSheetId="4" hidden="1">{"TAB1",#N/A,TRUE,"GENERAL";"TAB2",#N/A,TRUE,"GENERAL";"TAB3",#N/A,TRUE,"GENERAL";"TAB4",#N/A,TRUE,"GENERAL";"TAB5",#N/A,TRUE,"GENERAL"}</definedName>
    <definedName name="__p8" localSheetId="9" hidden="1">{"TAB1",#N/A,TRUE,"GENERAL";"TAB2",#N/A,TRUE,"GENERAL";"TAB3",#N/A,TRUE,"GENERAL";"TAB4",#N/A,TRUE,"GENERAL";"TAB5",#N/A,TRUE,"GENERAL"}</definedName>
    <definedName name="__p8" hidden="1">{"TAB1",#N/A,TRUE,"GENERAL";"TAB2",#N/A,TRUE,"GENERAL";"TAB3",#N/A,TRUE,"GENERAL";"TAB4",#N/A,TRUE,"GENERAL";"TAB5",#N/A,TRUE,"GENERAL"}</definedName>
    <definedName name="__PMT5671" localSheetId="4">[3]MEMORIAS!#REF!</definedName>
    <definedName name="__PMT5671">[3]MEMORIAS!#REF!</definedName>
    <definedName name="__PMT5805" localSheetId="4">[3]MEMORIAS!#REF!</definedName>
    <definedName name="__PMT5805">[3]MEMORIAS!#REF!</definedName>
    <definedName name="__PMT5806" localSheetId="4">[3]MEMORIAS!#REF!</definedName>
    <definedName name="__PMT5806">[3]MEMORIAS!#REF!</definedName>
    <definedName name="__PMT5815" localSheetId="4">[3]MEMORIAS!#REF!</definedName>
    <definedName name="__PMT5815">[3]MEMORIAS!#REF!</definedName>
    <definedName name="__PMT5820" localSheetId="4">[3]MEMORIAS!#REF!</definedName>
    <definedName name="__PMT5820">[3]MEMORIAS!#REF!</definedName>
    <definedName name="__r" localSheetId="4">#REF!</definedName>
    <definedName name="__r">#REF!</definedName>
    <definedName name="__r4r" localSheetId="4" hidden="1">{"via1",#N/A,TRUE,"general";"via2",#N/A,TRUE,"general";"via3",#N/A,TRUE,"general"}</definedName>
    <definedName name="__r4r" localSheetId="9" hidden="1">{"via1",#N/A,TRUE,"general";"via2",#N/A,TRUE,"general";"via3",#N/A,TRUE,"general"}</definedName>
    <definedName name="__r4r" hidden="1">{"via1",#N/A,TRUE,"general";"via2",#N/A,TRUE,"general";"via3",#N/A,TRUE,"general"}</definedName>
    <definedName name="__rtu6" localSheetId="4" hidden="1">{"via1",#N/A,TRUE,"general";"via2",#N/A,TRUE,"general";"via3",#N/A,TRUE,"general"}</definedName>
    <definedName name="__rtu6" localSheetId="9" hidden="1">{"via1",#N/A,TRUE,"general";"via2",#N/A,TRUE,"general";"via3",#N/A,TRUE,"general"}</definedName>
    <definedName name="__rtu6" hidden="1">{"via1",#N/A,TRUE,"general";"via2",#N/A,TRUE,"general";"via3",#N/A,TRUE,"general"}</definedName>
    <definedName name="__s1" localSheetId="4" hidden="1">{"via1",#N/A,TRUE,"general";"via2",#N/A,TRUE,"general";"via3",#N/A,TRUE,"general"}</definedName>
    <definedName name="__s1" localSheetId="9" hidden="1">{"via1",#N/A,TRUE,"general";"via2",#N/A,TRUE,"general";"via3",#N/A,TRUE,"general"}</definedName>
    <definedName name="__s1" hidden="1">{"via1",#N/A,TRUE,"general";"via2",#N/A,TRUE,"general";"via3",#N/A,TRUE,"general"}</definedName>
    <definedName name="__s2" localSheetId="4" hidden="1">{"TAB1",#N/A,TRUE,"GENERAL";"TAB2",#N/A,TRUE,"GENERAL";"TAB3",#N/A,TRUE,"GENERAL";"TAB4",#N/A,TRUE,"GENERAL";"TAB5",#N/A,TRUE,"GENERAL"}</definedName>
    <definedName name="__s2" localSheetId="9" hidden="1">{"TAB1",#N/A,TRUE,"GENERAL";"TAB2",#N/A,TRUE,"GENERAL";"TAB3",#N/A,TRUE,"GENERAL";"TAB4",#N/A,TRUE,"GENERAL";"TAB5",#N/A,TRUE,"GENERAL"}</definedName>
    <definedName name="__s2" hidden="1">{"TAB1",#N/A,TRUE,"GENERAL";"TAB2",#N/A,TRUE,"GENERAL";"TAB3",#N/A,TRUE,"GENERAL";"TAB4",#N/A,TRUE,"GENERAL";"TAB5",#N/A,TRUE,"GENERAL"}</definedName>
    <definedName name="__s3" localSheetId="4" hidden="1">{"TAB1",#N/A,TRUE,"GENERAL";"TAB2",#N/A,TRUE,"GENERAL";"TAB3",#N/A,TRUE,"GENERAL";"TAB4",#N/A,TRUE,"GENERAL";"TAB5",#N/A,TRUE,"GENERAL"}</definedName>
    <definedName name="__s3" localSheetId="9" hidden="1">{"TAB1",#N/A,TRUE,"GENERAL";"TAB2",#N/A,TRUE,"GENERAL";"TAB3",#N/A,TRUE,"GENERAL";"TAB4",#N/A,TRUE,"GENERAL";"TAB5",#N/A,TRUE,"GENERAL"}</definedName>
    <definedName name="__s3" hidden="1">{"TAB1",#N/A,TRUE,"GENERAL";"TAB2",#N/A,TRUE,"GENERAL";"TAB3",#N/A,TRUE,"GENERAL";"TAB4",#N/A,TRUE,"GENERAL";"TAB5",#N/A,TRUE,"GENERAL"}</definedName>
    <definedName name="__s4" localSheetId="4" hidden="1">{"via1",#N/A,TRUE,"general";"via2",#N/A,TRUE,"general";"via3",#N/A,TRUE,"general"}</definedName>
    <definedName name="__s4" localSheetId="9" hidden="1">{"via1",#N/A,TRUE,"general";"via2",#N/A,TRUE,"general";"via3",#N/A,TRUE,"general"}</definedName>
    <definedName name="__s4" hidden="1">{"via1",#N/A,TRUE,"general";"via2",#N/A,TRUE,"general";"via3",#N/A,TRUE,"general"}</definedName>
    <definedName name="__s5" localSheetId="4" hidden="1">{"via1",#N/A,TRUE,"general";"via2",#N/A,TRUE,"general";"via3",#N/A,TRUE,"general"}</definedName>
    <definedName name="__s5" localSheetId="9" hidden="1">{"via1",#N/A,TRUE,"general";"via2",#N/A,TRUE,"general";"via3",#N/A,TRUE,"general"}</definedName>
    <definedName name="__s5" hidden="1">{"via1",#N/A,TRUE,"general";"via2",#N/A,TRUE,"general";"via3",#N/A,TRUE,"general"}</definedName>
    <definedName name="__s6" localSheetId="4" hidden="1">{"TAB1",#N/A,TRUE,"GENERAL";"TAB2",#N/A,TRUE,"GENERAL";"TAB3",#N/A,TRUE,"GENERAL";"TAB4",#N/A,TRUE,"GENERAL";"TAB5",#N/A,TRUE,"GENERAL"}</definedName>
    <definedName name="__s6" localSheetId="9" hidden="1">{"TAB1",#N/A,TRUE,"GENERAL";"TAB2",#N/A,TRUE,"GENERAL";"TAB3",#N/A,TRUE,"GENERAL";"TAB4",#N/A,TRUE,"GENERAL";"TAB5",#N/A,TRUE,"GENERAL"}</definedName>
    <definedName name="__s6" hidden="1">{"TAB1",#N/A,TRUE,"GENERAL";"TAB2",#N/A,TRUE,"GENERAL";"TAB3",#N/A,TRUE,"GENERAL";"TAB4",#N/A,TRUE,"GENERAL";"TAB5",#N/A,TRUE,"GENERAL"}</definedName>
    <definedName name="__s7" localSheetId="4" hidden="1">{"via1",#N/A,TRUE,"general";"via2",#N/A,TRUE,"general";"via3",#N/A,TRUE,"general"}</definedName>
    <definedName name="__s7" localSheetId="9" hidden="1">{"via1",#N/A,TRUE,"general";"via2",#N/A,TRUE,"general";"via3",#N/A,TRUE,"general"}</definedName>
    <definedName name="__s7" hidden="1">{"via1",#N/A,TRUE,"general";"via2",#N/A,TRUE,"general";"via3",#N/A,TRUE,"general"}</definedName>
    <definedName name="__t3" localSheetId="4" hidden="1">{"TAB1",#N/A,TRUE,"GENERAL";"TAB2",#N/A,TRUE,"GENERAL";"TAB3",#N/A,TRUE,"GENERAL";"TAB4",#N/A,TRUE,"GENERAL";"TAB5",#N/A,TRUE,"GENERAL"}</definedName>
    <definedName name="__t3" localSheetId="9" hidden="1">{"TAB1",#N/A,TRUE,"GENERAL";"TAB2",#N/A,TRUE,"GENERAL";"TAB3",#N/A,TRUE,"GENERAL";"TAB4",#N/A,TRUE,"GENERAL";"TAB5",#N/A,TRUE,"GENERAL"}</definedName>
    <definedName name="__t3" hidden="1">{"TAB1",#N/A,TRUE,"GENERAL";"TAB2",#N/A,TRUE,"GENERAL";"TAB3",#N/A,TRUE,"GENERAL";"TAB4",#N/A,TRUE,"GENERAL";"TAB5",#N/A,TRUE,"GENERAL"}</definedName>
    <definedName name="__t4" localSheetId="4" hidden="1">{"via1",#N/A,TRUE,"general";"via2",#N/A,TRUE,"general";"via3",#N/A,TRUE,"general"}</definedName>
    <definedName name="__t4" localSheetId="9" hidden="1">{"via1",#N/A,TRUE,"general";"via2",#N/A,TRUE,"general";"via3",#N/A,TRUE,"general"}</definedName>
    <definedName name="__t4" hidden="1">{"via1",#N/A,TRUE,"general";"via2",#N/A,TRUE,"general";"via3",#N/A,TRUE,"general"}</definedName>
    <definedName name="__t5" localSheetId="4" hidden="1">{"TAB1",#N/A,TRUE,"GENERAL";"TAB2",#N/A,TRUE,"GENERAL";"TAB3",#N/A,TRUE,"GENERAL";"TAB4",#N/A,TRUE,"GENERAL";"TAB5",#N/A,TRUE,"GENERAL"}</definedName>
    <definedName name="__t5" localSheetId="9" hidden="1">{"TAB1",#N/A,TRUE,"GENERAL";"TAB2",#N/A,TRUE,"GENERAL";"TAB3",#N/A,TRUE,"GENERAL";"TAB4",#N/A,TRUE,"GENERAL";"TAB5",#N/A,TRUE,"GENERAL"}</definedName>
    <definedName name="__t5" hidden="1">{"TAB1",#N/A,TRUE,"GENERAL";"TAB2",#N/A,TRUE,"GENERAL";"TAB3",#N/A,TRUE,"GENERAL";"TAB4",#N/A,TRUE,"GENERAL";"TAB5",#N/A,TRUE,"GENERAL"}</definedName>
    <definedName name="__t6" localSheetId="4" hidden="1">{"via1",#N/A,TRUE,"general";"via2",#N/A,TRUE,"general";"via3",#N/A,TRUE,"general"}</definedName>
    <definedName name="__t6" localSheetId="9" hidden="1">{"via1",#N/A,TRUE,"general";"via2",#N/A,TRUE,"general";"via3",#N/A,TRUE,"general"}</definedName>
    <definedName name="__t6" hidden="1">{"via1",#N/A,TRUE,"general";"via2",#N/A,TRUE,"general";"via3",#N/A,TRUE,"general"}</definedName>
    <definedName name="__t66" localSheetId="4" hidden="1">{"TAB1",#N/A,TRUE,"GENERAL";"TAB2",#N/A,TRUE,"GENERAL";"TAB3",#N/A,TRUE,"GENERAL";"TAB4",#N/A,TRUE,"GENERAL";"TAB5",#N/A,TRUE,"GENERAL"}</definedName>
    <definedName name="__t66" localSheetId="9" hidden="1">{"TAB1",#N/A,TRUE,"GENERAL";"TAB2",#N/A,TRUE,"GENERAL";"TAB3",#N/A,TRUE,"GENERAL";"TAB4",#N/A,TRUE,"GENERAL";"TAB5",#N/A,TRUE,"GENERAL"}</definedName>
    <definedName name="__t66" hidden="1">{"TAB1",#N/A,TRUE,"GENERAL";"TAB2",#N/A,TRUE,"GENERAL";"TAB3",#N/A,TRUE,"GENERAL";"TAB4",#N/A,TRUE,"GENERAL";"TAB5",#N/A,TRUE,"GENERAL"}</definedName>
    <definedName name="__t7" localSheetId="4" hidden="1">{"via1",#N/A,TRUE,"general";"via2",#N/A,TRUE,"general";"via3",#N/A,TRUE,"general"}</definedName>
    <definedName name="__t7" localSheetId="9" hidden="1">{"via1",#N/A,TRUE,"general";"via2",#N/A,TRUE,"general";"via3",#N/A,TRUE,"general"}</definedName>
    <definedName name="__t7" hidden="1">{"via1",#N/A,TRUE,"general";"via2",#N/A,TRUE,"general";"via3",#N/A,TRUE,"general"}</definedName>
    <definedName name="__t77" localSheetId="4" hidden="1">{"TAB1",#N/A,TRUE,"GENERAL";"TAB2",#N/A,TRUE,"GENERAL";"TAB3",#N/A,TRUE,"GENERAL";"TAB4",#N/A,TRUE,"GENERAL";"TAB5",#N/A,TRUE,"GENERAL"}</definedName>
    <definedName name="__t77" localSheetId="9" hidden="1">{"TAB1",#N/A,TRUE,"GENERAL";"TAB2",#N/A,TRUE,"GENERAL";"TAB3",#N/A,TRUE,"GENERAL";"TAB4",#N/A,TRUE,"GENERAL";"TAB5",#N/A,TRUE,"GENERAL"}</definedName>
    <definedName name="__t77" hidden="1">{"TAB1",#N/A,TRUE,"GENERAL";"TAB2",#N/A,TRUE,"GENERAL";"TAB3",#N/A,TRUE,"GENERAL";"TAB4",#N/A,TRUE,"GENERAL";"TAB5",#N/A,TRUE,"GENERAL"}</definedName>
    <definedName name="__t8" localSheetId="4" hidden="1">{"TAB1",#N/A,TRUE,"GENERAL";"TAB2",#N/A,TRUE,"GENERAL";"TAB3",#N/A,TRUE,"GENERAL";"TAB4",#N/A,TRUE,"GENERAL";"TAB5",#N/A,TRUE,"GENERAL"}</definedName>
    <definedName name="__t8" localSheetId="9" hidden="1">{"TAB1",#N/A,TRUE,"GENERAL";"TAB2",#N/A,TRUE,"GENERAL";"TAB3",#N/A,TRUE,"GENERAL";"TAB4",#N/A,TRUE,"GENERAL";"TAB5",#N/A,TRUE,"GENERAL"}</definedName>
    <definedName name="__t8" hidden="1">{"TAB1",#N/A,TRUE,"GENERAL";"TAB2",#N/A,TRUE,"GENERAL";"TAB3",#N/A,TRUE,"GENERAL";"TAB4",#N/A,TRUE,"GENERAL";"TAB5",#N/A,TRUE,"GENERAL"}</definedName>
    <definedName name="__t88" localSheetId="4" hidden="1">{"via1",#N/A,TRUE,"general";"via2",#N/A,TRUE,"general";"via3",#N/A,TRUE,"general"}</definedName>
    <definedName name="__t88" localSheetId="9" hidden="1">{"via1",#N/A,TRUE,"general";"via2",#N/A,TRUE,"general";"via3",#N/A,TRUE,"general"}</definedName>
    <definedName name="__t88" hidden="1">{"via1",#N/A,TRUE,"general";"via2",#N/A,TRUE,"general";"via3",#N/A,TRUE,"general"}</definedName>
    <definedName name="__t9" localSheetId="4" hidden="1">{"TAB1",#N/A,TRUE,"GENERAL";"TAB2",#N/A,TRUE,"GENERAL";"TAB3",#N/A,TRUE,"GENERAL";"TAB4",#N/A,TRUE,"GENERAL";"TAB5",#N/A,TRUE,"GENERAL"}</definedName>
    <definedName name="__t9" localSheetId="9" hidden="1">{"TAB1",#N/A,TRUE,"GENERAL";"TAB2",#N/A,TRUE,"GENERAL";"TAB3",#N/A,TRUE,"GENERAL";"TAB4",#N/A,TRUE,"GENERAL";"TAB5",#N/A,TRUE,"GENERAL"}</definedName>
    <definedName name="__t9" hidden="1">{"TAB1",#N/A,TRUE,"GENERAL";"TAB2",#N/A,TRUE,"GENERAL";"TAB3",#N/A,TRUE,"GENERAL";"TAB4",#N/A,TRUE,"GENERAL";"TAB5",#N/A,TRUE,"GENERAL"}</definedName>
    <definedName name="__t99" localSheetId="4" hidden="1">{"via1",#N/A,TRUE,"general";"via2",#N/A,TRUE,"general";"via3",#N/A,TRUE,"general"}</definedName>
    <definedName name="__t99" localSheetId="9" hidden="1">{"via1",#N/A,TRUE,"general";"via2",#N/A,TRUE,"general";"via3",#N/A,TRUE,"general"}</definedName>
    <definedName name="__t99" hidden="1">{"via1",#N/A,TRUE,"general";"via2",#N/A,TRUE,"general";"via3",#N/A,TRUE,"general"}</definedName>
    <definedName name="__tab1" localSheetId="4">#REF!</definedName>
    <definedName name="__tab1">#REF!</definedName>
    <definedName name="__tab2" localSheetId="4">#REF!</definedName>
    <definedName name="__tab2">#REF!</definedName>
    <definedName name="__tab3" localSheetId="4">#REF!</definedName>
    <definedName name="__tab3">#REF!</definedName>
    <definedName name="__TAB4" localSheetId="4">#REF!</definedName>
    <definedName name="__TAB4">#REF!</definedName>
    <definedName name="__TT1" localSheetId="4">#REF!</definedName>
    <definedName name="__TT1">#REF!</definedName>
    <definedName name="__TYW6" localSheetId="4">#REF!</definedName>
    <definedName name="__TYW6">#REF!</definedName>
    <definedName name="__u4" localSheetId="4" hidden="1">{"TAB1",#N/A,TRUE,"GENERAL";"TAB2",#N/A,TRUE,"GENERAL";"TAB3",#N/A,TRUE,"GENERAL";"TAB4",#N/A,TRUE,"GENERAL";"TAB5",#N/A,TRUE,"GENERAL"}</definedName>
    <definedName name="__u4" localSheetId="9" hidden="1">{"TAB1",#N/A,TRUE,"GENERAL";"TAB2",#N/A,TRUE,"GENERAL";"TAB3",#N/A,TRUE,"GENERAL";"TAB4",#N/A,TRUE,"GENERAL";"TAB5",#N/A,TRUE,"GENERAL"}</definedName>
    <definedName name="__u4" hidden="1">{"TAB1",#N/A,TRUE,"GENERAL";"TAB2",#N/A,TRUE,"GENERAL";"TAB3",#N/A,TRUE,"GENERAL";"TAB4",#N/A,TRUE,"GENERAL";"TAB5",#N/A,TRUE,"GENERAL"}</definedName>
    <definedName name="__u5" localSheetId="4" hidden="1">{"TAB1",#N/A,TRUE,"GENERAL";"TAB2",#N/A,TRUE,"GENERAL";"TAB3",#N/A,TRUE,"GENERAL";"TAB4",#N/A,TRUE,"GENERAL";"TAB5",#N/A,TRUE,"GENERAL"}</definedName>
    <definedName name="__u5" localSheetId="9" hidden="1">{"TAB1",#N/A,TRUE,"GENERAL";"TAB2",#N/A,TRUE,"GENERAL";"TAB3",#N/A,TRUE,"GENERAL";"TAB4",#N/A,TRUE,"GENERAL";"TAB5",#N/A,TRUE,"GENERAL"}</definedName>
    <definedName name="__u5" hidden="1">{"TAB1",#N/A,TRUE,"GENERAL";"TAB2",#N/A,TRUE,"GENERAL";"TAB3",#N/A,TRUE,"GENERAL";"TAB4",#N/A,TRUE,"GENERAL";"TAB5",#N/A,TRUE,"GENERAL"}</definedName>
    <definedName name="__u6" localSheetId="4" hidden="1">{"TAB1",#N/A,TRUE,"GENERAL";"TAB2",#N/A,TRUE,"GENERAL";"TAB3",#N/A,TRUE,"GENERAL";"TAB4",#N/A,TRUE,"GENERAL";"TAB5",#N/A,TRUE,"GENERAL"}</definedName>
    <definedName name="__u6" localSheetId="9" hidden="1">{"TAB1",#N/A,TRUE,"GENERAL";"TAB2",#N/A,TRUE,"GENERAL";"TAB3",#N/A,TRUE,"GENERAL";"TAB4",#N/A,TRUE,"GENERAL";"TAB5",#N/A,TRUE,"GENERAL"}</definedName>
    <definedName name="__u6" hidden="1">{"TAB1",#N/A,TRUE,"GENERAL";"TAB2",#N/A,TRUE,"GENERAL";"TAB3",#N/A,TRUE,"GENERAL";"TAB4",#N/A,TRUE,"GENERAL";"TAB5",#N/A,TRUE,"GENERAL"}</definedName>
    <definedName name="__u7" localSheetId="4" hidden="1">{"via1",#N/A,TRUE,"general";"via2",#N/A,TRUE,"general";"via3",#N/A,TRUE,"general"}</definedName>
    <definedName name="__u7" localSheetId="9" hidden="1">{"via1",#N/A,TRUE,"general";"via2",#N/A,TRUE,"general";"via3",#N/A,TRUE,"general"}</definedName>
    <definedName name="__u7" hidden="1">{"via1",#N/A,TRUE,"general";"via2",#N/A,TRUE,"general";"via3",#N/A,TRUE,"general"}</definedName>
    <definedName name="__u8" localSheetId="4" hidden="1">{"TAB1",#N/A,TRUE,"GENERAL";"TAB2",#N/A,TRUE,"GENERAL";"TAB3",#N/A,TRUE,"GENERAL";"TAB4",#N/A,TRUE,"GENERAL";"TAB5",#N/A,TRUE,"GENERAL"}</definedName>
    <definedName name="__u8" localSheetId="9" hidden="1">{"TAB1",#N/A,TRUE,"GENERAL";"TAB2",#N/A,TRUE,"GENERAL";"TAB3",#N/A,TRUE,"GENERAL";"TAB4",#N/A,TRUE,"GENERAL";"TAB5",#N/A,TRUE,"GENERAL"}</definedName>
    <definedName name="__u8" hidden="1">{"TAB1",#N/A,TRUE,"GENERAL";"TAB2",#N/A,TRUE,"GENERAL";"TAB3",#N/A,TRUE,"GENERAL";"TAB4",#N/A,TRUE,"GENERAL";"TAB5",#N/A,TRUE,"GENERAL"}</definedName>
    <definedName name="__u9" localSheetId="4" hidden="1">{"TAB1",#N/A,TRUE,"GENERAL";"TAB2",#N/A,TRUE,"GENERAL";"TAB3",#N/A,TRUE,"GENERAL";"TAB4",#N/A,TRUE,"GENERAL";"TAB5",#N/A,TRUE,"GENERAL"}</definedName>
    <definedName name="__u9" localSheetId="9" hidden="1">{"TAB1",#N/A,TRUE,"GENERAL";"TAB2",#N/A,TRUE,"GENERAL";"TAB3",#N/A,TRUE,"GENERAL";"TAB4",#N/A,TRUE,"GENERAL";"TAB5",#N/A,TRUE,"GENERAL"}</definedName>
    <definedName name="__u9" hidden="1">{"TAB1",#N/A,TRUE,"GENERAL";"TAB2",#N/A,TRUE,"GENERAL";"TAB3",#N/A,TRUE,"GENERAL";"TAB4",#N/A,TRUE,"GENERAL";"TAB5",#N/A,TRUE,"GENERAL"}</definedName>
    <definedName name="__ur7" localSheetId="4" hidden="1">{"TAB1",#N/A,TRUE,"GENERAL";"TAB2",#N/A,TRUE,"GENERAL";"TAB3",#N/A,TRUE,"GENERAL";"TAB4",#N/A,TRUE,"GENERAL";"TAB5",#N/A,TRUE,"GENERAL"}</definedName>
    <definedName name="__ur7" localSheetId="9" hidden="1">{"TAB1",#N/A,TRUE,"GENERAL";"TAB2",#N/A,TRUE,"GENERAL";"TAB3",#N/A,TRUE,"GENERAL";"TAB4",#N/A,TRUE,"GENERAL";"TAB5",#N/A,TRUE,"GENERAL"}</definedName>
    <definedName name="__ur7" hidden="1">{"TAB1",#N/A,TRUE,"GENERAL";"TAB2",#N/A,TRUE,"GENERAL";"TAB3",#N/A,TRUE,"GENERAL";"TAB4",#N/A,TRUE,"GENERAL";"TAB5",#N/A,TRUE,"GENERAL"}</definedName>
    <definedName name="__v2" localSheetId="4" hidden="1">{"via1",#N/A,TRUE,"general";"via2",#N/A,TRUE,"general";"via3",#N/A,TRUE,"general"}</definedName>
    <definedName name="__v2" localSheetId="9" hidden="1">{"via1",#N/A,TRUE,"general";"via2",#N/A,TRUE,"general";"via3",#N/A,TRUE,"general"}</definedName>
    <definedName name="__v2" hidden="1">{"via1",#N/A,TRUE,"general";"via2",#N/A,TRUE,"general";"via3",#N/A,TRUE,"general"}</definedName>
    <definedName name="__v3" localSheetId="4" hidden="1">{"TAB1",#N/A,TRUE,"GENERAL";"TAB2",#N/A,TRUE,"GENERAL";"TAB3",#N/A,TRUE,"GENERAL";"TAB4",#N/A,TRUE,"GENERAL";"TAB5",#N/A,TRUE,"GENERAL"}</definedName>
    <definedName name="__v3" localSheetId="9" hidden="1">{"TAB1",#N/A,TRUE,"GENERAL";"TAB2",#N/A,TRUE,"GENERAL";"TAB3",#N/A,TRUE,"GENERAL";"TAB4",#N/A,TRUE,"GENERAL";"TAB5",#N/A,TRUE,"GENERAL"}</definedName>
    <definedName name="__v3" hidden="1">{"TAB1",#N/A,TRUE,"GENERAL";"TAB2",#N/A,TRUE,"GENERAL";"TAB3",#N/A,TRUE,"GENERAL";"TAB4",#N/A,TRUE,"GENERAL";"TAB5",#N/A,TRUE,"GENERAL"}</definedName>
    <definedName name="__v4" localSheetId="4" hidden="1">{"TAB1",#N/A,TRUE,"GENERAL";"TAB2",#N/A,TRUE,"GENERAL";"TAB3",#N/A,TRUE,"GENERAL";"TAB4",#N/A,TRUE,"GENERAL";"TAB5",#N/A,TRUE,"GENERAL"}</definedName>
    <definedName name="__v4" localSheetId="9" hidden="1">{"TAB1",#N/A,TRUE,"GENERAL";"TAB2",#N/A,TRUE,"GENERAL";"TAB3",#N/A,TRUE,"GENERAL";"TAB4",#N/A,TRUE,"GENERAL";"TAB5",#N/A,TRUE,"GENERAL"}</definedName>
    <definedName name="__v4" hidden="1">{"TAB1",#N/A,TRUE,"GENERAL";"TAB2",#N/A,TRUE,"GENERAL";"TAB3",#N/A,TRUE,"GENERAL";"TAB4",#N/A,TRUE,"GENERAL";"TAB5",#N/A,TRUE,"GENERAL"}</definedName>
    <definedName name="__v5" localSheetId="4" hidden="1">{"TAB1",#N/A,TRUE,"GENERAL";"TAB2",#N/A,TRUE,"GENERAL";"TAB3",#N/A,TRUE,"GENERAL";"TAB4",#N/A,TRUE,"GENERAL";"TAB5",#N/A,TRUE,"GENERAL"}</definedName>
    <definedName name="__v5" localSheetId="9" hidden="1">{"TAB1",#N/A,TRUE,"GENERAL";"TAB2",#N/A,TRUE,"GENERAL";"TAB3",#N/A,TRUE,"GENERAL";"TAB4",#N/A,TRUE,"GENERAL";"TAB5",#N/A,TRUE,"GENERAL"}</definedName>
    <definedName name="__v5" hidden="1">{"TAB1",#N/A,TRUE,"GENERAL";"TAB2",#N/A,TRUE,"GENERAL";"TAB3",#N/A,TRUE,"GENERAL";"TAB4",#N/A,TRUE,"GENERAL";"TAB5",#N/A,TRUE,"GENERAL"}</definedName>
    <definedName name="__v6" localSheetId="4" hidden="1">{"TAB1",#N/A,TRUE,"GENERAL";"TAB2",#N/A,TRUE,"GENERAL";"TAB3",#N/A,TRUE,"GENERAL";"TAB4",#N/A,TRUE,"GENERAL";"TAB5",#N/A,TRUE,"GENERAL"}</definedName>
    <definedName name="__v6" localSheetId="9" hidden="1">{"TAB1",#N/A,TRUE,"GENERAL";"TAB2",#N/A,TRUE,"GENERAL";"TAB3",#N/A,TRUE,"GENERAL";"TAB4",#N/A,TRUE,"GENERAL";"TAB5",#N/A,TRUE,"GENERAL"}</definedName>
    <definedName name="__v6" hidden="1">{"TAB1",#N/A,TRUE,"GENERAL";"TAB2",#N/A,TRUE,"GENERAL";"TAB3",#N/A,TRUE,"GENERAL";"TAB4",#N/A,TRUE,"GENERAL";"TAB5",#N/A,TRUE,"GENERAL"}</definedName>
    <definedName name="__v7" localSheetId="4" hidden="1">{"via1",#N/A,TRUE,"general";"via2",#N/A,TRUE,"general";"via3",#N/A,TRUE,"general"}</definedName>
    <definedName name="__v7" localSheetId="9" hidden="1">{"via1",#N/A,TRUE,"general";"via2",#N/A,TRUE,"general";"via3",#N/A,TRUE,"general"}</definedName>
    <definedName name="__v7" hidden="1">{"via1",#N/A,TRUE,"general";"via2",#N/A,TRUE,"general";"via3",#N/A,TRUE,"general"}</definedName>
    <definedName name="__v8" localSheetId="4" hidden="1">{"TAB1",#N/A,TRUE,"GENERAL";"TAB2",#N/A,TRUE,"GENERAL";"TAB3",#N/A,TRUE,"GENERAL";"TAB4",#N/A,TRUE,"GENERAL";"TAB5",#N/A,TRUE,"GENERAL"}</definedName>
    <definedName name="__v8" localSheetId="9" hidden="1">{"TAB1",#N/A,TRUE,"GENERAL";"TAB2",#N/A,TRUE,"GENERAL";"TAB3",#N/A,TRUE,"GENERAL";"TAB4",#N/A,TRUE,"GENERAL";"TAB5",#N/A,TRUE,"GENERAL"}</definedName>
    <definedName name="__v8" hidden="1">{"TAB1",#N/A,TRUE,"GENERAL";"TAB2",#N/A,TRUE,"GENERAL";"TAB3",#N/A,TRUE,"GENERAL";"TAB4",#N/A,TRUE,"GENERAL";"TAB5",#N/A,TRUE,"GENERAL"}</definedName>
    <definedName name="__v9" localSheetId="4" hidden="1">{"TAB1",#N/A,TRUE,"GENERAL";"TAB2",#N/A,TRUE,"GENERAL";"TAB3",#N/A,TRUE,"GENERAL";"TAB4",#N/A,TRUE,"GENERAL";"TAB5",#N/A,TRUE,"GENERAL"}</definedName>
    <definedName name="__v9" localSheetId="9" hidden="1">{"TAB1",#N/A,TRUE,"GENERAL";"TAB2",#N/A,TRUE,"GENERAL";"TAB3",#N/A,TRUE,"GENERAL";"TAB4",#N/A,TRUE,"GENERAL";"TAB5",#N/A,TRUE,"GENERAL"}</definedName>
    <definedName name="__v9" hidden="1">{"TAB1",#N/A,TRUE,"GENERAL";"TAB2",#N/A,TRUE,"GENERAL";"TAB3",#N/A,TRUE,"GENERAL";"TAB4",#N/A,TRUE,"GENERAL";"TAB5",#N/A,TRUE,"GENERAL"}</definedName>
    <definedName name="__vfv4" localSheetId="4" hidden="1">{"via1",#N/A,TRUE,"general";"via2",#N/A,TRUE,"general";"via3",#N/A,TRUE,"general"}</definedName>
    <definedName name="__vfv4" localSheetId="9" hidden="1">{"via1",#N/A,TRUE,"general";"via2",#N/A,TRUE,"general";"via3",#N/A,TRUE,"general"}</definedName>
    <definedName name="__vfv4" hidden="1">{"via1",#N/A,TRUE,"general";"via2",#N/A,TRUE,"general";"via3",#N/A,TRUE,"general"}</definedName>
    <definedName name="__Vol1">[5]Item!$A:$D</definedName>
    <definedName name="__x1" localSheetId="4" hidden="1">{"TAB1",#N/A,TRUE,"GENERAL";"TAB2",#N/A,TRUE,"GENERAL";"TAB3",#N/A,TRUE,"GENERAL";"TAB4",#N/A,TRUE,"GENERAL";"TAB5",#N/A,TRUE,"GENERAL"}</definedName>
    <definedName name="__x1" localSheetId="9" hidden="1">{"TAB1",#N/A,TRUE,"GENERAL";"TAB2",#N/A,TRUE,"GENERAL";"TAB3",#N/A,TRUE,"GENERAL";"TAB4",#N/A,TRUE,"GENERAL";"TAB5",#N/A,TRUE,"GENERAL"}</definedName>
    <definedName name="__x1" hidden="1">{"TAB1",#N/A,TRUE,"GENERAL";"TAB2",#N/A,TRUE,"GENERAL";"TAB3",#N/A,TRUE,"GENERAL";"TAB4",#N/A,TRUE,"GENERAL";"TAB5",#N/A,TRUE,"GENERAL"}</definedName>
    <definedName name="__x2" localSheetId="4" hidden="1">{"via1",#N/A,TRUE,"general";"via2",#N/A,TRUE,"general";"via3",#N/A,TRUE,"general"}</definedName>
    <definedName name="__x2" localSheetId="9" hidden="1">{"via1",#N/A,TRUE,"general";"via2",#N/A,TRUE,"general";"via3",#N/A,TRUE,"general"}</definedName>
    <definedName name="__x2" hidden="1">{"via1",#N/A,TRUE,"general";"via2",#N/A,TRUE,"general";"via3",#N/A,TRUE,"general"}</definedName>
    <definedName name="__x3" localSheetId="4" hidden="1">{"via1",#N/A,TRUE,"general";"via2",#N/A,TRUE,"general";"via3",#N/A,TRUE,"general"}</definedName>
    <definedName name="__x3" localSheetId="9" hidden="1">{"via1",#N/A,TRUE,"general";"via2",#N/A,TRUE,"general";"via3",#N/A,TRUE,"general"}</definedName>
    <definedName name="__x3" hidden="1">{"via1",#N/A,TRUE,"general";"via2",#N/A,TRUE,"general";"via3",#N/A,TRUE,"general"}</definedName>
    <definedName name="__x4" localSheetId="4" hidden="1">{"via1",#N/A,TRUE,"general";"via2",#N/A,TRUE,"general";"via3",#N/A,TRUE,"general"}</definedName>
    <definedName name="__x4" localSheetId="9" hidden="1">{"via1",#N/A,TRUE,"general";"via2",#N/A,TRUE,"general";"via3",#N/A,TRUE,"general"}</definedName>
    <definedName name="__x4" hidden="1">{"via1",#N/A,TRUE,"general";"via2",#N/A,TRUE,"general";"via3",#N/A,TRUE,"general"}</definedName>
    <definedName name="__x5" localSheetId="4" hidden="1">{"TAB1",#N/A,TRUE,"GENERAL";"TAB2",#N/A,TRUE,"GENERAL";"TAB3",#N/A,TRUE,"GENERAL";"TAB4",#N/A,TRUE,"GENERAL";"TAB5",#N/A,TRUE,"GENERAL"}</definedName>
    <definedName name="__x5" localSheetId="9" hidden="1">{"TAB1",#N/A,TRUE,"GENERAL";"TAB2",#N/A,TRUE,"GENERAL";"TAB3",#N/A,TRUE,"GENERAL";"TAB4",#N/A,TRUE,"GENERAL";"TAB5",#N/A,TRUE,"GENERAL"}</definedName>
    <definedName name="__x5" hidden="1">{"TAB1",#N/A,TRUE,"GENERAL";"TAB2",#N/A,TRUE,"GENERAL";"TAB3",#N/A,TRUE,"GENERAL";"TAB4",#N/A,TRUE,"GENERAL";"TAB5",#N/A,TRUE,"GENERAL"}</definedName>
    <definedName name="__x6" localSheetId="4" hidden="1">{"TAB1",#N/A,TRUE,"GENERAL";"TAB2",#N/A,TRUE,"GENERAL";"TAB3",#N/A,TRUE,"GENERAL";"TAB4",#N/A,TRUE,"GENERAL";"TAB5",#N/A,TRUE,"GENERAL"}</definedName>
    <definedName name="__x6" localSheetId="9" hidden="1">{"TAB1",#N/A,TRUE,"GENERAL";"TAB2",#N/A,TRUE,"GENERAL";"TAB3",#N/A,TRUE,"GENERAL";"TAB4",#N/A,TRUE,"GENERAL";"TAB5",#N/A,TRUE,"GENERAL"}</definedName>
    <definedName name="__x6" hidden="1">{"TAB1",#N/A,TRUE,"GENERAL";"TAB2",#N/A,TRUE,"GENERAL";"TAB3",#N/A,TRUE,"GENERAL";"TAB4",#N/A,TRUE,"GENERAL";"TAB5",#N/A,TRUE,"GENERAL"}</definedName>
    <definedName name="__x7" localSheetId="4" hidden="1">{"TAB1",#N/A,TRUE,"GENERAL";"TAB2",#N/A,TRUE,"GENERAL";"TAB3",#N/A,TRUE,"GENERAL";"TAB4",#N/A,TRUE,"GENERAL";"TAB5",#N/A,TRUE,"GENERAL"}</definedName>
    <definedName name="__x7" localSheetId="9" hidden="1">{"TAB1",#N/A,TRUE,"GENERAL";"TAB2",#N/A,TRUE,"GENERAL";"TAB3",#N/A,TRUE,"GENERAL";"TAB4",#N/A,TRUE,"GENERAL";"TAB5",#N/A,TRUE,"GENERAL"}</definedName>
    <definedName name="__x7" hidden="1">{"TAB1",#N/A,TRUE,"GENERAL";"TAB2",#N/A,TRUE,"GENERAL";"TAB3",#N/A,TRUE,"GENERAL";"TAB4",#N/A,TRUE,"GENERAL";"TAB5",#N/A,TRUE,"GENERAL"}</definedName>
    <definedName name="__x8" localSheetId="4" hidden="1">{"via1",#N/A,TRUE,"general";"via2",#N/A,TRUE,"general";"via3",#N/A,TRUE,"general"}</definedName>
    <definedName name="__x8" localSheetId="9" hidden="1">{"via1",#N/A,TRUE,"general";"via2",#N/A,TRUE,"general";"via3",#N/A,TRUE,"general"}</definedName>
    <definedName name="__x8" hidden="1">{"via1",#N/A,TRUE,"general";"via2",#N/A,TRUE,"general";"via3",#N/A,TRUE,"general"}</definedName>
    <definedName name="__x9" localSheetId="4" hidden="1">{"TAB1",#N/A,TRUE,"GENERAL";"TAB2",#N/A,TRUE,"GENERAL";"TAB3",#N/A,TRUE,"GENERAL";"TAB4",#N/A,TRUE,"GENERAL";"TAB5",#N/A,TRUE,"GENERAL"}</definedName>
    <definedName name="__x9" localSheetId="9"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4" hidden="1">{"TAB1",#N/A,TRUE,"GENERAL";"TAB2",#N/A,TRUE,"GENERAL";"TAB3",#N/A,TRUE,"GENERAL";"TAB4",#N/A,TRUE,"GENERAL";"TAB5",#N/A,TRUE,"GENERAL"}</definedName>
    <definedName name="__y2" localSheetId="9" hidden="1">{"TAB1",#N/A,TRUE,"GENERAL";"TAB2",#N/A,TRUE,"GENERAL";"TAB3",#N/A,TRUE,"GENERAL";"TAB4",#N/A,TRUE,"GENERAL";"TAB5",#N/A,TRUE,"GENERAL"}</definedName>
    <definedName name="__y2" hidden="1">{"TAB1",#N/A,TRUE,"GENERAL";"TAB2",#N/A,TRUE,"GENERAL";"TAB3",#N/A,TRUE,"GENERAL";"TAB4",#N/A,TRUE,"GENERAL";"TAB5",#N/A,TRUE,"GENERAL"}</definedName>
    <definedName name="__y3" localSheetId="4" hidden="1">{"via1",#N/A,TRUE,"general";"via2",#N/A,TRUE,"general";"via3",#N/A,TRUE,"general"}</definedName>
    <definedName name="__y3" localSheetId="9" hidden="1">{"via1",#N/A,TRUE,"general";"via2",#N/A,TRUE,"general";"via3",#N/A,TRUE,"general"}</definedName>
    <definedName name="__y3" hidden="1">{"via1",#N/A,TRUE,"general";"via2",#N/A,TRUE,"general";"via3",#N/A,TRUE,"general"}</definedName>
    <definedName name="__y4" localSheetId="4" hidden="1">{"via1",#N/A,TRUE,"general";"via2",#N/A,TRUE,"general";"via3",#N/A,TRUE,"general"}</definedName>
    <definedName name="__y4" localSheetId="9" hidden="1">{"via1",#N/A,TRUE,"general";"via2",#N/A,TRUE,"general";"via3",#N/A,TRUE,"general"}</definedName>
    <definedName name="__y4" hidden="1">{"via1",#N/A,TRUE,"general";"via2",#N/A,TRUE,"general";"via3",#N/A,TRUE,"general"}</definedName>
    <definedName name="__y5" localSheetId="4" hidden="1">{"TAB1",#N/A,TRUE,"GENERAL";"TAB2",#N/A,TRUE,"GENERAL";"TAB3",#N/A,TRUE,"GENERAL";"TAB4",#N/A,TRUE,"GENERAL";"TAB5",#N/A,TRUE,"GENERAL"}</definedName>
    <definedName name="__y5" localSheetId="9" hidden="1">{"TAB1",#N/A,TRUE,"GENERAL";"TAB2",#N/A,TRUE,"GENERAL";"TAB3",#N/A,TRUE,"GENERAL";"TAB4",#N/A,TRUE,"GENERAL";"TAB5",#N/A,TRUE,"GENERAL"}</definedName>
    <definedName name="__y5" hidden="1">{"TAB1",#N/A,TRUE,"GENERAL";"TAB2",#N/A,TRUE,"GENERAL";"TAB3",#N/A,TRUE,"GENERAL";"TAB4",#N/A,TRUE,"GENERAL";"TAB5",#N/A,TRUE,"GENERAL"}</definedName>
    <definedName name="__y6" localSheetId="4" hidden="1">{"via1",#N/A,TRUE,"general";"via2",#N/A,TRUE,"general";"via3",#N/A,TRUE,"general"}</definedName>
    <definedName name="__y6" localSheetId="9" hidden="1">{"via1",#N/A,TRUE,"general";"via2",#N/A,TRUE,"general";"via3",#N/A,TRUE,"general"}</definedName>
    <definedName name="__y6" hidden="1">{"via1",#N/A,TRUE,"general";"via2",#N/A,TRUE,"general";"via3",#N/A,TRUE,"general"}</definedName>
    <definedName name="__y7" localSheetId="4" hidden="1">{"via1",#N/A,TRUE,"general";"via2",#N/A,TRUE,"general";"via3",#N/A,TRUE,"general"}</definedName>
    <definedName name="__y7" localSheetId="9" hidden="1">{"via1",#N/A,TRUE,"general";"via2",#N/A,TRUE,"general";"via3",#N/A,TRUE,"general"}</definedName>
    <definedName name="__y7" hidden="1">{"via1",#N/A,TRUE,"general";"via2",#N/A,TRUE,"general";"via3",#N/A,TRUE,"general"}</definedName>
    <definedName name="__y8" localSheetId="4" hidden="1">{"via1",#N/A,TRUE,"general";"via2",#N/A,TRUE,"general";"via3",#N/A,TRUE,"general"}</definedName>
    <definedName name="__y8" localSheetId="9" hidden="1">{"via1",#N/A,TRUE,"general";"via2",#N/A,TRUE,"general";"via3",#N/A,TRUE,"general"}</definedName>
    <definedName name="__y8" hidden="1">{"via1",#N/A,TRUE,"general";"via2",#N/A,TRUE,"general";"via3",#N/A,TRUE,"general"}</definedName>
    <definedName name="__y9" localSheetId="4" hidden="1">{"TAB1",#N/A,TRUE,"GENERAL";"TAB2",#N/A,TRUE,"GENERAL";"TAB3",#N/A,TRUE,"GENERAL";"TAB4",#N/A,TRUE,"GENERAL";"TAB5",#N/A,TRUE,"GENERAL"}</definedName>
    <definedName name="__y9" localSheetId="9" hidden="1">{"TAB1",#N/A,TRUE,"GENERAL";"TAB2",#N/A,TRUE,"GENERAL";"TAB3",#N/A,TRUE,"GENERAL";"TAB4",#N/A,TRUE,"GENERAL";"TAB5",#N/A,TRUE,"GENERAL"}</definedName>
    <definedName name="__y9" hidden="1">{"TAB1",#N/A,TRUE,"GENERAL";"TAB2",#N/A,TRUE,"GENERAL";"TAB3",#N/A,TRUE,"GENERAL";"TAB4",#N/A,TRUE,"GENERAL";"TAB5",#N/A,TRUE,"GENERAL"}</definedName>
    <definedName name="__z1" localSheetId="4" hidden="1">{"TAB1",#N/A,TRUE,"GENERAL";"TAB2",#N/A,TRUE,"GENERAL";"TAB3",#N/A,TRUE,"GENERAL";"TAB4",#N/A,TRUE,"GENERAL";"TAB5",#N/A,TRUE,"GENERAL"}</definedName>
    <definedName name="__z1" localSheetId="9" hidden="1">{"TAB1",#N/A,TRUE,"GENERAL";"TAB2",#N/A,TRUE,"GENERAL";"TAB3",#N/A,TRUE,"GENERAL";"TAB4",#N/A,TRUE,"GENERAL";"TAB5",#N/A,TRUE,"GENERAL"}</definedName>
    <definedName name="__z1" hidden="1">{"TAB1",#N/A,TRUE,"GENERAL";"TAB2",#N/A,TRUE,"GENERAL";"TAB3",#N/A,TRUE,"GENERAL";"TAB4",#N/A,TRUE,"GENERAL";"TAB5",#N/A,TRUE,"GENERAL"}</definedName>
    <definedName name="__z2" localSheetId="4" hidden="1">{"via1",#N/A,TRUE,"general";"via2",#N/A,TRUE,"general";"via3",#N/A,TRUE,"general"}</definedName>
    <definedName name="__z2" localSheetId="9" hidden="1">{"via1",#N/A,TRUE,"general";"via2",#N/A,TRUE,"general";"via3",#N/A,TRUE,"general"}</definedName>
    <definedName name="__z2" hidden="1">{"via1",#N/A,TRUE,"general";"via2",#N/A,TRUE,"general";"via3",#N/A,TRUE,"general"}</definedName>
    <definedName name="__z3" localSheetId="4" hidden="1">{"via1",#N/A,TRUE,"general";"via2",#N/A,TRUE,"general";"via3",#N/A,TRUE,"general"}</definedName>
    <definedName name="__z3" localSheetId="9" hidden="1">{"via1",#N/A,TRUE,"general";"via2",#N/A,TRUE,"general";"via3",#N/A,TRUE,"general"}</definedName>
    <definedName name="__z3" hidden="1">{"via1",#N/A,TRUE,"general";"via2",#N/A,TRUE,"general";"via3",#N/A,TRUE,"general"}</definedName>
    <definedName name="__z4" localSheetId="4" hidden="1">{"TAB1",#N/A,TRUE,"GENERAL";"TAB2",#N/A,TRUE,"GENERAL";"TAB3",#N/A,TRUE,"GENERAL";"TAB4",#N/A,TRUE,"GENERAL";"TAB5",#N/A,TRUE,"GENERAL"}</definedName>
    <definedName name="__z4" localSheetId="9" hidden="1">{"TAB1",#N/A,TRUE,"GENERAL";"TAB2",#N/A,TRUE,"GENERAL";"TAB3",#N/A,TRUE,"GENERAL";"TAB4",#N/A,TRUE,"GENERAL";"TAB5",#N/A,TRUE,"GENERAL"}</definedName>
    <definedName name="__z4" hidden="1">{"TAB1",#N/A,TRUE,"GENERAL";"TAB2",#N/A,TRUE,"GENERAL";"TAB3",#N/A,TRUE,"GENERAL";"TAB4",#N/A,TRUE,"GENERAL";"TAB5",#N/A,TRUE,"GENERAL"}</definedName>
    <definedName name="__z5" localSheetId="4" hidden="1">{"via1",#N/A,TRUE,"general";"via2",#N/A,TRUE,"general";"via3",#N/A,TRUE,"general"}</definedName>
    <definedName name="__z5" localSheetId="9" hidden="1">{"via1",#N/A,TRUE,"general";"via2",#N/A,TRUE,"general";"via3",#N/A,TRUE,"general"}</definedName>
    <definedName name="__z5" hidden="1">{"via1",#N/A,TRUE,"general";"via2",#N/A,TRUE,"general";"via3",#N/A,TRUE,"general"}</definedName>
    <definedName name="__z6" localSheetId="4" hidden="1">{"TAB1",#N/A,TRUE,"GENERAL";"TAB2",#N/A,TRUE,"GENERAL";"TAB3",#N/A,TRUE,"GENERAL";"TAB4",#N/A,TRUE,"GENERAL";"TAB5",#N/A,TRUE,"GENERAL"}</definedName>
    <definedName name="__z6" localSheetId="9" hidden="1">{"TAB1",#N/A,TRUE,"GENERAL";"TAB2",#N/A,TRUE,"GENERAL";"TAB3",#N/A,TRUE,"GENERAL";"TAB4",#N/A,TRUE,"GENERAL";"TAB5",#N/A,TRUE,"GENERAL"}</definedName>
    <definedName name="__z6" hidden="1">{"TAB1",#N/A,TRUE,"GENERAL";"TAB2",#N/A,TRUE,"GENERAL";"TAB3",#N/A,TRUE,"GENERAL";"TAB4",#N/A,TRUE,"GENERAL";"TAB5",#N/A,TRUE,"GENERAL"}</definedName>
    <definedName name="_123" localSheetId="4" hidden="1">[6]G.G!#REF!</definedName>
    <definedName name="_123" hidden="1">[6]G.G!#REF!</definedName>
    <definedName name="_19Excel_BuiltIn_Print_Area_1_1_1" localSheetId="4">#REF!</definedName>
    <definedName name="_19Excel_BuiltIn_Print_Area_1_1_1">#REF!</definedName>
    <definedName name="_1Excel_BuiltIn_Print_Area_1_1" localSheetId="4">#REF!</definedName>
    <definedName name="_1Excel_BuiltIn_Print_Area_1_1">#REF!</definedName>
    <definedName name="_1Excel_BuiltIn_Print_Area_1_1_1" localSheetId="4">#REF!</definedName>
    <definedName name="_1Excel_BuiltIn_Print_Area_1_1_1">#REF!</definedName>
    <definedName name="_25Excel_BuiltIn_Print_Titles_1_1_1_1" localSheetId="4">#REF!</definedName>
    <definedName name="_25Excel_BuiltIn_Print_Titles_1_1_1_1">#REF!</definedName>
    <definedName name="_2Excel_BuiltIn_Print_Titles_1_1_1_1" localSheetId="4">#REF!</definedName>
    <definedName name="_2Excel_BuiltIn_Print_Titles_1_1_1_1">#REF!</definedName>
    <definedName name="_42C">#REF!</definedName>
    <definedName name="_42D">#REF!</definedName>
    <definedName name="_42E">#REF!</definedName>
    <definedName name="_44">#REF!</definedName>
    <definedName name="_6">#REF!</definedName>
    <definedName name="_a1" localSheetId="4"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1_1" localSheetId="4" hidden="1">{#N/A,#N/A,TRUE,"1842CWN0"}</definedName>
    <definedName name="_A1_1" localSheetId="9" hidden="1">{#N/A,#N/A,TRUE,"1842CWN0"}</definedName>
    <definedName name="_A1_1" hidden="1">{#N/A,#N/A,TRUE,"1842CWN0"}</definedName>
    <definedName name="_A1_2" localSheetId="4" hidden="1">{#N/A,#N/A,TRUE,"1842CWN0"}</definedName>
    <definedName name="_A1_2" localSheetId="9" hidden="1">{#N/A,#N/A,TRUE,"1842CWN0"}</definedName>
    <definedName name="_A1_2" hidden="1">{#N/A,#N/A,TRUE,"1842CWN0"}</definedName>
    <definedName name="_a3" localSheetId="4"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localSheetId="9" hidden="1">{#N/A,#N/A,TRUE,"INGENIERIA";#N/A,#N/A,TRUE,"COMPRAS";#N/A,#N/A,TRUE,"DIRECCION";#N/A,#N/A,TRUE,"RESUMEN"}</definedName>
    <definedName name="_AAS1" hidden="1">{#N/A,#N/A,TRUE,"INGENIERIA";#N/A,#N/A,TRUE,"COMPRAS";#N/A,#N/A,TRUE,"DIRECCION";#N/A,#N/A,TRUE,"RESUMEN"}</definedName>
    <definedName name="_AAS1_1" localSheetId="4" hidden="1">{#N/A,#N/A,TRUE,"INGENIERIA";#N/A,#N/A,TRUE,"COMPRAS";#N/A,#N/A,TRUE,"DIRECCION";#N/A,#N/A,TRUE,"RESUMEN"}</definedName>
    <definedName name="_AAS1_1" localSheetId="9" hidden="1">{#N/A,#N/A,TRUE,"INGENIERIA";#N/A,#N/A,TRUE,"COMPRAS";#N/A,#N/A,TRUE,"DIRECCION";#N/A,#N/A,TRUE,"RESUMEN"}</definedName>
    <definedName name="_AAS1_1" hidden="1">{#N/A,#N/A,TRUE,"INGENIERIA";#N/A,#N/A,TRUE,"COMPRAS";#N/A,#N/A,TRUE,"DIRECCION";#N/A,#N/A,TRUE,"RESUMEN"}</definedName>
    <definedName name="_AAS1_2" localSheetId="4" hidden="1">{#N/A,#N/A,TRUE,"INGENIERIA";#N/A,#N/A,TRUE,"COMPRAS";#N/A,#N/A,TRUE,"DIRECCION";#N/A,#N/A,TRUE,"RESUMEN"}</definedName>
    <definedName name="_AAS1_2" localSheetId="9" hidden="1">{#N/A,#N/A,TRUE,"INGENIERIA";#N/A,#N/A,TRUE,"COMPRAS";#N/A,#N/A,TRUE,"DIRECCION";#N/A,#N/A,TRUE,"RESUMEN"}</definedName>
    <definedName name="_AAS1_2" hidden="1">{#N/A,#N/A,TRUE,"INGENIERIA";#N/A,#N/A,TRUE,"COMPRAS";#N/A,#N/A,TRUE,"DIRECCION";#N/A,#N/A,TRUE,"RESUMEN"}</definedName>
    <definedName name="_ABC1" localSheetId="4" hidden="1">{#N/A,#N/A,TRUE,"1842CWN0"}</definedName>
    <definedName name="_ABC1" localSheetId="9" hidden="1">{#N/A,#N/A,TRUE,"1842CWN0"}</definedName>
    <definedName name="_ABC1" hidden="1">{#N/A,#N/A,TRUE,"1842CWN0"}</definedName>
    <definedName name="_ABC1_1" localSheetId="4" hidden="1">{#N/A,#N/A,TRUE,"1842CWN0"}</definedName>
    <definedName name="_ABC1_1" localSheetId="9" hidden="1">{#N/A,#N/A,TRUE,"1842CWN0"}</definedName>
    <definedName name="_ABC1_1" hidden="1">{#N/A,#N/A,TRUE,"1842CWN0"}</definedName>
    <definedName name="_ABC1_2" localSheetId="4" hidden="1">{#N/A,#N/A,TRUE,"1842CWN0"}</definedName>
    <definedName name="_ABC1_2" localSheetId="9" hidden="1">{#N/A,#N/A,TRUE,"1842CWN0"}</definedName>
    <definedName name="_ABC1_2" hidden="1">{#N/A,#N/A,TRUE,"1842CWN0"}</definedName>
    <definedName name="_abc2" localSheetId="4" hidden="1">{#N/A,#N/A,TRUE,"1842CWN0"}</definedName>
    <definedName name="_abc2" localSheetId="9" hidden="1">{#N/A,#N/A,TRUE,"1842CWN0"}</definedName>
    <definedName name="_abc2" hidden="1">{#N/A,#N/A,TRUE,"1842CWN0"}</definedName>
    <definedName name="_abc2_1" localSheetId="4" hidden="1">{#N/A,#N/A,TRUE,"1842CWN0"}</definedName>
    <definedName name="_abc2_1" localSheetId="9" hidden="1">{#N/A,#N/A,TRUE,"1842CWN0"}</definedName>
    <definedName name="_abc2_1" hidden="1">{#N/A,#N/A,TRUE,"1842CWN0"}</definedName>
    <definedName name="_abc2_2" localSheetId="4" hidden="1">{#N/A,#N/A,TRUE,"1842CWN0"}</definedName>
    <definedName name="_abc2_2" localSheetId="9" hidden="1">{#N/A,#N/A,TRUE,"1842CWN0"}</definedName>
    <definedName name="_abc2_2" hidden="1">{#N/A,#N/A,TRUE,"1842CWN0"}</definedName>
    <definedName name="_aiu2">[4]AIU!$J$105</definedName>
    <definedName name="_ANA1" localSheetId="4">[8]EXTLUB!#REF!</definedName>
    <definedName name="_ANA1">[9]EXTLUB!#REF!</definedName>
    <definedName name="_ANA2" localSheetId="4">[8]EXTLUB!#REF!</definedName>
    <definedName name="_ANA2">[9]EXTLUB!#REF!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4"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COD1" localSheetId="4">#REF!</definedName>
    <definedName name="_COD1">#REF!</definedName>
    <definedName name="_dasd" localSheetId="4" hidden="1">'[10]46W9'!#REF!</definedName>
    <definedName name="_dasd" hidden="1">'[10]46W9'!#REF!</definedName>
    <definedName name="_EST1" localSheetId="4">#REF!</definedName>
    <definedName name="_EST1">#REF!</definedName>
    <definedName name="_EST10" localSheetId="4">#REF!</definedName>
    <definedName name="_EST10">#REF!</definedName>
    <definedName name="_EST11" localSheetId="4">#REF!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3" localSheetId="4">#REF!</definedName>
    <definedName name="_EST23">#REF!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TR13" localSheetId="4">#REF!</definedName>
    <definedName name="_ETR13">#REF!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FC">#REF!</definedName>
    <definedName name="_Fill" localSheetId="4" hidden="1">#REF!</definedName>
    <definedName name="_Fill" hidden="1">#REF!</definedName>
    <definedName name="_xlnm._FilterDatabase" localSheetId="4" hidden="1">'[10]46W9'!#REF!</definedName>
    <definedName name="_xlnm._FilterDatabase" hidden="1">'[10]46W9'!#REF!</definedName>
    <definedName name="_FOR1">#REF!</definedName>
    <definedName name="_g2" localSheetId="4"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EO1600">[11]INSUMOS!$D$67</definedName>
    <definedName name="_GR1" localSheetId="4"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RILL" localSheetId="4" hidden="1">#REF!</definedName>
    <definedName name="_GRILL" hidden="1">#REF!</definedName>
    <definedName name="_gtr4" localSheetId="4"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i4" localSheetId="4"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IPC2002" localSheetId="4">#REF!</definedName>
    <definedName name="_IPC2002">#REF!</definedName>
    <definedName name="_J" localSheetId="4" hidden="1">{"TAB1",#N/A,TRUE,"GENERAL";"TAB2",#N/A,TRUE,"GENERAL";"TAB3",#N/A,TRUE,"GENERAL";"TAB4",#N/A,TRUE,"GENERAL";"TAB5",#N/A,TRUE,"GENERAL"}</definedName>
    <definedName name="_J" localSheetId="9" hidden="1">{"TAB1",#N/A,TRUE,"GENERAL";"TAB2",#N/A,TRUE,"GENERAL";"TAB3",#N/A,TRUE,"GENERAL";"TAB4",#N/A,TRUE,"GENERAL";"TAB5",#N/A,TRUE,"GENERAL"}</definedName>
    <definedName name="_J" hidden="1">{"TAB1",#N/A,TRUE,"GENERAL";"TAB2",#N/A,TRUE,"GENERAL";"TAB3",#N/A,TRUE,"GENERAL";"TAB4",#N/A,TRUE,"GENERAL";"TAB5",#N/A,TRUE,"GENERAL"}</definedName>
    <definedName name="_k3" localSheetId="4"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1" localSheetId="4" hidden="1">[1]INSUMOS!#REF!</definedName>
    <definedName name="_Key1">#REF!</definedName>
    <definedName name="_Key2" localSheetId="4" hidden="1">#REF!</definedName>
    <definedName name="_Key2" hidden="1">#REF!</definedName>
    <definedName name="_kjk6" localSheetId="4"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m3" localSheetId="4"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n3" localSheetId="4"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yn7" localSheetId="4"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ORO10" localSheetId="4">#REF!</definedName>
    <definedName name="_ORO10">#REF!</definedName>
    <definedName name="_ORO11" localSheetId="4">#REF!</definedName>
    <definedName name="_ORO11">#REF!</definedName>
    <definedName name="_ORO12" localSheetId="4">#REF!</definedName>
    <definedName name="_ORO12">#REF!</definedName>
    <definedName name="_ORO13" localSheetId="4">#REF!</definedName>
    <definedName name="_ORO13">#REF!</definedName>
    <definedName name="_ORO14" localSheetId="4">#REF!</definedName>
    <definedName name="_ORO14">#REF!</definedName>
    <definedName name="_ORO15" localSheetId="4">#REF!</definedName>
    <definedName name="_ORO15">#REF!</definedName>
    <definedName name="_ORO16" localSheetId="4">#REF!</definedName>
    <definedName name="_ORO16">#REF!</definedName>
    <definedName name="_ORO17" localSheetId="4">#REF!</definedName>
    <definedName name="_ORO17">#REF!</definedName>
    <definedName name="_ORO18" localSheetId="4">#REF!</definedName>
    <definedName name="_ORO18">#REF!</definedName>
    <definedName name="_ORO19" localSheetId="4">#REF!</definedName>
    <definedName name="_ORO19">#REF!</definedName>
    <definedName name="_p6" localSheetId="4"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arse_Out" localSheetId="4" hidden="1">#REF!</definedName>
    <definedName name="_Parse_Out" hidden="1">#REF!</definedName>
    <definedName name="_PJ50" localSheetId="4">#REF!</definedName>
    <definedName name="_PJ50">#REF!</definedName>
    <definedName name="_PMT5671" localSheetId="4">[3]MEMORIAS!#REF!</definedName>
    <definedName name="_PMT5671">[3]MEMORIAS!#REF!</definedName>
    <definedName name="_PMT5805" localSheetId="4">[3]MEMORIAS!#REF!</definedName>
    <definedName name="_PMT5805">[3]MEMORIAS!#REF!</definedName>
    <definedName name="_PMT5806" localSheetId="4">[3]MEMORIAS!#REF!</definedName>
    <definedName name="_PMT5806">[3]MEMORIAS!#REF!</definedName>
    <definedName name="_PMT5815" localSheetId="4">[3]MEMORIAS!#REF!</definedName>
    <definedName name="_PMT5815">[3]MEMORIAS!#REF!</definedName>
    <definedName name="_PMT5820" localSheetId="4">[3]MEMORIAS!#REF!</definedName>
    <definedName name="_PMT5820">[3]MEMORIAS!#REF!</definedName>
    <definedName name="_r" localSheetId="4">#REF!</definedName>
    <definedName name="_r">#REF!</definedName>
    <definedName name="_r4r" localSheetId="4"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EF37" localSheetId="4">#REF!</definedName>
    <definedName name="_REF37">#REF!</definedName>
    <definedName name="_REF60">[11]A.P.U.!$G$118</definedName>
    <definedName name="_Regression_Int" hidden="1">1</definedName>
    <definedName name="_rtu6" localSheetId="4"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 localSheetId="4" hidden="1">#REF!</definedName>
    <definedName name="_s" hidden="1">#REF!</definedName>
    <definedName name="_s1" localSheetId="4"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AL1" localSheetId="4">#REF!</definedName>
    <definedName name="_SAL1">#REF!</definedName>
    <definedName name="_Sort" localSheetId="4" hidden="1">[1]INSUMOS!#REF!</definedName>
    <definedName name="_Sort">#REF!</definedName>
    <definedName name="_Sort1" localSheetId="4" hidden="1">#REF!</definedName>
    <definedName name="_Sort1" hidden="1">#REF!</definedName>
    <definedName name="_t3" localSheetId="4"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tab1" localSheetId="4">#REF!</definedName>
    <definedName name="_tab1">#REF!</definedName>
    <definedName name="_tab2" localSheetId="4">#REF!</definedName>
    <definedName name="_tab2">#REF!</definedName>
    <definedName name="_tab3" localSheetId="4">#REF!</definedName>
    <definedName name="_tab3">#REF!</definedName>
    <definedName name="_TAB4" localSheetId="4">#REF!</definedName>
    <definedName name="_TAB4">#REF!</definedName>
    <definedName name="_TT1" localSheetId="4">#REF!</definedName>
    <definedName name="_TT1">#REF!</definedName>
    <definedName name="_TYW6" localSheetId="4">#REF!</definedName>
    <definedName name="_TYW6">#REF!</definedName>
    <definedName name="_u4" localSheetId="4"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r7" localSheetId="4"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Vol1">[5]Item!$A:$D</definedName>
    <definedName name="_x1" localSheetId="4"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a">[12]Planilla!$C$58</definedName>
    <definedName name="A.A..A" localSheetId="4" hidden="1">{"total",#N/A,FALSE,"TD 0% ";"total",#N/A,FALSE,"TD 12%";"total",#N/A,FALSE,"TD 10%"}</definedName>
    <definedName name="A.A..A" localSheetId="9" hidden="1">{"total",#N/A,FALSE,"TD 0% ";"total",#N/A,FALSE,"TD 12%";"total",#N/A,FALSE,"TD 10%"}</definedName>
    <definedName name="A.A..A" hidden="1">{"total",#N/A,FALSE,"TD 0% ";"total",#N/A,FALSE,"TD 12%";"total",#N/A,FALSE,"TD 10%"}</definedName>
    <definedName name="A.PVC">'[13]factores A.N.'!$M$7:$M$33</definedName>
    <definedName name="A_impresión_IM" localSheetId="4">#REF!</definedName>
    <definedName name="A_impresión_IM">#REF!</definedName>
    <definedName name="a1..056">#REF!</definedName>
    <definedName name="A1S">#REF!</definedName>
    <definedName name="A1XO56">#REF!</definedName>
    <definedName name="a2a" localSheetId="4"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A" localSheetId="4">#REF!</definedName>
    <definedName name="AA">#REF!</definedName>
    <definedName name="AA_1" localSheetId="4" hidden="1">{#N/A,#N/A,TRUE,"INGENIERIA";#N/A,#N/A,TRUE,"COMPRAS";#N/A,#N/A,TRUE,"DIRECCION";#N/A,#N/A,TRUE,"RESUMEN"}</definedName>
    <definedName name="AA_1" localSheetId="9" hidden="1">{#N/A,#N/A,TRUE,"INGENIERIA";#N/A,#N/A,TRUE,"COMPRAS";#N/A,#N/A,TRUE,"DIRECCION";#N/A,#N/A,TRUE,"RESUMEN"}</definedName>
    <definedName name="AA_1" hidden="1">{#N/A,#N/A,TRUE,"INGENIERIA";#N/A,#N/A,TRUE,"COMPRAS";#N/A,#N/A,TRUE,"DIRECCION";#N/A,#N/A,TRUE,"RESUMEN"}</definedName>
    <definedName name="AA_2" localSheetId="4" hidden="1">{#N/A,#N/A,TRUE,"INGENIERIA";#N/A,#N/A,TRUE,"COMPRAS";#N/A,#N/A,TRUE,"DIRECCION";#N/A,#N/A,TRUE,"RESUMEN"}</definedName>
    <definedName name="AA_2" localSheetId="9" hidden="1">{#N/A,#N/A,TRUE,"INGENIERIA";#N/A,#N/A,TRUE,"COMPRAS";#N/A,#N/A,TRUE,"DIRECCION";#N/A,#N/A,TRUE,"RESUMEN"}</definedName>
    <definedName name="AA_2" hidden="1">{#N/A,#N/A,TRUE,"INGENIERIA";#N/A,#N/A,TRUE,"COMPRAS";#N/A,#N/A,TRUE,"DIRECCION";#N/A,#N/A,TRUE,"RESUMEN"}</definedName>
    <definedName name="AAA" localSheetId="4">#REF!</definedName>
    <definedName name="AAA">#REF!</definedName>
    <definedName name="AAAA" localSheetId="4">#REF!</definedName>
    <definedName name="AAAA">#REF!</definedName>
    <definedName name="AAAAA" localSheetId="4">#REF!</definedName>
    <definedName name="AAAAA">#REF!</definedName>
    <definedName name="AAAAAAA" localSheetId="4">[8]EXTLUB!#REF!</definedName>
    <definedName name="AAAAAAA">[9]EXTLUB!#REF!</definedName>
    <definedName name="AAAAAAAAAA" localSheetId="4">#REF!</definedName>
    <definedName name="AAAAAAAAAA">#REF!</definedName>
    <definedName name="AAAAAAAAAAAAAAAAAAAA" localSheetId="4">#REF!</definedName>
    <definedName name="AAAAAAAAAAAAAAAAAAAA">#REF!</definedName>
    <definedName name="aaaaas" localSheetId="4"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DOQUINVEH" localSheetId="4">#REF!</definedName>
    <definedName name="AADOQUINVEH">#REF!</definedName>
    <definedName name="AANDENES" localSheetId="4">#REF!</definedName>
    <definedName name="AANDENES">#REF!</definedName>
    <definedName name="AAREA" localSheetId="4">#REF!</definedName>
    <definedName name="AAREA">#REF!</definedName>
    <definedName name="aas" localSheetId="4" hidden="1">{"TAB1",#N/A,TRUE,"GENERAL";"TAB2",#N/A,TRUE,"GENERAL";"TAB3",#N/A,TRUE,"GENERAL";"TAB4",#N/A,TRUE,"GENERAL";"TAB5",#N/A,TRUE,"GENERAL"}</definedName>
    <definedName name="aas" localSheetId="9" hidden="1">{"TAB1",#N/A,TRUE,"GENERAL";"TAB2",#N/A,TRUE,"GENERAL";"TAB3",#N/A,TRUE,"GENERAL";"TAB4",#N/A,TRUE,"GENERAL";"TAB5",#N/A,TRUE,"GENERAL"}</definedName>
    <definedName name="aas" hidden="1">{"TAB1",#N/A,TRUE,"GENERAL";"TAB2",#N/A,TRUE,"GENERAL";"TAB3",#N/A,TRUE,"GENERAL";"TAB4",#N/A,TRUE,"GENERAL";"TAB5",#N/A,TRUE,"GENERAL"}</definedName>
    <definedName name="AAS_1" localSheetId="4" hidden="1">{#N/A,#N/A,TRUE,"INGENIERIA";#N/A,#N/A,TRUE,"COMPRAS";#N/A,#N/A,TRUE,"DIRECCION";#N/A,#N/A,TRUE,"RESUMEN"}</definedName>
    <definedName name="AAS_1" localSheetId="9" hidden="1">{#N/A,#N/A,TRUE,"INGENIERIA";#N/A,#N/A,TRUE,"COMPRAS";#N/A,#N/A,TRUE,"DIRECCION";#N/A,#N/A,TRUE,"RESUMEN"}</definedName>
    <definedName name="AAS_1" hidden="1">{#N/A,#N/A,TRUE,"INGENIERIA";#N/A,#N/A,TRUE,"COMPRAS";#N/A,#N/A,TRUE,"DIRECCION";#N/A,#N/A,TRUE,"RESUMEN"}</definedName>
    <definedName name="AAS_2" localSheetId="4" hidden="1">{#N/A,#N/A,TRUE,"INGENIERIA";#N/A,#N/A,TRUE,"COMPRAS";#N/A,#N/A,TRUE,"DIRECCION";#N/A,#N/A,TRUE,"RESUMEN"}</definedName>
    <definedName name="AAS_2" localSheetId="9" hidden="1">{#N/A,#N/A,TRUE,"INGENIERIA";#N/A,#N/A,TRUE,"COMPRAS";#N/A,#N/A,TRUE,"DIRECCION";#N/A,#N/A,TRUE,"RESUMEN"}</definedName>
    <definedName name="AAS_2" hidden="1">{#N/A,#N/A,TRUE,"INGENIERIA";#N/A,#N/A,TRUE,"COMPRAS";#N/A,#N/A,TRUE,"DIRECCION";#N/A,#N/A,TRUE,"RESUMEN"}</definedName>
    <definedName name="ab" localSheetId="4">#REF!</definedName>
    <definedName name="ab">#REF!</definedName>
    <definedName name="abc" localSheetId="4">#REF!</definedName>
    <definedName name="abc">#REF!</definedName>
    <definedName name="ABCD" localSheetId="4" hidden="1">#REF!</definedName>
    <definedName name="ABCD" hidden="1">#REF!</definedName>
    <definedName name="ABCDE" localSheetId="4" hidden="1">#REF!</definedName>
    <definedName name="ABCDE" hidden="1">#REF!</definedName>
    <definedName name="ABR" localSheetId="4">#REF!</definedName>
    <definedName name="ABR">#REF!</definedName>
    <definedName name="AC" localSheetId="4">#REF!</definedName>
    <definedName name="AC">#REF!</definedName>
    <definedName name="ACALZADA" localSheetId="4">#REF!</definedName>
    <definedName name="ACALZADA">#REF!</definedName>
    <definedName name="AccessDatabase" hidden="1">"A:\SAIN.mdb"</definedName>
    <definedName name="Acefy4200">'[14]APUS BASIC'!$G$340</definedName>
    <definedName name="ACER">#REF!</definedName>
    <definedName name="Acero" localSheetId="31">#REF!</definedName>
    <definedName name="Acero" localSheetId="38">#REF!</definedName>
    <definedName name="Acero" localSheetId="39">#REF!</definedName>
    <definedName name="Acero" localSheetId="40">#REF!</definedName>
    <definedName name="Acero" localSheetId="41">#REF!</definedName>
    <definedName name="Acero" localSheetId="42">#REF!</definedName>
    <definedName name="Acero" localSheetId="43">#REF!</definedName>
    <definedName name="Acero" localSheetId="44">#REF!</definedName>
    <definedName name="Acero" localSheetId="45">#REF!</definedName>
    <definedName name="Acero" localSheetId="46">#REF!</definedName>
    <definedName name="Acero" localSheetId="47">#REF!</definedName>
    <definedName name="Acero" localSheetId="48">#REF!</definedName>
    <definedName name="Acero" localSheetId="49">#REF!</definedName>
    <definedName name="Acero" localSheetId="21">#REF!</definedName>
    <definedName name="Acero" localSheetId="22">#REF!</definedName>
    <definedName name="Acero" localSheetId="23">#REF!</definedName>
    <definedName name="Acero" localSheetId="33">#REF!</definedName>
    <definedName name="Acero" localSheetId="34">#REF!</definedName>
    <definedName name="Acero" localSheetId="35">#REF!</definedName>
    <definedName name="Acero" localSheetId="36">#REF!</definedName>
    <definedName name="Acero" localSheetId="37">#REF!</definedName>
    <definedName name="Acero" localSheetId="16">#REF!</definedName>
    <definedName name="Acero" localSheetId="17">#REF!</definedName>
    <definedName name="Acero" localSheetId="18">#REF!</definedName>
    <definedName name="Acero" localSheetId="19">#REF!</definedName>
    <definedName name="Acero" localSheetId="20">#REF!</definedName>
    <definedName name="Acero" localSheetId="28">#REF!</definedName>
    <definedName name="Acero" localSheetId="25">#REF!</definedName>
    <definedName name="Acero" localSheetId="26">#REF!</definedName>
    <definedName name="Acero" localSheetId="27">#REF!</definedName>
    <definedName name="Acero" localSheetId="24">#REF!</definedName>
    <definedName name="Acero" localSheetId="29">#REF!</definedName>
    <definedName name="Acero" localSheetId="30">#REF!</definedName>
    <definedName name="Acero" localSheetId="32">#REF!</definedName>
    <definedName name="Acero">#REF!</definedName>
    <definedName name="Acero_60.000_psi__incluye_figurada">[15]Insumos!$D$20</definedName>
    <definedName name="Acero_corrugado">'[14]LISTADO DE MATERIALES Y EQUIPOS'!$B$14</definedName>
    <definedName name="ACERO_DE_REFUERZO_60000" localSheetId="4">'[16]Acero de 60.000psi'!$I$53</definedName>
    <definedName name="ACERO_DE_REFUERZO_60000">'[16]Acero de 60.000psi'!$I$53</definedName>
    <definedName name="Acopla_sanitario_grival">'[14]LISTADO DE MATERIALES Y EQUIPOS'!$B$70</definedName>
    <definedName name="ACTAAJUSTE3" localSheetId="4" hidden="1">{"via1",#N/A,TRUE,"general";"via2",#N/A,TRUE,"general";"via3",#N/A,TRUE,"general"}</definedName>
    <definedName name="ACTAAJUSTE3" localSheetId="9" hidden="1">{"via1",#N/A,TRUE,"general";"via2",#N/A,TRUE,"general";"via3",#N/A,TRUE,"general"}</definedName>
    <definedName name="ACTAAJUSTE3" hidden="1">{"via1",#N/A,TRUE,"general";"via2",#N/A,TRUE,"general";"via3",#N/A,TRUE,"general"}</definedName>
    <definedName name="ad">[17]MATERIALES!$H$4</definedName>
    <definedName name="Adaptador_pvc">'[14]LISTADO DE MATERIALES Y EQUIPOS'!$B$125</definedName>
    <definedName name="add" localSheetId="4">[18]INSUMOS!#REF!</definedName>
    <definedName name="add">[18]INSUMOS!#REF!</definedName>
    <definedName name="ADFGSDB" localSheetId="4"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fsf" localSheetId="4">#REF!</definedName>
    <definedName name="adfsf">#REF!</definedName>
    <definedName name="Adm">#REF!</definedName>
    <definedName name="Administración">[15]A.I.U!$I$110</definedName>
    <definedName name="ADSAD" localSheetId="4"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GO" localSheetId="4">#REF!</definedName>
    <definedName name="AGO">#REF!</definedName>
    <definedName name="Agregado">#REF!</definedName>
    <definedName name="Agregado_Grueso">'[14]LISTADO DE MATERIALES Y EQUIPOS'!$B$10</definedName>
    <definedName name="Agregados" localSheetId="31">#REF!</definedName>
    <definedName name="Agregados" localSheetId="38">#REF!</definedName>
    <definedName name="Agregados" localSheetId="39">#REF!</definedName>
    <definedName name="Agregados" localSheetId="40">#REF!</definedName>
    <definedName name="Agregados" localSheetId="41">#REF!</definedName>
    <definedName name="Agregados" localSheetId="42">#REF!</definedName>
    <definedName name="Agregados" localSheetId="43">#REF!</definedName>
    <definedName name="Agregados" localSheetId="44">#REF!</definedName>
    <definedName name="Agregados" localSheetId="45">#REF!</definedName>
    <definedName name="Agregados" localSheetId="46">#REF!</definedName>
    <definedName name="Agregados" localSheetId="47">#REF!</definedName>
    <definedName name="Agregados" localSheetId="48">#REF!</definedName>
    <definedName name="Agregados" localSheetId="49">#REF!</definedName>
    <definedName name="Agregados" localSheetId="21">#REF!</definedName>
    <definedName name="Agregados" localSheetId="22">#REF!</definedName>
    <definedName name="Agregados" localSheetId="23">#REF!</definedName>
    <definedName name="Agregados" localSheetId="33">#REF!</definedName>
    <definedName name="Agregados" localSheetId="34">#REF!</definedName>
    <definedName name="Agregados" localSheetId="35">#REF!</definedName>
    <definedName name="Agregados" localSheetId="36">#REF!</definedName>
    <definedName name="Agregados" localSheetId="37">#REF!</definedName>
    <definedName name="Agregados" localSheetId="16">#REF!</definedName>
    <definedName name="Agregados" localSheetId="17">#REF!</definedName>
    <definedName name="Agregados" localSheetId="18">#REF!</definedName>
    <definedName name="Agregados" localSheetId="19">#REF!</definedName>
    <definedName name="Agregados" localSheetId="20">#REF!</definedName>
    <definedName name="Agregados" localSheetId="28">#REF!</definedName>
    <definedName name="Agregados" localSheetId="25">#REF!</definedName>
    <definedName name="Agregados" localSheetId="26">#REF!</definedName>
    <definedName name="Agregados" localSheetId="27">#REF!</definedName>
    <definedName name="Agregados" localSheetId="24">#REF!</definedName>
    <definedName name="Agregados" localSheetId="29">#REF!</definedName>
    <definedName name="Agregados" localSheetId="30">#REF!</definedName>
    <definedName name="Agregados" localSheetId="32">#REF!</definedName>
    <definedName name="Agregados">#REF!</definedName>
    <definedName name="AGUA">[11]INSUMOS!$D$4</definedName>
    <definedName name="AHER">[19]HER!$A:$C</definedName>
    <definedName name="Aire_Acondicionado_Inverter_12000_btu">'[14]LISTADO DE MATERIALES Y EQUIPOS'!$B$118</definedName>
    <definedName name="Aire_Acondicionado_Inverter_9000_btu">'[14]LISTADO DE MATERIALES Y EQUIPOS'!$B$117</definedName>
    <definedName name="aiu" localSheetId="4">#REF!</definedName>
    <definedName name="aiu">#REF!</definedName>
    <definedName name="AIU_ADMON">[20]DATOS!$D$8</definedName>
    <definedName name="AIU_IMP">[20]DATOS!$D$9</definedName>
    <definedName name="AIU_UTIL">[20]DATOS!$D$10</definedName>
    <definedName name="AjustDelAIU" localSheetId="4">#REF!</definedName>
    <definedName name="AjustDelAIU">#REF!</definedName>
    <definedName name="AjustDelAIU2" localSheetId="4">#REF!</definedName>
    <definedName name="AjustDelAIU2">#REF!</definedName>
    <definedName name="Ajuste">[21]Datos!$B$11</definedName>
    <definedName name="ALAMB">[11]INSUMOS!$D$39</definedName>
    <definedName name="Alambre_de_pua_calibre_14">'[14]LISTADO DE MATERIALES Y EQUIPOS'!$B$16</definedName>
    <definedName name="Alambre_negro">'[14]LISTADO DE MATERIALES Y EQUIPOS'!$B$15</definedName>
    <definedName name="Alambre_negro_no._18">[15]Insumos!$D$24</definedName>
    <definedName name="ALFAJ" localSheetId="4">#REF!</definedName>
    <definedName name="ALFAJ">#REF!</definedName>
    <definedName name="Almacenista">[15]CUADRILLAS!$B$19</definedName>
    <definedName name="AMAT">[19]MAT!$A:$C</definedName>
    <definedName name="Ambien" localSheetId="4" hidden="1">#REF!</definedName>
    <definedName name="Ambien" hidden="1">#REF!</definedName>
    <definedName name="AMBIENTAL" localSheetId="4">#REF!</definedName>
    <definedName name="AMBIENTAL">#REF!</definedName>
    <definedName name="ANA" localSheetId="4">[8]EXTLUB!#REF!</definedName>
    <definedName name="ANA">[9]EXTLUB!#REF!</definedName>
    <definedName name="ANDAM">[11]INSUMOS!$D$146</definedName>
    <definedName name="Andamios">'[14]LISTADO DE MATERIALES Y EQUIPOS'!$B$44</definedName>
    <definedName name="ANDEN" localSheetId="4">#REF!</definedName>
    <definedName name="ANDEN">#REF!</definedName>
    <definedName name="ANDRESVARGAS" localSheetId="4" hidden="1">{"via1",#N/A,TRUE,"general";"via2",#N/A,TRUE,"general";"via3",#N/A,TRUE,"general"}</definedName>
    <definedName name="ANDRESVARGAS" localSheetId="9" hidden="1">{"via1",#N/A,TRUE,"general";"via2",#N/A,TRUE,"general";"via3",#N/A,TRUE,"general"}</definedName>
    <definedName name="ANDRESVARGAS" hidden="1">{"via1",#N/A,TRUE,"general";"via2",#N/A,TRUE,"general";"via3",#N/A,TRUE,"general"}</definedName>
    <definedName name="angulo_6_metros_3__16_x_2_pulgadas_g___50">'[14]LISTADO DE MATERIALES Y EQUIPOS'!$B$53</definedName>
    <definedName name="anscount" hidden="1">1</definedName>
    <definedName name="Antic">[22]BASES!$B$33</definedName>
    <definedName name="ANTICIPO">[22]BASES!$B$33</definedName>
    <definedName name="Anticorrosivo">'[14]LISTADO DE MATERIALES Y EQUIPOS'!$B$60</definedName>
    <definedName name="ANTISB">[11]INSUMOS!$D$42</definedName>
    <definedName name="Ao" localSheetId="4">[23]Indices!#REF!</definedName>
    <definedName name="Ao">[23]Indices!#REF!</definedName>
    <definedName name="ap">[12]Planilla!$D$58</definedName>
    <definedName name="Ap_con_2000">[15]CONCRETOS!$E$27</definedName>
    <definedName name="Ap_con_3000">[15]CONCRETOS!$E$28</definedName>
    <definedName name="Ap_Mor">[15]CONCRETOS!$E$30</definedName>
    <definedName name="Apar.Sanitarios" localSheetId="31">#REF!</definedName>
    <definedName name="Apar.Sanitarios" localSheetId="38">#REF!</definedName>
    <definedName name="Apar.Sanitarios" localSheetId="39">#REF!</definedName>
    <definedName name="Apar.Sanitarios" localSheetId="40">#REF!</definedName>
    <definedName name="Apar.Sanitarios" localSheetId="41">#REF!</definedName>
    <definedName name="Apar.Sanitarios" localSheetId="42">#REF!</definedName>
    <definedName name="Apar.Sanitarios" localSheetId="43">#REF!</definedName>
    <definedName name="Apar.Sanitarios" localSheetId="44">#REF!</definedName>
    <definedName name="Apar.Sanitarios" localSheetId="45">#REF!</definedName>
    <definedName name="Apar.Sanitarios" localSheetId="46">#REF!</definedName>
    <definedName name="Apar.Sanitarios" localSheetId="47">#REF!</definedName>
    <definedName name="Apar.Sanitarios" localSheetId="48">#REF!</definedName>
    <definedName name="Apar.Sanitarios" localSheetId="49">#REF!</definedName>
    <definedName name="Apar.Sanitarios" localSheetId="21">#REF!</definedName>
    <definedName name="Apar.Sanitarios" localSheetId="22">#REF!</definedName>
    <definedName name="Apar.Sanitarios" localSheetId="23">#REF!</definedName>
    <definedName name="Apar.Sanitarios" localSheetId="33">#REF!</definedName>
    <definedName name="Apar.Sanitarios" localSheetId="34">#REF!</definedName>
    <definedName name="Apar.Sanitarios" localSheetId="35">#REF!</definedName>
    <definedName name="Apar.Sanitarios" localSheetId="36">#REF!</definedName>
    <definedName name="Apar.Sanitarios" localSheetId="37">#REF!</definedName>
    <definedName name="Apar.Sanitarios" localSheetId="16">#REF!</definedName>
    <definedName name="Apar.Sanitarios" localSheetId="17">#REF!</definedName>
    <definedName name="Apar.Sanitarios" localSheetId="18">#REF!</definedName>
    <definedName name="Apar.Sanitarios" localSheetId="19">#REF!</definedName>
    <definedName name="Apar.Sanitarios" localSheetId="20">#REF!</definedName>
    <definedName name="Apar.Sanitarios" localSheetId="28">#REF!</definedName>
    <definedName name="Apar.Sanitarios" localSheetId="25">#REF!</definedName>
    <definedName name="Apar.Sanitarios" localSheetId="26">#REF!</definedName>
    <definedName name="Apar.Sanitarios" localSheetId="27">#REF!</definedName>
    <definedName name="Apar.Sanitarios" localSheetId="24">#REF!</definedName>
    <definedName name="Apar.Sanitarios" localSheetId="29">#REF!</definedName>
    <definedName name="Apar.Sanitarios" localSheetId="30">#REF!</definedName>
    <definedName name="Apar.Sanitarios" localSheetId="32">#REF!</definedName>
    <definedName name="Apar.Sanitarios">#REF!</definedName>
    <definedName name="APB">[24]PRECIOS!$I$1:$L$51</definedName>
    <definedName name="APER">[19]PER!$A:$C</definedName>
    <definedName name="APU" localSheetId="31">[25]APU!$A$2:$H$17455</definedName>
    <definedName name="apu" localSheetId="4">#REF!</definedName>
    <definedName name="APU" localSheetId="38">[25]APU!$A$2:$H$17455</definedName>
    <definedName name="APU" localSheetId="39">[25]APU!$A$2:$H$17455</definedName>
    <definedName name="APU" localSheetId="40">[25]APU!$A$2:$H$17455</definedName>
    <definedName name="APU" localSheetId="41">[25]APU!$A$2:$H$17455</definedName>
    <definedName name="APU" localSheetId="42">[25]APU!$A$2:$H$17455</definedName>
    <definedName name="APU" localSheetId="43">[25]APU!$A$2:$H$17455</definedName>
    <definedName name="APU" localSheetId="44">[25]APU!$A$2:$H$17455</definedName>
    <definedName name="APU" localSheetId="45">[25]APU!$A$2:$H$17455</definedName>
    <definedName name="APU" localSheetId="46">[25]APU!$A$2:$H$17455</definedName>
    <definedName name="APU" localSheetId="47">[25]APU!$A$2:$H$17455</definedName>
    <definedName name="APU" localSheetId="48">[25]APU!$A$2:$H$17455</definedName>
    <definedName name="APU" localSheetId="49">[25]APU!$A$2:$H$17455</definedName>
    <definedName name="APU" localSheetId="21">[25]APU!$A$2:$H$17455</definedName>
    <definedName name="APU" localSheetId="22">[25]APU!$A$2:$H$17455</definedName>
    <definedName name="APU" localSheetId="23">[25]APU!$A$2:$H$17455</definedName>
    <definedName name="APU" localSheetId="33">[25]APU!$A$2:$H$17455</definedName>
    <definedName name="APU" localSheetId="34">[25]APU!$A$2:$H$17455</definedName>
    <definedName name="APU" localSheetId="35">[25]APU!$A$2:$H$17455</definedName>
    <definedName name="APU" localSheetId="36">[25]APU!$A$2:$H$17455</definedName>
    <definedName name="APU" localSheetId="37">[25]APU!$A$2:$H$17455</definedName>
    <definedName name="APU" localSheetId="16">[25]APU!$A$2:$H$17455</definedName>
    <definedName name="APU" localSheetId="17">[25]APU!$A$2:$H$17455</definedName>
    <definedName name="APU" localSheetId="18">[25]APU!$A$2:$H$17455</definedName>
    <definedName name="APU" localSheetId="19">[25]APU!$A$2:$H$17455</definedName>
    <definedName name="APU" localSheetId="20">[25]APU!$A$2:$H$17455</definedName>
    <definedName name="APU" localSheetId="28">[25]APU!$A$2:$H$17455</definedName>
    <definedName name="APU" localSheetId="25">[25]APU!$A$2:$H$17455</definedName>
    <definedName name="APU" localSheetId="26">[25]APU!$A$2:$H$17455</definedName>
    <definedName name="APU" localSheetId="27">[25]APU!$A$2:$H$17455</definedName>
    <definedName name="APU" localSheetId="24">[25]APU!$A$2:$H$17455</definedName>
    <definedName name="APU" localSheetId="29">[25]APU!$A$2:$H$17455</definedName>
    <definedName name="APU" localSheetId="30">[25]APU!$A$2:$H$17455</definedName>
    <definedName name="APU" localSheetId="32">[25]APU!$A$2:$H$17455</definedName>
    <definedName name="APU">[26]APU!$A$17:$H$19251</definedName>
    <definedName name="APU_AUXILIARES">'[27]APU AUXILIARES'!$A:$G</definedName>
    <definedName name="APU_AUXILIARES_1">'[28]APU AUXILIARES 1'!$A:$G</definedName>
    <definedName name="APU_AUXILIARES_3" localSheetId="4">#REF!</definedName>
    <definedName name="APU_AUXILIARES_3">#REF!</definedName>
    <definedName name="APU_AUXILIARES_4" localSheetId="4">#REF!</definedName>
    <definedName name="APU_AUXILIARES_4">#REF!</definedName>
    <definedName name="APU_AUXILIARES_5" localSheetId="4">#REF!</definedName>
    <definedName name="APU_AUXILIARES_5">#REF!</definedName>
    <definedName name="APU_AUXILIARES_6" localSheetId="4">#REF!</definedName>
    <definedName name="APU_AUXILIARES_6">#REF!</definedName>
    <definedName name="APU_AXULIARES_2">'[28]APU AUXILIARES 2'!$A$1:$G$1104</definedName>
    <definedName name="aqaq" localSheetId="4"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_con_2000">[15]CONCRETOS!$E$221</definedName>
    <definedName name="Ar_con_3000">[15]CONCRETOS!$E$222</definedName>
    <definedName name="Ar_Mor">[15]CONCRETOS!$E$224</definedName>
    <definedName name="AREA" localSheetId="4">#REF!</definedName>
    <definedName name="AREA">#REF!</definedName>
    <definedName name="_xlnm.Print_Area" localSheetId="31">'6.9'!$A$1:$G$28</definedName>
    <definedName name="_xlnm.Print_Area" localSheetId="4">AIU!$A$1:$I$59</definedName>
    <definedName name="_xlnm.Print_Area" localSheetId="9">'Analisis de mercado 2025'!$A$1:$H$78</definedName>
    <definedName name="_xlnm.Print_Area" localSheetId="0">CRONOGRAMA!$A$1:$R$246</definedName>
    <definedName name="_xlnm.Print_Area" localSheetId="38">'ITEM 10,01'!$A$1:$G$28</definedName>
    <definedName name="_xlnm.Print_Area" localSheetId="39">'ITEM 10,02'!$A$1:$G$28</definedName>
    <definedName name="_xlnm.Print_Area" localSheetId="40">'ITEM 11,1'!$A$1:$G$28</definedName>
    <definedName name="_xlnm.Print_Area" localSheetId="41">'ITEM 11,5'!$A$1:$G$28</definedName>
    <definedName name="_xlnm.Print_Area" localSheetId="42">'ITEM 12,1'!$A$1:$G$28</definedName>
    <definedName name="_xlnm.Print_Area" localSheetId="43">'ITEM 13,01'!$A$1:$G$28</definedName>
    <definedName name="_xlnm.Print_Area" localSheetId="44">'ITEM 14,01'!$A$1:$G$28</definedName>
    <definedName name="_xlnm.Print_Area" localSheetId="45">'ITEM 14,02'!$A$1:$G$28</definedName>
    <definedName name="_xlnm.Print_Area" localSheetId="46">'ITEM 14,03'!$A$1:$G$28</definedName>
    <definedName name="_xlnm.Print_Area" localSheetId="47">'ITEM 15,02'!$A$1:$G$28</definedName>
    <definedName name="_xlnm.Print_Area" localSheetId="48">'ITEM 15,03'!$A$1:$G$28</definedName>
    <definedName name="_xlnm.Print_Area" localSheetId="49">'ITEM 15,04'!$A$1:$G$28</definedName>
    <definedName name="_xlnm.Print_Area" localSheetId="21">'ITEM 4,13'!$A$1:$G$29</definedName>
    <definedName name="_xlnm.Print_Area" localSheetId="22">'ITEM 4,14'!$A$1:$G$28</definedName>
    <definedName name="_xlnm.Print_Area" localSheetId="23">'ITEM 4,15'!$A$1:$G$28</definedName>
    <definedName name="_xlnm.Print_Area" localSheetId="33">'ITEM 8,2'!$A$1:$G$28</definedName>
    <definedName name="_xlnm.Print_Area" localSheetId="34">'ITEM 9,1'!$A$1:$G$28</definedName>
    <definedName name="_xlnm.Print_Area" localSheetId="35">'ITEM 9,2'!$A$1:$G$28</definedName>
    <definedName name="_xlnm.Print_Area" localSheetId="36">'ITEM 9,3'!$A$1:$G$28</definedName>
    <definedName name="_xlnm.Print_Area" localSheetId="37">'ITEM 9,4'!$A$1:$G$28</definedName>
    <definedName name="_xlnm.Print_Area" localSheetId="16">ITEM1.2!$A$1:$G$29</definedName>
    <definedName name="_xlnm.Print_Area" localSheetId="17">ITEM1.3!$A$1:$G$29</definedName>
    <definedName name="_xlnm.Print_Area" localSheetId="18">ITEM1.4!$A$1:$G$29</definedName>
    <definedName name="_xlnm.Print_Area" localSheetId="19">ITEM4.2!$A$1:$G$29</definedName>
    <definedName name="_xlnm.Print_Area" localSheetId="20">ITEM4.7!$A$1:$G$29</definedName>
    <definedName name="_xlnm.Print_Area" localSheetId="28">ITEM5.1!$A$1:$G$29</definedName>
    <definedName name="_xlnm.Print_Area" localSheetId="25">ITEM5.2!$A$1:$G$28</definedName>
    <definedName name="_xlnm.Print_Area" localSheetId="26">ITEM5.3!$A$1:$G$28</definedName>
    <definedName name="_xlnm.Print_Area" localSheetId="27">ITEM5.4!$A$1:$G$28</definedName>
    <definedName name="_xlnm.Print_Area" localSheetId="24">ITEM5.6!$A$1:$G$29</definedName>
    <definedName name="_xlnm.Print_Area" localSheetId="29">ITEM6.1!$A$1:$G$28</definedName>
    <definedName name="_xlnm.Print_Area" localSheetId="30">ITEM6.3!$A$1:$G$28</definedName>
    <definedName name="_xlnm.Print_Area" localSheetId="32">ITEM6.4!$A$1:$G$28</definedName>
    <definedName name="_xlnm.Print_Area">#REF!</definedName>
    <definedName name="Areas_Actividad">[29]ZONAS_FISICAS!$H$29:$H$36</definedName>
    <definedName name="ARENA">[30]INSUMOS!$D$185</definedName>
    <definedName name="Arena_fina">[15]Insumos!$D$25</definedName>
    <definedName name="Arena_lavada_de_peña">[15]Insumos!$D$26</definedName>
    <definedName name="asd" localSheetId="4">#REF!</definedName>
    <definedName name="ASD">#REF!</definedName>
    <definedName name="ASDA" localSheetId="4"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D" localSheetId="4">#REF!</definedName>
    <definedName name="ASDD">#REF!</definedName>
    <definedName name="asdf" localSheetId="4" hidden="1">{"via1",#N/A,TRUE,"general";"via2",#N/A,TRUE,"general";"via3",#N/A,TRUE,"general"}</definedName>
    <definedName name="asdf" localSheetId="9"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dfg" localSheetId="4">#REF!</definedName>
    <definedName name="asdfg">#REF!</definedName>
    <definedName name="Asesor_de_Tráfico" localSheetId="4">[15]CUADRILLAS!#REF!</definedName>
    <definedName name="Asesor_de_Tráfico">[15]CUADRILLAS!#REF!</definedName>
    <definedName name="asfasd" localSheetId="4"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f" localSheetId="4"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T" localSheetId="4">#REF!</definedName>
    <definedName name="AT">#REF!</definedName>
    <definedName name="ATenerEnCuenta" localSheetId="4">#REF!</definedName>
    <definedName name="ATenerEnCuenta">#REF!</definedName>
    <definedName name="ATRS">[19]TRANS!$A:$D</definedName>
    <definedName name="AU" localSheetId="4">'[31]CIRCUITOS CODENSA'!#REF!</definedName>
    <definedName name="AU">'[31]CIRCUITOS CODENSA'!#REF!</definedName>
    <definedName name="AUI">[32]Datos!$A$17:$A$19</definedName>
    <definedName name="AUIS">[32]Datos!$A$17:$B$19</definedName>
    <definedName name="AUTOPISTA" localSheetId="4">'[31]CIRCUITOS CODENSA'!#REF!</definedName>
    <definedName name="AUTOPISTA">'[31]CIRCUITOS CODENSA'!#REF!</definedName>
    <definedName name="auxilio">'[15]F. P. AIU'!$B$49</definedName>
    <definedName name="AY">[24]PRECIOS!$G$6</definedName>
    <definedName name="AYU">[24]PRECIOS!$F$6</definedName>
    <definedName name="Ayudante">'[14]LISTADO DE MATERIALES Y EQUIPOS'!$B$6</definedName>
    <definedName name="azaz" localSheetId="4"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B" localSheetId="4">#REF!</definedName>
    <definedName name="B">#REF!</definedName>
    <definedName name="B.T1">#REF!</definedName>
    <definedName name="B_impresión_IM" localSheetId="4">#REF!</definedName>
    <definedName name="B_impresión_IM">#REF!</definedName>
    <definedName name="B_T1">#REF!</definedName>
    <definedName name="BALAST">[30]INSUMOS!$D$199</definedName>
    <definedName name="BANCO" localSheetId="4">#REF!</definedName>
    <definedName name="BANCO">#REF!</definedName>
    <definedName name="barraje" localSheetId="4">[33]MATERIALES!#REF!</definedName>
    <definedName name="barraje">[34]MATERIALES!#REF!</definedName>
    <definedName name="Barreras_plasticas_de_Aproximación__Maletines_tipo_Newjersy__o_similar">[15]Insumos!$D$43</definedName>
    <definedName name="BASBOX" localSheetId="4">#REF!</definedName>
    <definedName name="BASBOX">#REF!</definedName>
    <definedName name="BASE" localSheetId="4">#REF!</definedName>
    <definedName name="BASE">#REF!</definedName>
    <definedName name="BASE2" localSheetId="4">#REF!</definedName>
    <definedName name="BASE2">#REF!</definedName>
    <definedName name="_xlnm.Database" localSheetId="4">#REF!</definedName>
    <definedName name="_xlnm.Database">#REF!</definedName>
    <definedName name="BB" localSheetId="4">#REF!</definedName>
    <definedName name="BB">#REF!</definedName>
    <definedName name="bbbbbb" localSheetId="4"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[35]FACTORES!#REF!</definedName>
    <definedName name="BDFB" localSheetId="4"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eneficios">[36]Listado!$AH$2:$AH$3</definedName>
    <definedName name="bfnfv" localSheetId="4"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vfcdx" localSheetId="4"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hjbhj" localSheetId="4">#REF!</definedName>
    <definedName name="bhjbhj">#REF!</definedName>
    <definedName name="BL" localSheetId="4">'[31]CIRCUITOS CODENSA'!#REF!</definedName>
    <definedName name="BL">'[31]CIRCUITOS CODENSA'!#REF!</definedName>
    <definedName name="Bloque">'[14]LISTADO DE MATERIALES Y EQUIPOS'!$B$19</definedName>
    <definedName name="BNMBV" localSheetId="4">#REF!</definedName>
    <definedName name="BNMBV">#REF!</definedName>
    <definedName name="BO" localSheetId="4">'[31]CIRCUITOS CODENSA'!#REF!</definedName>
    <definedName name="BO">'[31]CIRCUITOS CODENSA'!#REF!</definedName>
    <definedName name="BOMBEO">[11]INSUMOS!$D$28</definedName>
    <definedName name="Borde">#REF!</definedName>
    <definedName name="BORDE1" localSheetId="4">#N/A</definedName>
    <definedName name="BORDE1">#REF!</definedName>
    <definedName name="br" localSheetId="4"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reaker_15_amp">'[14]LISTADO DE MATERIALES Y EQUIPOS'!$B$96</definedName>
    <definedName name="breaker_20_amp">'[14]LISTADO DE MATERIALES Y EQUIPOS'!$B$97</definedName>
    <definedName name="bsb" localSheetId="4"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uldozer__Potencia_al_volante_de_140_HP__motor_de_2200_RPM__longitud_de_hoja_4_80_m.">'[15]Equipo y transporte'!$D$21</definedName>
    <definedName name="BURRO" localSheetId="4">#REF!</definedName>
    <definedName name="BURRO">#REF!</definedName>
    <definedName name="bvbc" localSheetId="4"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Apus" comment="Codigo Apus">'[37]1_Preliminares'!$A$26</definedName>
    <definedName name="C_LOM">#REF!</definedName>
    <definedName name="Cable__10">'[14]LISTADO DE MATERIALES Y EQUIPOS'!$B$93</definedName>
    <definedName name="Cable__12">'[14]LISTADO DE MATERIALES Y EQUIPOS'!$B$94</definedName>
    <definedName name="Cable__14">'[14]LISTADO DE MATERIALES Y EQUIPOS'!$B$95</definedName>
    <definedName name="cable_modbus" localSheetId="4">[33]MATERIALES!#REF!</definedName>
    <definedName name="cable_modbus">[34]MATERIALES!#REF!</definedName>
    <definedName name="cable12" localSheetId="4">[33]MATERIALES!#REF!</definedName>
    <definedName name="cable12">[34]MATERIALES!#REF!</definedName>
    <definedName name="cable14" localSheetId="4">[33]MATERIALES!#REF!</definedName>
    <definedName name="cable14">[34]MATERIALES!#REF!</definedName>
    <definedName name="cable6" localSheetId="4">[33]MATERIALES!#REF!</definedName>
    <definedName name="cable6">[34]MATERIALES!#REF!</definedName>
    <definedName name="cable6x18" localSheetId="4">[33]MATERIALES!#REF!</definedName>
    <definedName name="cable6x18">[34]MATERIALES!#REF!</definedName>
    <definedName name="cable8" localSheetId="4">[33]MATERIALES!#REF!</definedName>
    <definedName name="cable8">[34]MATERIALES!#REF!</definedName>
    <definedName name="CACM" localSheetId="4">#REF!</definedName>
    <definedName name="CACM">#REF!</definedName>
    <definedName name="CAD">[38]APU_CANCHA!$A$2:$H$17049</definedName>
    <definedName name="cade">[15]CUADRILLAS!$B$12</definedName>
    <definedName name="Caimo" localSheetId="4">#REF!</definedName>
    <definedName name="Caimo">#REF!</definedName>
    <definedName name="Caja_hexagonal_pvc">'[14]LISTADO DE MATERIALES Y EQUIPOS'!$B$124</definedName>
    <definedName name="caja_modbus" localSheetId="4">[33]MATERIALES!#REF!</definedName>
    <definedName name="caja_modbus">[34]MATERIALES!#REF!</definedName>
    <definedName name="Calarcá" localSheetId="4">#REF!</definedName>
    <definedName name="Calarcá">#REF!</definedName>
    <definedName name="CALDAS" localSheetId="4">#REF!</definedName>
    <definedName name="CALDAS">#REF!</definedName>
    <definedName name="CALDAS1232" localSheetId="4">#REF!</definedName>
    <definedName name="CALDAS1232">#REF!</definedName>
    <definedName name="Calidad" localSheetId="4">#REF!</definedName>
    <definedName name="Calidad">#REF!</definedName>
    <definedName name="calro" localSheetId="4">#REF!</definedName>
    <definedName name="calro">#REF!</definedName>
    <definedName name="CAM_CAIDA">#REF!</definedName>
    <definedName name="camioneta">'[15]Equipo y transporte'!$D$26</definedName>
    <definedName name="Camioneta_D_300">'[15]Equipo y transporte'!$D$24</definedName>
    <definedName name="Campamento" localSheetId="4">#REF!</definedName>
    <definedName name="Campamento">#REF!</definedName>
    <definedName name="CAMRF">[11]A.P.U.!$G$589</definedName>
    <definedName name="cancha" localSheetId="4">#REF!</definedName>
    <definedName name="cancha">#REF!</definedName>
    <definedName name="CANT">#REF!</definedName>
    <definedName name="CANT.">#REF!</definedName>
    <definedName name="CANT1.1" localSheetId="4">#REF!</definedName>
    <definedName name="CANT1.1">#REF!</definedName>
    <definedName name="CANT1.2" localSheetId="4">#REF!</definedName>
    <definedName name="CANT1.2">#REF!</definedName>
    <definedName name="CANT1.3" localSheetId="4">#REF!</definedName>
    <definedName name="CANT1.3">#REF!</definedName>
    <definedName name="CANT1.5" localSheetId="4">#REF!</definedName>
    <definedName name="CANT1.5">#REF!</definedName>
    <definedName name="CANT1.6" localSheetId="4">#REF!</definedName>
    <definedName name="CANT1.6">#REF!</definedName>
    <definedName name="CANT1.7" localSheetId="4">#REF!</definedName>
    <definedName name="CANT1.7">#REF!</definedName>
    <definedName name="CANT1.9" localSheetId="4">#REF!</definedName>
    <definedName name="CANT1.9">#REF!</definedName>
    <definedName name="CANT2.11" localSheetId="4">#REF!</definedName>
    <definedName name="CANT2.11">#REF!</definedName>
    <definedName name="CANT2.12" localSheetId="4">#REF!</definedName>
    <definedName name="CANT2.12">#REF!</definedName>
    <definedName name="CANT2.2" localSheetId="4">#REF!</definedName>
    <definedName name="CANT2.2">#REF!</definedName>
    <definedName name="CANT2.3" localSheetId="4">#REF!</definedName>
    <definedName name="CANT2.3">#REF!</definedName>
    <definedName name="CANT2.4" localSheetId="4">#REF!</definedName>
    <definedName name="CANT2.4">#REF!</definedName>
    <definedName name="CANT8.1" localSheetId="4">#REF!</definedName>
    <definedName name="CANT8.1">#REF!</definedName>
    <definedName name="CANT8.2" localSheetId="4">#REF!</definedName>
    <definedName name="CANT8.2">#REF!</definedName>
    <definedName name="CANT8.3" localSheetId="4">#REF!</definedName>
    <definedName name="CANT8.3">#REF!</definedName>
    <definedName name="CANT8.4" localSheetId="4">#REF!</definedName>
    <definedName name="CANT8.4">#REF!</definedName>
    <definedName name="CANT8.5" localSheetId="4">#REF!</definedName>
    <definedName name="CANT8.5">#REF!</definedName>
    <definedName name="CANT8.6" localSheetId="4">#REF!</definedName>
    <definedName name="CANT8.6">#REF!</definedName>
    <definedName name="CANT8.7" localSheetId="4">#REF!</definedName>
    <definedName name="CANT8.7">#REF!</definedName>
    <definedName name="CANTDS">[39]Modelo!$J$7:$J$10,[39]Modelo!$J$13:$J$27,[39]Modelo!$J$30:$J$33,[39]Modelo!$J$36:$J$40</definedName>
    <definedName name="CapActividad" localSheetId="4">#REF!</definedName>
    <definedName name="CapActividad">#REF!</definedName>
    <definedName name="CapComponent" localSheetId="4">#REF!</definedName>
    <definedName name="CapComponent">#REF!</definedName>
    <definedName name="CAPITULO" localSheetId="4">#REF!</definedName>
    <definedName name="CAPITULO">#REF!</definedName>
    <definedName name="CAPITULO1" localSheetId="4">#REF!</definedName>
    <definedName name="CAPITULO1">#REF!</definedName>
    <definedName name="CAPITULO10" localSheetId="4">#REF!</definedName>
    <definedName name="CAPITULO10">#REF!</definedName>
    <definedName name="CAPITULO11" localSheetId="4">#REF!</definedName>
    <definedName name="CAPITULO11">#REF!</definedName>
    <definedName name="CAPITULO12" localSheetId="4">#REF!</definedName>
    <definedName name="CAPITULO12">#REF!</definedName>
    <definedName name="CAPITULO13" localSheetId="4">#REF!</definedName>
    <definedName name="CAPITULO13">#REF!</definedName>
    <definedName name="CAPITULO14" localSheetId="4">#REF!</definedName>
    <definedName name="CAPITULO14">#REF!</definedName>
    <definedName name="CAPITULO15" localSheetId="4">#REF!</definedName>
    <definedName name="CAPITULO15">#REF!</definedName>
    <definedName name="CAPITULO16" localSheetId="4">#REF!</definedName>
    <definedName name="CAPITULO16">#REF!</definedName>
    <definedName name="CAPITULO17" localSheetId="4">#REF!</definedName>
    <definedName name="CAPITULO17">#REF!</definedName>
    <definedName name="CAPITULO18" localSheetId="4">#REF!</definedName>
    <definedName name="CAPITULO18">#REF!</definedName>
    <definedName name="CAPITULO19" localSheetId="4">#REF!</definedName>
    <definedName name="CAPITULO19">#REF!</definedName>
    <definedName name="CAPITULO2" localSheetId="4">#REF!</definedName>
    <definedName name="CAPITULO2">#REF!</definedName>
    <definedName name="CAPITULO20" localSheetId="4">#REF!</definedName>
    <definedName name="CAPITULO20">#REF!</definedName>
    <definedName name="CAPITULO21" localSheetId="4">#REF!</definedName>
    <definedName name="CAPITULO21">#REF!</definedName>
    <definedName name="CAPITULO3" localSheetId="4">#REF!</definedName>
    <definedName name="CAPITULO3">#REF!</definedName>
    <definedName name="CAPITULO4" localSheetId="4">#REF!</definedName>
    <definedName name="CAPITULO4">#REF!</definedName>
    <definedName name="CAPITULO5" localSheetId="4">#REF!</definedName>
    <definedName name="CAPITULO5">#REF!</definedName>
    <definedName name="CAPITULO6" localSheetId="4">#REF!</definedName>
    <definedName name="CAPITULO6">#REF!</definedName>
    <definedName name="CAPITULO7" localSheetId="4">#REF!</definedName>
    <definedName name="CAPITULO7">#REF!</definedName>
    <definedName name="CAPITULO8" localSheetId="4">#REF!</definedName>
    <definedName name="CAPITULO8">#REF!</definedName>
    <definedName name="CAPITULO9" localSheetId="4">#REF!</definedName>
    <definedName name="CAPITULO9">#REF!</definedName>
    <definedName name="CapResumen" localSheetId="4">#REF!</definedName>
    <definedName name="CapResumen">#REF!</definedName>
    <definedName name="Car_con_2000">[15]CONCRETOS!$E$420</definedName>
    <definedName name="Car_con_3000">[15]CONCRETOS!$E$421</definedName>
    <definedName name="Car_Mor">[15]CONCRETOS!$E$423</definedName>
    <definedName name="caracterizacion">[15]Caracterización!$G$82</definedName>
    <definedName name="carlo" localSheetId="4">#REF!</definedName>
    <definedName name="carlo">#REF!</definedName>
    <definedName name="Carp.Aluminio" localSheetId="31">#REF!</definedName>
    <definedName name="Carp.Aluminio" localSheetId="38">#REF!</definedName>
    <definedName name="Carp.Aluminio" localSheetId="39">#REF!</definedName>
    <definedName name="Carp.Aluminio" localSheetId="40">#REF!</definedName>
    <definedName name="Carp.Aluminio" localSheetId="41">#REF!</definedName>
    <definedName name="Carp.Aluminio" localSheetId="42">#REF!</definedName>
    <definedName name="Carp.Aluminio" localSheetId="43">#REF!</definedName>
    <definedName name="Carp.Aluminio" localSheetId="44">#REF!</definedName>
    <definedName name="Carp.Aluminio" localSheetId="45">#REF!</definedName>
    <definedName name="Carp.Aluminio" localSheetId="46">#REF!</definedName>
    <definedName name="Carp.Aluminio" localSheetId="47">#REF!</definedName>
    <definedName name="Carp.Aluminio" localSheetId="48">#REF!</definedName>
    <definedName name="Carp.Aluminio" localSheetId="49">#REF!</definedName>
    <definedName name="Carp.Aluminio" localSheetId="21">#REF!</definedName>
    <definedName name="Carp.Aluminio" localSheetId="22">#REF!</definedName>
    <definedName name="Carp.Aluminio" localSheetId="23">#REF!</definedName>
    <definedName name="Carp.Aluminio" localSheetId="33">#REF!</definedName>
    <definedName name="Carp.Aluminio" localSheetId="34">#REF!</definedName>
    <definedName name="Carp.Aluminio" localSheetId="35">#REF!</definedName>
    <definedName name="Carp.Aluminio" localSheetId="36">#REF!</definedName>
    <definedName name="Carp.Aluminio" localSheetId="37">#REF!</definedName>
    <definedName name="Carp.Aluminio" localSheetId="16">#REF!</definedName>
    <definedName name="Carp.Aluminio" localSheetId="17">#REF!</definedName>
    <definedName name="Carp.Aluminio" localSheetId="18">#REF!</definedName>
    <definedName name="Carp.Aluminio" localSheetId="19">#REF!</definedName>
    <definedName name="Carp.Aluminio" localSheetId="20">#REF!</definedName>
    <definedName name="Carp.Aluminio" localSheetId="28">#REF!</definedName>
    <definedName name="Carp.Aluminio" localSheetId="25">#REF!</definedName>
    <definedName name="Carp.Aluminio" localSheetId="26">#REF!</definedName>
    <definedName name="Carp.Aluminio" localSheetId="27">#REF!</definedName>
    <definedName name="Carp.Aluminio" localSheetId="24">#REF!</definedName>
    <definedName name="Carp.Aluminio" localSheetId="29">#REF!</definedName>
    <definedName name="Carp.Aluminio" localSheetId="30">#REF!</definedName>
    <definedName name="Carp.Aluminio" localSheetId="32">#REF!</definedName>
    <definedName name="Carp.Aluminio">#REF!</definedName>
    <definedName name="Carp.Metalica" localSheetId="31">#REF!</definedName>
    <definedName name="Carp.Metalica" localSheetId="38">#REF!</definedName>
    <definedName name="Carp.Metalica" localSheetId="39">#REF!</definedName>
    <definedName name="Carp.Metalica" localSheetId="40">#REF!</definedName>
    <definedName name="Carp.Metalica" localSheetId="41">#REF!</definedName>
    <definedName name="Carp.Metalica" localSheetId="42">#REF!</definedName>
    <definedName name="Carp.Metalica" localSheetId="43">#REF!</definedName>
    <definedName name="Carp.Metalica" localSheetId="44">#REF!</definedName>
    <definedName name="Carp.Metalica" localSheetId="45">#REF!</definedName>
    <definedName name="Carp.Metalica" localSheetId="46">#REF!</definedName>
    <definedName name="Carp.Metalica" localSheetId="47">#REF!</definedName>
    <definedName name="Carp.Metalica" localSheetId="48">#REF!</definedName>
    <definedName name="Carp.Metalica" localSheetId="49">#REF!</definedName>
    <definedName name="Carp.Metalica" localSheetId="21">#REF!</definedName>
    <definedName name="Carp.Metalica" localSheetId="22">#REF!</definedName>
    <definedName name="Carp.Metalica" localSheetId="23">#REF!</definedName>
    <definedName name="Carp.Metalica" localSheetId="33">#REF!</definedName>
    <definedName name="Carp.Metalica" localSheetId="34">#REF!</definedName>
    <definedName name="Carp.Metalica" localSheetId="35">#REF!</definedName>
    <definedName name="Carp.Metalica" localSheetId="36">#REF!</definedName>
    <definedName name="Carp.Metalica" localSheetId="37">#REF!</definedName>
    <definedName name="Carp.Metalica" localSheetId="16">#REF!</definedName>
    <definedName name="Carp.Metalica" localSheetId="17">#REF!</definedName>
    <definedName name="Carp.Metalica" localSheetId="18">#REF!</definedName>
    <definedName name="Carp.Metalica" localSheetId="19">#REF!</definedName>
    <definedName name="Carp.Metalica" localSheetId="20">#REF!</definedName>
    <definedName name="Carp.Metalica" localSheetId="28">#REF!</definedName>
    <definedName name="Carp.Metalica" localSheetId="25">#REF!</definedName>
    <definedName name="Carp.Metalica" localSheetId="26">#REF!</definedName>
    <definedName name="Carp.Metalica" localSheetId="27">#REF!</definedName>
    <definedName name="Carp.Metalica" localSheetId="24">#REF!</definedName>
    <definedName name="Carp.Metalica" localSheetId="29">#REF!</definedName>
    <definedName name="Carp.Metalica" localSheetId="30">#REF!</definedName>
    <definedName name="Carp.Metalica" localSheetId="32">#REF!</definedName>
    <definedName name="Carp.Metalica">#REF!</definedName>
    <definedName name="Carpinteriametalica">#REF!</definedName>
    <definedName name="Carrotanque_1000_gl">'[15]Equipo y transporte'!$D$16</definedName>
    <definedName name="CASET" localSheetId="4">#REF!</definedName>
    <definedName name="CASET">#REF!</definedName>
    <definedName name="CASQ">[40]FACTORES!#REF!</definedName>
    <definedName name="CC" localSheetId="4">#REF!</definedName>
    <definedName name="CC">#REF!</definedName>
    <definedName name="ccccc" localSheetId="4"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CONTECH">[11]INSUMOS!$D$21</definedName>
    <definedName name="CCTO123" localSheetId="4">#REF!</definedName>
    <definedName name="CCTO123">#REF!</definedName>
    <definedName name="CCTO124" localSheetId="4">#REF!</definedName>
    <definedName name="CCTO124">#REF!</definedName>
    <definedName name="ccto210" localSheetId="4">#REF!</definedName>
    <definedName name="ccto210">#REF!</definedName>
    <definedName name="CCTOPR21">[11]INSUMOS!$D$9</definedName>
    <definedName name="CCTOPR24.5">[11]INSUMOS!$D$11</definedName>
    <definedName name="CCTOPR28">[11]INSUMOS!$D$12</definedName>
    <definedName name="CD" localSheetId="4">'[41]DESGLOSE AU'!$C$13</definedName>
    <definedName name="CD">'[41]DESGLOSE AU'!$C$13</definedName>
    <definedName name="CdadCalidad" localSheetId="4">#REF!</definedName>
    <definedName name="CdadCalidad">#REF!</definedName>
    <definedName name="CdadCalidades" localSheetId="4">#REF!</definedName>
    <definedName name="CdadCalidades">#REF!</definedName>
    <definedName name="CdadNoFactura" localSheetId="4">#REF!</definedName>
    <definedName name="CdadNoFactura">#REF!</definedName>
    <definedName name="CdadNoFacturables" localSheetId="4">#REF!</definedName>
    <definedName name="CdadNoFacturables">#REF!</definedName>
    <definedName name="CdadProfesional" localSheetId="4">#REF!</definedName>
    <definedName name="CdadProfesional">#REF!</definedName>
    <definedName name="CdadProfesionales" localSheetId="4">#REF!</definedName>
    <definedName name="CdadProfesionales">#REF!</definedName>
    <definedName name="CdadTecnico" localSheetId="4">#REF!</definedName>
    <definedName name="CdadTecnico">#REF!</definedName>
    <definedName name="CdadTecnicos" localSheetId="4">#REF!</definedName>
    <definedName name="CdadTecnicos">#REF!</definedName>
    <definedName name="cdcd" localSheetId="4" hidden="1">#REF!</definedName>
    <definedName name="cdcd" hidden="1">#REF!</definedName>
    <definedName name="cdcdc" localSheetId="4"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Dctrl">[22]CDItem!$G$8</definedName>
    <definedName name="CDS_V_INDICES_CIRCUITO_CAUSA" localSheetId="4">#REF!</definedName>
    <definedName name="CDS_V_INDICES_CIRCUITO_CAUSA">#REF!</definedName>
    <definedName name="ceerf" localSheetId="4"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EM">[11]INSUMOS!$D$55</definedName>
    <definedName name="CEMENTO">[42]Insum!$A$3:$H$63</definedName>
    <definedName name="Cemento_Blanco">'[14]LISTADO DE MATERIALES Y EQUIPOS'!$B$11</definedName>
    <definedName name="Cemento_gris__Inlcuye_tranporte_interno_en_obra_cargue_y_descargue">[15]Insumos!$D$30</definedName>
    <definedName name="CER" localSheetId="9" hidden="1">{#N/A,#N/A,FALSE,"PROPON.2001"}</definedName>
    <definedName name="CER" hidden="1">{#N/A,#N/A,FALSE,"PROPON.2001"}</definedName>
    <definedName name="CERCHA">[11]INSUMOS!$D$154</definedName>
    <definedName name="Cerrajeria" localSheetId="31">#REF!</definedName>
    <definedName name="Cerrajeria" localSheetId="38">#REF!</definedName>
    <definedName name="Cerrajeria" localSheetId="39">#REF!</definedName>
    <definedName name="Cerrajeria" localSheetId="40">#REF!</definedName>
    <definedName name="Cerrajeria" localSheetId="41">#REF!</definedName>
    <definedName name="Cerrajeria" localSheetId="42">#REF!</definedName>
    <definedName name="Cerrajeria" localSheetId="43">#REF!</definedName>
    <definedName name="Cerrajeria" localSheetId="44">#REF!</definedName>
    <definedName name="Cerrajeria" localSheetId="45">#REF!</definedName>
    <definedName name="Cerrajeria" localSheetId="46">#REF!</definedName>
    <definedName name="Cerrajeria" localSheetId="47">#REF!</definedName>
    <definedName name="Cerrajeria" localSheetId="48">#REF!</definedName>
    <definedName name="Cerrajeria" localSheetId="49">#REF!</definedName>
    <definedName name="Cerrajeria" localSheetId="21">#REF!</definedName>
    <definedName name="Cerrajeria" localSheetId="22">#REF!</definedName>
    <definedName name="Cerrajeria" localSheetId="23">#REF!</definedName>
    <definedName name="Cerrajeria" localSheetId="33">#REF!</definedName>
    <definedName name="Cerrajeria" localSheetId="34">#REF!</definedName>
    <definedName name="Cerrajeria" localSheetId="35">#REF!</definedName>
    <definedName name="Cerrajeria" localSheetId="36">#REF!</definedName>
    <definedName name="Cerrajeria" localSheetId="37">#REF!</definedName>
    <definedName name="Cerrajeria" localSheetId="16">#REF!</definedName>
    <definedName name="Cerrajeria" localSheetId="17">#REF!</definedName>
    <definedName name="Cerrajeria" localSheetId="18">#REF!</definedName>
    <definedName name="Cerrajeria" localSheetId="19">#REF!</definedName>
    <definedName name="Cerrajeria" localSheetId="20">#REF!</definedName>
    <definedName name="Cerrajeria" localSheetId="28">#REF!</definedName>
    <definedName name="Cerrajeria" localSheetId="25">#REF!</definedName>
    <definedName name="Cerrajeria" localSheetId="26">#REF!</definedName>
    <definedName name="Cerrajeria" localSheetId="27">#REF!</definedName>
    <definedName name="Cerrajeria" localSheetId="24">#REF!</definedName>
    <definedName name="Cerrajeria" localSheetId="29">#REF!</definedName>
    <definedName name="Cerrajeria" localSheetId="30">#REF!</definedName>
    <definedName name="Cerrajeria" localSheetId="32">#REF!</definedName>
    <definedName name="Cerrajeria">#REF!</definedName>
    <definedName name="CERRAM" localSheetId="4">#REF!</definedName>
    <definedName name="CERRAM">#REF!</definedName>
    <definedName name="cfgh" localSheetId="4">#REF!</definedName>
    <definedName name="cfgh">#REF!</definedName>
    <definedName name="CHAZO_PUNTILLA_ANCLAJES">'[14]LISTADO DE MATERIALES Y EQUIPOS'!$B$105</definedName>
    <definedName name="Chi_con_2000">[15]CONCRETOS!$E$619</definedName>
    <definedName name="Chi_con_3000">[15]CONCRETOS!$E$620</definedName>
    <definedName name="Chi_Mor">[15]CONCRETOS!$E$622</definedName>
    <definedName name="CICLOP">'[30]A.P.U. (2)'!$F$74</definedName>
    <definedName name="Cierrapuerta_hidraulico_ajustable_hasta_80_kilos">'[14]LISTADO DE MATERIALES Y EQUIPOS'!$B$90</definedName>
    <definedName name="CILIND">[43]TUBERIA!$AE$10:$AE$14</definedName>
    <definedName name="CINTA_MALLA_ADHESIVA_X_90M">'[14]LISTADO DE MATERIALES Y EQUIPOS'!$B$107</definedName>
    <definedName name="Cinta_Plastica__PELIGRO_NO_PASE">[15]Insumos!$D$44</definedName>
    <definedName name="CIRCUITOS">[44]Circuitos!$C$2:$C$891</definedName>
    <definedName name="CIRCUNVALAR" localSheetId="4">#REF!</definedName>
    <definedName name="CIRCUNVALAR">#REF!</definedName>
    <definedName name="Ciudades" localSheetId="31">#REF!</definedName>
    <definedName name="Ciudades" localSheetId="4">[45]Insumos!$B$1813:$B$1912</definedName>
    <definedName name="Ciudades" localSheetId="38">#REF!</definedName>
    <definedName name="Ciudades" localSheetId="39">#REF!</definedName>
    <definedName name="Ciudades" localSheetId="40">#REF!</definedName>
    <definedName name="Ciudades" localSheetId="41">#REF!</definedName>
    <definedName name="Ciudades" localSheetId="42">#REF!</definedName>
    <definedName name="Ciudades" localSheetId="43">#REF!</definedName>
    <definedName name="Ciudades" localSheetId="44">#REF!</definedName>
    <definedName name="Ciudades" localSheetId="45">#REF!</definedName>
    <definedName name="Ciudades" localSheetId="46">#REF!</definedName>
    <definedName name="Ciudades" localSheetId="47">#REF!</definedName>
    <definedName name="Ciudades" localSheetId="48">#REF!</definedName>
    <definedName name="Ciudades" localSheetId="49">#REF!</definedName>
    <definedName name="Ciudades" localSheetId="21">#REF!</definedName>
    <definedName name="Ciudades" localSheetId="22">#REF!</definedName>
    <definedName name="Ciudades" localSheetId="23">#REF!</definedName>
    <definedName name="Ciudades" localSheetId="33">#REF!</definedName>
    <definedName name="Ciudades" localSheetId="34">#REF!</definedName>
    <definedName name="Ciudades" localSheetId="35">#REF!</definedName>
    <definedName name="Ciudades" localSheetId="36">#REF!</definedName>
    <definedName name="Ciudades" localSheetId="37">#REF!</definedName>
    <definedName name="Ciudades" localSheetId="16">#REF!</definedName>
    <definedName name="Ciudades" localSheetId="17">#REF!</definedName>
    <definedName name="Ciudades" localSheetId="18">#REF!</definedName>
    <definedName name="Ciudades" localSheetId="19">#REF!</definedName>
    <definedName name="Ciudades" localSheetId="20">#REF!</definedName>
    <definedName name="Ciudades" localSheetId="28">#REF!</definedName>
    <definedName name="Ciudades" localSheetId="25">#REF!</definedName>
    <definedName name="Ciudades" localSheetId="26">#REF!</definedName>
    <definedName name="Ciudades" localSheetId="27">#REF!</definedName>
    <definedName name="Ciudades" localSheetId="24">#REF!</definedName>
    <definedName name="Ciudades" localSheetId="29">#REF!</definedName>
    <definedName name="Ciudades" localSheetId="30">#REF!</definedName>
    <definedName name="Ciudades" localSheetId="32">#REF!</definedName>
    <definedName name="Ciudades">#REF!</definedName>
    <definedName name="CIUDADES1">#REF!</definedName>
    <definedName name="civ" localSheetId="4" hidden="1">{#N/A,#N/A,TRUE,"1842CWN0"}</definedName>
    <definedName name="civ" localSheetId="9" hidden="1">{#N/A,#N/A,TRUE,"1842CWN0"}</definedName>
    <definedName name="civ" hidden="1">{#N/A,#N/A,TRUE,"1842CWN0"}</definedName>
    <definedName name="civ_1" localSheetId="4" hidden="1">{#N/A,#N/A,TRUE,"1842CWN0"}</definedName>
    <definedName name="civ_1" localSheetId="9" hidden="1">{#N/A,#N/A,TRUE,"1842CWN0"}</definedName>
    <definedName name="civ_1" hidden="1">{#N/A,#N/A,TRUE,"1842CWN0"}</definedName>
    <definedName name="civ_2" localSheetId="4" hidden="1">{#N/A,#N/A,TRUE,"1842CWN0"}</definedName>
    <definedName name="civ_2" localSheetId="9" hidden="1">{#N/A,#N/A,TRUE,"1842CWN0"}</definedName>
    <definedName name="civ_2" hidden="1">{#N/A,#N/A,TRUE,"1842CWN0"}</definedName>
    <definedName name="CL" localSheetId="4">'[31]CIRCUITOS CODENSA'!#REF!</definedName>
    <definedName name="CL">#REF!</definedName>
    <definedName name="CNT_M">[39]Modelo!$H$13:$H$27</definedName>
    <definedName name="COBC" localSheetId="4">#REF!</definedName>
    <definedName name="COBC">#REF!</definedName>
    <definedName name="COD" localSheetId="4">#REF!</definedName>
    <definedName name="COD">#REF!</definedName>
    <definedName name="Codigo" comment="Codigo Insumo">[37]Insumos!$A$4:$A$1772</definedName>
    <definedName name="Codigo_M.Obra" comment="Mano de obra ">[37]M.Obra!$A$35:$A$43</definedName>
    <definedName name="codigos">[46]Banderas!$A:$A</definedName>
    <definedName name="CÓDIGOS_EQUIPOS">'[27]INSUMOS EQUIPOS'!$A$8:$A$107</definedName>
    <definedName name="CÓDIGOS_MANO_DE_OBRA">'[27]INSUMOS MANO DE OBRA'!$A$8:$A$63</definedName>
    <definedName name="CÓDIGOS_SERVICIOS">'[27]INSUMOS SERVICIOS'!$A$12:$A$53</definedName>
    <definedName name="CÓDIGOS_TRANSPORTES">'[27]INSUMOS TRANSPORTES'!$A$8:$A$47</definedName>
    <definedName name="codp">'[47]CANTIDADES Y PTTO'!$C$180</definedName>
    <definedName name="CODSEC" localSheetId="4">#REF!</definedName>
    <definedName name="CODSEC">#REF!</definedName>
    <definedName name="COLAM20" localSheetId="4">#REF!</definedName>
    <definedName name="COLAM20">#REF!</definedName>
    <definedName name="COLAMURO" localSheetId="4">#REF!</definedName>
    <definedName name="COLAMURO">#REF!</definedName>
    <definedName name="COLCIRC">[11]A.P.U.!$G$353</definedName>
    <definedName name="COLUMNA2">[11]A.P.U.!$G$313</definedName>
    <definedName name="COLUMNETA">[11]A.P.U.!$G$597</definedName>
    <definedName name="COM.LIM">#REF!</definedName>
    <definedName name="Combo_Sanitario_manantial_corona">'[14]LISTADO DE MATERIALES Y EQUIPOS'!$B$69</definedName>
    <definedName name="Combustible" localSheetId="31">#REF!</definedName>
    <definedName name="Combustible" localSheetId="38">#REF!</definedName>
    <definedName name="Combustible" localSheetId="39">#REF!</definedName>
    <definedName name="Combustible" localSheetId="40">#REF!</definedName>
    <definedName name="Combustible" localSheetId="41">#REF!</definedName>
    <definedName name="Combustible" localSheetId="42">#REF!</definedName>
    <definedName name="Combustible" localSheetId="43">#REF!</definedName>
    <definedName name="Combustible" localSheetId="44">#REF!</definedName>
    <definedName name="Combustible" localSheetId="45">#REF!</definedName>
    <definedName name="Combustible" localSheetId="46">#REF!</definedName>
    <definedName name="Combustible" localSheetId="47">#REF!</definedName>
    <definedName name="Combustible" localSheetId="48">#REF!</definedName>
    <definedName name="Combustible" localSheetId="49">#REF!</definedName>
    <definedName name="Combustible" localSheetId="21">#REF!</definedName>
    <definedName name="Combustible" localSheetId="22">#REF!</definedName>
    <definedName name="Combustible" localSheetId="23">#REF!</definedName>
    <definedName name="Combustible" localSheetId="33">#REF!</definedName>
    <definedName name="Combustible" localSheetId="34">#REF!</definedName>
    <definedName name="Combustible" localSheetId="35">#REF!</definedName>
    <definedName name="Combustible" localSheetId="36">#REF!</definedName>
    <definedName name="Combustible" localSheetId="37">#REF!</definedName>
    <definedName name="Combustible" localSheetId="16">#REF!</definedName>
    <definedName name="Combustible" localSheetId="17">#REF!</definedName>
    <definedName name="Combustible" localSheetId="18">#REF!</definedName>
    <definedName name="Combustible" localSheetId="19">#REF!</definedName>
    <definedName name="Combustible" localSheetId="20">#REF!</definedName>
    <definedName name="Combustible" localSheetId="28">#REF!</definedName>
    <definedName name="Combustible" localSheetId="25">#REF!</definedName>
    <definedName name="Combustible" localSheetId="26">#REF!</definedName>
    <definedName name="Combustible" localSheetId="27">#REF!</definedName>
    <definedName name="Combustible" localSheetId="24">#REF!</definedName>
    <definedName name="Combustible" localSheetId="29">#REF!</definedName>
    <definedName name="Combustible" localSheetId="30">#REF!</definedName>
    <definedName name="Combustible" localSheetId="32">#REF!</definedName>
    <definedName name="Combustible">#REF!</definedName>
    <definedName name="Combustible1">#REF!</definedName>
    <definedName name="COME" localSheetId="4">#REF!</definedName>
    <definedName name="COME">#REF!</definedName>
    <definedName name="Compresor_80HP__con_martillo">'[15]Equipo y transporte'!$D$25</definedName>
    <definedName name="CON" localSheetId="4">#REF!</definedName>
    <definedName name="CON">#REF!</definedName>
    <definedName name="CON.FUN">#REF!</definedName>
    <definedName name="CON.LIM">#REF!</definedName>
    <definedName name="CON.POZ">#REF!</definedName>
    <definedName name="CON.TUB">[35]TUBERIA!#REF!</definedName>
    <definedName name="CONC">#REF!</definedName>
    <definedName name="Conc.2000">'[14]APUS BASIC'!$G$165</definedName>
    <definedName name="Conc.2500">'[14]APUS BASIC'!$G$122</definedName>
    <definedName name="Conc.3000">'[14]APUS BASIC'!$G$80</definedName>
    <definedName name="CONCRETO" hidden="1">[1]INSUMOS!#REF!</definedName>
    <definedName name="CONCRETO_2000" localSheetId="4">'[16]Concreto de 2000 psi'!$I$53</definedName>
    <definedName name="CONCRETO_2000">'[16]Concreto de 2000 psi'!$I$53</definedName>
    <definedName name="CONCRETO_F.C_4">#REF!</definedName>
    <definedName name="concreto_FC_2.2">#REF!</definedName>
    <definedName name="Concretos" localSheetId="31">#REF!</definedName>
    <definedName name="Concretos" localSheetId="38">#REF!</definedName>
    <definedName name="Concretos" localSheetId="39">#REF!</definedName>
    <definedName name="Concretos" localSheetId="40">#REF!</definedName>
    <definedName name="Concretos" localSheetId="41">#REF!</definedName>
    <definedName name="Concretos" localSheetId="42">#REF!</definedName>
    <definedName name="Concretos" localSheetId="43">#REF!</definedName>
    <definedName name="Concretos" localSheetId="44">#REF!</definedName>
    <definedName name="Concretos" localSheetId="45">#REF!</definedName>
    <definedName name="Concretos" localSheetId="46">#REF!</definedName>
    <definedName name="Concretos" localSheetId="47">#REF!</definedName>
    <definedName name="Concretos" localSheetId="48">#REF!</definedName>
    <definedName name="Concretos" localSheetId="49">#REF!</definedName>
    <definedName name="Concretos" localSheetId="21">#REF!</definedName>
    <definedName name="Concretos" localSheetId="22">#REF!</definedName>
    <definedName name="Concretos" localSheetId="23">#REF!</definedName>
    <definedName name="Concretos" localSheetId="33">#REF!</definedName>
    <definedName name="Concretos" localSheetId="34">#REF!</definedName>
    <definedName name="Concretos" localSheetId="35">#REF!</definedName>
    <definedName name="Concretos" localSheetId="36">#REF!</definedName>
    <definedName name="Concretos" localSheetId="37">#REF!</definedName>
    <definedName name="Concretos" localSheetId="16">#REF!</definedName>
    <definedName name="Concretos" localSheetId="17">#REF!</definedName>
    <definedName name="Concretos" localSheetId="18">#REF!</definedName>
    <definedName name="Concretos" localSheetId="19">#REF!</definedName>
    <definedName name="Concretos" localSheetId="20">#REF!</definedName>
    <definedName name="Concretos" localSheetId="28">#REF!</definedName>
    <definedName name="Concretos" localSheetId="25">#REF!</definedName>
    <definedName name="Concretos" localSheetId="26">#REF!</definedName>
    <definedName name="Concretos" localSheetId="27">#REF!</definedName>
    <definedName name="Concretos" localSheetId="24">#REF!</definedName>
    <definedName name="Concretos" localSheetId="29">#REF!</definedName>
    <definedName name="Concretos" localSheetId="30">#REF!</definedName>
    <definedName name="Concretos" localSheetId="32">#REF!</definedName>
    <definedName name="Concretos">#REF!</definedName>
    <definedName name="COND" localSheetId="4">#REF!</definedName>
    <definedName name="COND">#REF!</definedName>
    <definedName name="CONDI1" localSheetId="4">#REF!</definedName>
    <definedName name="CONDI1">#REF!</definedName>
    <definedName name="CONST" localSheetId="4">#REF!</definedName>
    <definedName name="CONST">#REF!</definedName>
    <definedName name="Consultor">[48]Datos!$B$3</definedName>
    <definedName name="consumibles" localSheetId="4">[33]APU!$E$8</definedName>
    <definedName name="consumibles">[34]APU!$E$8</definedName>
    <definedName name="CONTP" localSheetId="4">#REF!</definedName>
    <definedName name="CONTP">#REF!</definedName>
    <definedName name="Contrato">[48]Datos!$B$2</definedName>
    <definedName name="Coordinador">[48]Datos!$B$6</definedName>
    <definedName name="COSTDIREC" localSheetId="4">#REF!</definedName>
    <definedName name="COSTDIREC">#REF!</definedName>
    <definedName name="COSTDIREC_14" localSheetId="4">#REF!</definedName>
    <definedName name="COSTDIREC_14">#REF!</definedName>
    <definedName name="COSTDIREC_15" localSheetId="4">#REF!</definedName>
    <definedName name="COSTDIREC_15">#REF!</definedName>
    <definedName name="COSTDIREC_16" localSheetId="4">#REF!</definedName>
    <definedName name="COSTDIREC_16">#REF!</definedName>
    <definedName name="COSTDIREC_17" localSheetId="4">#REF!</definedName>
    <definedName name="COSTDIREC_17">#REF!</definedName>
    <definedName name="COSTDIREC_37" localSheetId="4">#REF!</definedName>
    <definedName name="COSTDIREC_37">#REF!</definedName>
    <definedName name="COSTDIREC_38" localSheetId="4">#REF!</definedName>
    <definedName name="COSTDIREC_38">#REF!</definedName>
    <definedName name="CosteoConsultoria" localSheetId="4">#REF!</definedName>
    <definedName name="CosteoConsultoria">#REF!</definedName>
    <definedName name="CostoDirecto" localSheetId="4">#REF!</definedName>
    <definedName name="CostoDirecto">#REF!</definedName>
    <definedName name="CostoDirectoObra">'[49]COSTEO TOTAL OBRA'!$D$7</definedName>
    <definedName name="Costopérdidas" localSheetId="4">[50]Modelo!#REF!</definedName>
    <definedName name="Costopérdidas">[50]Modelo!#REF!</definedName>
    <definedName name="COSTOS" localSheetId="4">#REF!</definedName>
    <definedName name="COSTOS">#REF!</definedName>
    <definedName name="COSTOS_DIREC">[15]Pres!$H$165</definedName>
    <definedName name="CotizacionARP" localSheetId="4">#REF!</definedName>
    <definedName name="CotizacionARP">#REF!</definedName>
    <definedName name="CPVCO22" localSheetId="4">[11]INSUMOS!#REF!</definedName>
    <definedName name="CPVCO22">[11]INSUMOS!#REF!</definedName>
    <definedName name="_xlnm.Criteria" localSheetId="4">[1]INSUMOS!#REF!</definedName>
    <definedName name="_xlnm.Criteria">[1]INSUMOS!#REF!</definedName>
    <definedName name="Criterios_IM" localSheetId="4">[1]INSUMOS!#REF!</definedName>
    <definedName name="Criterios_IM">#REF!</definedName>
    <definedName name="CS" localSheetId="4">#REF!</definedName>
    <definedName name="CS">#REF!</definedName>
    <definedName name="CU" localSheetId="4">'[31]CIRCUITOS CODENSA'!#REF!</definedName>
    <definedName name="CU">'[31]CIRCUITOS CODENSA'!#REF!</definedName>
    <definedName name="cuad1" localSheetId="4">#REF!</definedName>
    <definedName name="cuad1">#REF!</definedName>
    <definedName name="cuad2" localSheetId="4">#REF!</definedName>
    <definedName name="cuad2">#REF!</definedName>
    <definedName name="cuad3" localSheetId="4">#REF!</definedName>
    <definedName name="cuad3">#REF!</definedName>
    <definedName name="cuad4" localSheetId="4">#REF!</definedName>
    <definedName name="cuad4">#REF!</definedName>
    <definedName name="CUAD5" localSheetId="4">#REF!</definedName>
    <definedName name="CUAD5">#REF!</definedName>
    <definedName name="cuado" localSheetId="4">#REF!</definedName>
    <definedName name="cuado">#REF!</definedName>
    <definedName name="cuadrilla">[21]Cuadrillas!$C$13:$F$43</definedName>
    <definedName name="Cuadrillas" localSheetId="31">#REF!</definedName>
    <definedName name="Cuadrillas" localSheetId="4">[51]Cuadrillas!$A$11:$I$77</definedName>
    <definedName name="Cuadrillas" localSheetId="38">#REF!</definedName>
    <definedName name="Cuadrillas" localSheetId="39">#REF!</definedName>
    <definedName name="Cuadrillas" localSheetId="40">#REF!</definedName>
    <definedName name="Cuadrillas" localSheetId="41">#REF!</definedName>
    <definedName name="Cuadrillas" localSheetId="42">#REF!</definedName>
    <definedName name="Cuadrillas" localSheetId="43">#REF!</definedName>
    <definedName name="Cuadrillas" localSheetId="44">#REF!</definedName>
    <definedName name="Cuadrillas" localSheetId="45">#REF!</definedName>
    <definedName name="Cuadrillas" localSheetId="46">#REF!</definedName>
    <definedName name="Cuadrillas" localSheetId="47">#REF!</definedName>
    <definedName name="Cuadrillas" localSheetId="48">#REF!</definedName>
    <definedName name="Cuadrillas" localSheetId="49">#REF!</definedName>
    <definedName name="Cuadrillas" localSheetId="21">#REF!</definedName>
    <definedName name="Cuadrillas" localSheetId="22">#REF!</definedName>
    <definedName name="Cuadrillas" localSheetId="23">#REF!</definedName>
    <definedName name="Cuadrillas" localSheetId="33">#REF!</definedName>
    <definedName name="Cuadrillas" localSheetId="34">#REF!</definedName>
    <definedName name="Cuadrillas" localSheetId="35">#REF!</definedName>
    <definedName name="Cuadrillas" localSheetId="36">#REF!</definedName>
    <definedName name="Cuadrillas" localSheetId="37">#REF!</definedName>
    <definedName name="Cuadrillas" localSheetId="16">#REF!</definedName>
    <definedName name="Cuadrillas" localSheetId="17">#REF!</definedName>
    <definedName name="Cuadrillas" localSheetId="18">#REF!</definedName>
    <definedName name="Cuadrillas" localSheetId="19">#REF!</definedName>
    <definedName name="Cuadrillas" localSheetId="20">#REF!</definedName>
    <definedName name="Cuadrillas" localSheetId="28">#REF!</definedName>
    <definedName name="Cuadrillas" localSheetId="25">#REF!</definedName>
    <definedName name="Cuadrillas" localSheetId="26">#REF!</definedName>
    <definedName name="Cuadrillas" localSheetId="27">#REF!</definedName>
    <definedName name="Cuadrillas" localSheetId="24">#REF!</definedName>
    <definedName name="Cuadrillas" localSheetId="29">#REF!</definedName>
    <definedName name="Cuadrillas" localSheetId="30">#REF!</definedName>
    <definedName name="Cuadrillas" localSheetId="32">#REF!</definedName>
    <definedName name="Cuadrillas">#REF!</definedName>
    <definedName name="CUADRO">[32]Cuadro!$B$9:$B$42</definedName>
    <definedName name="CUADROS">[32]Cuadro!$B$9:$C$42</definedName>
    <definedName name="CUARTÓN">[11]INSUMOS!$D$64</definedName>
    <definedName name="Cubierta" localSheetId="31">#REF!</definedName>
    <definedName name="Cubierta" localSheetId="38">#REF!</definedName>
    <definedName name="Cubierta" localSheetId="39">#REF!</definedName>
    <definedName name="Cubierta" localSheetId="40">#REF!</definedName>
    <definedName name="Cubierta" localSheetId="41">#REF!</definedName>
    <definedName name="Cubierta" localSheetId="42">#REF!</definedName>
    <definedName name="Cubierta" localSheetId="43">#REF!</definedName>
    <definedName name="Cubierta" localSheetId="44">#REF!</definedName>
    <definedName name="Cubierta" localSheetId="45">#REF!</definedName>
    <definedName name="Cubierta" localSheetId="46">#REF!</definedName>
    <definedName name="Cubierta" localSheetId="47">#REF!</definedName>
    <definedName name="Cubierta" localSheetId="48">#REF!</definedName>
    <definedName name="Cubierta" localSheetId="49">#REF!</definedName>
    <definedName name="Cubierta" localSheetId="21">#REF!</definedName>
    <definedName name="Cubierta" localSheetId="22">#REF!</definedName>
    <definedName name="Cubierta" localSheetId="23">#REF!</definedName>
    <definedName name="Cubierta" localSheetId="33">#REF!</definedName>
    <definedName name="Cubierta" localSheetId="34">#REF!</definedName>
    <definedName name="Cubierta" localSheetId="35">#REF!</definedName>
    <definedName name="Cubierta" localSheetId="36">#REF!</definedName>
    <definedName name="Cubierta" localSheetId="37">#REF!</definedName>
    <definedName name="Cubierta" localSheetId="16">#REF!</definedName>
    <definedName name="Cubierta" localSheetId="17">#REF!</definedName>
    <definedName name="Cubierta" localSheetId="18">#REF!</definedName>
    <definedName name="Cubierta" localSheetId="19">#REF!</definedName>
    <definedName name="Cubierta" localSheetId="20">#REF!</definedName>
    <definedName name="Cubierta" localSheetId="28">#REF!</definedName>
    <definedName name="Cubierta" localSheetId="25">#REF!</definedName>
    <definedName name="Cubierta" localSheetId="26">#REF!</definedName>
    <definedName name="Cubierta" localSheetId="27">#REF!</definedName>
    <definedName name="Cubierta" localSheetId="24">#REF!</definedName>
    <definedName name="Cubierta" localSheetId="29">#REF!</definedName>
    <definedName name="Cubierta" localSheetId="30">#REF!</definedName>
    <definedName name="Cubierta" localSheetId="32">#REF!</definedName>
    <definedName name="Cubierta">#REF!</definedName>
    <definedName name="CUE">#REF!</definedName>
    <definedName name="CUER">#REF!</definedName>
    <definedName name="CUERDA">#REF!</definedName>
    <definedName name="CUMWART_Zeit_1.000Bh" localSheetId="4">#REF!</definedName>
    <definedName name="CUMWART_Zeit_1.000Bh">#REF!</definedName>
    <definedName name="CUMWART_Zeit_10.000Bh" localSheetId="4">#REF!</definedName>
    <definedName name="CUMWART_Zeit_10.000Bh">#REF!</definedName>
    <definedName name="CUMWART_Zeit_100Bh" localSheetId="4">#REF!</definedName>
    <definedName name="CUMWART_Zeit_100Bh">#REF!</definedName>
    <definedName name="CUMWART_Zeit_10Bh" localSheetId="4">#REF!</definedName>
    <definedName name="CUMWART_Zeit_10Bh">#REF!</definedName>
    <definedName name="CUMWART_Zeit_15.000Bh" localSheetId="4">#REF!</definedName>
    <definedName name="CUMWART_Zeit_15.000Bh">#REF!</definedName>
    <definedName name="CUMWART_Zeit_20.000Bh" localSheetId="4">#REF!</definedName>
    <definedName name="CUMWART_Zeit_20.000Bh">#REF!</definedName>
    <definedName name="CUMWART_Zeit_250Bh" localSheetId="4">#REF!</definedName>
    <definedName name="CUMWART_Zeit_250Bh">#REF!</definedName>
    <definedName name="CUMWART_Zeit_3.000Bh" localSheetId="4">#REF!</definedName>
    <definedName name="CUMWART_Zeit_3.000Bh">#REF!</definedName>
    <definedName name="CUMWART_Zeit_30.000Bh" localSheetId="4">#REF!</definedName>
    <definedName name="CUMWART_Zeit_30.000Bh">#REF!</definedName>
    <definedName name="CUMWART_Zeit_5.000Bh" localSheetId="4">#REF!</definedName>
    <definedName name="CUMWART_Zeit_5.000Bh">#REF!</definedName>
    <definedName name="CUMWART_Zeit_500Bh" localSheetId="4">#REF!</definedName>
    <definedName name="CUMWART_Zeit_500Bh">#REF!</definedName>
    <definedName name="CUMWART_Zeit_7.500Bh" localSheetId="4">#REF!</definedName>
    <definedName name="CUMWART_Zeit_7.500Bh">#REF!</definedName>
    <definedName name="CUNET" localSheetId="4"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urva_conduit_pvc_1_2">'[14]LISTADO DE MATERIALES Y EQUIPOS'!$B$123</definedName>
    <definedName name="cv" localSheetId="4" hidden="1">{"TAB1",#N/A,TRUE,"GENERAL";"TAB2",#N/A,TRUE,"GENERAL";"TAB3",#N/A,TRUE,"GENERAL";"TAB4",#N/A,TRUE,"GENERAL";"TAB5",#N/A,TRUE,"GENERAL"}</definedName>
    <definedName name="cv" localSheetId="9" hidden="1">{"TAB1",#N/A,TRUE,"GENERAL";"TAB2",#N/A,TRUE,"GENERAL";"TAB3",#N/A,TRUE,"GENERAL";"TAB4",#N/A,TRUE,"GENERAL";"TAB5",#N/A,TRUE,"GENERAL"}</definedName>
    <definedName name="cv" hidden="1">{"TAB1",#N/A,TRUE,"GENERAL";"TAB2",#N/A,TRUE,"GENERAL";"TAB3",#N/A,TRUE,"GENERAL";"TAB4",#N/A,TRUE,"GENERAL";"TAB5",#N/A,TRUE,"GENERAL"}</definedName>
    <definedName name="cvfd" localSheetId="4">#REF!</definedName>
    <definedName name="cvfd">#REF!</definedName>
    <definedName name="cvfvd" localSheetId="4"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D" localSheetId="4">#REF!</definedName>
    <definedName name="D">#REF!</definedName>
    <definedName name="D_EXT">#REF!</definedName>
    <definedName name="D_INT">#REF!</definedName>
    <definedName name="D1S">#REF!</definedName>
    <definedName name="D2S">#REF!</definedName>
    <definedName name="D6.PVC">'[13]factores A.N.'!$N$8:$N$33</definedName>
    <definedName name="D61S">#REF!</definedName>
    <definedName name="D62S">#REF!</definedName>
    <definedName name="D6R">#REF!</definedName>
    <definedName name="D81S">#REF!</definedName>
    <definedName name="D82S">#REF!</definedName>
    <definedName name="D8R">#REF!</definedName>
    <definedName name="DADADAD" localSheetId="4" hidden="1">{#N/A,#N/A,TRUE,"CODIGO DEPENDENCIA"}</definedName>
    <definedName name="DADADAD" localSheetId="9" hidden="1">{#N/A,#N/A,TRUE,"CODIGO DEPENDENCIA"}</definedName>
    <definedName name="DADADAD" hidden="1">{#N/A,#N/A,TRUE,"CODIGO DEPENDENCIA"}</definedName>
    <definedName name="DASD" localSheetId="4"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atos" localSheetId="4">#REF!</definedName>
    <definedName name="Datos">#REF!</definedName>
    <definedName name="dbfdfbi" localSheetId="4"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CAF" localSheetId="4">#REF!</definedName>
    <definedName name="DCAF">#REF!</definedName>
    <definedName name="DCSDCTV" localSheetId="4"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D" localSheetId="4">#REF!</definedName>
    <definedName name="DD">#REF!</definedName>
    <definedName name="dd_1" localSheetId="4" hidden="1">{#N/A,#N/A,TRUE,"INGENIERIA";#N/A,#N/A,TRUE,"COMPRAS";#N/A,#N/A,TRUE,"DIRECCION";#N/A,#N/A,TRUE,"RESUMEN"}</definedName>
    <definedName name="dd_1" localSheetId="9" hidden="1">{#N/A,#N/A,TRUE,"INGENIERIA";#N/A,#N/A,TRUE,"COMPRAS";#N/A,#N/A,TRUE,"DIRECCION";#N/A,#N/A,TRUE,"RESUMEN"}</definedName>
    <definedName name="dd_1" hidden="1">{#N/A,#N/A,TRUE,"INGENIERIA";#N/A,#N/A,TRUE,"COMPRAS";#N/A,#N/A,TRUE,"DIRECCION";#N/A,#N/A,TRUE,"RESUMEN"}</definedName>
    <definedName name="dd_2" localSheetId="4" hidden="1">{#N/A,#N/A,TRUE,"INGENIERIA";#N/A,#N/A,TRUE,"COMPRAS";#N/A,#N/A,TRUE,"DIRECCION";#N/A,#N/A,TRUE,"RESUMEN"}</definedName>
    <definedName name="dd_2" localSheetId="9" hidden="1">{#N/A,#N/A,TRUE,"INGENIERIA";#N/A,#N/A,TRUE,"COMPRAS";#N/A,#N/A,TRUE,"DIRECCION";#N/A,#N/A,TRUE,"RESUMEN"}</definedName>
    <definedName name="dd_2" hidden="1">{#N/A,#N/A,TRUE,"INGENIERIA";#N/A,#N/A,TRUE,"COMPRAS";#N/A,#N/A,TRUE,"DIRECCION";#N/A,#N/A,TRUE,"RESUMEN"}</definedName>
    <definedName name="DDD" localSheetId="4">#REF!</definedName>
    <definedName name="DDD">#REF!</definedName>
    <definedName name="ddddt" localSheetId="4"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 localSheetId="4" hidden="1">{#N/A,#N/A,TRUE,"1842CWN0"}</definedName>
    <definedName name="DDE" localSheetId="9" hidden="1">{#N/A,#N/A,TRUE,"1842CWN0"}</definedName>
    <definedName name="DDE" hidden="1">{#N/A,#N/A,TRUE,"1842CWN0"}</definedName>
    <definedName name="DDE_1" localSheetId="4" hidden="1">{#N/A,#N/A,TRUE,"1842CWN0"}</definedName>
    <definedName name="DDE_1" localSheetId="9" hidden="1">{#N/A,#N/A,TRUE,"1842CWN0"}</definedName>
    <definedName name="DDE_1" hidden="1">{#N/A,#N/A,TRUE,"1842CWN0"}</definedName>
    <definedName name="DDE_2" localSheetId="4" hidden="1">{#N/A,#N/A,TRUE,"1842CWN0"}</definedName>
    <definedName name="DDE_2" localSheetId="9" hidden="1">{#N/A,#N/A,TRUE,"1842CWN0"}</definedName>
    <definedName name="DDE_2" hidden="1">{#N/A,#N/A,TRUE,"1842CWN0"}</definedName>
    <definedName name="ddewdw" localSheetId="4"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e">[40]FACTORES!#REF!</definedName>
    <definedName name="De_6">#REF!</definedName>
    <definedName name="De_8">#REF!</definedName>
    <definedName name="Decision" localSheetId="4">#REF!</definedName>
    <definedName name="Decision">#REF!</definedName>
    <definedName name="deded" localSheetId="4"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EFR" localSheetId="4">#REF!</definedName>
    <definedName name="DEFR">#REF!</definedName>
    <definedName name="Delineadores_tubulares__Colombinas">[15]Insumos!$D$42</definedName>
    <definedName name="dem.pav">'[13]factores A.N.'!$E$15:$E$306</definedName>
    <definedName name="DEMOLICIÓN">[1]INSUMOS!#REF!</definedName>
    <definedName name="DEMOLICIONES">[1]INSUMOS!#REF!</definedName>
    <definedName name="Departamento" localSheetId="4">#REF!</definedName>
    <definedName name="Departamento">#REF!</definedName>
    <definedName name="des" localSheetId="4">#REF!</definedName>
    <definedName name="des">#REF!</definedName>
    <definedName name="desarrollo" localSheetId="4">#REF!</definedName>
    <definedName name="desarrollo">#REF!</definedName>
    <definedName name="DESC1" localSheetId="4">[52]ITEMS!$B$2</definedName>
    <definedName name="DESC1">[52]ITEMS!$B$2</definedName>
    <definedName name="DESC521">[53]ITEMS!$B$522</definedName>
    <definedName name="descapote" localSheetId="4" hidden="1">{"TAB1",#N/A,TRUE,"GENERAL";"TAB2",#N/A,TRUE,"GENERAL";"TAB3",#N/A,TRUE,"GENERAL";"TAB4",#N/A,TRUE,"GENERAL";"TAB5",#N/A,TRUE,"GENERAL"}</definedName>
    <definedName name="descapote" localSheetId="9" hidden="1">{"TAB1",#N/A,TRUE,"GENERAL";"TAB2",#N/A,TRUE,"GENERAL";"TAB3",#N/A,TRUE,"GENERAL";"TAB4",#N/A,TRUE,"GENERAL";"TAB5",#N/A,TRUE,"GENERAL"}</definedName>
    <definedName name="descapote" hidden="1">{"TAB1",#N/A,TRUE,"GENERAL";"TAB2",#N/A,TRUE,"GENERAL";"TAB3",#N/A,TRUE,"GENERAL";"TAB4",#N/A,TRUE,"GENERAL";"TAB5",#N/A,TRUE,"GENERAL"}</definedName>
    <definedName name="Descrip_cuadrillas">[51]Cuadrillas!$A$15:$A$77</definedName>
    <definedName name="Descrip_equipos">[51]Equ!$A$15:$A$102</definedName>
    <definedName name="Descrip_transporte">[51]Trans!$A$18:$A$65</definedName>
    <definedName name="Descripción">[51]Mat!$A$11:$A$1041</definedName>
    <definedName name="DESCRP1">[20]DATOS!$D$2</definedName>
    <definedName name="DESCRP2">[20]DATOS!$D$3</definedName>
    <definedName name="DESM">[11]INSUMOS!$D$108</definedName>
    <definedName name="desperdicio" localSheetId="4">[33]APU!$E$7</definedName>
    <definedName name="desperdicio">[34]APU!$E$7</definedName>
    <definedName name="Destino">[29]Hoja1!$G$3:$G$29</definedName>
    <definedName name="DestinoConsultoria" localSheetId="4">#REF!</definedName>
    <definedName name="DestinoConsultoria">#REF!</definedName>
    <definedName name="DestinoObra" localSheetId="4">#REF!</definedName>
    <definedName name="DestinoObra">#REF!</definedName>
    <definedName name="df">#REF!</definedName>
    <definedName name="dfa" localSheetId="4"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9"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E" localSheetId="4" hidden="1">{#N/A,#N/A,TRUE,"1842CWN0"}</definedName>
    <definedName name="DFDE" localSheetId="9" hidden="1">{#N/A,#N/A,TRUE,"1842CWN0"}</definedName>
    <definedName name="DFDE" hidden="1">{#N/A,#N/A,TRUE,"1842CWN0"}</definedName>
    <definedName name="DFDE_1" localSheetId="4" hidden="1">{#N/A,#N/A,TRUE,"1842CWN0"}</definedName>
    <definedName name="DFDE_1" localSheetId="9" hidden="1">{#N/A,#N/A,TRUE,"1842CWN0"}</definedName>
    <definedName name="DFDE_1" hidden="1">{#N/A,#N/A,TRUE,"1842CWN0"}</definedName>
    <definedName name="DFDE_2" localSheetId="4" hidden="1">{#N/A,#N/A,TRUE,"1842CWN0"}</definedName>
    <definedName name="DFDE_2" localSheetId="9" hidden="1">{#N/A,#N/A,TRUE,"1842CWN0"}</definedName>
    <definedName name="DFDE_2" hidden="1">{#N/A,#N/A,TRUE,"1842CWN0"}</definedName>
    <definedName name="dfdf">#REF!</definedName>
    <definedName name="dfds" localSheetId="4"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EET" localSheetId="4" hidden="1">{#N/A,#N/A,TRUE,"INGENIERIA";#N/A,#N/A,TRUE,"COMPRAS";#N/A,#N/A,TRUE,"DIRECCION";#N/A,#N/A,TRUE,"RESUMEN"}</definedName>
    <definedName name="DFEET" localSheetId="9" hidden="1">{#N/A,#N/A,TRUE,"INGENIERIA";#N/A,#N/A,TRUE,"COMPRAS";#N/A,#N/A,TRUE,"DIRECCION";#N/A,#N/A,TRUE,"RESUMEN"}</definedName>
    <definedName name="DFEET" hidden="1">{#N/A,#N/A,TRUE,"INGENIERIA";#N/A,#N/A,TRUE,"COMPRAS";#N/A,#N/A,TRUE,"DIRECCION";#N/A,#N/A,TRUE,"RESUMEN"}</definedName>
    <definedName name="DFEET_1" localSheetId="4" hidden="1">{#N/A,#N/A,TRUE,"INGENIERIA";#N/A,#N/A,TRUE,"COMPRAS";#N/A,#N/A,TRUE,"DIRECCION";#N/A,#N/A,TRUE,"RESUMEN"}</definedName>
    <definedName name="DFEET_1" localSheetId="9" hidden="1">{#N/A,#N/A,TRUE,"INGENIERIA";#N/A,#N/A,TRUE,"COMPRAS";#N/A,#N/A,TRUE,"DIRECCION";#N/A,#N/A,TRUE,"RESUMEN"}</definedName>
    <definedName name="DFEET_1" hidden="1">{#N/A,#N/A,TRUE,"INGENIERIA";#N/A,#N/A,TRUE,"COMPRAS";#N/A,#N/A,TRUE,"DIRECCION";#N/A,#N/A,TRUE,"RESUMEN"}</definedName>
    <definedName name="DFEET_2" localSheetId="4" hidden="1">{#N/A,#N/A,TRUE,"INGENIERIA";#N/A,#N/A,TRUE,"COMPRAS";#N/A,#N/A,TRUE,"DIRECCION";#N/A,#N/A,TRUE,"RESUMEN"}</definedName>
    <definedName name="DFEET_2" localSheetId="9" hidden="1">{#N/A,#N/A,TRUE,"INGENIERIA";#N/A,#N/A,TRUE,"COMPRAS";#N/A,#N/A,TRUE,"DIRECCION";#N/A,#N/A,TRUE,"RESUMEN"}</definedName>
    <definedName name="DFEET_2" hidden="1">{#N/A,#N/A,TRUE,"INGENIERIA";#N/A,#N/A,TRUE,"COMPRAS";#N/A,#N/A,TRUE,"DIRECCION";#N/A,#N/A,TRUE,"RESUMEN"}</definedName>
    <definedName name="dffffe" localSheetId="4"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 localSheetId="4">[18]INSUMOS!#REF!</definedName>
    <definedName name="DFGD">[1]INSUMOS!#REF!</definedName>
    <definedName name="DFGDF">#REF!</definedName>
    <definedName name="DFGDFG" localSheetId="4"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RFRF" localSheetId="4"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sadf">#REF!</definedName>
    <definedName name="dfsdf">#REF!</definedName>
    <definedName name="dfsgf">#REF!</definedName>
    <definedName name="DFVUI" localSheetId="4"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EE" localSheetId="4" hidden="1">{#N/A,#N/A,TRUE,"1842CWN0"}</definedName>
    <definedName name="DGFEE" localSheetId="9" hidden="1">{#N/A,#N/A,TRUE,"1842CWN0"}</definedName>
    <definedName name="DGFEE" hidden="1">{#N/A,#N/A,TRUE,"1842CWN0"}</definedName>
    <definedName name="DGFEE_1" localSheetId="4" hidden="1">{#N/A,#N/A,TRUE,"1842CWN0"}</definedName>
    <definedName name="DGFEE_1" localSheetId="9" hidden="1">{#N/A,#N/A,TRUE,"1842CWN0"}</definedName>
    <definedName name="DGFEE_1" hidden="1">{#N/A,#N/A,TRUE,"1842CWN0"}</definedName>
    <definedName name="DGFEE_2" localSheetId="4" hidden="1">{#N/A,#N/A,TRUE,"1842CWN0"}</definedName>
    <definedName name="DGFEE_2" localSheetId="9" hidden="1">{#N/A,#N/A,TRUE,"1842CWN0"}</definedName>
    <definedName name="DGFEE_2" hidden="1">{#N/A,#N/A,TRUE,"1842CWN0"}</definedName>
    <definedName name="DGFG" localSheetId="4"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GGHF" localSheetId="4" hidden="1">{#N/A,#N/A,TRUE,"INGENIERIA";#N/A,#N/A,TRUE,"COMPRAS";#N/A,#N/A,TRUE,"DIRECCION";#N/A,#N/A,TRUE,"RESUMEN"}</definedName>
    <definedName name="DGFGGHF" localSheetId="9" hidden="1">{#N/A,#N/A,TRUE,"INGENIERIA";#N/A,#N/A,TRUE,"COMPRAS";#N/A,#N/A,TRUE,"DIRECCION";#N/A,#N/A,TRUE,"RESUMEN"}</definedName>
    <definedName name="DGFGGHF" hidden="1">{#N/A,#N/A,TRUE,"INGENIERIA";#N/A,#N/A,TRUE,"COMPRAS";#N/A,#N/A,TRUE,"DIRECCION";#N/A,#N/A,TRUE,"RESUMEN"}</definedName>
    <definedName name="DGFGGHF_1" localSheetId="4" hidden="1">{#N/A,#N/A,TRUE,"INGENIERIA";#N/A,#N/A,TRUE,"COMPRAS";#N/A,#N/A,TRUE,"DIRECCION";#N/A,#N/A,TRUE,"RESUMEN"}</definedName>
    <definedName name="DGFGGHF_1" localSheetId="9" hidden="1">{#N/A,#N/A,TRUE,"INGENIERIA";#N/A,#N/A,TRUE,"COMPRAS";#N/A,#N/A,TRUE,"DIRECCION";#N/A,#N/A,TRUE,"RESUMEN"}</definedName>
    <definedName name="DGFGGHF_1" hidden="1">{#N/A,#N/A,TRUE,"INGENIERIA";#N/A,#N/A,TRUE,"COMPRAS";#N/A,#N/A,TRUE,"DIRECCION";#N/A,#N/A,TRUE,"RESUMEN"}</definedName>
    <definedName name="DGFGGHF_2" localSheetId="4" hidden="1">{#N/A,#N/A,TRUE,"INGENIERIA";#N/A,#N/A,TRUE,"COMPRAS";#N/A,#N/A,TRUE,"DIRECCION";#N/A,#N/A,TRUE,"RESUMEN"}</definedName>
    <definedName name="DGFGGHF_2" localSheetId="9" hidden="1">{#N/A,#N/A,TRUE,"INGENIERIA";#N/A,#N/A,TRUE,"COMPRAS";#N/A,#N/A,TRUE,"DIRECCION";#N/A,#N/A,TRUE,"RESUMEN"}</definedName>
    <definedName name="DGFGGHF_2" hidden="1">{#N/A,#N/A,TRUE,"INGENIERIA";#N/A,#N/A,TRUE,"COMPRAS";#N/A,#N/A,TRUE,"DIRECCION";#N/A,#N/A,TRUE,"RESUMEN"}</definedName>
    <definedName name="DGFR" localSheetId="4" hidden="1">{#N/A,#N/A,TRUE,"1842CWN0"}</definedName>
    <definedName name="DGFR" localSheetId="9" hidden="1">{#N/A,#N/A,TRUE,"1842CWN0"}</definedName>
    <definedName name="DGFR" hidden="1">{#N/A,#N/A,TRUE,"1842CWN0"}</definedName>
    <definedName name="DGFR_1" localSheetId="4" hidden="1">{#N/A,#N/A,TRUE,"1842CWN0"}</definedName>
    <definedName name="DGFR_1" localSheetId="9" hidden="1">{#N/A,#N/A,TRUE,"1842CWN0"}</definedName>
    <definedName name="DGFR_1" hidden="1">{#N/A,#N/A,TRUE,"1842CWN0"}</definedName>
    <definedName name="DGFR_2" localSheetId="4" hidden="1">{#N/A,#N/A,TRUE,"1842CWN0"}</definedName>
    <definedName name="DGFR_2" localSheetId="9" hidden="1">{#N/A,#N/A,TRUE,"1842CWN0"}</definedName>
    <definedName name="DGFR_2" hidden="1">{#N/A,#N/A,TRUE,"1842CWN0"}</definedName>
    <definedName name="dgfsado" localSheetId="4"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GGHHJT" localSheetId="4" hidden="1">{#N/A,#N/A,TRUE,"INGENIERIA";#N/A,#N/A,TRUE,"COMPRAS";#N/A,#N/A,TRUE,"DIRECCION";#N/A,#N/A,TRUE,"RESUMEN"}</definedName>
    <definedName name="DGGGHHJT" localSheetId="9" hidden="1">{#N/A,#N/A,TRUE,"INGENIERIA";#N/A,#N/A,TRUE,"COMPRAS";#N/A,#N/A,TRUE,"DIRECCION";#N/A,#N/A,TRUE,"RESUMEN"}</definedName>
    <definedName name="DGGGHHJT" hidden="1">{#N/A,#N/A,TRUE,"INGENIERIA";#N/A,#N/A,TRUE,"COMPRAS";#N/A,#N/A,TRUE,"DIRECCION";#N/A,#N/A,TRUE,"RESUMEN"}</definedName>
    <definedName name="DGGGHHJT_1" localSheetId="4" hidden="1">{#N/A,#N/A,TRUE,"INGENIERIA";#N/A,#N/A,TRUE,"COMPRAS";#N/A,#N/A,TRUE,"DIRECCION";#N/A,#N/A,TRUE,"RESUMEN"}</definedName>
    <definedName name="DGGGHHJT_1" localSheetId="9" hidden="1">{#N/A,#N/A,TRUE,"INGENIERIA";#N/A,#N/A,TRUE,"COMPRAS";#N/A,#N/A,TRUE,"DIRECCION";#N/A,#N/A,TRUE,"RESUMEN"}</definedName>
    <definedName name="DGGGHHJT_1" hidden="1">{#N/A,#N/A,TRUE,"INGENIERIA";#N/A,#N/A,TRUE,"COMPRAS";#N/A,#N/A,TRUE,"DIRECCION";#N/A,#N/A,TRUE,"RESUMEN"}</definedName>
    <definedName name="DGGGHHJT_2" localSheetId="4" hidden="1">{#N/A,#N/A,TRUE,"INGENIERIA";#N/A,#N/A,TRUE,"COMPRAS";#N/A,#N/A,TRUE,"DIRECCION";#N/A,#N/A,TRUE,"RESUMEN"}</definedName>
    <definedName name="DGGGHHJT_2" localSheetId="9" hidden="1">{#N/A,#N/A,TRUE,"INGENIERIA";#N/A,#N/A,TRUE,"COMPRAS";#N/A,#N/A,TRUE,"DIRECCION";#N/A,#N/A,TRUE,"RESUMEN"}</definedName>
    <definedName name="DGGGHHJT_2" hidden="1">{#N/A,#N/A,TRUE,"INGENIERIA";#N/A,#N/A,TRUE,"COMPRAS";#N/A,#N/A,TRUE,"DIRECCION";#N/A,#N/A,TRUE,"RESUMEN"}</definedName>
    <definedName name="dgrdeb" localSheetId="4"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GRR" localSheetId="4" hidden="1">{#N/A,#N/A,TRUE,"INGENIERIA";#N/A,#N/A,TRUE,"COMPRAS";#N/A,#N/A,TRUE,"DIRECCION";#N/A,#N/A,TRUE,"RESUMEN"}</definedName>
    <definedName name="DGRR" localSheetId="9" hidden="1">{#N/A,#N/A,TRUE,"INGENIERIA";#N/A,#N/A,TRUE,"COMPRAS";#N/A,#N/A,TRUE,"DIRECCION";#N/A,#N/A,TRUE,"RESUMEN"}</definedName>
    <definedName name="DGRR" hidden="1">{#N/A,#N/A,TRUE,"INGENIERIA";#N/A,#N/A,TRUE,"COMPRAS";#N/A,#N/A,TRUE,"DIRECCION";#N/A,#N/A,TRUE,"RESUMEN"}</definedName>
    <definedName name="DGRR_1" localSheetId="4" hidden="1">{#N/A,#N/A,TRUE,"INGENIERIA";#N/A,#N/A,TRUE,"COMPRAS";#N/A,#N/A,TRUE,"DIRECCION";#N/A,#N/A,TRUE,"RESUMEN"}</definedName>
    <definedName name="DGRR_1" localSheetId="9" hidden="1">{#N/A,#N/A,TRUE,"INGENIERIA";#N/A,#N/A,TRUE,"COMPRAS";#N/A,#N/A,TRUE,"DIRECCION";#N/A,#N/A,TRUE,"RESUMEN"}</definedName>
    <definedName name="DGRR_1" hidden="1">{#N/A,#N/A,TRUE,"INGENIERIA";#N/A,#N/A,TRUE,"COMPRAS";#N/A,#N/A,TRUE,"DIRECCION";#N/A,#N/A,TRUE,"RESUMEN"}</definedName>
    <definedName name="DGRR_2" localSheetId="4" hidden="1">{#N/A,#N/A,TRUE,"INGENIERIA";#N/A,#N/A,TRUE,"COMPRAS";#N/A,#N/A,TRUE,"DIRECCION";#N/A,#N/A,TRUE,"RESUMEN"}</definedName>
    <definedName name="DGRR_2" localSheetId="9" hidden="1">{#N/A,#N/A,TRUE,"INGENIERIA";#N/A,#N/A,TRUE,"COMPRAS";#N/A,#N/A,TRUE,"DIRECCION";#N/A,#N/A,TRUE,"RESUMEN"}</definedName>
    <definedName name="DGRR_2" hidden="1">{#N/A,#N/A,TRUE,"INGENIERIA";#N/A,#N/A,TRUE,"COMPRAS";#N/A,#N/A,TRUE,"DIRECCION";#N/A,#N/A,TRUE,"RESUMEN"}</definedName>
    <definedName name="DH" localSheetId="4"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IAGON">[11]INSUMOS!$D$162</definedName>
    <definedName name="Diametro">#REF!</definedName>
    <definedName name="DIC" localSheetId="4">#REF!</definedName>
    <definedName name="DIC">#REF!</definedName>
    <definedName name="DifConsultoriaFM" localSheetId="4">#REF!</definedName>
    <definedName name="DifConsultoriaFM">#REF!</definedName>
    <definedName name="DIRECTO1">[54]APU!$U$132</definedName>
    <definedName name="DIRECTO10">[54]APU!$U$681</definedName>
    <definedName name="DIRECTO100">[54]APU!$U$6171</definedName>
    <definedName name="DIRECTO101">[54]APU!$U$6232</definedName>
    <definedName name="DIRECTO102">[54]APU!$U$6293</definedName>
    <definedName name="DIRECTO103">[54]APU!$U$6354</definedName>
    <definedName name="DIRECTO104">[54]APU!$U$6415</definedName>
    <definedName name="DIRECTO105">[54]APU!$U$6476</definedName>
    <definedName name="DIRECTO11">[54]APU!$U$742</definedName>
    <definedName name="DIRECTO12">[54]APU!$U$803</definedName>
    <definedName name="DIRECTO124">[54]APU!$U$7635</definedName>
    <definedName name="DIRECTO125">[54]APU!$U$7696</definedName>
    <definedName name="DIRECTO126">[54]APU!$U$7757</definedName>
    <definedName name="DIRECTO127">[54]APU!$U$7818</definedName>
    <definedName name="DIRECTO128">[54]APU!$U$7879</definedName>
    <definedName name="DIRECTO129">[54]APU!$U$7940</definedName>
    <definedName name="DIRECTO13">[54]APU!$U$864</definedName>
    <definedName name="DIRECTO130">[54]APU!$U$8001</definedName>
    <definedName name="DIRECTO131">[54]APU!$U$8062</definedName>
    <definedName name="DIRECTO132">[54]APU!$U$8123</definedName>
    <definedName name="DIRECTO133">[54]APU!$U$8184</definedName>
    <definedName name="DIRECTO134">[54]APU!$U$8245</definedName>
    <definedName name="DIRECTO14">[54]APU!$U$925</definedName>
    <definedName name="DIRECTO15">[54]APU!$U$986</definedName>
    <definedName name="DIRECTO16">[54]APU!$U$1047</definedName>
    <definedName name="DIRECTO17">[54]APU!$U$1108</definedName>
    <definedName name="DIRECTO18">[54]APU!$U$1169</definedName>
    <definedName name="DIRECTO2">[54]APU!$U$193</definedName>
    <definedName name="DIRECTO2.10">[54]APU!$U$14889</definedName>
    <definedName name="DIRECTO2.11">[54]APU!$U$14950</definedName>
    <definedName name="DIRECTO2.12">[54]APU!$U$15011</definedName>
    <definedName name="DIRECTO2.9">[54]APU!$U$11839</definedName>
    <definedName name="DIRECTO21">[54]APU!$U$1352</definedName>
    <definedName name="DIRECTO22">[54]APU!$U$1413</definedName>
    <definedName name="DIRECTO23">[54]APU!$U$1474</definedName>
    <definedName name="DIRECTO24">[54]APU!$U$1535</definedName>
    <definedName name="DIRECTO25">[54]APU!$U$1596</definedName>
    <definedName name="DIRECTO26">[54]APU!$U$1657</definedName>
    <definedName name="DIRECTO27">[54]APU!$U$1718</definedName>
    <definedName name="DIRECTO28">[54]APU!$U$1779</definedName>
    <definedName name="DIRECTO29">[54]APU!$U$1840</definedName>
    <definedName name="DIRECTO3">[54]APU!$U$254</definedName>
    <definedName name="DIRECTO3.15">[54]APU!$U$8667</definedName>
    <definedName name="DIRECTO3.16">[54]APU!$U$8728</definedName>
    <definedName name="DIRECTO3.17">[54]APU!$U$8789</definedName>
    <definedName name="DIRECTO3.18">[54]APU!$U$8850</definedName>
    <definedName name="DIRECTO3.19">[54]APU!$U$8911</definedName>
    <definedName name="DIRECTO3.20">[54]APU!$U$8972</definedName>
    <definedName name="DIRECTO3.21">[54]APU!$U$11961</definedName>
    <definedName name="DIRECTO3.22">[54]APU!$U$14523</definedName>
    <definedName name="DIRECTO3.23">[54]APU!$U$15133</definedName>
    <definedName name="DIRECTO3.24">[54]APU!$U$16292</definedName>
    <definedName name="DIRECTO3.25">[54]APU!$U$16353</definedName>
    <definedName name="DIRECTO3.26">[54]APU!$U$16414</definedName>
    <definedName name="DIRECTO3.27">[54]APU!$U$16475</definedName>
    <definedName name="DIRECTO3.28">[54]APU!$U$16536</definedName>
    <definedName name="DIRECTO30">[54]APU!$U$1901</definedName>
    <definedName name="DIRECTO31">[54]APU!$U$1962</definedName>
    <definedName name="DIRECTO32">[54]APU!$U$2023</definedName>
    <definedName name="DIRECTO33">[54]APU!$U$2084</definedName>
    <definedName name="DIRECTO34">[54]APU!$U$2145</definedName>
    <definedName name="DIRECTO35">[54]APU!$U$2206</definedName>
    <definedName name="DIRECTO36">[54]APU!$U$2267</definedName>
    <definedName name="DIRECTO37">[54]APU!$U$2328</definedName>
    <definedName name="DIRECTO38">[54]APU!$U$2389</definedName>
    <definedName name="DIRECTO39">[54]APU!$U$2450</definedName>
    <definedName name="DIRECTO4">[54]APU!$U$315</definedName>
    <definedName name="DIRECTO4.20">[54]APU!$U$9216</definedName>
    <definedName name="DIRECTO4.21">[54]APU!$U$9277</definedName>
    <definedName name="DIRECTO4.22">[54]APU!$U$9338</definedName>
    <definedName name="DIRECTO4.23">[54]APU!$U$9399</definedName>
    <definedName name="DIRECTO4.24">[54]APU!$U$9460</definedName>
    <definedName name="DIRECTO4.25">[54]APU!$U$9521</definedName>
    <definedName name="DIRECTO4.26">[54]APU!$U$9582</definedName>
    <definedName name="DIRECTO4.27">[54]APU!$U$9643</definedName>
    <definedName name="DIRECTO4.28">[54]APU!$U$9704</definedName>
    <definedName name="DIRECTO4.29">[54]APU!$U$9765</definedName>
    <definedName name="DIRECTO4.30">[54]APU!$U$9826</definedName>
    <definedName name="DIRECTO4.31">[54]APU!$U$9887</definedName>
    <definedName name="DIRECTO4.32">[54]APU!$U$9948</definedName>
    <definedName name="DIRECTO4.33">[54]APU!$U$10009</definedName>
    <definedName name="DIRECTO4.34">[54]APU!$U$10070</definedName>
    <definedName name="DIRECTO4.35">[54]APU!$U$11595</definedName>
    <definedName name="DIRECTO4.36">[54]APU!$U$11656</definedName>
    <definedName name="DIRECTO4.37">[54]APU!$U$15987</definedName>
    <definedName name="DIRECTO4.38">[54]APU!$U$15194</definedName>
    <definedName name="DIRECTO4.39">[54]APU!$U$14279</definedName>
    <definedName name="DIRECTO4.40">[54]APU!$U$14340</definedName>
    <definedName name="DIRECTO4.41">[54]APU!$U$14401</definedName>
    <definedName name="DIRECTO4.42">[54]APU!$U$14462</definedName>
    <definedName name="DIRECTO4.43">[54]APU!$U$14584</definedName>
    <definedName name="DIRECTO4.44">[54]APU!$U$16048</definedName>
    <definedName name="DIRECTO4.45">[54]APU!$U$16109</definedName>
    <definedName name="DIRECTO4.46">[54]APU!$U$14706</definedName>
    <definedName name="DIRECTO4.47">[54]APU!$U$15926</definedName>
    <definedName name="DIRECTO4.48">[54]APU!$U$16170</definedName>
    <definedName name="DIRECTO4.49">[54]APU!$U$16231</definedName>
    <definedName name="DIRECTO4.50">[54]APU!$U$16902</definedName>
    <definedName name="DIRECTO4.51">[54]APU!$U$17634</definedName>
    <definedName name="DIRECTO4.52">[54]APU!$U$17695</definedName>
    <definedName name="DIRECTO40">[54]APU!$U$2511</definedName>
    <definedName name="DIRECTO41">[54]APU!$U$2572</definedName>
    <definedName name="DIRECTO42">[54]APU!$U$2633</definedName>
    <definedName name="DIRECTO43">[54]APU!$U$2694</definedName>
    <definedName name="DIRECTO44">[54]APU!$U$2755</definedName>
    <definedName name="DIRECTO45">[54]APU!$U$2816</definedName>
    <definedName name="DIRECTO46">[54]APU!$U$2877</definedName>
    <definedName name="DIRECTO47">[54]APU!$U$2938</definedName>
    <definedName name="DIRECTO48">[54]APU!$U$2999</definedName>
    <definedName name="DIRECTO49">[54]APU!$U$3060</definedName>
    <definedName name="DIRECTO5">[54]APU!$U$376</definedName>
    <definedName name="DIRECTO5.100">[54]APU!$U$12449</definedName>
    <definedName name="DIRECTO5.101">[54]APU!$U$12510</definedName>
    <definedName name="DIRECTO5.104">[54]APU!$U$12571</definedName>
    <definedName name="DIRECTO5.105">[54]APU!$U$12632</definedName>
    <definedName name="DIRECTO5.106">[54]APU!$U$12693</definedName>
    <definedName name="DIRECTO5.107">[54]APU!$U$12754</definedName>
    <definedName name="DIRECTO5.108">[54]APU!$U$12815</definedName>
    <definedName name="DIRECTO5.109">[54]APU!$U$12876</definedName>
    <definedName name="DIRECTO5.111">[54]APU!$U$12937</definedName>
    <definedName name="DIRECTO5.112">[54]APU!$U$12998</definedName>
    <definedName name="DIRECTO5.113">[54]APU!$U$14767</definedName>
    <definedName name="DIRECTO5.114">[54]APU!$U$14828</definedName>
    <definedName name="DIRECTO5.115">[54]APU!$U$15072</definedName>
    <definedName name="DIRECTO5.53">[54]APU!$U$10131</definedName>
    <definedName name="DIRECTO5.54">[54]APU!$U$10192</definedName>
    <definedName name="DIRECTO5.55">[54]APU!$U$10253</definedName>
    <definedName name="DIRECTO5.56">[54]APU!$U$10314</definedName>
    <definedName name="DIRECTO5.57">[54]APU!$U$10375</definedName>
    <definedName name="DIRECTO5.58">[54]APU!$U$10436</definedName>
    <definedName name="DIRECTO5.59">[54]APU!$U$10497</definedName>
    <definedName name="DIRECTO5.60">[54]APU!$U$10558</definedName>
    <definedName name="DIRECTO5.61">[54]APU!$U$10619</definedName>
    <definedName name="DIRECTO5.62">[54]APU!$U$10680</definedName>
    <definedName name="DIRECTO5.63">[54]APU!$U$10741</definedName>
    <definedName name="DIRECTO5.64">[54]APU!$U$10802</definedName>
    <definedName name="DIRECTO5.65">[54]APU!$U$10863</definedName>
    <definedName name="DIRECTO5.66">[54]APU!$U$10924</definedName>
    <definedName name="DIRECTO5.67">[54]APU!$U$10985</definedName>
    <definedName name="DIRECTO5.68">[54]APU!$U$11046</definedName>
    <definedName name="DIRECTO5.69">[54]APU!$U$11107</definedName>
    <definedName name="DIRECTO5.70">[54]APU!$U$11168</definedName>
    <definedName name="DIRECTO5.71">[54]APU!$U$11229</definedName>
    <definedName name="DIRECTO5.72">[54]APU!$U$12022</definedName>
    <definedName name="DIRECTO5.73">[54]APU!$U$12083</definedName>
    <definedName name="DIRECTO5.74">[54]APU!$U$12144</definedName>
    <definedName name="DIRECTO5.77">[54]APU!$U$12205</definedName>
    <definedName name="DIRECTO5.78">[54]APU!$U$12327</definedName>
    <definedName name="DIRECTO5.79">[54]APU!$U$12388</definedName>
    <definedName name="DIRECTO5.80">[54]APU!$U$12266</definedName>
    <definedName name="DIRECTO5.82">[54]APU!$U$14035</definedName>
    <definedName name="DIRECTO5.83">[54]APU!$U$14096</definedName>
    <definedName name="DIRECTO5.84">[54]APU!$U$13364</definedName>
    <definedName name="DIRECTO5.85">[54]APU!$U$13425</definedName>
    <definedName name="DIRECTO5.86">[54]APU!$U$13486</definedName>
    <definedName name="DIRECTO5.87">[54]APU!$U$13547</definedName>
    <definedName name="DIRECTO5.88">[54]APU!$U$13608</definedName>
    <definedName name="DIRECTO5.89">[54]APU!$U$13669</definedName>
    <definedName name="DIRECTO5.90">[54]APU!$U$13730</definedName>
    <definedName name="DIRECTO5.91">[54]APU!$U$13791</definedName>
    <definedName name="DIRECTO5.92">[54]APU!$U$13852</definedName>
    <definedName name="DIRECTO5.93">[54]APU!$U$13913</definedName>
    <definedName name="DIRECTO5.94">[54]APU!$U$13974</definedName>
    <definedName name="DIRECTO5.95">[54]APU!$U$13059</definedName>
    <definedName name="DIRECTO5.96">[54]APU!$U$13120</definedName>
    <definedName name="DIRECTO5.97">[54]APU!$U$13181</definedName>
    <definedName name="DIRECTO5.98">[54]APU!$U$13242</definedName>
    <definedName name="DIRECTO5.99">[54]APU!$U$13303</definedName>
    <definedName name="DIRECTO50">[54]APU!$U$3121</definedName>
    <definedName name="DIRECTO51">[54]APU!$U$3182</definedName>
    <definedName name="DIRECTO52">[54]APU!$U$3243</definedName>
    <definedName name="DIRECTO53">[54]APU!$U$3304</definedName>
    <definedName name="DIRECTO54">[54]APU!$U$3365</definedName>
    <definedName name="DIRECTO55">[54]APU!$U$3426</definedName>
    <definedName name="DIRECTO56">[54]APU!$U$3487</definedName>
    <definedName name="DIRECTO57">[54]APU!$U$3548</definedName>
    <definedName name="DIRECTO58">[54]APU!$U$3609</definedName>
    <definedName name="DIRECTO59">[54]APU!$U$3670</definedName>
    <definedName name="DIRECTO6">[54]APU!$U$437</definedName>
    <definedName name="DIRECTO60">[54]APU!$U$3731</definedName>
    <definedName name="DIRECTO61">[54]APU!$U$3792</definedName>
    <definedName name="DIRECTO62">[54]APU!$U$3853</definedName>
    <definedName name="DIRECTO63">[54]APU!$U$3914</definedName>
    <definedName name="DIRECTO64">[54]APU!$U$3975</definedName>
    <definedName name="DIRECTO65">[54]APU!$U$4036</definedName>
    <definedName name="DIRECTO66">[54]APU!$U$4097</definedName>
    <definedName name="DIRECTO67">[54]APU!$U$4158</definedName>
    <definedName name="DIRECTO68">[54]APU!$U$4219</definedName>
    <definedName name="DIRECTO69">[54]APU!$U$4280</definedName>
    <definedName name="DIRECTO7">[54]APU!$U$498</definedName>
    <definedName name="DIRECTO7.12">[54]APU!$U$8305</definedName>
    <definedName name="DIRECTO7.13">[54]APU!$U$8366</definedName>
    <definedName name="DIRECTO7.14">[54]APU!$U$8427</definedName>
    <definedName name="DIRECTO7.15">[54]APU!$U$8488</definedName>
    <definedName name="DIRECTO7.16">[54]APU!$U$8606</definedName>
    <definedName name="DIRECTO7.17">[54]APU!$U$11290</definedName>
    <definedName name="DIRECTO7.18">[54]APU!$U$11351</definedName>
    <definedName name="DIRECTO7.19">[54]APU!$U$11412</definedName>
    <definedName name="DIRECTO7.20">[54]APU!$U$11473</definedName>
    <definedName name="DIRECTO7.21">[54]APU!$U$11534</definedName>
    <definedName name="DIRECTO7.22">[54]APU!$U$11717</definedName>
    <definedName name="DIRECTO7.23">[54]APU!$U$11778</definedName>
    <definedName name="DIRECTO7.24">[54]APU!$U$14645</definedName>
    <definedName name="DIRECTO7.25">[54]APU!$U$15255</definedName>
    <definedName name="DIRECTO7.26">[54]APU!$U$15316</definedName>
    <definedName name="DIRECTO7.27">[54]APU!$U$15377</definedName>
    <definedName name="DIRECTO7.28">[54]APU!$U$15438</definedName>
    <definedName name="DIRECTO7.29">[54]APU!$U$15499</definedName>
    <definedName name="DIRECTO7.30">[54]APU!$U$15560</definedName>
    <definedName name="DIRECTO7.31">[54]APU!$U$15621</definedName>
    <definedName name="DIRECTO7.32">[54]APU!$U$15682</definedName>
    <definedName name="DIRECTO7.33">[54]APU!$U$15743</definedName>
    <definedName name="DIRECTO7.34">[54]APU!$U$15804</definedName>
    <definedName name="DIRECTO7.35">[54]APU!$U$15865</definedName>
    <definedName name="DIRECTO7.36">[54]APU!$U$17085</definedName>
    <definedName name="DIRECTO7.37">[54]APU!$U$17268</definedName>
    <definedName name="DIRECTO7.38">[54]APU!$U$17207</definedName>
    <definedName name="DIRECTO7.39">[54]APU!$U$17390</definedName>
    <definedName name="DIRECTO7.40">[54]APU!$U$17451</definedName>
    <definedName name="DIRECTO7.41">[54]APU!$U$17512</definedName>
    <definedName name="DIRECTO7.42">[54]APU!$U$17146</definedName>
    <definedName name="DIRECTO7.43">[54]APU!$U$17573</definedName>
    <definedName name="DIRECTO7.44">[54]APU!$U$17329</definedName>
    <definedName name="DIRECTO70">[54]APU!$U$4341</definedName>
    <definedName name="DIRECTO71">[54]APU!$U$4402</definedName>
    <definedName name="DIRECTO72">[54]APU!$U$4463</definedName>
    <definedName name="DIRECTO73">[54]APU!$U$4524</definedName>
    <definedName name="DIRECTO74">[54]APU!$U$4585</definedName>
    <definedName name="DIRECTO75">[54]APU!$U$4646</definedName>
    <definedName name="DIRECTO76">[54]APU!$U$4707</definedName>
    <definedName name="DIRECTO77">[54]APU!$U$4768</definedName>
    <definedName name="DIRECTO78">[54]APU!$U$4829</definedName>
    <definedName name="DIRECTO79">[54]APU!$U$4890</definedName>
    <definedName name="DIRECTO8">[54]APU!$U$559</definedName>
    <definedName name="DIRECTO80">[54]APU!$U$4951</definedName>
    <definedName name="DIRECTO81">[54]APU!$U$5012</definedName>
    <definedName name="DIRECTO82">[54]APU!$U$5073</definedName>
    <definedName name="DIRECTO83">[54]APU!$U$5134</definedName>
    <definedName name="DIRECTO84">[54]APU!$U$5195</definedName>
    <definedName name="DIRECTO85">[54]APU!$U$5256</definedName>
    <definedName name="DIRECTO86">[54]APU!$U$5317</definedName>
    <definedName name="DIRECTO87">[54]APU!$U$5378</definedName>
    <definedName name="DIRECTO88">[54]APU!$U$5439</definedName>
    <definedName name="DIRECTO89">[54]APU!$U$5500</definedName>
    <definedName name="DIRECTO9">[54]APU!$U$620</definedName>
    <definedName name="DIRECTO9.1">[54]APU!$U$16597</definedName>
    <definedName name="DIRECTO9.2">[54]APU!$U$16658</definedName>
    <definedName name="DIRECTO9.3">[54]APU!$U$16719</definedName>
    <definedName name="DIRECTO9.4">[54]APU!$U$16780</definedName>
    <definedName name="DIRECTO9.5">[54]APU!$U$16841</definedName>
    <definedName name="DIRECTO90">[54]APU!$U$5561</definedName>
    <definedName name="DIRECTO91">[54]APU!$U$5622</definedName>
    <definedName name="DIRECTO92">[54]APU!$U$5683</definedName>
    <definedName name="DIRECTO93">[54]APU!$U$5744</definedName>
    <definedName name="DIRECTO94">[54]APU!$U$5805</definedName>
    <definedName name="DIRECTO95">[54]APU!$U$5866</definedName>
    <definedName name="DIRECTO96">[54]APU!$U$5927</definedName>
    <definedName name="DIRECTO97">[54]APU!$U$5988</definedName>
    <definedName name="DIRECTO98">[54]APU!$U$6049</definedName>
    <definedName name="DIRECTO99">[54]APU!$U$6110</definedName>
    <definedName name="Director_de_obra">[15]CUADRILLAS!$B$16</definedName>
    <definedName name="diruno" localSheetId="4">#REF!</definedName>
    <definedName name="diruno">#REF!</definedName>
    <definedName name="Disco_abrasivo_corte_de_metal_14">[15]Insumos!$D$35</definedName>
    <definedName name="DIST_BORDILLO_GRANADA" localSheetId="4">[28]DISTANCIAS!#REF!</definedName>
    <definedName name="DIST_BORDILLO_GRANADA">[28]DISTANCIAS!#REF!</definedName>
    <definedName name="DIST_BORDILLO_MARINILLA" localSheetId="4">[28]DISTANCIAS!#REF!</definedName>
    <definedName name="DIST_BORDILLO_MARINILLA">[28]DISTANCIAS!#REF!</definedName>
    <definedName name="DIST_BORDILLO_SANCARLOS" localSheetId="4">[28]DISTANCIAS!#REF!</definedName>
    <definedName name="DIST_BORDILLO_SANCARLOS">[28]DISTANCIAS!#REF!</definedName>
    <definedName name="DIST_BORDILLO_STODOMINGO" localSheetId="4">[28]DISTANCIAS!#REF!</definedName>
    <definedName name="DIST_BORDILLO_STODOMINGO">[28]DISTANCIAS!#REF!</definedName>
    <definedName name="DISTANCIA_A_SITIO_DE_BOTADA__KM__BETANIA">[28]DISTANCIAS!$B$6</definedName>
    <definedName name="DISTANCIA_A_SITIO_DE_BOTADA__KM__HISPANIA">[28]DISTANCIAS!$B$10</definedName>
    <definedName name="DISTANCIA_A_SITIO_DE_BOTADA__KM__SALGAR">[28]DISTANCIAS!$B$12</definedName>
    <definedName name="DISTANCIA_A_SITIO_DE_CANTERA__KM__BETANIA">[28]DISTANCIAS!$B$7</definedName>
    <definedName name="DISTANCIA_A_SITIO_DE_CANTERA__KM__CIUDAD_BOLÍVAR">[28]DISTANCIAS!$B$9</definedName>
    <definedName name="DISTANCIA_A_SITIO_DE_CANTERA__KM__HISPANIA">[28]DISTANCIAS!$B$11</definedName>
    <definedName name="DISTANCIA_A_SITIO_DE_CANTERA__KM__SALGAR">[28]DISTANCIAS!$B$13</definedName>
    <definedName name="DISTANCIA_BORDILLO__KM__BETANIA">[28]DISTANCIAS!$B$15</definedName>
    <definedName name="DISTANCIA_BORDILLO__KM__CIUDAD_BOLIVAR">[28]DISTANCIAS!$B$16</definedName>
    <definedName name="DISTANCIA_BORDILLO__KM__HISPANIA">[28]DISTANCIAS!$B$17</definedName>
    <definedName name="DISTANCIA_BORDILLO__KM__SALGAR">[28]DISTANCIAS!$B$18</definedName>
    <definedName name="djdytj" localSheetId="4"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np">[55]Niples!$N$21:$N$32</definedName>
    <definedName name="DR">#REF!</definedName>
    <definedName name="drg" localSheetId="4">[18]INSUMOS!#REF!</definedName>
    <definedName name="drg">[18]INSUMOS!#REF!</definedName>
    <definedName name="dry" localSheetId="4"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rywall" localSheetId="31">#REF!</definedName>
    <definedName name="Drywall" localSheetId="38">#REF!</definedName>
    <definedName name="Drywall" localSheetId="39">#REF!</definedName>
    <definedName name="Drywall" localSheetId="40">#REF!</definedName>
    <definedName name="Drywall" localSheetId="41">#REF!</definedName>
    <definedName name="Drywall" localSheetId="42">#REF!</definedName>
    <definedName name="Drywall" localSheetId="43">#REF!</definedName>
    <definedName name="Drywall" localSheetId="44">#REF!</definedName>
    <definedName name="Drywall" localSheetId="45">#REF!</definedName>
    <definedName name="Drywall" localSheetId="46">#REF!</definedName>
    <definedName name="Drywall" localSheetId="47">#REF!</definedName>
    <definedName name="Drywall" localSheetId="48">#REF!</definedName>
    <definedName name="Drywall" localSheetId="49">#REF!</definedName>
    <definedName name="Drywall" localSheetId="21">#REF!</definedName>
    <definedName name="Drywall" localSheetId="22">#REF!</definedName>
    <definedName name="Drywall" localSheetId="23">#REF!</definedName>
    <definedName name="Drywall" localSheetId="33">#REF!</definedName>
    <definedName name="Drywall" localSheetId="34">#REF!</definedName>
    <definedName name="Drywall" localSheetId="35">#REF!</definedName>
    <definedName name="Drywall" localSheetId="36">#REF!</definedName>
    <definedName name="Drywall" localSheetId="37">#REF!</definedName>
    <definedName name="Drywall" localSheetId="16">#REF!</definedName>
    <definedName name="Drywall" localSheetId="17">#REF!</definedName>
    <definedName name="Drywall" localSheetId="18">#REF!</definedName>
    <definedName name="Drywall" localSheetId="19">#REF!</definedName>
    <definedName name="Drywall" localSheetId="20">#REF!</definedName>
    <definedName name="Drywall" localSheetId="28">#REF!</definedName>
    <definedName name="Drywall" localSheetId="25">#REF!</definedName>
    <definedName name="Drywall" localSheetId="26">#REF!</definedName>
    <definedName name="Drywall" localSheetId="27">#REF!</definedName>
    <definedName name="Drywall" localSheetId="24">#REF!</definedName>
    <definedName name="Drywall" localSheetId="29">#REF!</definedName>
    <definedName name="Drywall" localSheetId="30">#REF!</definedName>
    <definedName name="Drywall" localSheetId="32">#REF!</definedName>
    <definedName name="Drywall">#REF!</definedName>
    <definedName name="DSAD" localSheetId="4"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AF">[56]PRECIOS!$G$10</definedName>
    <definedName name="DSD" localSheetId="4" hidden="1">{"via1",#N/A,TRUE,"general";"via2",#N/A,TRUE,"general";"via3",#N/A,TRUE,"general"}</definedName>
    <definedName name="DSD" localSheetId="9"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dsdsdsddsddsdddsdsdsdsdsdsdsdsdsdsdsdsds" localSheetId="4" hidden="1">'[57]46W9'!#REF!</definedName>
    <definedName name="dsdsdsdsddsddsdddsdsdsdsdsdsdsdsdsdsdsdsds" hidden="1">'[57]46W9'!#REF!</definedName>
    <definedName name="DSF" localSheetId="4"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SGG" localSheetId="4">#REF!</definedName>
    <definedName name="DSGG">#REF!</definedName>
    <definedName name="DSV" localSheetId="4">#REF!</definedName>
    <definedName name="DSV">#REF!</definedName>
    <definedName name="dtrhj" localSheetId="4"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uracion">[15]Hoja1!$B$13</definedName>
    <definedName name="DuracionMeses" localSheetId="4">#REF!</definedName>
    <definedName name="DuracionMeses">#REF!</definedName>
    <definedName name="DuracionSemanas" localSheetId="4">#REF!</definedName>
    <definedName name="DuracionSemanas">#REF!</definedName>
    <definedName name="DVG" localSheetId="4">#REF!</definedName>
    <definedName name="DVG">#REF!</definedName>
    <definedName name="DWPRICE" localSheetId="4" hidden="1">#REF!</definedName>
    <definedName name="DWPRICE" hidden="1">#REF!</definedName>
    <definedName name="dxfgg" localSheetId="4"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e" localSheetId="4">#REF!</definedName>
    <definedName name="E">#REF!</definedName>
    <definedName name="e3e33" localSheetId="4"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5UYU" localSheetId="4">#REF!</definedName>
    <definedName name="E5UYU">#REF!</definedName>
    <definedName name="EDAD" localSheetId="4">#REF!</definedName>
    <definedName name="EDAD">#REF!</definedName>
    <definedName name="EDAS" localSheetId="4">#REF!</definedName>
    <definedName name="EDAS">#REF!</definedName>
    <definedName name="EDEDWSWQA" localSheetId="4"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E" localSheetId="4">#REF!</definedName>
    <definedName name="EE">#REF!</definedName>
    <definedName name="EEE" localSheetId="4">#REF!</definedName>
    <definedName name="EEE">#REF!</definedName>
    <definedName name="eeedfr" localSheetId="4"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 localSheetId="4">#REF!</definedName>
    <definedName name="eeee">#REF!</definedName>
    <definedName name="eeeeer" localSheetId="4"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[58]AIU!$A$1:$IU$4</definedName>
    <definedName name="efef" localSheetId="4"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few" localSheetId="4">#REF!</definedName>
    <definedName name="efew">#REF!</definedName>
    <definedName name="egeg" localSheetId="4"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h">[55]Ins_EH!$B$2:$D$33</definedName>
    <definedName name="electrodo" localSheetId="4">[33]MATERIALES!#REF!</definedName>
    <definedName name="electrodo">[34]MATERIALES!#REF!</definedName>
    <definedName name="ELEKTR_Zeit_1.000Bh" localSheetId="4">#REF!</definedName>
    <definedName name="ELEKTR_Zeit_1.000Bh">#REF!</definedName>
    <definedName name="ELEKTR_Zeit_10.000Bh" localSheetId="4">#REF!</definedName>
    <definedName name="ELEKTR_Zeit_10.000Bh">#REF!</definedName>
    <definedName name="ELEKTR_Zeit_100Bh" localSheetId="4">#REF!</definedName>
    <definedName name="ELEKTR_Zeit_100Bh">#REF!</definedName>
    <definedName name="ELEKTR_Zeit_10Bh" localSheetId="4">#REF!</definedName>
    <definedName name="ELEKTR_Zeit_10Bh">#REF!</definedName>
    <definedName name="ELEKTR_Zeit_15.000Bh" localSheetId="4">#REF!</definedName>
    <definedName name="ELEKTR_Zeit_15.000Bh">#REF!</definedName>
    <definedName name="ELEKTR_Zeit_20.000Bh" localSheetId="4">#REF!</definedName>
    <definedName name="ELEKTR_Zeit_20.000Bh">#REF!</definedName>
    <definedName name="ELEKTR_Zeit_250Bh" localSheetId="4">#REF!</definedName>
    <definedName name="ELEKTR_Zeit_250Bh">#REF!</definedName>
    <definedName name="ELEKTR_Zeit_3.000Bh" localSheetId="4">#REF!</definedName>
    <definedName name="ELEKTR_Zeit_3.000Bh">#REF!</definedName>
    <definedName name="ELEKTR_Zeit_30.000Bh" localSheetId="4">#REF!</definedName>
    <definedName name="ELEKTR_Zeit_30.000Bh">#REF!</definedName>
    <definedName name="ELEKTR_Zeit_5.000Bh" localSheetId="4">#REF!</definedName>
    <definedName name="ELEKTR_Zeit_5.000Bh">#REF!</definedName>
    <definedName name="ELEKTR_Zeit_500Bh" localSheetId="4">#REF!</definedName>
    <definedName name="ELEKTR_Zeit_500Bh">#REF!</definedName>
    <definedName name="ELEKTR_Zeit_7.500Bh" localSheetId="4">#REF!</definedName>
    <definedName name="ELEKTR_Zeit_7.500Bh">#REF!</definedName>
    <definedName name="ENCABEZA">#REF!</definedName>
    <definedName name="Enchape_euro_o_corona">'[14]LISTADO DE MATERIALES Y EQUIPOS'!$B$65</definedName>
    <definedName name="ENCUESTA" localSheetId="4">#REF!</definedName>
    <definedName name="ENCUESTA">#REF!</definedName>
    <definedName name="ENE" localSheetId="4">#REF!</definedName>
    <definedName name="ENE">#REF!</definedName>
    <definedName name="Ensayos" localSheetId="4">[1]INSUMOS!#REF!</definedName>
    <definedName name="Ensayos">[1]INSUMOS!#REF!</definedName>
    <definedName name="ENT.A1">[59]CANT.5921!#REF!</definedName>
    <definedName name="ENT.ESP">[59]CANT.5921!#REF!</definedName>
    <definedName name="ENTIB">#REF!</definedName>
    <definedName name="ENTIBADO">[60]TUBERIA!#REF!</definedName>
    <definedName name="ENTIDADES">[27]ENTIDADES!$A$6:$A$130</definedName>
    <definedName name="EQUI">[61]EQUIPO!$B$2:$B$36</definedName>
    <definedName name="equipo" localSheetId="4">[62]Equipo!$A$7:$A$65536</definedName>
    <definedName name="EQUIPO">[63]Materiales!$C$8:$C$65</definedName>
    <definedName name="EQUIPO_1">[61]EQUIPO!$B$2:$D$36</definedName>
    <definedName name="EQUIPO_2">[64]Equipo!$A$7:$A$65536</definedName>
    <definedName name="Equipo_de_soldadura">'[14]LISTADO DE MATERIALES Y EQUIPOS'!$B$31</definedName>
    <definedName name="EQUIPOALL">'[65]EQUIPOS '!$B$6:$D$84</definedName>
    <definedName name="Equipos" localSheetId="31">#REF!</definedName>
    <definedName name="EQUIPOS" localSheetId="4">'[65]EQUIPOS '!$B$6:$B$84</definedName>
    <definedName name="Equipos" localSheetId="38">#REF!</definedName>
    <definedName name="Equipos" localSheetId="39">#REF!</definedName>
    <definedName name="Equipos" localSheetId="40">#REF!</definedName>
    <definedName name="Equipos" localSheetId="41">#REF!</definedName>
    <definedName name="Equipos" localSheetId="42">#REF!</definedName>
    <definedName name="Equipos" localSheetId="43">#REF!</definedName>
    <definedName name="Equipos" localSheetId="44">#REF!</definedName>
    <definedName name="Equipos" localSheetId="45">#REF!</definedName>
    <definedName name="Equipos" localSheetId="46">#REF!</definedName>
    <definedName name="Equipos" localSheetId="47">#REF!</definedName>
    <definedName name="Equipos" localSheetId="48">#REF!</definedName>
    <definedName name="Equipos" localSheetId="49">#REF!</definedName>
    <definedName name="Equipos" localSheetId="21">#REF!</definedName>
    <definedName name="Equipos" localSheetId="22">#REF!</definedName>
    <definedName name="Equipos" localSheetId="23">#REF!</definedName>
    <definedName name="Equipos" localSheetId="33">#REF!</definedName>
    <definedName name="Equipos" localSheetId="34">#REF!</definedName>
    <definedName name="Equipos" localSheetId="35">#REF!</definedName>
    <definedName name="Equipos" localSheetId="36">#REF!</definedName>
    <definedName name="Equipos" localSheetId="37">#REF!</definedName>
    <definedName name="Equipos" localSheetId="16">#REF!</definedName>
    <definedName name="Equipos" localSheetId="17">#REF!</definedName>
    <definedName name="Equipos" localSheetId="18">#REF!</definedName>
    <definedName name="Equipos" localSheetId="19">#REF!</definedName>
    <definedName name="Equipos" localSheetId="20">#REF!</definedName>
    <definedName name="Equipos" localSheetId="28">#REF!</definedName>
    <definedName name="Equipos" localSheetId="25">#REF!</definedName>
    <definedName name="Equipos" localSheetId="26">#REF!</definedName>
    <definedName name="Equipos" localSheetId="27">#REF!</definedName>
    <definedName name="Equipos" localSheetId="24">#REF!</definedName>
    <definedName name="Equipos" localSheetId="29">#REF!</definedName>
    <definedName name="Equipos" localSheetId="30">#REF!</definedName>
    <definedName name="Equipos" localSheetId="32">#REF!</definedName>
    <definedName name="Equipos">#REF!</definedName>
    <definedName name="EquiposEspeciales" localSheetId="31">#REF!</definedName>
    <definedName name="EquiposEspeciales" localSheetId="38">#REF!</definedName>
    <definedName name="EquiposEspeciales" localSheetId="39">#REF!</definedName>
    <definedName name="EquiposEspeciales" localSheetId="40">#REF!</definedName>
    <definedName name="EquiposEspeciales" localSheetId="41">#REF!</definedName>
    <definedName name="EquiposEspeciales" localSheetId="42">#REF!</definedName>
    <definedName name="EquiposEspeciales" localSheetId="43">#REF!</definedName>
    <definedName name="EquiposEspeciales" localSheetId="44">#REF!</definedName>
    <definedName name="EquiposEspeciales" localSheetId="45">#REF!</definedName>
    <definedName name="EquiposEspeciales" localSheetId="46">#REF!</definedName>
    <definedName name="EquiposEspeciales" localSheetId="47">#REF!</definedName>
    <definedName name="EquiposEspeciales" localSheetId="48">#REF!</definedName>
    <definedName name="EquiposEspeciales" localSheetId="49">#REF!</definedName>
    <definedName name="EquiposEspeciales" localSheetId="21">#REF!</definedName>
    <definedName name="EquiposEspeciales" localSheetId="22">#REF!</definedName>
    <definedName name="EquiposEspeciales" localSheetId="23">#REF!</definedName>
    <definedName name="EquiposEspeciales" localSheetId="33">#REF!</definedName>
    <definedName name="EquiposEspeciales" localSheetId="34">#REF!</definedName>
    <definedName name="EquiposEspeciales" localSheetId="35">#REF!</definedName>
    <definedName name="EquiposEspeciales" localSheetId="36">#REF!</definedName>
    <definedName name="EquiposEspeciales" localSheetId="37">#REF!</definedName>
    <definedName name="EquiposEspeciales" localSheetId="16">#REF!</definedName>
    <definedName name="EquiposEspeciales" localSheetId="17">#REF!</definedName>
    <definedName name="EquiposEspeciales" localSheetId="18">#REF!</definedName>
    <definedName name="EquiposEspeciales" localSheetId="19">#REF!</definedName>
    <definedName name="EquiposEspeciales" localSheetId="20">#REF!</definedName>
    <definedName name="EquiposEspeciales" localSheetId="28">#REF!</definedName>
    <definedName name="EquiposEspeciales" localSheetId="25">#REF!</definedName>
    <definedName name="EquiposEspeciales" localSheetId="26">#REF!</definedName>
    <definedName name="EquiposEspeciales" localSheetId="27">#REF!</definedName>
    <definedName name="EquiposEspeciales" localSheetId="24">#REF!</definedName>
    <definedName name="EquiposEspeciales" localSheetId="29">#REF!</definedName>
    <definedName name="EquiposEspeciales" localSheetId="30">#REF!</definedName>
    <definedName name="EquiposEspeciales" localSheetId="32">#REF!</definedName>
    <definedName name="EquiposEspeciales">#REF!</definedName>
    <definedName name="eqw" localSheetId="4"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EE" localSheetId="4">#REF!</definedName>
    <definedName name="EREE">#REF!</definedName>
    <definedName name="erg" localSheetId="4"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r" localSheetId="4" hidden="1">{"TAB1",#N/A,TRUE,"GENERAL";"TAB2",#N/A,TRUE,"GENERAL";"TAB3",#N/A,TRUE,"GENERAL";"TAB4",#N/A,TRUE,"GENERAL";"TAB5",#N/A,TRUE,"GENERAL"}</definedName>
    <definedName name="err" localSheetId="9" hidden="1">{"TAB1",#N/A,TRUE,"GENERAL";"TAB2",#N/A,TRUE,"GENERAL";"TAB3",#N/A,TRUE,"GENERAL";"TAB4",#N/A,TRUE,"GENERAL";"TAB5",#N/A,TRUE,"GENERAL"}</definedName>
    <definedName name="err" hidden="1">{"TAB1",#N/A,TRUE,"GENERAL";"TAB2",#N/A,TRUE,"GENERAL";"TAB3",#N/A,TRUE,"GENERAL";"TAB4",#N/A,TRUE,"GENERAL";"TAB5",#N/A,TRUE,"GENERAL"}</definedName>
    <definedName name="ert" localSheetId="4"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 localSheetId="4">'[31]CIRCUITOS CODENSA'!#REF!</definedName>
    <definedName name="ES">'[31]CIRCUITOS CODENSA'!#REF!</definedName>
    <definedName name="ESCALERA">[11]A.P.U.!$G$367</definedName>
    <definedName name="ESP_PAV">#REF!</definedName>
    <definedName name="ESP1S">#REF!</definedName>
    <definedName name="ESP2S">#REF!</definedName>
    <definedName name="ESPECIFICACION" localSheetId="4">#REF!</definedName>
    <definedName name="ESPECIFICACION">#REF!</definedName>
    <definedName name="Especificación" localSheetId="4">#REF!</definedName>
    <definedName name="Especificación">#REF!</definedName>
    <definedName name="ESPESOR">#REF!</definedName>
    <definedName name="ESPR">#REF!</definedName>
    <definedName name="EST10A" localSheetId="4">#REF!</definedName>
    <definedName name="EST10A">#REF!</definedName>
    <definedName name="EST10V1" localSheetId="4">#REF!</definedName>
    <definedName name="EST10V1">#REF!</definedName>
    <definedName name="EST11A" localSheetId="4">#REF!</definedName>
    <definedName name="EST11A">#REF!</definedName>
    <definedName name="Estaquillado">[1]INSUMOS!#REF!</definedName>
    <definedName name="ESTMETC">[11]INSUMOS!$D$66</definedName>
    <definedName name="ESTRUCTURA" localSheetId="4" hidden="1">{#N/A,#N/A,TRUE,"INGENIERIA";#N/A,#N/A,TRUE,"COMPRAS";#N/A,#N/A,TRUE,"DIRECCION";#N/A,#N/A,TRUE,"RESUMEN"}</definedName>
    <definedName name="ESTRUCTURA" localSheetId="9" hidden="1">{#N/A,#N/A,TRUE,"INGENIERIA";#N/A,#N/A,TRUE,"COMPRAS";#N/A,#N/A,TRUE,"DIRECCION";#N/A,#N/A,TRUE,"RESUMEN"}</definedName>
    <definedName name="ESTRUCTURA" hidden="1">{#N/A,#N/A,TRUE,"INGENIERIA";#N/A,#N/A,TRUE,"COMPRAS";#N/A,#N/A,TRUE,"DIRECCION";#N/A,#N/A,TRUE,"RESUMEN"}</definedName>
    <definedName name="ESTRUCTURA_1" localSheetId="4" hidden="1">{#N/A,#N/A,TRUE,"INGENIERIA";#N/A,#N/A,TRUE,"COMPRAS";#N/A,#N/A,TRUE,"DIRECCION";#N/A,#N/A,TRUE,"RESUMEN"}</definedName>
    <definedName name="ESTRUCTURA_1" localSheetId="9" hidden="1">{#N/A,#N/A,TRUE,"INGENIERIA";#N/A,#N/A,TRUE,"COMPRAS";#N/A,#N/A,TRUE,"DIRECCION";#N/A,#N/A,TRUE,"RESUMEN"}</definedName>
    <definedName name="ESTRUCTURA_1" hidden="1">{#N/A,#N/A,TRUE,"INGENIERIA";#N/A,#N/A,TRUE,"COMPRAS";#N/A,#N/A,TRUE,"DIRECCION";#N/A,#N/A,TRUE,"RESUMEN"}</definedName>
    <definedName name="ESTRUCTURA_2" localSheetId="4" hidden="1">{#N/A,#N/A,TRUE,"INGENIERIA";#N/A,#N/A,TRUE,"COMPRAS";#N/A,#N/A,TRUE,"DIRECCION";#N/A,#N/A,TRUE,"RESUMEN"}</definedName>
    <definedName name="ESTRUCTURA_2" localSheetId="9" hidden="1">{#N/A,#N/A,TRUE,"INGENIERIA";#N/A,#N/A,TRUE,"COMPRAS";#N/A,#N/A,TRUE,"DIRECCION";#N/A,#N/A,TRUE,"RESUMEN"}</definedName>
    <definedName name="ESTRUCTURA_2" hidden="1">{#N/A,#N/A,TRUE,"INGENIERIA";#N/A,#N/A,TRUE,"COMPRAS";#N/A,#N/A,TRUE,"DIRECCION";#N/A,#N/A,TRUE,"RESUMEN"}</definedName>
    <definedName name="Estuco_gl">'[14]LISTADO DE MATERIALES Y EQUIPOS'!$B$64</definedName>
    <definedName name="ET_DSC">[39]Modelo!$P$2</definedName>
    <definedName name="ET_IMO">[39]Modelo!$O$44</definedName>
    <definedName name="ET_IND">[39]Modelo!$O$42</definedName>
    <definedName name="Eternit__8">'[14]LISTADO DE MATERIALES Y EQUIPOS'!$B$56</definedName>
    <definedName name="etertgg" localSheetId="4"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wt" localSheetId="4"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egt" localSheetId="4"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WSD" localSheetId="4">#REF!</definedName>
    <definedName name="EWSD">#REF!</definedName>
    <definedName name="EXC.POZ">#REF!</definedName>
    <definedName name="EXC.ZAN">#REF!</definedName>
    <definedName name="EXCAV" localSheetId="4">#REF!</definedName>
    <definedName name="EXCAV">#REF!</definedName>
    <definedName name="Excel_BuiltIn__FilterDatabase_2">'[66]Presup Av 1o de mayo con 73a '!$A$17:$N$110</definedName>
    <definedName name="Excel_BuiltIn_Print_Area" localSheetId="4">#REF!</definedName>
    <definedName name="Excel_BuiltIn_Print_Area">#REF!</definedName>
    <definedName name="Excel_BuiltIn_Print_Area_1" localSheetId="4">#REF!</definedName>
    <definedName name="Excel_BuiltIn_Print_Area_1">#REF!</definedName>
    <definedName name="Excel_BuiltIn_Print_Area_1_1" localSheetId="4">#REF!</definedName>
    <definedName name="Excel_BuiltIn_Print_Area_1_1">#REF!</definedName>
    <definedName name="Excel_BuiltIn_Print_Area_1_1_1" localSheetId="4">#REF!</definedName>
    <definedName name="Excel_BuiltIn_Print_Area_1_1_1">#REF!</definedName>
    <definedName name="Excel_BuiltIn_Print_Area_1_1_1_1" localSheetId="4">#REF!</definedName>
    <definedName name="Excel_BuiltIn_Print_Area_1_1_1_1">#REF!</definedName>
    <definedName name="Excel_BuiltIn_Print_Area_1_1_1_1_1" localSheetId="4">#REF!</definedName>
    <definedName name="Excel_BuiltIn_Print_Area_1_1_1_1_1">#REF!</definedName>
    <definedName name="Excel_BuiltIn_Print_Area_1_1_1_1_1_1" localSheetId="4">#REF!</definedName>
    <definedName name="Excel_BuiltIn_Print_Area_1_1_1_1_1_1">#REF!</definedName>
    <definedName name="Excel_BuiltIn_Print_Area_7" localSheetId="4">#REF!</definedName>
    <definedName name="Excel_BuiltIn_Print_Area_7">#REF!</definedName>
    <definedName name="Excel_BuiltIn_Print_Titles_1" localSheetId="4">#REF!</definedName>
    <definedName name="Excel_BuiltIn_Print_Titles_1">#REF!</definedName>
    <definedName name="Excel_BuiltIn_Print_Titles_1_1" localSheetId="4">#REF!</definedName>
    <definedName name="Excel_BuiltIn_Print_Titles_1_1">#REF!</definedName>
    <definedName name="Excel_BuiltIn_Print_Titles_1_1_1" localSheetId="4">#REF!</definedName>
    <definedName name="Excel_BuiltIn_Print_Titles_1_1_1">#REF!</definedName>
    <definedName name="Excel_BuiltIn_Print_Titles_1_1_1_1" localSheetId="4">#REF!</definedName>
    <definedName name="Excel_BuiltIn_Print_Titles_1_1_1_1">#REF!</definedName>
    <definedName name="Excel_BuiltIn_Print_Titles_3" localSheetId="4">'[67]COSTOS OFICINA'!#REF!</definedName>
    <definedName name="Excel_BuiltIn_Print_Titles_3">'[67]COSTOS OFICINA'!#REF!</definedName>
    <definedName name="Excel_BuiltIn_Print_Titles_4" localSheetId="4">'[67]COSTOS CAMPAMENTO'!#REF!</definedName>
    <definedName name="Excel_BuiltIn_Print_Titles_4">'[67]COSTOS CAMPAMENTO'!#REF!</definedName>
    <definedName name="EYT6Y" localSheetId="4">#REF!</definedName>
    <definedName name="EYT6Y">#REF!</definedName>
    <definedName name="FAC" localSheetId="4" hidden="1">#REF!</definedName>
    <definedName name="FAC" hidden="1">#REF!</definedName>
    <definedName name="FACTOR_PRESTACIONAL">'[27]FACTOR PRESTACIONAL'!$A$7:$BE$32</definedName>
    <definedName name="FactorCostoPotencia" localSheetId="4">[50]Modelo!#REF!</definedName>
    <definedName name="FactorCostoPotencia">[50]Modelo!#REF!</definedName>
    <definedName name="FactorMultFinal" localSheetId="4">#REF!</definedName>
    <definedName name="FactorMultFinal">#REF!</definedName>
    <definedName name="FactorMultiplicaCalculado" localSheetId="4">#REF!</definedName>
    <definedName name="FactorMultiplicaCalculado">#REF!</definedName>
    <definedName name="fctr">'[47]CANTIDADES Y PTTO'!$B$183:$F$202</definedName>
    <definedName name="fda" localSheetId="4" hidden="1">{"TAB1",#N/A,TRUE,"GENERAL";"TAB2",#N/A,TRUE,"GENERAL";"TAB3",#N/A,TRUE,"GENERAL";"TAB4",#N/A,TRUE,"GENERAL";"TAB5",#N/A,TRUE,"GENERAL"}</definedName>
    <definedName name="fda" localSheetId="9" hidden="1">{"TAB1",#N/A,TRUE,"GENERAL";"TAB2",#N/A,TRUE,"GENERAL";"TAB3",#N/A,TRUE,"GENERAL";"TAB4",#N/A,TRUE,"GENERAL";"TAB5",#N/A,TRUE,"GENERAL"}</definedName>
    <definedName name="fda" hidden="1">{"TAB1",#N/A,TRUE,"GENERAL";"TAB2",#N/A,TRUE,"GENERAL";"TAB3",#N/A,TRUE,"GENERAL";"TAB4",#N/A,TRUE,"GENERAL";"TAB5",#N/A,TRUE,"GENERAL"}</definedName>
    <definedName name="fdadsfa" localSheetId="4" hidden="1">{"PRES REHAB ARM-PER POR ITEMS  KM A KM",#N/A,TRUE,"Rehabilitacion Arm-Per"}</definedName>
    <definedName name="fdadsfa" localSheetId="9" hidden="1">{"PRES REHAB ARM-PER POR ITEMS  KM A KM",#N/A,TRUE,"Rehabilitacion Arm-Per"}</definedName>
    <definedName name="fdadsfa" hidden="1">{"PRES REHAB ARM-PER POR ITEMS  KM A KM",#N/A,TRUE,"Rehabilitacion Arm-Per"}</definedName>
    <definedName name="fdbjp" localSheetId="4"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9"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EB" localSheetId="4">#REF!</definedName>
    <definedName name="FEB">#REF!</definedName>
    <definedName name="FECH">[20]DATOS!$D$6</definedName>
    <definedName name="fecha" localSheetId="4">#REF!</definedName>
    <definedName name="fecha">#REF!</definedName>
    <definedName name="FELIPE">[68]ZANJA!$E$11:$E$13</definedName>
    <definedName name="ferfer" localSheetId="4"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erreteria" localSheetId="31">#REF!</definedName>
    <definedName name="Ferreteria" localSheetId="38">#REF!</definedName>
    <definedName name="Ferreteria" localSheetId="39">#REF!</definedName>
    <definedName name="Ferreteria" localSheetId="40">#REF!</definedName>
    <definedName name="Ferreteria" localSheetId="41">#REF!</definedName>
    <definedName name="Ferreteria" localSheetId="42">#REF!</definedName>
    <definedName name="Ferreteria" localSheetId="43">#REF!</definedName>
    <definedName name="Ferreteria" localSheetId="44">#REF!</definedName>
    <definedName name="Ferreteria" localSheetId="45">#REF!</definedName>
    <definedName name="Ferreteria" localSheetId="46">#REF!</definedName>
    <definedName name="Ferreteria" localSheetId="47">#REF!</definedName>
    <definedName name="Ferreteria" localSheetId="48">#REF!</definedName>
    <definedName name="Ferreteria" localSheetId="49">#REF!</definedName>
    <definedName name="Ferreteria" localSheetId="21">#REF!</definedName>
    <definedName name="Ferreteria" localSheetId="22">#REF!</definedName>
    <definedName name="Ferreteria" localSheetId="23">#REF!</definedName>
    <definedName name="Ferreteria" localSheetId="33">#REF!</definedName>
    <definedName name="Ferreteria" localSheetId="34">#REF!</definedName>
    <definedName name="Ferreteria" localSheetId="35">#REF!</definedName>
    <definedName name="Ferreteria" localSheetId="36">#REF!</definedName>
    <definedName name="Ferreteria" localSheetId="37">#REF!</definedName>
    <definedName name="Ferreteria" localSheetId="16">#REF!</definedName>
    <definedName name="Ferreteria" localSheetId="17">#REF!</definedName>
    <definedName name="Ferreteria" localSheetId="18">#REF!</definedName>
    <definedName name="Ferreteria" localSheetId="19">#REF!</definedName>
    <definedName name="Ferreteria" localSheetId="20">#REF!</definedName>
    <definedName name="Ferreteria" localSheetId="28">#REF!</definedName>
    <definedName name="Ferreteria" localSheetId="25">#REF!</definedName>
    <definedName name="Ferreteria" localSheetId="26">#REF!</definedName>
    <definedName name="Ferreteria" localSheetId="27">#REF!</definedName>
    <definedName name="Ferreteria" localSheetId="24">#REF!</definedName>
    <definedName name="Ferreteria" localSheetId="29">#REF!</definedName>
    <definedName name="Ferreteria" localSheetId="30">#REF!</definedName>
    <definedName name="Ferreteria" localSheetId="32">#REF!</definedName>
    <definedName name="Ferreteria">#REF!</definedName>
    <definedName name="Festivos">'[69]días habiles 2015'!$D$2:$D$21</definedName>
    <definedName name="FETTE_1.000Bh" localSheetId="4">#REF!</definedName>
    <definedName name="FETTE_1.000Bh">#REF!</definedName>
    <definedName name="FETTE_10.000Bh" localSheetId="4">#REF!</definedName>
    <definedName name="FETTE_10.000Bh">#REF!</definedName>
    <definedName name="FETTE_100Bh" localSheetId="4">#REF!</definedName>
    <definedName name="FETTE_100Bh">#REF!</definedName>
    <definedName name="FETTE_10Bh" localSheetId="4">#REF!</definedName>
    <definedName name="FETTE_10Bh">#REF!</definedName>
    <definedName name="FETTE_15.000Bh" localSheetId="4">#REF!</definedName>
    <definedName name="FETTE_15.000Bh">#REF!</definedName>
    <definedName name="FETTE_20.000Bh" localSheetId="4">#REF!</definedName>
    <definedName name="FETTE_20.000Bh">#REF!</definedName>
    <definedName name="FETTE_250Bh" localSheetId="4">#REF!</definedName>
    <definedName name="FETTE_250Bh">#REF!</definedName>
    <definedName name="FETTE_3.000Bh" localSheetId="4">#REF!</definedName>
    <definedName name="FETTE_3.000Bh">#REF!</definedName>
    <definedName name="FETTE_30.000Bh" localSheetId="4">#REF!</definedName>
    <definedName name="FETTE_30.000Bh">#REF!</definedName>
    <definedName name="FETTE_5.000Bh" localSheetId="4">#REF!</definedName>
    <definedName name="FETTE_5.000Bh">#REF!</definedName>
    <definedName name="FETTE_500Bh" localSheetId="4">#REF!</definedName>
    <definedName name="FETTE_500Bh">#REF!</definedName>
    <definedName name="FETTE_7.500Bh" localSheetId="4">#REF!</definedName>
    <definedName name="FETTE_7.500Bh">#REF!</definedName>
    <definedName name="FFF" localSheetId="4" hidden="1">#REF!</definedName>
    <definedName name="FFF" hidden="1">#REF!</definedName>
    <definedName name="ffffd" localSheetId="4"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FRANC" localSheetId="4">#REF!</definedName>
    <definedName name="FFRANC">#REF!</definedName>
    <definedName name="FFSDF" localSheetId="4">#REF!</definedName>
    <definedName name="FFSDF">#REF!</definedName>
    <definedName name="FG" localSheetId="4">#REF!</definedName>
    <definedName name="FG">#REF!</definedName>
    <definedName name="fgdfg" localSheetId="4"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 localSheetId="4">#REF!</definedName>
    <definedName name="fgh">#REF!</definedName>
    <definedName name="FGHFBC" localSheetId="4"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GJHF" localSheetId="4">#REF!</definedName>
    <definedName name="FGJHF">#REF!</definedName>
    <definedName name="FGV" localSheetId="4">#REF!</definedName>
    <definedName name="FGV">#REF!</definedName>
    <definedName name="fhfg" localSheetId="4"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 localSheetId="4" hidden="1">{#N/A,#N/A,TRUE,"1842CWN0"}</definedName>
    <definedName name="fhg" localSheetId="9" hidden="1">{#N/A,#N/A,TRUE,"1842CWN0"}</definedName>
    <definedName name="fhg" hidden="1">{#N/A,#N/A,TRUE,"1842CWN0"}</definedName>
    <definedName name="fhg_1" localSheetId="4" hidden="1">{#N/A,#N/A,TRUE,"1842CWN0"}</definedName>
    <definedName name="fhg_1" localSheetId="9" hidden="1">{#N/A,#N/A,TRUE,"1842CWN0"}</definedName>
    <definedName name="fhg_1" hidden="1">{#N/A,#N/A,TRUE,"1842CWN0"}</definedName>
    <definedName name="fhg_2" localSheetId="4" hidden="1">{#N/A,#N/A,TRUE,"1842CWN0"}</definedName>
    <definedName name="fhg_2" localSheetId="9" hidden="1">{#N/A,#N/A,TRUE,"1842CWN0"}</definedName>
    <definedName name="fhg_2" hidden="1">{#N/A,#N/A,TRUE,"1842CWN0"}</definedName>
    <definedName name="fhgh" localSheetId="4"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n_de_semana">'[69]días habiles 2015'!$M$1:$M$2</definedName>
    <definedName name="Flasher_luminoso_para_barricadas">[15]Insumos!$D$45</definedName>
    <definedName name="FO" localSheetId="4">'[31]CIRCUITOS CODENSA'!#REF!</definedName>
    <definedName name="FO">'[31]CIRCUITOS CODENSA'!#REF!</definedName>
    <definedName name="FORMAL" localSheetId="4">#REF!</definedName>
    <definedName name="FORMAL">#REF!</definedName>
    <definedName name="FORMALETA">[70]INSUMOS!$D$1398</definedName>
    <definedName name="formaleta_madera">'[15]Equipo y transporte'!$D$14</definedName>
    <definedName name="Formaletas" localSheetId="31">#REF!</definedName>
    <definedName name="Formaletas" localSheetId="38">#REF!</definedName>
    <definedName name="Formaletas" localSheetId="39">#REF!</definedName>
    <definedName name="Formaletas" localSheetId="40">#REF!</definedName>
    <definedName name="Formaletas" localSheetId="41">#REF!</definedName>
    <definedName name="Formaletas" localSheetId="42">#REF!</definedName>
    <definedName name="Formaletas" localSheetId="43">#REF!</definedName>
    <definedName name="Formaletas" localSheetId="44">#REF!</definedName>
    <definedName name="Formaletas" localSheetId="45">#REF!</definedName>
    <definedName name="Formaletas" localSheetId="46">#REF!</definedName>
    <definedName name="Formaletas" localSheetId="47">#REF!</definedName>
    <definedName name="Formaletas" localSheetId="48">#REF!</definedName>
    <definedName name="Formaletas" localSheetId="49">#REF!</definedName>
    <definedName name="Formaletas" localSheetId="21">#REF!</definedName>
    <definedName name="Formaletas" localSheetId="22">#REF!</definedName>
    <definedName name="Formaletas" localSheetId="23">#REF!</definedName>
    <definedName name="Formaletas" localSheetId="33">#REF!</definedName>
    <definedName name="Formaletas" localSheetId="34">#REF!</definedName>
    <definedName name="Formaletas" localSheetId="35">#REF!</definedName>
    <definedName name="Formaletas" localSheetId="36">#REF!</definedName>
    <definedName name="Formaletas" localSheetId="37">#REF!</definedName>
    <definedName name="Formaletas" localSheetId="16">#REF!</definedName>
    <definedName name="Formaletas" localSheetId="17">#REF!</definedName>
    <definedName name="Formaletas" localSheetId="18">#REF!</definedName>
    <definedName name="Formaletas" localSheetId="19">#REF!</definedName>
    <definedName name="Formaletas" localSheetId="20">#REF!</definedName>
    <definedName name="Formaletas" localSheetId="28">#REF!</definedName>
    <definedName name="Formaletas" localSheetId="25">#REF!</definedName>
    <definedName name="Formaletas" localSheetId="26">#REF!</definedName>
    <definedName name="Formaletas" localSheetId="27">#REF!</definedName>
    <definedName name="Formaletas" localSheetId="24">#REF!</definedName>
    <definedName name="Formaletas" localSheetId="29">#REF!</definedName>
    <definedName name="Formaletas" localSheetId="30">#REF!</definedName>
    <definedName name="Formaletas" localSheetId="32">#REF!</definedName>
    <definedName name="Formaletas">#REF!</definedName>
    <definedName name="Formato">#REF!</definedName>
    <definedName name="Formato1">#REF!</definedName>
    <definedName name="FORMVA" localSheetId="4">#REF!</definedName>
    <definedName name="FORMVA">#REF!</definedName>
    <definedName name="FOTO" localSheetId="4">OFFSET([71]MERCADO!$P$4,MATCH(#REF!,[0]!Datos,0)-1,0)</definedName>
    <definedName name="FOTO" localSheetId="9">OFFSET([71]MERCADO!$P$4,MATCH(#REF!,[0]!Datos,0)-1,0)</definedName>
    <definedName name="FOTO">OFFSET([71]MERCADO!$P$4,MATCH(#REF!,[0]!Datos,0)-1,0)</definedName>
    <definedName name="FOTOS" localSheetId="4">OFFSET('[72]MERCADO 2-GEOREF'!$P$4,MATCH([72]fichas!$G$4,OFERTAS,'[72]MERCADO 2-GEOREF'!$R$10)-1,0)</definedName>
    <definedName name="FOTOS" localSheetId="9">OFFSET('[72]MERCADO 2-GEOREF'!$P$4,MATCH([72]fichas!$G$4,OFERTAS,'[72]MERCADO 2-GEOREF'!$R$10)-1,0)</definedName>
    <definedName name="FOTOS">OFFSET('[72]MERCADO 2-GEOREF'!$P$4,MATCH([72]fichas!$G$4,OFERTAS,'[72]MERCADO 2-GEOREF'!$R$10)-1,0)</definedName>
    <definedName name="fp">1.59</definedName>
    <definedName name="frbgsd" localSheetId="4"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 localSheetId="4">#REF!</definedName>
    <definedName name="FRE">#REF!</definedName>
    <definedName name="frefr" localSheetId="4"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EMDL_Zeit_1.000Bh" localSheetId="4">#REF!</definedName>
    <definedName name="FREMDL_Zeit_1.000Bh">#REF!</definedName>
    <definedName name="FREMDL_Zeit_10.000Bh" localSheetId="4">#REF!</definedName>
    <definedName name="FREMDL_Zeit_10.000Bh">#REF!</definedName>
    <definedName name="FREMDL_Zeit_100Bh" localSheetId="4">#REF!</definedName>
    <definedName name="FREMDL_Zeit_100Bh">#REF!</definedName>
    <definedName name="FREMDL_Zeit_10Bh" localSheetId="4">#REF!</definedName>
    <definedName name="FREMDL_Zeit_10Bh">#REF!</definedName>
    <definedName name="FREMDL_Zeit_15.000Bh" localSheetId="4">#REF!</definedName>
    <definedName name="FREMDL_Zeit_15.000Bh">#REF!</definedName>
    <definedName name="FREMDL_Zeit_20.000Bh" localSheetId="4">#REF!</definedName>
    <definedName name="FREMDL_Zeit_20.000Bh">#REF!</definedName>
    <definedName name="FREMDL_Zeit_250Bh" localSheetId="4">#REF!</definedName>
    <definedName name="FREMDL_Zeit_250Bh">#REF!</definedName>
    <definedName name="FREMDL_Zeit_3.000Bh" localSheetId="4">#REF!</definedName>
    <definedName name="FREMDL_Zeit_3.000Bh">#REF!</definedName>
    <definedName name="FREMDL_Zeit_30.000Bh" localSheetId="4">#REF!</definedName>
    <definedName name="FREMDL_Zeit_30.000Bh">#REF!</definedName>
    <definedName name="FREMDL_Zeit_5.000Bh" localSheetId="4">#REF!</definedName>
    <definedName name="FREMDL_Zeit_5.000Bh">#REF!</definedName>
    <definedName name="FREMDL_Zeit_500Bh" localSheetId="4">#REF!</definedName>
    <definedName name="FREMDL_Zeit_500Bh">#REF!</definedName>
    <definedName name="FREMDL_Zeit_7.500Bh" localSheetId="4">#REF!</definedName>
    <definedName name="FREMDL_Zeit_7.500Bh">#REF!</definedName>
    <definedName name="frfa" localSheetId="4"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wff" localSheetId="4"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G" localSheetId="4">#REF!</definedName>
    <definedName name="G">#REF!</definedName>
    <definedName name="GastosViajes" localSheetId="4">#REF!</definedName>
    <definedName name="GastosViajes">#REF!</definedName>
    <definedName name="GBB" localSheetId="4">#REF!</definedName>
    <definedName name="GBB">#REF!</definedName>
    <definedName name="gbbfghghj" localSheetId="4"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dt" localSheetId="4"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g" localSheetId="4"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osinteticos" localSheetId="31">#REF!</definedName>
    <definedName name="Geosinteticos" localSheetId="38">#REF!</definedName>
    <definedName name="Geosinteticos" localSheetId="39">#REF!</definedName>
    <definedName name="Geosinteticos" localSheetId="40">#REF!</definedName>
    <definedName name="Geosinteticos" localSheetId="41">#REF!</definedName>
    <definedName name="Geosinteticos" localSheetId="42">#REF!</definedName>
    <definedName name="Geosinteticos" localSheetId="43">#REF!</definedName>
    <definedName name="Geosinteticos" localSheetId="44">#REF!</definedName>
    <definedName name="Geosinteticos" localSheetId="45">#REF!</definedName>
    <definedName name="Geosinteticos" localSheetId="46">#REF!</definedName>
    <definedName name="Geosinteticos" localSheetId="47">#REF!</definedName>
    <definedName name="Geosinteticos" localSheetId="48">#REF!</definedName>
    <definedName name="Geosinteticos" localSheetId="49">#REF!</definedName>
    <definedName name="Geosinteticos" localSheetId="21">#REF!</definedName>
    <definedName name="Geosinteticos" localSheetId="22">#REF!</definedName>
    <definedName name="Geosinteticos" localSheetId="23">#REF!</definedName>
    <definedName name="Geosinteticos" localSheetId="33">#REF!</definedName>
    <definedName name="Geosinteticos" localSheetId="34">#REF!</definedName>
    <definedName name="Geosinteticos" localSheetId="35">#REF!</definedName>
    <definedName name="Geosinteticos" localSheetId="36">#REF!</definedName>
    <definedName name="Geosinteticos" localSheetId="37">#REF!</definedName>
    <definedName name="Geosinteticos" localSheetId="16">#REF!</definedName>
    <definedName name="Geosinteticos" localSheetId="17">#REF!</definedName>
    <definedName name="Geosinteticos" localSheetId="18">#REF!</definedName>
    <definedName name="Geosinteticos" localSheetId="19">#REF!</definedName>
    <definedName name="Geosinteticos" localSheetId="20">#REF!</definedName>
    <definedName name="Geosinteticos" localSheetId="28">#REF!</definedName>
    <definedName name="Geosinteticos" localSheetId="25">#REF!</definedName>
    <definedName name="Geosinteticos" localSheetId="26">#REF!</definedName>
    <definedName name="Geosinteticos" localSheetId="27">#REF!</definedName>
    <definedName name="Geosinteticos" localSheetId="24">#REF!</definedName>
    <definedName name="Geosinteticos" localSheetId="29">#REF!</definedName>
    <definedName name="Geosinteticos" localSheetId="30">#REF!</definedName>
    <definedName name="Geosinteticos" localSheetId="32">#REF!</definedName>
    <definedName name="Geosinteticos">#REF!</definedName>
    <definedName name="gerg" localSheetId="4"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ETROEL_1.000Bh" localSheetId="4">#REF!</definedName>
    <definedName name="GETROEL_1.000Bh">#REF!</definedName>
    <definedName name="GETROEL_10.000Bh" localSheetId="4">#REF!</definedName>
    <definedName name="GETROEL_10.000Bh">#REF!</definedName>
    <definedName name="GETROEL_100Bh" localSheetId="4">#REF!</definedName>
    <definedName name="GETROEL_100Bh">#REF!</definedName>
    <definedName name="GETROEL_10Bh" localSheetId="4">#REF!</definedName>
    <definedName name="GETROEL_10Bh">#REF!</definedName>
    <definedName name="GETROEL_15.000Bh" localSheetId="4">#REF!</definedName>
    <definedName name="GETROEL_15.000Bh">#REF!</definedName>
    <definedName name="GETROEL_20.000Bh" localSheetId="4">#REF!</definedName>
    <definedName name="GETROEL_20.000Bh">#REF!</definedName>
    <definedName name="GETROEL_250Bh" localSheetId="4">#REF!</definedName>
    <definedName name="GETROEL_250Bh">#REF!</definedName>
    <definedName name="GETROEL_3.000Bh" localSheetId="4">#REF!</definedName>
    <definedName name="GETROEL_3.000Bh">#REF!</definedName>
    <definedName name="GETROEL_30.000Bh" localSheetId="4">#REF!</definedName>
    <definedName name="GETROEL_30.000Bh">#REF!</definedName>
    <definedName name="GETROEL_5.000Bh" localSheetId="4">#REF!</definedName>
    <definedName name="GETROEL_5.000Bh">#REF!</definedName>
    <definedName name="GETROEL_500Bh" localSheetId="4">#REF!</definedName>
    <definedName name="GETROEL_500Bh">#REF!</definedName>
    <definedName name="GETROEL_7.500Bh" localSheetId="4">#REF!</definedName>
    <definedName name="GETROEL_7.500Bh">#REF!</definedName>
    <definedName name="gfd" localSheetId="4">#REF!</definedName>
    <definedName name="gfd">#REF!</definedName>
    <definedName name="gfdg" localSheetId="4"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gfgr" localSheetId="4"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utyj6" localSheetId="4"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4">'[31]CIRCUITOS CODENSA'!#REF!</definedName>
    <definedName name="GG">'[31]CIRCUITOS CODENSA'!#REF!</definedName>
    <definedName name="ggdr" localSheetId="4"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'[73]Base de Datos'!$B$36:$B$55</definedName>
    <definedName name="gggb" localSheetId="4"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 localSheetId="4">#REF!</definedName>
    <definedName name="GGGGG">#REF!</definedName>
    <definedName name="gggggt" localSheetId="4"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R" localSheetId="4">#REF!</definedName>
    <definedName name="GGR">#REF!</definedName>
    <definedName name="ggtgt" localSheetId="4"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 localSheetId="4">'[74]A. P. U.'!#REF!</definedName>
    <definedName name="gh">'[74]A. P. U.'!#REF!</definedName>
    <definedName name="ghdghuy" localSheetId="4"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g" localSheetId="4"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jghj" localSheetId="4"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HY" localSheetId="4">#REF!</definedName>
    <definedName name="GHY">#REF!</definedName>
    <definedName name="GJHVCB" localSheetId="4"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RAB_Zeit_1.000Bh" localSheetId="4">#REF!</definedName>
    <definedName name="GRAB_Zeit_1.000Bh">#REF!</definedName>
    <definedName name="GRAB_Zeit_10.000Bh" localSheetId="4">#REF!</definedName>
    <definedName name="GRAB_Zeit_10.000Bh">#REF!</definedName>
    <definedName name="GRAB_Zeit_100Bh" localSheetId="4">#REF!</definedName>
    <definedName name="GRAB_Zeit_100Bh">#REF!</definedName>
    <definedName name="GRAB_Zeit_10Bh" localSheetId="4">#REF!</definedName>
    <definedName name="GRAB_Zeit_10Bh">#REF!</definedName>
    <definedName name="GRAB_Zeit_15.000Bh" localSheetId="4">#REF!</definedName>
    <definedName name="GRAB_Zeit_15.000Bh">#REF!</definedName>
    <definedName name="GRAB_Zeit_20.000Bh" localSheetId="4">#REF!</definedName>
    <definedName name="GRAB_Zeit_20.000Bh">#REF!</definedName>
    <definedName name="GRAB_Zeit_250Bh" localSheetId="4">#REF!</definedName>
    <definedName name="GRAB_Zeit_250Bh">#REF!</definedName>
    <definedName name="GRAB_Zeit_3.000Bh" localSheetId="4">#REF!</definedName>
    <definedName name="GRAB_Zeit_3.000Bh">#REF!</definedName>
    <definedName name="GRAB_Zeit_30.000Bh" localSheetId="4">#REF!</definedName>
    <definedName name="GRAB_Zeit_30.000Bh">#REF!</definedName>
    <definedName name="GRAB_Zeit_5.000Bh" localSheetId="4">#REF!</definedName>
    <definedName name="GRAB_Zeit_5.000Bh">#REF!</definedName>
    <definedName name="GRAB_Zeit_500Bh" localSheetId="4">#REF!</definedName>
    <definedName name="GRAB_Zeit_500Bh">#REF!</definedName>
    <definedName name="GRAB_Zeit_7.500Bh" localSheetId="4">#REF!</definedName>
    <definedName name="GRAB_Zeit_7.500Bh">#REF!</definedName>
    <definedName name="_xlnm.Recorder" localSheetId="4">#REF!</definedName>
    <definedName name="_xlnm.Recorder">#REF!</definedName>
    <definedName name="GRAF1ANO" localSheetId="4"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ama_verde">'[14]LISTADO DE MATERIALES Y EQUIPOS'!$B$128</definedName>
    <definedName name="Grava">[15]Insumos!$D$27</definedName>
    <definedName name="gregds" localSheetId="4"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tyerh" localSheetId="4"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SDG" localSheetId="4"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gt" localSheetId="4"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GTYT" localSheetId="4">#REF!</definedName>
    <definedName name="GTYT">#REF!</definedName>
    <definedName name="GUADUA">[11]INSUMOS!$D$71</definedName>
    <definedName name="H" localSheetId="4">#REF!</definedName>
    <definedName name="H">#REF!</definedName>
    <definedName name="h.EXC">#REF!</definedName>
    <definedName name="h.LOM">#REF!</definedName>
    <definedName name="H.LOMO">[75]TUBERIA!$S$10:$S$14</definedName>
    <definedName name="h.POZ">#REF!</definedName>
    <definedName name="h9h" localSheetId="4"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ACER">#REF!</definedName>
    <definedName name="hbfdhrw" localSheetId="4"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err" localSheetId="4">#REF!</definedName>
    <definedName name="Herr">#REF!</definedName>
    <definedName name="Herr_16" localSheetId="4">#REF!</definedName>
    <definedName name="Herr_16">#REF!</definedName>
    <definedName name="Herr_17" localSheetId="4">#REF!</definedName>
    <definedName name="Herr_17">#REF!</definedName>
    <definedName name="Herr_38" localSheetId="4">#REF!</definedName>
    <definedName name="Herr_38">#REF!</definedName>
    <definedName name="hfgh" localSheetId="4"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h" localSheetId="4" hidden="1">'[57]46W9'!#REF!</definedName>
    <definedName name="hh" hidden="1">'[57]46W9'!#REF!</definedName>
    <definedName name="hhh" localSheetId="4"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jfg" localSheetId="4"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M">[24]PRECIOS!$G$8</definedName>
    <definedName name="hn" localSheetId="4"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OJA" localSheetId="4">#REF!</definedName>
    <definedName name="HOJA">#REF!</definedName>
    <definedName name="HOJA1">#REF!</definedName>
    <definedName name="HonoraProfesionales" localSheetId="4">#REF!</definedName>
    <definedName name="HonoraProfesionales">#REF!</definedName>
    <definedName name="HonoraTecnicos" localSheetId="4">#REF!</definedName>
    <definedName name="HonoraTecnicos">#REF!</definedName>
    <definedName name="hreer" localSheetId="4"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fg" localSheetId="4"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hdrf" localSheetId="4"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4"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YDROEL_1.000Bh" localSheetId="4">#REF!</definedName>
    <definedName name="HYDROEL_1.000Bh">#REF!</definedName>
    <definedName name="HYDROEL_10.000Bh" localSheetId="4">#REF!</definedName>
    <definedName name="HYDROEL_10.000Bh">#REF!</definedName>
    <definedName name="HYDROEL_100Bh" localSheetId="4">#REF!</definedName>
    <definedName name="HYDROEL_100Bh">#REF!</definedName>
    <definedName name="HYDROEL_10Bh" localSheetId="4">#REF!</definedName>
    <definedName name="HYDROEL_10Bh">#REF!</definedName>
    <definedName name="HYDROEL_15.000Bh" localSheetId="4">#REF!</definedName>
    <definedName name="HYDROEL_15.000Bh">#REF!</definedName>
    <definedName name="HYDROEL_20.000Bh" localSheetId="4">#REF!</definedName>
    <definedName name="HYDROEL_20.000Bh">#REF!</definedName>
    <definedName name="HYDROEL_250Bh" localSheetId="4">#REF!</definedName>
    <definedName name="HYDROEL_250Bh">#REF!</definedName>
    <definedName name="HYDROEL_3.000Bh" localSheetId="4">#REF!</definedName>
    <definedName name="HYDROEL_3.000Bh">#REF!</definedName>
    <definedName name="HYDROEL_30.000Bh" localSheetId="4">#REF!</definedName>
    <definedName name="HYDROEL_30.000Bh">#REF!</definedName>
    <definedName name="HYDROEL_5.000Bh" localSheetId="4">#REF!</definedName>
    <definedName name="HYDROEL_5.000Bh">#REF!</definedName>
    <definedName name="HYDROEL_500Bh" localSheetId="4">#REF!</definedName>
    <definedName name="HYDROEL_500Bh">#REF!</definedName>
    <definedName name="HYDROEL_7.500Bh" localSheetId="4">#REF!</definedName>
    <definedName name="HYDROEL_7.500Bh">#REF!</definedName>
    <definedName name="hye" localSheetId="4">[33]APU!$E$9</definedName>
    <definedName name="hye">[34]APU!$E$9</definedName>
    <definedName name="hyhjop" localSheetId="4"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 localSheetId="4">#REF!</definedName>
    <definedName name="I">#REF!</definedName>
    <definedName name="i8i" localSheetId="4"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F" localSheetId="4">'[74]A. P. U.'!#REF!</definedName>
    <definedName name="IF">'[74]A. P. U.'!#REF!</definedName>
    <definedName name="ii" localSheetId="4" hidden="1">{"TAB1",#N/A,TRUE,"GENERAL";"TAB2",#N/A,TRUE,"GENERAL";"TAB3",#N/A,TRUE,"GENERAL";"TAB4",#N/A,TRUE,"GENERAL";"TAB5",#N/A,TRUE,"GENERAL"}</definedName>
    <definedName name="ii" localSheetId="9"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m">[17]MATERIALES!$H$5</definedName>
    <definedName name="Impacto" localSheetId="4">#REF!</definedName>
    <definedName name="Impacto">#REF!</definedName>
    <definedName name="IMPERM" localSheetId="4">#REF!</definedName>
    <definedName name="IMPERM">#REF!</definedName>
    <definedName name="Impermeabilizantes" localSheetId="31">#REF!</definedName>
    <definedName name="Impermeabilizantes" localSheetId="38">#REF!</definedName>
    <definedName name="Impermeabilizantes" localSheetId="39">#REF!</definedName>
    <definedName name="Impermeabilizantes" localSheetId="40">#REF!</definedName>
    <definedName name="Impermeabilizantes" localSheetId="41">#REF!</definedName>
    <definedName name="Impermeabilizantes" localSheetId="42">#REF!</definedName>
    <definedName name="Impermeabilizantes" localSheetId="43">#REF!</definedName>
    <definedName name="Impermeabilizantes" localSheetId="44">#REF!</definedName>
    <definedName name="Impermeabilizantes" localSheetId="45">#REF!</definedName>
    <definedName name="Impermeabilizantes" localSheetId="46">#REF!</definedName>
    <definedName name="Impermeabilizantes" localSheetId="47">#REF!</definedName>
    <definedName name="Impermeabilizantes" localSheetId="48">#REF!</definedName>
    <definedName name="Impermeabilizantes" localSheetId="49">#REF!</definedName>
    <definedName name="Impermeabilizantes" localSheetId="21">#REF!</definedName>
    <definedName name="Impermeabilizantes" localSheetId="22">#REF!</definedName>
    <definedName name="Impermeabilizantes" localSheetId="23">#REF!</definedName>
    <definedName name="Impermeabilizantes" localSheetId="33">#REF!</definedName>
    <definedName name="Impermeabilizantes" localSheetId="34">#REF!</definedName>
    <definedName name="Impermeabilizantes" localSheetId="35">#REF!</definedName>
    <definedName name="Impermeabilizantes" localSheetId="36">#REF!</definedName>
    <definedName name="Impermeabilizantes" localSheetId="37">#REF!</definedName>
    <definedName name="Impermeabilizantes" localSheetId="16">#REF!</definedName>
    <definedName name="Impermeabilizantes" localSheetId="17">#REF!</definedName>
    <definedName name="Impermeabilizantes" localSheetId="18">#REF!</definedName>
    <definedName name="Impermeabilizantes" localSheetId="19">#REF!</definedName>
    <definedName name="Impermeabilizantes" localSheetId="20">#REF!</definedName>
    <definedName name="Impermeabilizantes" localSheetId="28">#REF!</definedName>
    <definedName name="Impermeabilizantes" localSheetId="25">#REF!</definedName>
    <definedName name="Impermeabilizantes" localSheetId="26">#REF!</definedName>
    <definedName name="Impermeabilizantes" localSheetId="27">#REF!</definedName>
    <definedName name="Impermeabilizantes" localSheetId="24">#REF!</definedName>
    <definedName name="Impermeabilizantes" localSheetId="29">#REF!</definedName>
    <definedName name="Impermeabilizantes" localSheetId="30">#REF!</definedName>
    <definedName name="Impermeabilizantes" localSheetId="32">#REF!</definedName>
    <definedName name="Impermeabilizantes">#REF!</definedName>
    <definedName name="ImpPolizasConsultoria" localSheetId="4">#REF!</definedName>
    <definedName name="ImpPolizasConsultoria">#REF!</definedName>
    <definedName name="ImpPolizasObra" localSheetId="4">#REF!</definedName>
    <definedName name="ImpPolizasObra">#REF!</definedName>
    <definedName name="Imprev">#REF!</definedName>
    <definedName name="Imprevistos">[15]A.I.U!$I$111</definedName>
    <definedName name="IMPRIM" localSheetId="4">#REF!</definedName>
    <definedName name="IMPRIM">#REF!</definedName>
    <definedName name="INDIVIDUALES">#REF!</definedName>
    <definedName name="inf" localSheetId="4">#REF!</definedName>
    <definedName name="inf">#REF!</definedName>
    <definedName name="Informe" localSheetId="4" hidden="1">{#N/A,#N/A,FALSE,"PROPON.2001"}</definedName>
    <definedName name="Informe" localSheetId="9" hidden="1">{#N/A,#N/A,FALSE,"PROPON.2001"}</definedName>
    <definedName name="Informe" hidden="1">{#N/A,#N/A,FALSE,"PROPON.2001"}</definedName>
    <definedName name="Ingeniero_ambiental">[15]CUADRILLAS!$B$17</definedName>
    <definedName name="Inicio">[22]BASES!$E$26</definedName>
    <definedName name="Inmueble">[29]Hoja1!$E$3:$E$45</definedName>
    <definedName name="Inspector_de_Obra">[15]CUADRILLAS!$B$15</definedName>
    <definedName name="Inst.Electricas" localSheetId="31">#REF!</definedName>
    <definedName name="Inst.Electricas" localSheetId="38">#REF!</definedName>
    <definedName name="Inst.Electricas" localSheetId="39">#REF!</definedName>
    <definedName name="Inst.Electricas" localSheetId="40">#REF!</definedName>
    <definedName name="Inst.Electricas" localSheetId="41">#REF!</definedName>
    <definedName name="Inst.Electricas" localSheetId="42">#REF!</definedName>
    <definedName name="Inst.Electricas" localSheetId="43">#REF!</definedName>
    <definedName name="Inst.Electricas" localSheetId="44">#REF!</definedName>
    <definedName name="Inst.Electricas" localSheetId="45">#REF!</definedName>
    <definedName name="Inst.Electricas" localSheetId="46">#REF!</definedName>
    <definedName name="Inst.Electricas" localSheetId="47">#REF!</definedName>
    <definedName name="Inst.Electricas" localSheetId="48">#REF!</definedName>
    <definedName name="Inst.Electricas" localSheetId="49">#REF!</definedName>
    <definedName name="Inst.Electricas" localSheetId="21">#REF!</definedName>
    <definedName name="Inst.Electricas" localSheetId="22">#REF!</definedName>
    <definedName name="Inst.Electricas" localSheetId="23">#REF!</definedName>
    <definedName name="Inst.Electricas" localSheetId="33">#REF!</definedName>
    <definedName name="Inst.Electricas" localSheetId="34">#REF!</definedName>
    <definedName name="Inst.Electricas" localSheetId="35">#REF!</definedName>
    <definedName name="Inst.Electricas" localSheetId="36">#REF!</definedName>
    <definedName name="Inst.Electricas" localSheetId="37">#REF!</definedName>
    <definedName name="Inst.Electricas" localSheetId="16">#REF!</definedName>
    <definedName name="Inst.Electricas" localSheetId="17">#REF!</definedName>
    <definedName name="Inst.Electricas" localSheetId="18">#REF!</definedName>
    <definedName name="Inst.Electricas" localSheetId="19">#REF!</definedName>
    <definedName name="Inst.Electricas" localSheetId="20">#REF!</definedName>
    <definedName name="Inst.Electricas" localSheetId="28">#REF!</definedName>
    <definedName name="Inst.Electricas" localSheetId="25">#REF!</definedName>
    <definedName name="Inst.Electricas" localSheetId="26">#REF!</definedName>
    <definedName name="Inst.Electricas" localSheetId="27">#REF!</definedName>
    <definedName name="Inst.Electricas" localSheetId="24">#REF!</definedName>
    <definedName name="Inst.Electricas" localSheetId="29">#REF!</definedName>
    <definedName name="Inst.Electricas" localSheetId="30">#REF!</definedName>
    <definedName name="Inst.Electricas" localSheetId="32">#REF!</definedName>
    <definedName name="Inst.Electricas">#REF!</definedName>
    <definedName name="Inst.Hidrosanitarias" localSheetId="31">#REF!</definedName>
    <definedName name="Inst.Hidrosanitarias" localSheetId="38">#REF!</definedName>
    <definedName name="Inst.Hidrosanitarias" localSheetId="39">#REF!</definedName>
    <definedName name="Inst.Hidrosanitarias" localSheetId="40">#REF!</definedName>
    <definedName name="Inst.Hidrosanitarias" localSheetId="41">#REF!</definedName>
    <definedName name="Inst.Hidrosanitarias" localSheetId="42">#REF!</definedName>
    <definedName name="Inst.Hidrosanitarias" localSheetId="43">#REF!</definedName>
    <definedName name="Inst.Hidrosanitarias" localSheetId="44">#REF!</definedName>
    <definedName name="Inst.Hidrosanitarias" localSheetId="45">#REF!</definedName>
    <definedName name="Inst.Hidrosanitarias" localSheetId="46">#REF!</definedName>
    <definedName name="Inst.Hidrosanitarias" localSheetId="47">#REF!</definedName>
    <definedName name="Inst.Hidrosanitarias" localSheetId="48">#REF!</definedName>
    <definedName name="Inst.Hidrosanitarias" localSheetId="49">#REF!</definedName>
    <definedName name="Inst.Hidrosanitarias" localSheetId="21">#REF!</definedName>
    <definedName name="Inst.Hidrosanitarias" localSheetId="22">#REF!</definedName>
    <definedName name="Inst.Hidrosanitarias" localSheetId="23">#REF!</definedName>
    <definedName name="Inst.Hidrosanitarias" localSheetId="33">#REF!</definedName>
    <definedName name="Inst.Hidrosanitarias" localSheetId="34">#REF!</definedName>
    <definedName name="Inst.Hidrosanitarias" localSheetId="35">#REF!</definedName>
    <definedName name="Inst.Hidrosanitarias" localSheetId="36">#REF!</definedName>
    <definedName name="Inst.Hidrosanitarias" localSheetId="37">#REF!</definedName>
    <definedName name="Inst.Hidrosanitarias" localSheetId="16">#REF!</definedName>
    <definedName name="Inst.Hidrosanitarias" localSheetId="17">#REF!</definedName>
    <definedName name="Inst.Hidrosanitarias" localSheetId="18">#REF!</definedName>
    <definedName name="Inst.Hidrosanitarias" localSheetId="19">#REF!</definedName>
    <definedName name="Inst.Hidrosanitarias" localSheetId="20">#REF!</definedName>
    <definedName name="Inst.Hidrosanitarias" localSheetId="28">#REF!</definedName>
    <definedName name="Inst.Hidrosanitarias" localSheetId="25">#REF!</definedName>
    <definedName name="Inst.Hidrosanitarias" localSheetId="26">#REF!</definedName>
    <definedName name="Inst.Hidrosanitarias" localSheetId="27">#REF!</definedName>
    <definedName name="Inst.Hidrosanitarias" localSheetId="24">#REF!</definedName>
    <definedName name="Inst.Hidrosanitarias" localSheetId="29">#REF!</definedName>
    <definedName name="Inst.Hidrosanitarias" localSheetId="30">#REF!</definedName>
    <definedName name="Inst.Hidrosanitarias" localSheetId="32">#REF!</definedName>
    <definedName name="Inst.Hidrosanitarias">#REF!</definedName>
    <definedName name="Instalacion" localSheetId="4">#REF!</definedName>
    <definedName name="Instalacion">#REF!</definedName>
    <definedName name="INSUMOS" localSheetId="31">#REF!</definedName>
    <definedName name="INSUMOS" localSheetId="4">#N/A</definedName>
    <definedName name="INSUMOS" localSheetId="38">#REF!</definedName>
    <definedName name="INSUMOS" localSheetId="39">#REF!</definedName>
    <definedName name="INSUMOS" localSheetId="40">#REF!</definedName>
    <definedName name="INSUMOS" localSheetId="41">#REF!</definedName>
    <definedName name="INSUMOS" localSheetId="42">#REF!</definedName>
    <definedName name="INSUMOS" localSheetId="43">#REF!</definedName>
    <definedName name="INSUMOS" localSheetId="44">#REF!</definedName>
    <definedName name="INSUMOS" localSheetId="45">#REF!</definedName>
    <definedName name="INSUMOS" localSheetId="46">#REF!</definedName>
    <definedName name="INSUMOS" localSheetId="47">#REF!</definedName>
    <definedName name="INSUMOS" localSheetId="48">#REF!</definedName>
    <definedName name="INSUMOS" localSheetId="49">#REF!</definedName>
    <definedName name="INSUMOS" localSheetId="21">#REF!</definedName>
    <definedName name="INSUMOS" localSheetId="22">#REF!</definedName>
    <definedName name="INSUMOS" localSheetId="23">#REF!</definedName>
    <definedName name="INSUMOS" localSheetId="33">#REF!</definedName>
    <definedName name="INSUMOS" localSheetId="34">#REF!</definedName>
    <definedName name="INSUMOS" localSheetId="35">#REF!</definedName>
    <definedName name="INSUMOS" localSheetId="36">#REF!</definedName>
    <definedName name="INSUMOS" localSheetId="37">#REF!</definedName>
    <definedName name="INSUMOS" localSheetId="16">#REF!</definedName>
    <definedName name="INSUMOS" localSheetId="17">#REF!</definedName>
    <definedName name="INSUMOS" localSheetId="18">#REF!</definedName>
    <definedName name="INSUMOS" localSheetId="19">#REF!</definedName>
    <definedName name="INSUMOS" localSheetId="20">#REF!</definedName>
    <definedName name="INSUMOS" localSheetId="28">#REF!</definedName>
    <definedName name="INSUMOS" localSheetId="25">#REF!</definedName>
    <definedName name="INSUMOS" localSheetId="26">#REF!</definedName>
    <definedName name="INSUMOS" localSheetId="27">#REF!</definedName>
    <definedName name="INSUMOS" localSheetId="24">#REF!</definedName>
    <definedName name="INSUMOS" localSheetId="29">#REF!</definedName>
    <definedName name="INSUMOS" localSheetId="30">#REF!</definedName>
    <definedName name="INSUMOS" localSheetId="32">#REF!</definedName>
    <definedName name="INSUMOS">#REF!</definedName>
    <definedName name="INSUMOS_ENSAYOS" localSheetId="4">#REF!</definedName>
    <definedName name="INSUMOS_ENSAYOS">#REF!</definedName>
    <definedName name="INSUMOS_EQUIPOS">'[27]INSUMOS EQUIPOS'!$A$1:$D$107</definedName>
    <definedName name="INSUMOS_MANO_DE_OBRA">'[27]INSUMOS MANO DE OBRA'!$A$1:$I$63</definedName>
    <definedName name="INSUMOS_MATERIALES">'[27]INSUMOS MATERIALES'!$A$1:$D$528</definedName>
    <definedName name="INSUMOS_SERVICIOS">'[27]INSUMOS SERVICIOS'!$A$1:$D$53</definedName>
    <definedName name="INSUMOS_TRANSPORTES">'[27]INSUMOS TRANSPORTES'!$A$1:$D$47</definedName>
    <definedName name="int_3x100" localSheetId="4">[33]MATERIALES!#REF!</definedName>
    <definedName name="int_3x100">[34]MATERIALES!#REF!</definedName>
    <definedName name="int_3x15" localSheetId="4">[33]MATERIALES!#REF!</definedName>
    <definedName name="int_3x15">[34]MATERIALES!#REF!</definedName>
    <definedName name="int_3x20" localSheetId="4">[33]MATERIALES!#REF!</definedName>
    <definedName name="int_3x20">[34]MATERIALES!#REF!</definedName>
    <definedName name="int_3x30" localSheetId="4">[33]MATERIALES!#REF!</definedName>
    <definedName name="int_3x30">[34]MATERIALES!#REF!</definedName>
    <definedName name="int_3x40" localSheetId="4">[33]MATERIALES!#REF!</definedName>
    <definedName name="int_3x40">[34]MATERIALES!#REF!</definedName>
    <definedName name="int_3x50" localSheetId="4">[33]MATERIALES!#REF!</definedName>
    <definedName name="int_3x50">[34]MATERIALES!#REF!</definedName>
    <definedName name="int_3x60" localSheetId="4">[33]MATERIALES!#REF!</definedName>
    <definedName name="int_3x60">[34]MATERIALES!#REF!</definedName>
    <definedName name="int_3x70" localSheetId="4">[33]MATERIALES!#REF!</definedName>
    <definedName name="int_3x70">[34]MATERIALES!#REF!</definedName>
    <definedName name="int_3x80" localSheetId="4">[33]MATERIALES!#REF!</definedName>
    <definedName name="int_3x80">[34]MATERIALES!#REF!</definedName>
    <definedName name="Interruptor_Doble">'[14]LISTADO DE MATERIALES Y EQUIPOS'!$B$116</definedName>
    <definedName name="Interruptor_sencillo">'[14]LISTADO DE MATERIALES Y EQUIPOS'!$B$115</definedName>
    <definedName name="Interventor">[48]Datos!$B$5</definedName>
    <definedName name="INTERVENTORIA" localSheetId="4" hidden="1">[6]G.G!#REF!</definedName>
    <definedName name="INTERVENTORIA" hidden="1">[6]G.G!#REF!</definedName>
    <definedName name="interventoria_2" localSheetId="4" hidden="1">#REF!</definedName>
    <definedName name="interventoria_2" hidden="1">#REF!</definedName>
    <definedName name="Io" localSheetId="4">#REF!</definedName>
    <definedName name="Io">#REF!</definedName>
    <definedName name="IR" localSheetId="4">#REF!</definedName>
    <definedName name="IR">#REF!</definedName>
    <definedName name="IR_CUMMIN_1.000Bh" localSheetId="4">#REF!</definedName>
    <definedName name="IR_CUMMIN_1.000Bh">#REF!</definedName>
    <definedName name="IR_CUMMIN_10.000Bh" localSheetId="4">#REF!</definedName>
    <definedName name="IR_CUMMIN_10.000Bh">#REF!</definedName>
    <definedName name="IR_CUMMIN_100Bh" localSheetId="4">#REF!</definedName>
    <definedName name="IR_CUMMIN_100Bh">#REF!</definedName>
    <definedName name="IR_CUMMIN_10Bh" localSheetId="4">#REF!</definedName>
    <definedName name="IR_CUMMIN_10Bh">#REF!</definedName>
    <definedName name="IR_CUMMIN_15.000Bh" localSheetId="4">#REF!</definedName>
    <definedName name="IR_CUMMIN_15.000Bh">#REF!</definedName>
    <definedName name="IR_CUMMIN_20.000Bh" localSheetId="4">#REF!</definedName>
    <definedName name="IR_CUMMIN_20.000Bh">#REF!</definedName>
    <definedName name="IR_CUMMIN_250Bh" localSheetId="4">#REF!</definedName>
    <definedName name="IR_CUMMIN_250Bh">#REF!</definedName>
    <definedName name="IR_CUMMIN_3.000Bh" localSheetId="4">#REF!</definedName>
    <definedName name="IR_CUMMIN_3.000Bh">#REF!</definedName>
    <definedName name="IR_CUMMIN_30.000Bh" localSheetId="4">#REF!</definedName>
    <definedName name="IR_CUMMIN_30.000Bh">#REF!</definedName>
    <definedName name="IR_CUMMIN_5.000Bh" localSheetId="4">#REF!</definedName>
    <definedName name="IR_CUMMIN_5.000Bh">#REF!</definedName>
    <definedName name="IR_CUMMIN_500Bh" localSheetId="4">#REF!</definedName>
    <definedName name="IR_CUMMIN_500Bh">#REF!</definedName>
    <definedName name="IR_CUMMIN_7.500Bh" localSheetId="4">#REF!</definedName>
    <definedName name="IR_CUMMIN_7.500Bh">#REF!</definedName>
    <definedName name="IR_ELEKTR_1.000Bh" localSheetId="4">#REF!</definedName>
    <definedName name="IR_ELEKTR_1.000Bh">#REF!</definedName>
    <definedName name="IR_ELEKTR_10.000Bh" localSheetId="4">#REF!</definedName>
    <definedName name="IR_ELEKTR_10.000Bh">#REF!</definedName>
    <definedName name="IR_ELEKTR_100Bh" localSheetId="4">#REF!</definedName>
    <definedName name="IR_ELEKTR_100Bh">#REF!</definedName>
    <definedName name="IR_ELEKTR_10Bh" localSheetId="4">#REF!</definedName>
    <definedName name="IR_ELEKTR_10Bh">#REF!</definedName>
    <definedName name="IR_ELEKTR_15.000Bh" localSheetId="4">#REF!</definedName>
    <definedName name="IR_ELEKTR_15.000Bh">#REF!</definedName>
    <definedName name="IR_ELEKTR_20.000Bh" localSheetId="4">#REF!</definedName>
    <definedName name="IR_ELEKTR_20.000Bh">#REF!</definedName>
    <definedName name="IR_ELEKTR_250Bh" localSheetId="4">#REF!</definedName>
    <definedName name="IR_ELEKTR_250Bh">#REF!</definedName>
    <definedName name="IR_ELEKTR_3.000Bh" localSheetId="4">#REF!</definedName>
    <definedName name="IR_ELEKTR_3.000Bh">#REF!</definedName>
    <definedName name="IR_ELEKTR_30.000Bh" localSheetId="4">#REF!</definedName>
    <definedName name="IR_ELEKTR_30.000Bh">#REF!</definedName>
    <definedName name="IR_ELEKTR_5.000Bh" localSheetId="4">#REF!</definedName>
    <definedName name="IR_ELEKTR_5.000Bh">#REF!</definedName>
    <definedName name="IR_ELEKTR_500Bh" localSheetId="4">#REF!</definedName>
    <definedName name="IR_ELEKTR_500Bh">#REF!</definedName>
    <definedName name="IR_ELEKTR_7.500Bh" localSheetId="4">#REF!</definedName>
    <definedName name="IR_ELEKTR_7.500Bh">#REF!</definedName>
    <definedName name="IR_FILTER_OuK_10.000Bh" localSheetId="4">#REF!</definedName>
    <definedName name="IR_FILTER_OuK_10.000Bh">#REF!</definedName>
    <definedName name="IR_FILTER_OuK_1000Bh" localSheetId="4">#REF!</definedName>
    <definedName name="IR_FILTER_OuK_1000Bh">#REF!</definedName>
    <definedName name="IR_FILTER_OuK_100Bh" localSheetId="4">#REF!</definedName>
    <definedName name="IR_FILTER_OuK_100Bh">#REF!</definedName>
    <definedName name="IR_FILTER_OuK_10Bh" localSheetId="4">#REF!</definedName>
    <definedName name="IR_FILTER_OuK_10Bh">#REF!</definedName>
    <definedName name="IR_FILTER_OuK_15.000Bh" localSheetId="4">#REF!</definedName>
    <definedName name="IR_FILTER_OuK_15.000Bh">#REF!</definedName>
    <definedName name="IR_FILTER_OuK_20.000Bh" localSheetId="4">#REF!</definedName>
    <definedName name="IR_FILTER_OuK_20.000Bh">#REF!</definedName>
    <definedName name="IR_FILTER_OuK_250Bh" localSheetId="4">#REF!</definedName>
    <definedName name="IR_FILTER_OuK_250Bh">#REF!</definedName>
    <definedName name="IR_FILTER_OuK_30.000Bh" localSheetId="4">#REF!</definedName>
    <definedName name="IR_FILTER_OuK_30.000Bh">#REF!</definedName>
    <definedName name="IR_FILTER_OuK_3000Bh" localSheetId="4">#REF!</definedName>
    <definedName name="IR_FILTER_OuK_3000Bh">#REF!</definedName>
    <definedName name="IR_FILTER_OuK_5000Bh" localSheetId="4">#REF!</definedName>
    <definedName name="IR_FILTER_OuK_5000Bh">#REF!</definedName>
    <definedName name="IR_FILTER_OuK_500Bh" localSheetId="4">#REF!</definedName>
    <definedName name="IR_FILTER_OuK_500Bh">#REF!</definedName>
    <definedName name="IR_FILTER_OuK_7500Bh" localSheetId="4">#REF!</definedName>
    <definedName name="IR_FILTER_OuK_7500Bh">#REF!</definedName>
    <definedName name="IR_FREMDL_1.000Bh" localSheetId="4">#REF!</definedName>
    <definedName name="IR_FREMDL_1.000Bh">#REF!</definedName>
    <definedName name="IR_FREMDL_10.000Bh" localSheetId="4">#REF!</definedName>
    <definedName name="IR_FREMDL_10.000Bh">#REF!</definedName>
    <definedName name="IR_FREMDL_100Bh" localSheetId="4">#REF!</definedName>
    <definedName name="IR_FREMDL_100Bh">#REF!</definedName>
    <definedName name="IR_FREMDL_10Bh" localSheetId="4">#REF!</definedName>
    <definedName name="IR_FREMDL_10Bh">#REF!</definedName>
    <definedName name="IR_FREMDL_15.000Bh" localSheetId="4">#REF!</definedName>
    <definedName name="IR_FREMDL_15.000Bh">#REF!</definedName>
    <definedName name="IR_FREMDL_20.000Bh" localSheetId="4">#REF!</definedName>
    <definedName name="IR_FREMDL_20.000Bh">#REF!</definedName>
    <definedName name="IR_FREMDL_250Bh" localSheetId="4">#REF!</definedName>
    <definedName name="IR_FREMDL_250Bh">#REF!</definedName>
    <definedName name="IR_FREMDL_3.000Bh" localSheetId="4">#REF!</definedName>
    <definedName name="IR_FREMDL_3.000Bh">#REF!</definedName>
    <definedName name="IR_FREMDL_5.000Bh" localSheetId="4">#REF!</definedName>
    <definedName name="IR_FREMDL_5.000Bh">#REF!</definedName>
    <definedName name="IR_FREMDL_500Bh" localSheetId="4">#REF!</definedName>
    <definedName name="IR_FREMDL_500Bh">#REF!</definedName>
    <definedName name="IR_FREMDL_7.500Bh" localSheetId="4">#REF!</definedName>
    <definedName name="IR_FREMDL_7.500Bh">#REF!</definedName>
    <definedName name="IR_LAUFW_1.000Bh" localSheetId="4">#REF!</definedName>
    <definedName name="IR_LAUFW_1.000Bh">#REF!</definedName>
    <definedName name="IR_LAUFW_10.000Bh" localSheetId="4">#REF!</definedName>
    <definedName name="IR_LAUFW_10.000Bh">#REF!</definedName>
    <definedName name="IR_LAUFW_100Bh" localSheetId="4">#REF!</definedName>
    <definedName name="IR_LAUFW_100Bh">#REF!</definedName>
    <definedName name="IR_LAUFW_10Bh" localSheetId="4">#REF!</definedName>
    <definedName name="IR_LAUFW_10Bh">#REF!</definedName>
    <definedName name="IR_LAUFW_15.000Bh" localSheetId="4">#REF!</definedName>
    <definedName name="IR_LAUFW_15.000Bh">#REF!</definedName>
    <definedName name="IR_LAUFW_20.000Bh" localSheetId="4">#REF!</definedName>
    <definedName name="IR_LAUFW_20.000Bh">#REF!</definedName>
    <definedName name="IR_LAUFW_250Bh" localSheetId="4">#REF!</definedName>
    <definedName name="IR_LAUFW_250Bh">#REF!</definedName>
    <definedName name="IR_LAUFW_3.000Bh" localSheetId="4">#REF!</definedName>
    <definedName name="IR_LAUFW_3.000Bh">#REF!</definedName>
    <definedName name="IR_LAUFW_30.000Bh" localSheetId="4">#REF!</definedName>
    <definedName name="IR_LAUFW_30.000Bh">#REF!</definedName>
    <definedName name="IR_LAUFW_5.000Bh" localSheetId="4">#REF!</definedName>
    <definedName name="IR_LAUFW_5.000Bh">#REF!</definedName>
    <definedName name="IR_LAUFW_500Bh" localSheetId="4">#REF!</definedName>
    <definedName name="IR_LAUFW_500Bh">#REF!</definedName>
    <definedName name="IR_LAUFW_7.500Bh" localSheetId="4">#REF!</definedName>
    <definedName name="IR_LAUFW_7.500Bh">#REF!</definedName>
    <definedName name="IR_OK_CUM_10" localSheetId="4">#REF!</definedName>
    <definedName name="IR_OK_CUM_10">#REF!</definedName>
    <definedName name="IR_OK_CUM_100" localSheetId="4">#REF!</definedName>
    <definedName name="IR_OK_CUM_100">#REF!</definedName>
    <definedName name="IR_OK_CUM_1000" localSheetId="4">#REF!</definedName>
    <definedName name="IR_OK_CUM_1000">#REF!</definedName>
    <definedName name="IR_OK_CUM_10000" localSheetId="4">#REF!</definedName>
    <definedName name="IR_OK_CUM_10000">#REF!</definedName>
    <definedName name="IR_OK_CUM_101" localSheetId="4">#REF!</definedName>
    <definedName name="IR_OK_CUM_101">#REF!</definedName>
    <definedName name="IR_OK_CUM_10Bh" localSheetId="4">#REF!</definedName>
    <definedName name="IR_OK_CUM_10Bh">#REF!</definedName>
    <definedName name="IR_OK_CUM_11" localSheetId="4">#REF!</definedName>
    <definedName name="IR_OK_CUM_11">#REF!</definedName>
    <definedName name="IR_OK_CUM_15000" localSheetId="4">#REF!</definedName>
    <definedName name="IR_OK_CUM_15000">#REF!</definedName>
    <definedName name="IR_OK_CUM_20000" localSheetId="4">#REF!</definedName>
    <definedName name="IR_OK_CUM_20000">#REF!</definedName>
    <definedName name="IR_OK_CUM_250" localSheetId="4">#REF!</definedName>
    <definedName name="IR_OK_CUM_250">#REF!</definedName>
    <definedName name="IR_OK_CUM_3000" localSheetId="4">#REF!</definedName>
    <definedName name="IR_OK_CUM_3000">#REF!</definedName>
    <definedName name="IR_OK_CUM_30000" localSheetId="4">#REF!</definedName>
    <definedName name="IR_OK_CUM_30000">#REF!</definedName>
    <definedName name="IR_OK_CUM_500" localSheetId="4">#REF!</definedName>
    <definedName name="IR_OK_CUM_500">#REF!</definedName>
    <definedName name="IR_OK_CUM_5000" localSheetId="4">#REF!</definedName>
    <definedName name="IR_OK_CUM_5000">#REF!</definedName>
    <definedName name="IR_OK_CUM_7500" localSheetId="4">#REF!</definedName>
    <definedName name="IR_OK_CUM_7500">#REF!</definedName>
    <definedName name="IRCUM_Zeit_1.000Bh" localSheetId="4">#REF!</definedName>
    <definedName name="IRCUM_Zeit_1.000Bh">#REF!</definedName>
    <definedName name="IRCUM_Zeit_10.000Bh" localSheetId="4">#REF!</definedName>
    <definedName name="IRCUM_Zeit_10.000Bh">#REF!</definedName>
    <definedName name="IRCUM_Zeit_100Bh" localSheetId="4">#REF!</definedName>
    <definedName name="IRCUM_Zeit_100Bh">#REF!</definedName>
    <definedName name="IRCUM_Zeit_10Bh" localSheetId="4">#REF!</definedName>
    <definedName name="IRCUM_Zeit_10Bh">#REF!</definedName>
    <definedName name="IRCUM_Zeit_15.000Bh" localSheetId="4">#REF!</definedName>
    <definedName name="IRCUM_Zeit_15.000Bh">#REF!</definedName>
    <definedName name="IRCUM_Zeit_20.000Bh" localSheetId="4">#REF!</definedName>
    <definedName name="IRCUM_Zeit_20.000Bh">#REF!</definedName>
    <definedName name="IRCUM_Zeit_250Bh" localSheetId="4">#REF!</definedName>
    <definedName name="IRCUM_Zeit_250Bh">#REF!</definedName>
    <definedName name="IRCUM_Zeit_3.000Bh" localSheetId="4">#REF!</definedName>
    <definedName name="IRCUM_Zeit_3.000Bh">#REF!</definedName>
    <definedName name="IRCUM_Zeit_30.000Bh" localSheetId="4">#REF!</definedName>
    <definedName name="IRCUM_Zeit_30.000Bh">#REF!</definedName>
    <definedName name="IRCUM_Zeit_5.000Bh" localSheetId="4">#REF!</definedName>
    <definedName name="IRCUM_Zeit_5.000Bh">#REF!</definedName>
    <definedName name="IRCUM_Zeit_500Bh" localSheetId="4">#REF!</definedName>
    <definedName name="IRCUM_Zeit_500Bh">#REF!</definedName>
    <definedName name="IRCUM_Zeit_7.500Bh" localSheetId="4">#REF!</definedName>
    <definedName name="IRCUM_Zeit_7.500Bh">#REF!</definedName>
    <definedName name="IRFILT_OK_Zeit_1.000Bh" localSheetId="4">#REF!</definedName>
    <definedName name="IRFILT_OK_Zeit_1.000Bh">#REF!</definedName>
    <definedName name="IRFILT_OK_Zeit_10.000Bh" localSheetId="4">#REF!</definedName>
    <definedName name="IRFILT_OK_Zeit_10.000Bh">#REF!</definedName>
    <definedName name="IRFILT_OK_Zeit_100Bh" localSheetId="4">#REF!</definedName>
    <definedName name="IRFILT_OK_Zeit_100Bh">#REF!</definedName>
    <definedName name="IRFILT_OK_Zeit_10Bh" localSheetId="4">#REF!</definedName>
    <definedName name="IRFILT_OK_Zeit_10Bh">#REF!</definedName>
    <definedName name="IRFILT_OK_Zeit_15.000Bh" localSheetId="4">#REF!</definedName>
    <definedName name="IRFILT_OK_Zeit_15.000Bh">#REF!</definedName>
    <definedName name="IRFILT_OK_Zeit_20.000Bh" localSheetId="4">#REF!</definedName>
    <definedName name="IRFILT_OK_Zeit_20.000Bh">#REF!</definedName>
    <definedName name="IRFILT_OK_Zeit_250Bh" localSheetId="4">#REF!</definedName>
    <definedName name="IRFILT_OK_Zeit_250Bh">#REF!</definedName>
    <definedName name="IRFILT_OK_Zeit_3.000Bh" localSheetId="4">#REF!</definedName>
    <definedName name="IRFILT_OK_Zeit_3.000Bh">#REF!</definedName>
    <definedName name="IRFILT_OK_Zeit_30.000Bh" localSheetId="4">#REF!</definedName>
    <definedName name="IRFILT_OK_Zeit_30.000Bh">#REF!</definedName>
    <definedName name="IRFILT_OK_Zeit_5.000Bh" localSheetId="4">#REF!</definedName>
    <definedName name="IRFILT_OK_Zeit_5.000Bh">#REF!</definedName>
    <definedName name="IRFILT_OK_Zeit_500Bh" localSheetId="4">#REF!</definedName>
    <definedName name="IRFILT_OK_Zeit_500Bh">#REF!</definedName>
    <definedName name="IRFILT_OK_Zeit_7.500Bh" localSheetId="4">#REF!</definedName>
    <definedName name="IRFILT_OK_Zeit_7.500Bh">#REF!</definedName>
    <definedName name="IRFILTCU_1.000Bh" localSheetId="4">#REF!</definedName>
    <definedName name="IRFILTCU_1.000Bh">#REF!</definedName>
    <definedName name="IRFILTCU_10.000Bh" localSheetId="4">#REF!</definedName>
    <definedName name="IRFILTCU_10.000Bh">#REF!</definedName>
    <definedName name="IRFILTCU_100Bh" localSheetId="4">#REF!</definedName>
    <definedName name="IRFILTCU_100Bh">#REF!</definedName>
    <definedName name="IRFILTCU_10Bh" localSheetId="4">#REF!</definedName>
    <definedName name="IRFILTCU_10Bh">#REF!</definedName>
    <definedName name="IRFILTCU_15.000Bh" localSheetId="4">#REF!</definedName>
    <definedName name="IRFILTCU_15.000Bh">#REF!</definedName>
    <definedName name="IRFILTCU_20.000Bh" localSheetId="4">#REF!</definedName>
    <definedName name="IRFILTCU_20.000Bh">#REF!</definedName>
    <definedName name="IRFILTCU_250Bh" localSheetId="4">#REF!</definedName>
    <definedName name="IRFILTCU_250Bh">#REF!</definedName>
    <definedName name="IRFILTCU_3.000Bh" localSheetId="4">#REF!</definedName>
    <definedName name="IRFILTCU_3.000Bh">#REF!</definedName>
    <definedName name="IRFILTCU_30.000Bh" localSheetId="4">#REF!</definedName>
    <definedName name="IRFILTCU_30.000Bh">#REF!</definedName>
    <definedName name="IRFILTCU_5.000Bh" localSheetId="4">#REF!</definedName>
    <definedName name="IRFILTCU_5.000Bh">#REF!</definedName>
    <definedName name="IRFILTCU_500Bh" localSheetId="4">#REF!</definedName>
    <definedName name="IRFILTCU_500Bh">#REF!</definedName>
    <definedName name="IRFILTCU_7.500Bh" localSheetId="4">#REF!</definedName>
    <definedName name="IRFILTCU_7.500Bh">#REF!</definedName>
    <definedName name="IROuK_1.000Bh" localSheetId="4">#REF!</definedName>
    <definedName name="IROuK_1.000Bh">#REF!</definedName>
    <definedName name="IROuK_10.000Bh" localSheetId="4">#REF!</definedName>
    <definedName name="IROuK_10.000Bh">#REF!</definedName>
    <definedName name="IROuK_100Bh" localSheetId="4">#REF!</definedName>
    <definedName name="IROuK_100Bh">#REF!</definedName>
    <definedName name="IROuK_10Bh" localSheetId="4">#REF!</definedName>
    <definedName name="IROuK_10Bh">#REF!</definedName>
    <definedName name="IROuK_15.000Bh" localSheetId="4">#REF!</definedName>
    <definedName name="IROuK_15.000Bh">#REF!</definedName>
    <definedName name="IROuK_20.000Bh" localSheetId="4">#REF!</definedName>
    <definedName name="IROuK_20.000Bh">#REF!</definedName>
    <definedName name="IROuK_250Bh" localSheetId="4">#REF!</definedName>
    <definedName name="IROuK_250Bh">#REF!</definedName>
    <definedName name="IROuK_3.000Bh" localSheetId="4">#REF!</definedName>
    <definedName name="IROuK_3.000Bh">#REF!</definedName>
    <definedName name="IROuK_30.000Bh" localSheetId="4">#REF!</definedName>
    <definedName name="IROuK_30.000Bh">#REF!</definedName>
    <definedName name="IROuK_5.000Bh" localSheetId="4">#REF!</definedName>
    <definedName name="IROuK_5.000Bh">#REF!</definedName>
    <definedName name="IROuK_500Bh" localSheetId="4">#REF!</definedName>
    <definedName name="IROuK_500Bh">#REF!</definedName>
    <definedName name="IROuK_7.500Bh" localSheetId="4">#REF!</definedName>
    <definedName name="IROuK_7.500Bh">#REF!</definedName>
    <definedName name="IROuK_Zeit_1.000Bh" localSheetId="4">#REF!</definedName>
    <definedName name="IROuK_Zeit_1.000Bh">#REF!</definedName>
    <definedName name="IROuK_Zeit_10.000Bh" localSheetId="4">#REF!</definedName>
    <definedName name="IROuK_Zeit_10.000Bh">#REF!</definedName>
    <definedName name="IROuK_Zeit_100Bh" localSheetId="4">#REF!</definedName>
    <definedName name="IROuK_Zeit_100Bh">#REF!</definedName>
    <definedName name="IROuK_Zeit_10Bh" localSheetId="4">#REF!</definedName>
    <definedName name="IROuK_Zeit_10Bh">#REF!</definedName>
    <definedName name="IROuK_Zeit_15.000Bh" localSheetId="4">#REF!</definedName>
    <definedName name="IROuK_Zeit_15.000Bh">#REF!</definedName>
    <definedName name="IROuK_Zeit_20.000Bh" localSheetId="4">#REF!</definedName>
    <definedName name="IROuK_Zeit_20.000Bh">#REF!</definedName>
    <definedName name="IROuK_Zeit_250Bh" localSheetId="4">#REF!</definedName>
    <definedName name="IROuK_Zeit_250Bh">#REF!</definedName>
    <definedName name="IROuK_Zeit_3.000Bh" localSheetId="4">#REF!</definedName>
    <definedName name="IROuK_Zeit_3.000Bh">#REF!</definedName>
    <definedName name="IROuK_Zeit_30.000Bh" localSheetId="4">#REF!</definedName>
    <definedName name="IROuK_Zeit_30.000Bh">#REF!</definedName>
    <definedName name="IROuK_Zeit_5.000Bh" localSheetId="4">#REF!</definedName>
    <definedName name="IROuK_Zeit_5.000Bh">#REF!</definedName>
    <definedName name="IROuK_Zeit_500Bh" localSheetId="4">#REF!</definedName>
    <definedName name="IROuK_Zeit_500Bh">#REF!</definedName>
    <definedName name="IROuK_Zeit_7.500Bh" localSheetId="4">#REF!</definedName>
    <definedName name="IROuK_Zeit_7.500Bh">#REF!</definedName>
    <definedName name="IRVERSCH_GRAB_1.000Bh" localSheetId="4">#REF!</definedName>
    <definedName name="IRVERSCH_GRAB_1.000Bh">#REF!</definedName>
    <definedName name="IRVERSCH_GRAB_10.000Bh" localSheetId="4">#REF!</definedName>
    <definedName name="IRVERSCH_GRAB_10.000Bh">#REF!</definedName>
    <definedName name="IRVERSCH_GRAB_100Bh" localSheetId="4">#REF!</definedName>
    <definedName name="IRVERSCH_GRAB_100Bh">#REF!</definedName>
    <definedName name="IRVERSCH_GRAB_10Bh" localSheetId="4">#REF!</definedName>
    <definedName name="IRVERSCH_GRAB_10Bh">#REF!</definedName>
    <definedName name="IRVERSCH_GRAB_15.000Bh" localSheetId="4">#REF!</definedName>
    <definedName name="IRVERSCH_GRAB_15.000Bh">#REF!</definedName>
    <definedName name="IRVERSCH_GRAB_20.000Bh" localSheetId="4">#REF!</definedName>
    <definedName name="IRVERSCH_GRAB_20.000Bh">#REF!</definedName>
    <definedName name="IRVERSCH_GRAB_250Bh" localSheetId="4">#REF!</definedName>
    <definedName name="IRVERSCH_GRAB_250Bh">#REF!</definedName>
    <definedName name="IRVERSCH_GRAB_3.000Bh" localSheetId="4">#REF!</definedName>
    <definedName name="IRVERSCH_GRAB_3.000Bh">#REF!</definedName>
    <definedName name="IRVERSCH_GRAB_30.000Bh" localSheetId="4">#REF!</definedName>
    <definedName name="IRVERSCH_GRAB_30.000Bh">#REF!</definedName>
    <definedName name="IRVERSCH_GRAB_5.000Bh" localSheetId="4">#REF!</definedName>
    <definedName name="IRVERSCH_GRAB_5.000Bh">#REF!</definedName>
    <definedName name="IRVERSCH_GRAB_500Bh" localSheetId="4">#REF!</definedName>
    <definedName name="IRVERSCH_GRAB_500Bh">#REF!</definedName>
    <definedName name="IRVERSCH_GRAB_7.500Bh" localSheetId="4">#REF!</definedName>
    <definedName name="IRVERSCH_GRAB_7.500Bh">#REF!</definedName>
    <definedName name="ISABEL" localSheetId="4">#REF!</definedName>
    <definedName name="ISABEL">#REF!</definedName>
    <definedName name="item" localSheetId="4">#REF!</definedName>
    <definedName name="ITEM">#REF!</definedName>
    <definedName name="ITEM2.10">[54]APU!$E$14843</definedName>
    <definedName name="ITEM2.11">[54]APU!$E$14904</definedName>
    <definedName name="ITEM2.12">[54]APU!$E$14965</definedName>
    <definedName name="ITEM3.15">[54]APU!$E$8621</definedName>
    <definedName name="ITEM3.16">[54]APU!$E$8682</definedName>
    <definedName name="ITEM3.17">[54]APU!$E$8743</definedName>
    <definedName name="ITEM3.18">[54]APU!$E$8804</definedName>
    <definedName name="ITEM3.19">[54]APU!$E$8865</definedName>
    <definedName name="ITEM3.20">[54]APU!$E$8926</definedName>
    <definedName name="ITEM3.21">[54]APU!$E$11915</definedName>
    <definedName name="ITEM3.22">[54]APU!$E$14477</definedName>
    <definedName name="ITEM3.23">[54]APU!$E$15087</definedName>
    <definedName name="ITEM4.20">[54]APU!$E$9170</definedName>
    <definedName name="ITEM4.21">[54]APU!$E$9231</definedName>
    <definedName name="ITEM4.22">[54]APU!$E$9292</definedName>
    <definedName name="ITEM4.23">[54]APU!$E$9353</definedName>
    <definedName name="ITEM4.24">[54]APU!$E$9414</definedName>
    <definedName name="ITEM4.25">[54]APU!$E$9475</definedName>
    <definedName name="ITEM4.26">[54]APU!$E$9536</definedName>
    <definedName name="ITEM4.27">[54]APU!$E$9597</definedName>
    <definedName name="ITEM4.28">[54]APU!$E$9658</definedName>
    <definedName name="ITEM4.29">[54]APU!$E$9719</definedName>
    <definedName name="ITEM4.30">[54]APU!$E$9780</definedName>
    <definedName name="ITEM4.31">[54]APU!$E$9841</definedName>
    <definedName name="ITEM4.32">[54]APU!$E$9902</definedName>
    <definedName name="ITEM4.33">[54]APU!$E$9963</definedName>
    <definedName name="ITEM4.34">[54]APU!$E$10024</definedName>
    <definedName name="ITEM4.35">[54]APU!$E$11549</definedName>
    <definedName name="ITEM4.36">[54]APU!$E$11610</definedName>
    <definedName name="ITEM4.37">[54]APU!$E$15941</definedName>
    <definedName name="ITEM4.38">[54]APU!$E$15148</definedName>
    <definedName name="ITEM4.39">[54]APU!$E$14233</definedName>
    <definedName name="ITEM4.40">[54]APU!$E$14294</definedName>
    <definedName name="ITEM4.41">[54]APU!$E$14355</definedName>
    <definedName name="ITEM4.42">[54]APU!$E$14416</definedName>
    <definedName name="ITEM4.43">[54]APU!$E$14538</definedName>
    <definedName name="ITEM4.44">[54]APU!$E$16002</definedName>
    <definedName name="ITEM4.45">[54]APU!$E$16063</definedName>
    <definedName name="ITEM4.46">[54]APU!$E$14660</definedName>
    <definedName name="ITEM5.100">[54]APU!$E$12403</definedName>
    <definedName name="ITEM5.101">[54]APU!$E$12464</definedName>
    <definedName name="ITEM5.104">[54]APU!$E$12525</definedName>
    <definedName name="ITEM5.105">[54]APU!$E$12586</definedName>
    <definedName name="ITEM5.106">[54]APU!$E$12647</definedName>
    <definedName name="ITEM5.107">[54]APU!$E$12708</definedName>
    <definedName name="ITEM5.108">[54]APU!$E$12769</definedName>
    <definedName name="ITEM5.109">[54]APU!$E$12830</definedName>
    <definedName name="ITEM5.111">[54]APU!$E$12891</definedName>
    <definedName name="ITEM5.112">[54]APU!$E$12952</definedName>
    <definedName name="ITEM5.113">[54]APU!$E$14721</definedName>
    <definedName name="ITEM5.114">[54]APU!$E$14782</definedName>
    <definedName name="ITEM5.115">[54]APU!$E$15026</definedName>
    <definedName name="ITEM5.53">[54]APU!$E$10085</definedName>
    <definedName name="ITEM5.54">[54]APU!$E$10146</definedName>
    <definedName name="ITEM5.55">[54]APU!$E$10207</definedName>
    <definedName name="ITEM5.56">[54]APU!$E$10268</definedName>
    <definedName name="ITEM5.57">[54]APU!$E$10329</definedName>
    <definedName name="ITEM5.58">[54]APU!$E$10390</definedName>
    <definedName name="ITEM5.59">[54]APU!$E$10451</definedName>
    <definedName name="ITEM5.60">[54]APU!$E$10512</definedName>
    <definedName name="ITEM5.61">[54]APU!$E$10573</definedName>
    <definedName name="ITEM5.62">[54]APU!$E$10634</definedName>
    <definedName name="ITEM5.63">[54]APU!$E$10695</definedName>
    <definedName name="ITEM5.64">[54]APU!$E$10756</definedName>
    <definedName name="ITEM5.65">[54]APU!$E$10817</definedName>
    <definedName name="ITEM5.66">[54]APU!$E$10878</definedName>
    <definedName name="ITEM5.67">[54]APU!$E$10939</definedName>
    <definedName name="ITEM5.68">[54]APU!$E$11000</definedName>
    <definedName name="ITEM5.69">[54]APU!$E$11061</definedName>
    <definedName name="ITEM5.70">[54]APU!$E$11122</definedName>
    <definedName name="ITEM5.71">[54]APU!$E$11183</definedName>
    <definedName name="ITEM5.72">[54]APU!$E$11976</definedName>
    <definedName name="ITEM5.73">[54]APU!$E$12037</definedName>
    <definedName name="ITEM5.74">[54]APU!$E$12098</definedName>
    <definedName name="ITEM5.77">[54]APU!$E$12159</definedName>
    <definedName name="ITEM5.78">[54]APU!$E$12281</definedName>
    <definedName name="ITEM5.79">[54]APU!$E$12342</definedName>
    <definedName name="ITEM5.80">[54]APU!$E$12220</definedName>
    <definedName name="ITEM5.82">[54]APU!$E$13989</definedName>
    <definedName name="ITEM5.83">[54]APU!$E$14050</definedName>
    <definedName name="ITEM5.84">[54]APU!$E$13318</definedName>
    <definedName name="ITEM5.85">[54]APU!$E$13379</definedName>
    <definedName name="ITEM5.86">[54]APU!$E$13440</definedName>
    <definedName name="ITEM5.87">[54]APU!$E$13501</definedName>
    <definedName name="ITEM5.88">[54]APU!$E$13562</definedName>
    <definedName name="ITEM5.89">[54]APU!$E$13623</definedName>
    <definedName name="ITEM5.90">[54]APU!$E$13684</definedName>
    <definedName name="ITEM5.91">[54]APU!$E$13745</definedName>
    <definedName name="ITEM5.92">[54]APU!$E$13806</definedName>
    <definedName name="ITEM5.93">[54]APU!$E$13867</definedName>
    <definedName name="ITEM5.94">[54]APU!$E$13928</definedName>
    <definedName name="ITEM5.95">[54]APU!$E$13013</definedName>
    <definedName name="ITEM5.96">[54]APU!$E$13074</definedName>
    <definedName name="ITEM5.97">[54]APU!$E$13135</definedName>
    <definedName name="ITEM5.98">[54]APU!$E$13196</definedName>
    <definedName name="ITEM5.99">[54]APU!$E$13257</definedName>
    <definedName name="ITEM521">[53]ITEMS!$A$522</definedName>
    <definedName name="ITEM7.1">[54]APU!$E$7589</definedName>
    <definedName name="ITEM7.10">[54]APU!$E$8138</definedName>
    <definedName name="ITEM7.11">[54]APU!$E$8199</definedName>
    <definedName name="ITEM7.12">[54]APU!$E$8259</definedName>
    <definedName name="ITEM7.13">[54]APU!$E$8320</definedName>
    <definedName name="ITEM7.14">[54]APU!$E$8381</definedName>
    <definedName name="ITEM7.15">[54]APU!$E$8442</definedName>
    <definedName name="ITEM7.16">[54]APU!$E$8560</definedName>
    <definedName name="ITEM7.17">[54]APU!$E$11244</definedName>
    <definedName name="ITEM7.18">[54]APU!$E$11305</definedName>
    <definedName name="ITEM7.19">[54]APU!$E$11366</definedName>
    <definedName name="ITEM7.2">[54]APU!$E$7650</definedName>
    <definedName name="ITEM7.20">[54]APU!$E$11427</definedName>
    <definedName name="ITEM7.21">[54]APU!$E$11488</definedName>
    <definedName name="ITEM7.22">[54]APU!$E$11671</definedName>
    <definedName name="ITEM7.23">[54]APU!$E$11732</definedName>
    <definedName name="ITEM7.24">[54]APU!$E$14599</definedName>
    <definedName name="ITEM7.25">[54]APU!$E$15209</definedName>
    <definedName name="ITEM7.26">[54]APU!$E$15270</definedName>
    <definedName name="ITEM7.27">[54]APU!$E$15331</definedName>
    <definedName name="ITEM7.28">[54]APU!$E$15392</definedName>
    <definedName name="ITEM7.29">[54]APU!$E$15453</definedName>
    <definedName name="ITEM7.3">[54]APU!$E$7711</definedName>
    <definedName name="ITEM7.30">[54]APU!$E$15514</definedName>
    <definedName name="ITEM7.31">[54]APU!$E$15575</definedName>
    <definedName name="ITEM7.32">[54]APU!$E$15636</definedName>
    <definedName name="ITEM7.33">[54]APU!$E$15697</definedName>
    <definedName name="ITEM7.34">[54]APU!$E$15758</definedName>
    <definedName name="ITEM7.35">[54]APU!$E$15819</definedName>
    <definedName name="ITEM7.4">[54]APU!$E$7772</definedName>
    <definedName name="ITEM7.5">[54]APU!$E$7833</definedName>
    <definedName name="ITEM7.6">[54]APU!$E$7894</definedName>
    <definedName name="ITEM7.7">[54]APU!$E$7955</definedName>
    <definedName name="ITEM7.8">[54]APU!$E$8016</definedName>
    <definedName name="ITEM7.9">[54]APU!$E$8077</definedName>
    <definedName name="ITT" localSheetId="4">#REF!</definedName>
    <definedName name="ITT">#REF!</definedName>
    <definedName name="IUI" localSheetId="4"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#REF!</definedName>
    <definedName name="IVA_UTIL">[20]DATOS!$D$11</definedName>
    <definedName name="IVAConsultoria" localSheetId="4">#REF!</definedName>
    <definedName name="IVAConsultoria">#REF!</definedName>
    <definedName name="IVAS">[32]Datos!$A$20:$B$20</definedName>
    <definedName name="IVASobreUtilidad" localSheetId="4">#REF!</definedName>
    <definedName name="IVASobreUtilidad">#REF!</definedName>
    <definedName name="IvaSUtl" localSheetId="4">'[76]PRESUPUESTO GENERAL '!#REF!</definedName>
    <definedName name="IvaSUtl">#REF!</definedName>
    <definedName name="iyuiuyi" localSheetId="4"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J" localSheetId="4">#REF!</definedName>
    <definedName name="J">#REF!</definedName>
    <definedName name="jairo">'[77]RESUMEN ÍTEMS'!$A$17:$A$272</definedName>
    <definedName name="JARZ" localSheetId="4">#REF!</definedName>
    <definedName name="JARZ">#REF!</definedName>
    <definedName name="jd" localSheetId="4"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j" localSheetId="4" hidden="1">{"via1",#N/A,TRUE,"general";"via2",#N/A,TRUE,"general";"via3",#N/A,TRUE,"general"}</definedName>
    <definedName name="JJ">[56]PRECIOS!$F$5</definedName>
    <definedName name="jjfq" localSheetId="4"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hjddfg" localSheetId="4"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hi" localSheetId="4">#REF!</definedName>
    <definedName name="jkhi">#REF!</definedName>
    <definedName name="jkk" localSheetId="4"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localSheetId="9" hidden="1">{"TAB1",#N/A,TRUE,"GENERAL";"TAB2",#N/A,TRUE,"GENERAL";"TAB3",#N/A,TRUE,"GENERAL";"TAB4",#N/A,TRUE,"GENERAL";"TAB5",#N/A,TRUE,"GENERAL"}</definedName>
    <definedName name="jkl" hidden="1">{"TAB1",#N/A,TRUE,"GENERAL";"TAB2",#N/A,TRUE,"GENERAL";"TAB3",#N/A,TRUE,"GENERAL";"TAB4",#N/A,TRUE,"GENERAL";"TAB5",#N/A,TRUE,"GENERAL"}</definedName>
    <definedName name="Jornal">[21]Jornal!$A$12:$I$31</definedName>
    <definedName name="JRYJ" localSheetId="4"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an">'[77]RESUMEN ÍTEMS'!$A$17:$A$272</definedName>
    <definedName name="juj" localSheetId="4"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L" localSheetId="4">#REF!</definedName>
    <definedName name="JUL">#REF!</definedName>
    <definedName name="JUN" localSheetId="4">#REF!</definedName>
    <definedName name="JUN">#REF!</definedName>
    <definedName name="juuuhb" localSheetId="4"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yjt7" localSheetId="4"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 localSheetId="4">#REF!</definedName>
    <definedName name="K">[1]INSUMOS!#REF!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DL" localSheetId="4" hidden="1">{#N/A,#N/A,TRUE,"1842CWN0"}</definedName>
    <definedName name="KDL" localSheetId="9" hidden="1">{#N/A,#N/A,TRUE,"1842CWN0"}</definedName>
    <definedName name="KDL" hidden="1">{#N/A,#N/A,TRUE,"1842CWN0"}</definedName>
    <definedName name="KDL_1" localSheetId="4" hidden="1">{#N/A,#N/A,TRUE,"1842CWN0"}</definedName>
    <definedName name="KDL_1" localSheetId="9" hidden="1">{#N/A,#N/A,TRUE,"1842CWN0"}</definedName>
    <definedName name="KDL_1" hidden="1">{#N/A,#N/A,TRUE,"1842CWN0"}</definedName>
    <definedName name="KDL_2" localSheetId="4" hidden="1">{#N/A,#N/A,TRUE,"1842CWN0"}</definedName>
    <definedName name="KDL_2" localSheetId="9" hidden="1">{#N/A,#N/A,TRUE,"1842CWN0"}</definedName>
    <definedName name="KDL_2" hidden="1">{#N/A,#N/A,TRUE,"1842CWN0"}</definedName>
    <definedName name="KHGGH" localSheetId="4"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jhkd" localSheetId="4"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k" localSheetId="4"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'[73]Base de Datos'!$B$14:$D$29</definedName>
    <definedName name="kkkki" localSheetId="4"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m">'[73]Base de Datos'!$B$14:$B$29</definedName>
    <definedName name="knjknjk" localSheetId="4">#REF!</definedName>
    <definedName name="knjknjk">#REF!</definedName>
    <definedName name="KO" localSheetId="4" hidden="1">#REF!</definedName>
    <definedName name="KO" hidden="1">#REF!</definedName>
    <definedName name="krtrk" localSheetId="4"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yr" localSheetId="4"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 localSheetId="4">#REF!</definedName>
    <definedName name="L">#REF!</definedName>
    <definedName name="L.CARCAMO">#REF!</definedName>
    <definedName name="L.CIL">#REF!</definedName>
    <definedName name="L_">#REF!</definedName>
    <definedName name="L_TUB">#REF!</definedName>
    <definedName name="Ladrillos" localSheetId="31">#REF!</definedName>
    <definedName name="Ladrillos" localSheetId="38">#REF!</definedName>
    <definedName name="Ladrillos" localSheetId="39">#REF!</definedName>
    <definedName name="Ladrillos" localSheetId="40">#REF!</definedName>
    <definedName name="Ladrillos" localSheetId="41">#REF!</definedName>
    <definedName name="Ladrillos" localSheetId="42">#REF!</definedName>
    <definedName name="Ladrillos" localSheetId="43">#REF!</definedName>
    <definedName name="Ladrillos" localSheetId="44">#REF!</definedName>
    <definedName name="Ladrillos" localSheetId="45">#REF!</definedName>
    <definedName name="Ladrillos" localSheetId="46">#REF!</definedName>
    <definedName name="Ladrillos" localSheetId="47">#REF!</definedName>
    <definedName name="Ladrillos" localSheetId="48">#REF!</definedName>
    <definedName name="Ladrillos" localSheetId="49">#REF!</definedName>
    <definedName name="Ladrillos" localSheetId="21">#REF!</definedName>
    <definedName name="Ladrillos" localSheetId="22">#REF!</definedName>
    <definedName name="Ladrillos" localSheetId="23">#REF!</definedName>
    <definedName name="Ladrillos" localSheetId="33">#REF!</definedName>
    <definedName name="Ladrillos" localSheetId="34">#REF!</definedName>
    <definedName name="Ladrillos" localSheetId="35">#REF!</definedName>
    <definedName name="Ladrillos" localSheetId="36">#REF!</definedName>
    <definedName name="Ladrillos" localSheetId="37">#REF!</definedName>
    <definedName name="Ladrillos" localSheetId="16">#REF!</definedName>
    <definedName name="Ladrillos" localSheetId="17">#REF!</definedName>
    <definedName name="Ladrillos" localSheetId="18">#REF!</definedName>
    <definedName name="Ladrillos" localSheetId="19">#REF!</definedName>
    <definedName name="Ladrillos" localSheetId="20">#REF!</definedName>
    <definedName name="Ladrillos" localSheetId="28">#REF!</definedName>
    <definedName name="Ladrillos" localSheetId="25">#REF!</definedName>
    <definedName name="Ladrillos" localSheetId="26">#REF!</definedName>
    <definedName name="Ladrillos" localSheetId="27">#REF!</definedName>
    <definedName name="Ladrillos" localSheetId="24">#REF!</definedName>
    <definedName name="Ladrillos" localSheetId="29">#REF!</definedName>
    <definedName name="Ladrillos" localSheetId="30">#REF!</definedName>
    <definedName name="Ladrillos" localSheetId="32">#REF!</definedName>
    <definedName name="Ladrillos">#REF!</definedName>
    <definedName name="Lamina_superboard">'[14]LISTADO DE MATERIALES Y EQUIPOS'!$B$99</definedName>
    <definedName name="LAUFW_Zeit_1.000Bh" localSheetId="4">#REF!</definedName>
    <definedName name="LAUFW_Zeit_1.000Bh">#REF!</definedName>
    <definedName name="LAUFW_Zeit_10.000Bh" localSheetId="4">#REF!</definedName>
    <definedName name="LAUFW_Zeit_10.000Bh">#REF!</definedName>
    <definedName name="LAUFW_Zeit_100Bh" localSheetId="4">#REF!</definedName>
    <definedName name="LAUFW_Zeit_100Bh">#REF!</definedName>
    <definedName name="LAUFW_Zeit_10Bh" localSheetId="4">#REF!</definedName>
    <definedName name="LAUFW_Zeit_10Bh">#REF!</definedName>
    <definedName name="LAUFW_Zeit_15.000Bh" localSheetId="4">#REF!</definedName>
    <definedName name="LAUFW_Zeit_15.000Bh">#REF!</definedName>
    <definedName name="LAUFW_Zeit_20.000Bh" localSheetId="4">#REF!</definedName>
    <definedName name="LAUFW_Zeit_20.000Bh">#REF!</definedName>
    <definedName name="LAUFW_Zeit_250Bh" localSheetId="4">#REF!</definedName>
    <definedName name="LAUFW_Zeit_250Bh">#REF!</definedName>
    <definedName name="LAUFW_Zeit_3.000Bh" localSheetId="4">#REF!</definedName>
    <definedName name="LAUFW_Zeit_3.000Bh">#REF!</definedName>
    <definedName name="LAUFW_Zeit_30.000Bh" localSheetId="4">#REF!</definedName>
    <definedName name="LAUFW_Zeit_30.000Bh">#REF!</definedName>
    <definedName name="LAUFW_Zeit_5.000Bh" localSheetId="4">#REF!</definedName>
    <definedName name="LAUFW_Zeit_5.000Bh">#REF!</definedName>
    <definedName name="LAUFW_Zeit_500Bh" localSheetId="4">#REF!</definedName>
    <definedName name="LAUFW_Zeit_500Bh">#REF!</definedName>
    <definedName name="LAUFW_Zeit_7.500Bh" localSheetId="4">#REF!</definedName>
    <definedName name="LAUFW_Zeit_7.500Bh">#REF!</definedName>
    <definedName name="LB">'[78]Listado Base'!$B$12:$D$786</definedName>
    <definedName name="LBMB" localSheetId="4">#REF!</definedName>
    <definedName name="LBMB">#REF!</definedName>
    <definedName name="LEBM" localSheetId="4">#REF!</definedName>
    <definedName name="LEBM">#REF!</definedName>
    <definedName name="Lechada_juntas">'[14]LISTADO DE MATERIALES Y EQUIPOS'!$B$67</definedName>
    <definedName name="LEGALIZACION_OBRA" localSheetId="4">#REF!</definedName>
    <definedName name="LEGALIZACION_OBRA">#REF!</definedName>
    <definedName name="Leh">[55]Ins_EH!$B$2:$B$33</definedName>
    <definedName name="LFAB">'[47]CANTIDADES Y PTTO'!$F$243:$F$258</definedName>
    <definedName name="LIJA">'[14]LISTADO DE MATERIALES Y EQUIPOS'!$B$108</definedName>
    <definedName name="LIMA" localSheetId="4">#REF!</definedName>
    <definedName name="LIMA">#REF!</definedName>
    <definedName name="LiMo">[55]Ins_MO!$B$2:$B$14</definedName>
    <definedName name="LIMPIO">#REF!</definedName>
    <definedName name="LISBASE1">'[79]Lista Base'!$A$4:$C$2691</definedName>
    <definedName name="LISBASE2">'[80]Lista Base'!$A$4:$D$1999</definedName>
    <definedName name="List_cuadrillas">[51]Salarios!$D$8:$P$8</definedName>
    <definedName name="LISTA_MATERIALES">'[81]RH&amp;H'!$B$4:$B$136</definedName>
    <definedName name="listaabril">'[82]Listado precios abril 2011'!$A:$IV</definedName>
    <definedName name="listado1" localSheetId="4" hidden="1">{#N/A,#N/A,FALSE,"PROPON.2001"}</definedName>
    <definedName name="listado1" localSheetId="9" hidden="1">{#N/A,#N/A,FALSE,"PROPON.2001"}</definedName>
    <definedName name="listado1" hidden="1">{#N/A,#N/A,FALSE,"PROPON.2001"}</definedName>
    <definedName name="LISTADOEQUIPOS" localSheetId="4">[16]Equipo!$A$16:$A$80</definedName>
    <definedName name="LISTADOEQUIPOS">[16]Equipo!$A$16:$A$80</definedName>
    <definedName name="LISTADOMATERIALES" localSheetId="4">[16]Material!$A$11:$A$1009</definedName>
    <definedName name="LISTADOMATERIALES">[16]Material!$A$11:$A$1009</definedName>
    <definedName name="LISTADOMO" localSheetId="4">[16]M.Obra!$A$21:$A$50</definedName>
    <definedName name="LISTADOMO">[16]M.Obra!$A$21:$A$50</definedName>
    <definedName name="LISTADOTRANSPORTES" localSheetId="4">[16]Transp.!$A$16:$A$50</definedName>
    <definedName name="LISTADOTRANSPORTES">[16]Transp.!$A$16:$A$50</definedName>
    <definedName name="LISTON">[70]INSUMOS!$D$563</definedName>
    <definedName name="Liston_2x2">'[14]LISTADO DE MATERIALES Y EQUIPOS'!$B$25</definedName>
    <definedName name="liuoo" localSheetId="4"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KI" localSheetId="4">#REF!</definedName>
    <definedName name="LKI">#REF!</definedName>
    <definedName name="lkj" localSheetId="4"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l" localSheetId="4">[51]PRESUPUESTO!#REF!</definedName>
    <definedName name="ll">[51]PRESUPUESTO!#REF!</definedName>
    <definedName name="LLENACUADRO">[32]Formatos!$N$5:$O$1000</definedName>
    <definedName name="lllllh" localSheetId="4"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mat">[55]Ins_Mat!$B$2:$B$1237</definedName>
    <definedName name="LMH" localSheetId="4">#REF!</definedName>
    <definedName name="LMH">#REF!</definedName>
    <definedName name="lñl" localSheetId="4">#REF!</definedName>
    <definedName name="lñl">#REF!</definedName>
    <definedName name="lolol" localSheetId="4"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ongitud" localSheetId="4">#REF!</definedName>
    <definedName name="Longitud">#REF!</definedName>
    <definedName name="Longitud1" localSheetId="4">#REF!</definedName>
    <definedName name="Longitud1">#REF!</definedName>
    <definedName name="Longitud2" localSheetId="4">#REF!</definedName>
    <definedName name="Longitud2">#REF!</definedName>
    <definedName name="LOTE">'[83]Primera Prueba'!$EI$11:$EI$90</definedName>
    <definedName name="LP" localSheetId="4">'[31]CIRCUITOS CODENSA'!#REF!</definedName>
    <definedName name="LP">'[31]CIRCUITOS CODENSA'!#REF!</definedName>
    <definedName name="lplpl" localSheetId="4"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Ltr">[55]Ins_TR!$B$2:$B$12</definedName>
    <definedName name="lucy" localSheetId="4" hidden="1">{"TAB1",#N/A,TRUE,"GENERAL";"TAB2",#N/A,TRUE,"GENERAL";"TAB3",#N/A,TRUE,"GENERAL";"TAB4",#N/A,TRUE,"GENERAL";"TAB5",#N/A,TRUE,"GENERAL"}</definedName>
    <definedName name="lucy" localSheetId="9" hidden="1">{"TAB1",#N/A,TRUE,"GENERAL";"TAB2",#N/A,TRUE,"GENERAL";"TAB3",#N/A,TRUE,"GENERAL";"TAB4",#N/A,TRUE,"GENERAL";"TAB5",#N/A,TRUE,"GENERAL"}</definedName>
    <definedName name="lucy" hidden="1">{"TAB1",#N/A,TRUE,"GENERAL";"TAB2",#N/A,TRUE,"GENERAL";"TAB3",#N/A,TRUE,"GENERAL";"TAB4",#N/A,TRUE,"GENERAL";"TAB5",#N/A,TRUE,"GENERAL"}</definedName>
    <definedName name="LUISA" localSheetId="4">#REF!</definedName>
    <definedName name="LUISA">#REF!</definedName>
    <definedName name="LUZ" localSheetId="4" hidden="1">{#N/A,#N/A,FALSE,"PROPON.2001"}</definedName>
    <definedName name="LUZ" localSheetId="9" hidden="1">{#N/A,#N/A,FALSE,"PROPON.2001"}</definedName>
    <definedName name="LUZ" hidden="1">{#N/A,#N/A,FALSE,"PROPON.2001"}</definedName>
    <definedName name="M" localSheetId="4">#REF!</definedName>
    <definedName name="M">#REF!</definedName>
    <definedName name="m.o" localSheetId="4">[33]APU!#REF!</definedName>
    <definedName name="m.o">[34]APU!#REF!</definedName>
    <definedName name="M62_" localSheetId="4">#REF!</definedName>
    <definedName name="M62_">#REF!</definedName>
    <definedName name="MA" localSheetId="4" hidden="1">#REF!</definedName>
    <definedName name="MA">[56]PRECIOS!$A$1:$D$221</definedName>
    <definedName name="mac" localSheetId="4">#REF!</definedName>
    <definedName name="mac">#REF!</definedName>
    <definedName name="Maderas" localSheetId="31">#REF!</definedName>
    <definedName name="Maderas" localSheetId="38">#REF!</definedName>
    <definedName name="Maderas" localSheetId="39">#REF!</definedName>
    <definedName name="Maderas" localSheetId="40">#REF!</definedName>
    <definedName name="Maderas" localSheetId="41">#REF!</definedName>
    <definedName name="Maderas" localSheetId="42">#REF!</definedName>
    <definedName name="Maderas" localSheetId="43">#REF!</definedName>
    <definedName name="Maderas" localSheetId="44">#REF!</definedName>
    <definedName name="Maderas" localSheetId="45">#REF!</definedName>
    <definedName name="Maderas" localSheetId="46">#REF!</definedName>
    <definedName name="Maderas" localSheetId="47">#REF!</definedName>
    <definedName name="Maderas" localSheetId="48">#REF!</definedName>
    <definedName name="Maderas" localSheetId="49">#REF!</definedName>
    <definedName name="Maderas" localSheetId="21">#REF!</definedName>
    <definedName name="Maderas" localSheetId="22">#REF!</definedName>
    <definedName name="Maderas" localSheetId="23">#REF!</definedName>
    <definedName name="Maderas" localSheetId="33">#REF!</definedName>
    <definedName name="Maderas" localSheetId="34">#REF!</definedName>
    <definedName name="Maderas" localSheetId="35">#REF!</definedName>
    <definedName name="Maderas" localSheetId="36">#REF!</definedName>
    <definedName name="Maderas" localSheetId="37">#REF!</definedName>
    <definedName name="Maderas" localSheetId="16">#REF!</definedName>
    <definedName name="Maderas" localSheetId="17">#REF!</definedName>
    <definedName name="Maderas" localSheetId="18">#REF!</definedName>
    <definedName name="Maderas" localSheetId="19">#REF!</definedName>
    <definedName name="Maderas" localSheetId="20">#REF!</definedName>
    <definedName name="Maderas" localSheetId="28">#REF!</definedName>
    <definedName name="Maderas" localSheetId="25">#REF!</definedName>
    <definedName name="Maderas" localSheetId="26">#REF!</definedName>
    <definedName name="Maderas" localSheetId="27">#REF!</definedName>
    <definedName name="Maderas" localSheetId="24">#REF!</definedName>
    <definedName name="Maderas" localSheetId="29">#REF!</definedName>
    <definedName name="Maderas" localSheetId="30">#REF!</definedName>
    <definedName name="Maderas" localSheetId="32">#REF!</definedName>
    <definedName name="Maderas">#REF!</definedName>
    <definedName name="Maestro">'[14]LISTADO DE MATERIALES Y EQUIPOS'!$B$8</definedName>
    <definedName name="Maestro_de_Obra">[15]CUADRILLAS!$B$13</definedName>
    <definedName name="mafdsf" localSheetId="4"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lla" localSheetId="4">#REF!</definedName>
    <definedName name="Malla">#REF!</definedName>
    <definedName name="Malla_4x4">'[14]LISTADO DE MATERIALES Y EQUIPOS'!$B$30</definedName>
    <definedName name="Malla_Electrosoldada">'[14]LISTADO DE MATERIALES Y EQUIPOS'!$B$29</definedName>
    <definedName name="MALLA2" localSheetId="4">#REF!</definedName>
    <definedName name="MALLA2">#REF!</definedName>
    <definedName name="MANO">'[84]MANO '!$A:$IV</definedName>
    <definedName name="MANOBRA">'[65]MANO DE OBRA'!$B$6:$B$56</definedName>
    <definedName name="MANOBRALL">'[65]MANO DE OBRA'!$B$6:$E$56</definedName>
    <definedName name="MANODEOBRA" localSheetId="4">[16]M.Obra!$A$21:$I$50</definedName>
    <definedName name="MANODEOBRA">[16]M.Obra!$A$21:$I$50</definedName>
    <definedName name="mantenimiento" localSheetId="4">'[85]COSTOS OFICINA'!#REF!</definedName>
    <definedName name="mantenimiento">'[85]COSTOS OFICINA'!#REF!</definedName>
    <definedName name="mao" localSheetId="4"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QUINA" localSheetId="4" hidden="1">#REF!</definedName>
    <definedName name="MAQUINA" hidden="1">#REF!</definedName>
    <definedName name="MAQUINA2" localSheetId="4">#REF!</definedName>
    <definedName name="MAQUINA2">#REF!</definedName>
    <definedName name="MAQUINAR">[42]Insum!$A$68:$H$98</definedName>
    <definedName name="MAR" localSheetId="4">#REF!</definedName>
    <definedName name="MAR">#REF!</definedName>
    <definedName name="MARAVILLA" localSheetId="4" hidden="1">{"PRES REHAB ARM-PER POR ITEMS  KM A KM",#N/A,TRUE,"Rehabilitacion Arm-Per"}</definedName>
    <definedName name="MARAVILLA" localSheetId="9" hidden="1">{"PRES REHAB ARM-PER POR ITEMS  KM A KM",#N/A,TRUE,"Rehabilitacion Arm-Per"}</definedName>
    <definedName name="MARAVILLA" hidden="1">{"PRES REHAB ARM-PER POR ITEMS  KM A KM",#N/A,TRUE,"Rehabilitacion Arm-Per"}</definedName>
    <definedName name="Marca">#REF!</definedName>
    <definedName name="MARIA" localSheetId="4" hidden="1">{#N/A,#N/A,FALSE,"PROPON.2001"}</definedName>
    <definedName name="MARIA" localSheetId="9" hidden="1">{#N/A,#N/A,FALSE,"PROPON.2001"}</definedName>
    <definedName name="MARIA" hidden="1">{#N/A,#N/A,FALSE,"PROPON.2001"}</definedName>
    <definedName name="MARS" localSheetId="4">#REF!</definedName>
    <definedName name="MARS">#REF!</definedName>
    <definedName name="MARTA" localSheetId="4" hidden="1">{#N/A,#N/A,FALSE,"PROPON.2001"}</definedName>
    <definedName name="MARTA" localSheetId="9" hidden="1">{#N/A,#N/A,FALSE,"PROPON.2001"}</definedName>
    <definedName name="MARTA" hidden="1">{#N/A,#N/A,FALSE,"PROPON.2001"}</definedName>
    <definedName name="MARYLUZ" localSheetId="4" hidden="1">{"PRES REHAB ARM-PER POR ITEMS  KM A KM",#N/A,TRUE,"Rehabilitacion Arm-Per"}</definedName>
    <definedName name="MARYLUZ" localSheetId="9" hidden="1">{"PRES REHAB ARM-PER POR ITEMS  KM A KM",#N/A,TRUE,"Rehabilitacion Arm-Per"}</definedName>
    <definedName name="MARYLUZ" hidden="1">{"PRES REHAB ARM-PER POR ITEMS  KM A KM",#N/A,TRUE,"Rehabilitacion Arm-Per"}</definedName>
    <definedName name="MASILLA">'[14]LISTADO DE MATERIALES Y EQUIPOS'!$B$106</definedName>
    <definedName name="masor" localSheetId="4"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AT">#REF!</definedName>
    <definedName name="MATER">[61]MATERIAL!$B$3:$B$580</definedName>
    <definedName name="MATERIAL">[32]Materiales!$A$5:$A$1785</definedName>
    <definedName name="Material_seleccionado">'[14]LISTADO DE MATERIALES Y EQUIPOS'!$B$22</definedName>
    <definedName name="MATERIALES" localSheetId="4">[33]MATERIALES!$A$7:$A$338</definedName>
    <definedName name="MATERIALES">[63]Materiales!$C$67:$C$478</definedName>
    <definedName name="MATERIALES_2">[64]materiales!$A$7:$A$1317</definedName>
    <definedName name="matriz_2" localSheetId="4">#REF!</definedName>
    <definedName name="matriz_2">#REF!</definedName>
    <definedName name="Matriz_3" localSheetId="4">#REF!</definedName>
    <definedName name="Matriz_3">#REF!</definedName>
    <definedName name="matriz_4" localSheetId="4">#REF!</definedName>
    <definedName name="matriz_4">#REF!</definedName>
    <definedName name="MATRIZ_A" localSheetId="4">#REF!</definedName>
    <definedName name="MATRIZ_A">#REF!</definedName>
    <definedName name="MATSUB">[11]INSUMOS!$D$115</definedName>
    <definedName name="MAY" localSheetId="4">#REF!</definedName>
    <definedName name="MAY">#REF!</definedName>
    <definedName name="mdd" localSheetId="4"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edidor">#REF!</definedName>
    <definedName name="meg" localSheetId="4"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EMORIAS">[27]MEMORIAS!$A:$H</definedName>
    <definedName name="MENOR">[32]Datos!$A$22</definedName>
    <definedName name="Mercado" localSheetId="4">#REF!</definedName>
    <definedName name="Mercado">#REF!</definedName>
    <definedName name="meses" localSheetId="4">#REF!</definedName>
    <definedName name="meses">#REF!</definedName>
    <definedName name="met" localSheetId="4" hidden="1">{#N/A,#N/A,TRUE,"1842CWN0"}</definedName>
    <definedName name="met" localSheetId="9" hidden="1">{#N/A,#N/A,TRUE,"1842CWN0"}</definedName>
    <definedName name="met" hidden="1">{#N/A,#N/A,TRUE,"1842CWN0"}</definedName>
    <definedName name="met_1" localSheetId="4" hidden="1">{#N/A,#N/A,TRUE,"1842CWN0"}</definedName>
    <definedName name="met_1" localSheetId="9" hidden="1">{#N/A,#N/A,TRUE,"1842CWN0"}</definedName>
    <definedName name="met_1" hidden="1">{#N/A,#N/A,TRUE,"1842CWN0"}</definedName>
    <definedName name="met_2" localSheetId="4" hidden="1">{#N/A,#N/A,TRUE,"1842CWN0"}</definedName>
    <definedName name="met_2" localSheetId="9" hidden="1">{#N/A,#N/A,TRUE,"1842CWN0"}</definedName>
    <definedName name="met_2" hidden="1">{#N/A,#N/A,TRUE,"1842CWN0"}</definedName>
    <definedName name="metal" localSheetId="4" hidden="1">{#N/A,#N/A,TRUE,"1842CWN0"}</definedName>
    <definedName name="metal" localSheetId="9" hidden="1">{#N/A,#N/A,TRUE,"1842CWN0"}</definedName>
    <definedName name="metal" hidden="1">{#N/A,#N/A,TRUE,"1842CWN0"}</definedName>
    <definedName name="metal_1" localSheetId="4" hidden="1">{#N/A,#N/A,TRUE,"1842CWN0"}</definedName>
    <definedName name="metal_1" localSheetId="9" hidden="1">{#N/A,#N/A,TRUE,"1842CWN0"}</definedName>
    <definedName name="metal_1" hidden="1">{#N/A,#N/A,TRUE,"1842CWN0"}</definedName>
    <definedName name="metal_2" localSheetId="4" hidden="1">{#N/A,#N/A,TRUE,"1842CWN0"}</definedName>
    <definedName name="metal_2" localSheetId="9" hidden="1">{#N/A,#N/A,TRUE,"1842CWN0"}</definedName>
    <definedName name="metal_2" hidden="1">{#N/A,#N/A,TRUE,"1842CWN0"}</definedName>
    <definedName name="MEZASF" localSheetId="4">#REF!</definedName>
    <definedName name="MEZASF">#REF!</definedName>
    <definedName name="MEZCL">[11]INSUMOS!$D$158</definedName>
    <definedName name="Mezcladora">'[14]LISTADO DE MATERIALES Y EQUIPOS'!$B$32</definedName>
    <definedName name="Mezcladora_trompo_a_gasolina__Inc._combustible">'[15]Equipo y transporte'!$D$19</definedName>
    <definedName name="mfgjrdt" localSheetId="4"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ínimo" localSheetId="4">#REF!</definedName>
    <definedName name="Mínimo">#REF!</definedName>
    <definedName name="mj">'[73]Base de Datos'!$B$14:$D$29</definedName>
    <definedName name="mjjkj" localSheetId="4">#REF!</definedName>
    <definedName name="mjjkj">#REF!</definedName>
    <definedName name="mjmj" localSheetId="4"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m">'[73]Base de Datos'!$B$36:$B$55</definedName>
    <definedName name="mmjmjh" localSheetId="4"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l" localSheetId="4">#REF!</definedName>
    <definedName name="mml">#REF!</definedName>
    <definedName name="mmm" localSheetId="4" hidden="1">{"TAB1",#N/A,TRUE,"GENERAL";"TAB2",#N/A,TRUE,"GENERAL";"TAB3",#N/A,TRUE,"GENERAL";"TAB4",#N/A,TRUE,"GENERAL";"TAB5",#N/A,TRUE,"GENERAL"}</definedName>
    <definedName name="mmm" localSheetId="9" hidden="1">{#N/A,#N/A,FALSE,"PROPON.2001"}</definedName>
    <definedName name="mmm" hidden="1">{#N/A,#N/A,FALSE,"PROPON.2001"}</definedName>
    <definedName name="mmmh" localSheetId="4"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nbv" localSheetId="4">#REF!</definedName>
    <definedName name="mnbv">#REF!</definedName>
    <definedName name="MO" localSheetId="4">'[31]CIRCUITOS CODENSA'!#REF!</definedName>
    <definedName name="MO">[55]Ins_MO!$B$2:$D$14</definedName>
    <definedName name="mob" localSheetId="4">#REF!</definedName>
    <definedName name="mob">#REF!</definedName>
    <definedName name="MOBRA">[32]Mobra!$A$5:$A$1000</definedName>
    <definedName name="MOBRAS">[32]Mobra!$A$4:$D$1000</definedName>
    <definedName name="MOdificad" localSheetId="4" hidden="1">#REF!</definedName>
    <definedName name="MOdificad" hidden="1">#REF!</definedName>
    <definedName name="Montenegro" localSheetId="4">#REF!</definedName>
    <definedName name="Montenegro">#REF!</definedName>
    <definedName name="MORT13" localSheetId="4">#REF!</definedName>
    <definedName name="MORT13">#REF!</definedName>
    <definedName name="Mortero_1_10">'[14]APUS BASIC'!$G$296</definedName>
    <definedName name="Mortero_1_5">'[14]APUS BASIC'!$G$208</definedName>
    <definedName name="Mortero_1_6">'[14]APUS BASIC'!$G$252</definedName>
    <definedName name="Motoniveladora_120_HP.">'[15]Equipo y transporte'!$D$10</definedName>
    <definedName name="MOTORÖL_1.000Bh" localSheetId="4">#REF!</definedName>
    <definedName name="MOTORÖL_1.000Bh">#REF!</definedName>
    <definedName name="MOTORÖL_10.000Bh" localSheetId="4">#REF!</definedName>
    <definedName name="MOTORÖL_10.000Bh">#REF!</definedName>
    <definedName name="MOTORÖL_100Bh" localSheetId="4">#REF!</definedName>
    <definedName name="MOTORÖL_100Bh">#REF!</definedName>
    <definedName name="MOTORÖL_10Bh" localSheetId="4">#REF!</definedName>
    <definedName name="MOTORÖL_10Bh">#REF!</definedName>
    <definedName name="MOTORÖL_15.000Bh" localSheetId="4">#REF!</definedName>
    <definedName name="MOTORÖL_15.000Bh">#REF!</definedName>
    <definedName name="MOTORÖL_20.000Bh" localSheetId="4">#REF!</definedName>
    <definedName name="MOTORÖL_20.000Bh">#REF!</definedName>
    <definedName name="MOTORÖL_250Bh" localSheetId="4">#REF!</definedName>
    <definedName name="MOTORÖL_250Bh">#REF!</definedName>
    <definedName name="MOTORÖL_3.000Bh" localSheetId="4">#REF!</definedName>
    <definedName name="MOTORÖL_3.000Bh">#REF!</definedName>
    <definedName name="MOTORÖL_30.000Bh" localSheetId="4">#REF!</definedName>
    <definedName name="MOTORÖL_30.000Bh">#REF!</definedName>
    <definedName name="MOTORÖL_5.000Bh" localSheetId="4">#REF!</definedName>
    <definedName name="MOTORÖL_5.000Bh">#REF!</definedName>
    <definedName name="MOTORÖL_500Bh" localSheetId="4">#REF!</definedName>
    <definedName name="MOTORÖL_500Bh">#REF!</definedName>
    <definedName name="MOTORÖL_7.500Bh" localSheetId="4">#REF!</definedName>
    <definedName name="MOTORÖL_7.500Bh">#REF!</definedName>
    <definedName name="mpio" localSheetId="4">#REF!</definedName>
    <definedName name="mpio">#REF!</definedName>
    <definedName name="MU" localSheetId="4">'[31]CIRCUITOS CODENSA'!#REF!</definedName>
    <definedName name="MU">'[31]CIRCUITOS CODENSA'!#REF!</definedName>
    <definedName name="muni1">[15]Hoja1!$B$3</definedName>
    <definedName name="muni2">[15]Hoja1!$B$4</definedName>
    <definedName name="muni3">[15]Hoja1!$B$5</definedName>
    <definedName name="muni4">[15]Hoja1!$B$6</definedName>
    <definedName name="muni5">[15]Hoja1!$B$7</definedName>
    <definedName name="muni6">[15]Hoja1!$B$8</definedName>
    <definedName name="muni7">[15]Hoja1!$B$9</definedName>
    <definedName name="MUROCV" localSheetId="4">#REF!</definedName>
    <definedName name="MUROCV">#REF!</definedName>
    <definedName name="muros" localSheetId="4">#REF!</definedName>
    <definedName name="muros">#REF!</definedName>
    <definedName name="MURTOLETE" localSheetId="4">#REF!</definedName>
    <definedName name="MURTOLETE">#REF!</definedName>
    <definedName name="mvcx" localSheetId="4">#REF!</definedName>
    <definedName name="mvcx">#REF!</definedName>
    <definedName name="MZ" localSheetId="4">'[31]CIRCUITOS CODENSA'!#REF!</definedName>
    <definedName name="MZ">'[31]CIRCUITOS CODENSA'!#REF!</definedName>
    <definedName name="N" localSheetId="4">#REF!</definedName>
    <definedName name="N">#REF!</definedName>
    <definedName name="nbvnv" localSheetId="4"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EWJ" localSheetId="4">#REF!</definedName>
    <definedName name="NEWJ">#REF!</definedName>
    <definedName name="nf" localSheetId="4"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dn" localSheetId="4"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G" localSheetId="4">#REF!</definedName>
    <definedName name="NHG">#REF!</definedName>
    <definedName name="nhn" localSheetId="4"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inguno" localSheetId="4">#REF!</definedName>
    <definedName name="ninguno">#REF!</definedName>
    <definedName name="nm">'[73]Base de Datos'!$B$14:$D$29</definedName>
    <definedName name="nmkjnjk" localSheetId="4">#REF!</definedName>
    <definedName name="nmkjnjk">#REF!</definedName>
    <definedName name="nmmmm" localSheetId="4"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'[73]Base de Datos'!$B$61:$B$233</definedName>
    <definedName name="nndng" localSheetId="4"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'[73]Base de Datos'!$B$36:$B$55</definedName>
    <definedName name="nnnhd" localSheetId="4"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oFacturable" localSheetId="4">#REF!</definedName>
    <definedName name="NoFacturable">#REF!</definedName>
    <definedName name="nombre" localSheetId="4">#REF!</definedName>
    <definedName name="nombre">#REF!</definedName>
    <definedName name="NOMPROY" localSheetId="4">#REF!</definedName>
    <definedName name="NOMPROY">#REF!</definedName>
    <definedName name="NORDEN" localSheetId="4">#REF!</definedName>
    <definedName name="NORDEN">#REF!</definedName>
    <definedName name="NOV" localSheetId="4">#REF!</definedName>
    <definedName name="NOV">#REF!</definedName>
    <definedName name="NOVAF">#REF!</definedName>
    <definedName name="np">[55]Niples!$J$3:$J$4</definedName>
    <definedName name="NUNI" localSheetId="4">#REF!</definedName>
    <definedName name="NUNI">#REF!</definedName>
    <definedName name="nxn" localSheetId="4"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Ñ" localSheetId="4">#REF!</definedName>
    <definedName name="Ñ">#REF!</definedName>
    <definedName name="ÑL" localSheetId="4">#REF!</definedName>
    <definedName name="ÑL">#REF!</definedName>
    <definedName name="ÑLK" localSheetId="4">#REF!</definedName>
    <definedName name="ÑLK">#REF!</definedName>
    <definedName name="ñlkh" localSheetId="4">#REF!</definedName>
    <definedName name="ñlkh">#REF!</definedName>
    <definedName name="ñpñpñ" localSheetId="4"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o">[12]Planilla!$C$60</definedName>
    <definedName name="o9o9" localSheetId="4"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'[86]1'!$F$42</definedName>
    <definedName name="Obra" localSheetId="4">#REF!</definedName>
    <definedName name="Obra">#REF!</definedName>
    <definedName name="OBRAS" localSheetId="4">#REF!</definedName>
    <definedName name="OBRAS">#REF!</definedName>
    <definedName name="OBSERV">#REF!</definedName>
    <definedName name="OCT" localSheetId="4">#REF!</definedName>
    <definedName name="OCT">#REF!</definedName>
    <definedName name="OF">[24]PRECIOS!$F$5</definedName>
    <definedName name="OFERTAS">'[72]MERCADO 2-GEOREF'!$R$4:$R$17</definedName>
    <definedName name="Oficial">'[14]LISTADO DE MATERIALES Y EQUIPOS'!$B$7</definedName>
    <definedName name="Oficina" localSheetId="4">#REF!</definedName>
    <definedName name="Oficina">#REF!</definedName>
    <definedName name="Oficios_Varios">[15]CUADRILLAS!$B$25</definedName>
    <definedName name="oiret" localSheetId="4"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K_FILT_CUM_10" localSheetId="4">#REF!</definedName>
    <definedName name="OK_FILT_CUM_10">#REF!</definedName>
    <definedName name="OK_FILT_CUM_100" localSheetId="4">#REF!</definedName>
    <definedName name="OK_FILT_CUM_100">#REF!</definedName>
    <definedName name="OK_FILT_CUM_1000" localSheetId="4">#REF!</definedName>
    <definedName name="OK_FILT_CUM_1000">#REF!</definedName>
    <definedName name="OK_FILT_CUM_10000" localSheetId="4">#REF!</definedName>
    <definedName name="OK_FILT_CUM_10000">#REF!</definedName>
    <definedName name="OK_FILT_CUM_15000" localSheetId="4">#REF!</definedName>
    <definedName name="OK_FILT_CUM_15000">#REF!</definedName>
    <definedName name="OK_FILT_CUM_20000" localSheetId="4">#REF!</definedName>
    <definedName name="OK_FILT_CUM_20000">#REF!</definedName>
    <definedName name="OK_FILT_CUM_250" localSheetId="4">#REF!</definedName>
    <definedName name="OK_FILT_CUM_250">#REF!</definedName>
    <definedName name="OK_FILT_CUM_3000" localSheetId="4">#REF!</definedName>
    <definedName name="OK_FILT_CUM_3000">#REF!</definedName>
    <definedName name="OK_FILT_CUM_30000" localSheetId="4">#REF!</definedName>
    <definedName name="OK_FILT_CUM_30000">#REF!</definedName>
    <definedName name="OK_FILT_CUM_500" localSheetId="4">#REF!</definedName>
    <definedName name="OK_FILT_CUM_500">#REF!</definedName>
    <definedName name="OK_FILT_CUM_5000" localSheetId="4">#REF!</definedName>
    <definedName name="OK_FILT_CUM_5000">#REF!</definedName>
    <definedName name="OK_FILT_CUM_7500" localSheetId="4">#REF!</definedName>
    <definedName name="OK_FILT_CUM_7500">#REF!</definedName>
    <definedName name="OL">[1]INSUMOS!#REF!</definedName>
    <definedName name="ooo" localSheetId="4" hidden="1">{"via1",#N/A,TRUE,"general";"via2",#N/A,TRUE,"general";"via3",#N/A,TRUE,"general"}</definedName>
    <definedName name="ooo" localSheetId="9"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p">[12]Planilla!$D$60</definedName>
    <definedName name="ORDEN" localSheetId="4">#REF!</definedName>
    <definedName name="ORDEN">#REF!</definedName>
    <definedName name="OrigenConsultoria" localSheetId="4">#REF!</definedName>
    <definedName name="OrigenConsultoria">#REF!</definedName>
    <definedName name="OrigenObra" localSheetId="4">#REF!</definedName>
    <definedName name="OrigenObra">#REF!</definedName>
    <definedName name="ORO" localSheetId="4">#REF!</definedName>
    <definedName name="ORO">#REF!</definedName>
    <definedName name="otros">[62]otros!$A$6:$A$1235</definedName>
    <definedName name="OTROS_2">[64]otros!$A$6:$A$1235</definedName>
    <definedName name="P" localSheetId="4">#REF!</definedName>
    <definedName name="P">#REF!</definedName>
    <definedName name="p0p0" localSheetId="4"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A" localSheetId="4">[51]PRESUPUESTO!#REF!</definedName>
    <definedName name="PA">[51]PRESUPUESTO!#REF!</definedName>
    <definedName name="Panel_Led_Plano_de_18w">'[14]LISTADO DE MATERIALES Y EQUIPOS'!$B$113</definedName>
    <definedName name="PAPSO_INTERVENTORÍA" localSheetId="4">#REF!</definedName>
    <definedName name="PAPSO_INTERVENTORÍA">#REF!</definedName>
    <definedName name="PAPSO_OBRA" localSheetId="4">#REF!</definedName>
    <definedName name="PAPSO_OBRA">#REF!</definedName>
    <definedName name="Paraguaycito" localSheetId="4">#REF!</definedName>
    <definedName name="Paraguaycito">#REF!</definedName>
    <definedName name="PARBOX" localSheetId="4">#REF!</definedName>
    <definedName name="PARBOX">#REF!</definedName>
    <definedName name="paro" localSheetId="4">[33]MATERIALES!#REF!</definedName>
    <definedName name="paro">[34]MATERIALES!#REF!</definedName>
    <definedName name="pasamanos" localSheetId="4">#REF!</definedName>
    <definedName name="pasamanos">#REF!</definedName>
    <definedName name="PAVRIG20" localSheetId="4">#REF!</definedName>
    <definedName name="PAVRIG20">#REF!</definedName>
    <definedName name="PB" localSheetId="4">[51]PRESUPUESTO!#REF!</definedName>
    <definedName name="PB">[51]PRESUPUESTO!#REF!</definedName>
    <definedName name="PC" localSheetId="4">[51]PRESUPUESTO!#REF!</definedName>
    <definedName name="PC">[51]PRESUPUESTO!#REF!</definedName>
    <definedName name="PE" localSheetId="4">[51]PRESUPUESTO!#REF!</definedName>
    <definedName name="PE">[51]PRESUPUESTO!#REF!</definedName>
    <definedName name="PEDRO_1" localSheetId="4">#REF!</definedName>
    <definedName name="PEDRO_1">#REF!</definedName>
    <definedName name="Pegante_pvc">'[14]LISTADO DE MATERIALES Y EQUIPOS'!$B$119</definedName>
    <definedName name="PER_PAV">#REF!</definedName>
    <definedName name="PERC3" localSheetId="4">#REF!</definedName>
    <definedName name="PERC3">#REF!</definedName>
    <definedName name="perc3a2" localSheetId="4">#REF!</definedName>
    <definedName name="perc3a2">#REF!</definedName>
    <definedName name="PERFIL_ANGULO_2.5_X_2.5_X_2.44__Cund">'[14]LISTADO DE MATERIALES Y EQUIPOS'!$B$100</definedName>
    <definedName name="Perfil_c_120x50mm">'[14]LISTADO DE MATERIALES Y EQUIPOS'!$B$109</definedName>
    <definedName name="PERFIL_OMEGA_X_2.44_C_26">'[14]LISTADO DE MATERIALES Y EQUIPOS'!$B$101</definedName>
    <definedName name="PERFIL_VIGUETA_PRINCIPAL_X_2.44_Cund">'[14]LISTADO DE MATERIALES Y EQUIPOS'!$B$102</definedName>
    <definedName name="PERS" localSheetId="4" hidden="1">#REF!</definedName>
    <definedName name="PERS" hidden="1">#REF!</definedName>
    <definedName name="PERSONAL" localSheetId="4" hidden="1">#REF!</definedName>
    <definedName name="PERSONAL" hidden="1">#REF!</definedName>
    <definedName name="personalito" localSheetId="4" hidden="1">#REF!</definedName>
    <definedName name="personalito" hidden="1">#REF!</definedName>
    <definedName name="PersonalProfesional" localSheetId="4">#REF!</definedName>
    <definedName name="PersonalProfesional">#REF!</definedName>
    <definedName name="PersonalTecnico" localSheetId="4">#REF!</definedName>
    <definedName name="PersonalTecnico">#REF!</definedName>
    <definedName name="PESO14.2" localSheetId="4">#REF!</definedName>
    <definedName name="PESO14.2">#REF!</definedName>
    <definedName name="PESO14.3" localSheetId="4">#REF!</definedName>
    <definedName name="PESO14.3">#REF!</definedName>
    <definedName name="PESO14.4" localSheetId="4">#REF!</definedName>
    <definedName name="PESO14.4">#REF!</definedName>
    <definedName name="PesoVarillas" localSheetId="4">#REF!</definedName>
    <definedName name="PesoVarillas">#REF!</definedName>
    <definedName name="pgio">[87]BaseDatos!$A$2:$F$505</definedName>
    <definedName name="Pinos" localSheetId="4">#REF!</definedName>
    <definedName name="Pinos">#REF!</definedName>
    <definedName name="Pintura_esmalte">'[14]LISTADO DE MATERIALES Y EQUIPOS'!$B$61</definedName>
    <definedName name="Pintura_Exterior">'[14]LISTADO DE MATERIALES Y EQUIPOS'!$B$59</definedName>
    <definedName name="Pintura_Interior_Gl">'[14]LISTADO DE MATERIALES Y EQUIPOS'!$B$58</definedName>
    <definedName name="Pinturas" localSheetId="31">#REF!</definedName>
    <definedName name="Pinturas" localSheetId="38">#REF!</definedName>
    <definedName name="Pinturas" localSheetId="39">#REF!</definedName>
    <definedName name="Pinturas" localSheetId="40">#REF!</definedName>
    <definedName name="Pinturas" localSheetId="41">#REF!</definedName>
    <definedName name="Pinturas" localSheetId="42">#REF!</definedName>
    <definedName name="Pinturas" localSheetId="43">#REF!</definedName>
    <definedName name="Pinturas" localSheetId="44">#REF!</definedName>
    <definedName name="Pinturas" localSheetId="45">#REF!</definedName>
    <definedName name="Pinturas" localSheetId="46">#REF!</definedName>
    <definedName name="Pinturas" localSheetId="47">#REF!</definedName>
    <definedName name="Pinturas" localSheetId="48">#REF!</definedName>
    <definedName name="Pinturas" localSheetId="49">#REF!</definedName>
    <definedName name="Pinturas" localSheetId="21">#REF!</definedName>
    <definedName name="Pinturas" localSheetId="22">#REF!</definedName>
    <definedName name="Pinturas" localSheetId="23">#REF!</definedName>
    <definedName name="Pinturas" localSheetId="33">#REF!</definedName>
    <definedName name="Pinturas" localSheetId="34">#REF!</definedName>
    <definedName name="Pinturas" localSheetId="35">#REF!</definedName>
    <definedName name="Pinturas" localSheetId="36">#REF!</definedName>
    <definedName name="Pinturas" localSheetId="37">#REF!</definedName>
    <definedName name="Pinturas" localSheetId="16">#REF!</definedName>
    <definedName name="Pinturas" localSheetId="17">#REF!</definedName>
    <definedName name="Pinturas" localSheetId="18">#REF!</definedName>
    <definedName name="Pinturas" localSheetId="19">#REF!</definedName>
    <definedName name="Pinturas" localSheetId="20">#REF!</definedName>
    <definedName name="Pinturas" localSheetId="28">#REF!</definedName>
    <definedName name="Pinturas" localSheetId="25">#REF!</definedName>
    <definedName name="Pinturas" localSheetId="26">#REF!</definedName>
    <definedName name="Pinturas" localSheetId="27">#REF!</definedName>
    <definedName name="Pinturas" localSheetId="24">#REF!</definedName>
    <definedName name="Pinturas" localSheetId="29">#REF!</definedName>
    <definedName name="Pinturas" localSheetId="30">#REF!</definedName>
    <definedName name="Pinturas" localSheetId="32">#REF!</definedName>
    <definedName name="Pinturas">#REF!</definedName>
    <definedName name="Piso">'[14]LISTADO DE MATERIALES Y EQUIPOS'!$B$66</definedName>
    <definedName name="PISOS" localSheetId="4">#REF!</definedName>
    <definedName name="PISOS">#REF!</definedName>
    <definedName name="PisosEnchapes" localSheetId="31">#REF!</definedName>
    <definedName name="PisosEnchapes" localSheetId="38">#REF!</definedName>
    <definedName name="PisosEnchapes" localSheetId="39">#REF!</definedName>
    <definedName name="PisosEnchapes" localSheetId="40">#REF!</definedName>
    <definedName name="PisosEnchapes" localSheetId="41">#REF!</definedName>
    <definedName name="PisosEnchapes" localSheetId="42">#REF!</definedName>
    <definedName name="PisosEnchapes" localSheetId="43">#REF!</definedName>
    <definedName name="PisosEnchapes" localSheetId="44">#REF!</definedName>
    <definedName name="PisosEnchapes" localSheetId="45">#REF!</definedName>
    <definedName name="PisosEnchapes" localSheetId="46">#REF!</definedName>
    <definedName name="PisosEnchapes" localSheetId="47">#REF!</definedName>
    <definedName name="PisosEnchapes" localSheetId="48">#REF!</definedName>
    <definedName name="PisosEnchapes" localSheetId="49">#REF!</definedName>
    <definedName name="PisosEnchapes" localSheetId="21">#REF!</definedName>
    <definedName name="PisosEnchapes" localSheetId="22">#REF!</definedName>
    <definedName name="PisosEnchapes" localSheetId="23">#REF!</definedName>
    <definedName name="PisosEnchapes" localSheetId="33">#REF!</definedName>
    <definedName name="PisosEnchapes" localSheetId="34">#REF!</definedName>
    <definedName name="PisosEnchapes" localSheetId="35">#REF!</definedName>
    <definedName name="PisosEnchapes" localSheetId="36">#REF!</definedName>
    <definedName name="PisosEnchapes" localSheetId="37">#REF!</definedName>
    <definedName name="PisosEnchapes" localSheetId="16">#REF!</definedName>
    <definedName name="PisosEnchapes" localSheetId="17">#REF!</definedName>
    <definedName name="PisosEnchapes" localSheetId="18">#REF!</definedName>
    <definedName name="PisosEnchapes" localSheetId="19">#REF!</definedName>
    <definedName name="PisosEnchapes" localSheetId="20">#REF!</definedName>
    <definedName name="PisosEnchapes" localSheetId="28">#REF!</definedName>
    <definedName name="PisosEnchapes" localSheetId="25">#REF!</definedName>
    <definedName name="PisosEnchapes" localSheetId="26">#REF!</definedName>
    <definedName name="PisosEnchapes" localSheetId="27">#REF!</definedName>
    <definedName name="PisosEnchapes" localSheetId="24">#REF!</definedName>
    <definedName name="PisosEnchapes" localSheetId="29">#REF!</definedName>
    <definedName name="PisosEnchapes" localSheetId="30">#REF!</definedName>
    <definedName name="PisosEnchapes" localSheetId="32">#REF!</definedName>
    <definedName name="PisosEnchapes">#REF!</definedName>
    <definedName name="PKHK" localSheetId="4"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L" localSheetId="4">[51]PRESUPUESTO!#REF!</definedName>
    <definedName name="PL">[51]PRESUPUESTO!#REF!</definedName>
    <definedName name="PLACALIG50">[11]A.P.U.!$G$482</definedName>
    <definedName name="PLAD" localSheetId="4"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anta_Electrica__Diesel_Gasolina">'[15]Equipo y transporte'!$D$29</definedName>
    <definedName name="Plazo">[22]BASES!$E$27</definedName>
    <definedName name="PlazoAIU" localSheetId="4">#REF!</definedName>
    <definedName name="PlazoAIU">#REF!</definedName>
    <definedName name="PlazoEnMeses" localSheetId="4">#REF!</definedName>
    <definedName name="PlazoEnMeses">#REF!</definedName>
    <definedName name="PLDM">[70]INSUMOS!$D$683</definedName>
    <definedName name="Plegable" localSheetId="4">#REF!</definedName>
    <definedName name="Plegable">#REF!</definedName>
    <definedName name="PLPLUNN" localSheetId="4"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m" localSheetId="4">#REF!</definedName>
    <definedName name="pm">#REF!</definedName>
    <definedName name="PMCC" localSheetId="4">#REF!</definedName>
    <definedName name="PMCC">#REF!</definedName>
    <definedName name="PMT" localSheetId="4">#REF!</definedName>
    <definedName name="PMT">#REF!</definedName>
    <definedName name="pnp">[55]Niples!$N$21:$T$32</definedName>
    <definedName name="PO" localSheetId="4">#REF!</definedName>
    <definedName name="PO">#REF!</definedName>
    <definedName name="POF" localSheetId="4">#REF!</definedName>
    <definedName name="POF">#REF!</definedName>
    <definedName name="poiu" localSheetId="4">#REF!</definedName>
    <definedName name="poiu">#REF!</definedName>
    <definedName name="POIUP" localSheetId="4"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kmn" localSheetId="4">#REF!</definedName>
    <definedName name="pokmn">#REF!</definedName>
    <definedName name="POLIZAS_OBRA" localSheetId="4">#REF!</definedName>
    <definedName name="POLIZAS_OBRA">#REF!</definedName>
    <definedName name="polkj" localSheetId="4">#REF!</definedName>
    <definedName name="polkj">#REF!</definedName>
    <definedName name="popop" localSheetId="4"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vds" localSheetId="4"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RCE">[22]BASES!$E$26</definedName>
    <definedName name="Poste_en_angulo_de_2_2_1_4_de_3_5m_para_señal">[15]Insumos!$D$38</definedName>
    <definedName name="POT" localSheetId="4">#REF!</definedName>
    <definedName name="POT">#REF!</definedName>
    <definedName name="pouig" localSheetId="4"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ppp9" localSheetId="4"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qroj" localSheetId="4"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e" localSheetId="4">#REF!</definedName>
    <definedName name="PRE">#REF!</definedName>
    <definedName name="precios">#REF!</definedName>
    <definedName name="preciosvig">#REF!</definedName>
    <definedName name="Prefabricados" localSheetId="31">#REF!</definedName>
    <definedName name="Prefabricados" localSheetId="38">#REF!</definedName>
    <definedName name="Prefabricados" localSheetId="39">#REF!</definedName>
    <definedName name="Prefabricados" localSheetId="40">#REF!</definedName>
    <definedName name="Prefabricados" localSheetId="41">#REF!</definedName>
    <definedName name="Prefabricados" localSheetId="42">#REF!</definedName>
    <definedName name="Prefabricados" localSheetId="43">#REF!</definedName>
    <definedName name="Prefabricados" localSheetId="44">#REF!</definedName>
    <definedName name="Prefabricados" localSheetId="45">#REF!</definedName>
    <definedName name="Prefabricados" localSheetId="46">#REF!</definedName>
    <definedName name="Prefabricados" localSheetId="47">#REF!</definedName>
    <definedName name="Prefabricados" localSheetId="48">#REF!</definedName>
    <definedName name="Prefabricados" localSheetId="49">#REF!</definedName>
    <definedName name="Prefabricados" localSheetId="21">#REF!</definedName>
    <definedName name="Prefabricados" localSheetId="22">#REF!</definedName>
    <definedName name="Prefabricados" localSheetId="23">#REF!</definedName>
    <definedName name="Prefabricados" localSheetId="33">#REF!</definedName>
    <definedName name="Prefabricados" localSheetId="34">#REF!</definedName>
    <definedName name="Prefabricados" localSheetId="35">#REF!</definedName>
    <definedName name="Prefabricados" localSheetId="36">#REF!</definedName>
    <definedName name="Prefabricados" localSheetId="37">#REF!</definedName>
    <definedName name="Prefabricados" localSheetId="16">#REF!</definedName>
    <definedName name="Prefabricados" localSheetId="17">#REF!</definedName>
    <definedName name="Prefabricados" localSheetId="18">#REF!</definedName>
    <definedName name="Prefabricados" localSheetId="19">#REF!</definedName>
    <definedName name="Prefabricados" localSheetId="20">#REF!</definedName>
    <definedName name="Prefabricados" localSheetId="28">#REF!</definedName>
    <definedName name="Prefabricados" localSheetId="25">#REF!</definedName>
    <definedName name="Prefabricados" localSheetId="26">#REF!</definedName>
    <definedName name="Prefabricados" localSheetId="27">#REF!</definedName>
    <definedName name="Prefabricados" localSheetId="24">#REF!</definedName>
    <definedName name="Prefabricados" localSheetId="29">#REF!</definedName>
    <definedName name="Prefabricados" localSheetId="30">#REF!</definedName>
    <definedName name="Prefabricados" localSheetId="32">#REF!</definedName>
    <definedName name="Prefabricados">#REF!</definedName>
    <definedName name="Prestaciones_1">'[15]F. P. AIU'!$C$73</definedName>
    <definedName name="Prestaciones_2">'[15]F. P. AIU'!$B$73</definedName>
    <definedName name="PrestacionesSeguridadOtros" localSheetId="4">#REF!</definedName>
    <definedName name="PrestacionesSeguridadOtros">#REF!</definedName>
    <definedName name="PRESUPUESTADO" localSheetId="4">#REF!</definedName>
    <definedName name="PRESUPUESTADO">#REF!</definedName>
    <definedName name="PRESUPUESTO">[27]PRESUPUESTO!$A:$I</definedName>
    <definedName name="PRIMER" localSheetId="4" hidden="1">{"via1",#N/A,TRUE,"general";"via2",#N/A,TRUE,"general";"via3",#N/A,TRUE,"general"}</definedName>
    <definedName name="PRIMER" localSheetId="9" hidden="1">{"via1",#N/A,TRUE,"general";"via2",#N/A,TRUE,"general";"via3",#N/A,TRUE,"general"}</definedName>
    <definedName name="PRIMER" hidden="1">{"via1",#N/A,TRUE,"general";"via2",#N/A,TRUE,"general";"via3",#N/A,TRUE,"general"}</definedName>
    <definedName name="PRIMET" localSheetId="4"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rint_Area" localSheetId="4">#REF!</definedName>
    <definedName name="Print_Area">#REF!</definedName>
    <definedName name="Profesional" localSheetId="4">#REF!</definedName>
    <definedName name="Profesional">#REF!</definedName>
    <definedName name="Profesional_SISO">[15]CUADRILLAS!$B$21</definedName>
    <definedName name="PrOfic">[22]BASES!$B$31</definedName>
    <definedName name="PROG" localSheetId="4" hidden="1">#REF!</definedName>
    <definedName name="PROG" hidden="1">#REF!</definedName>
    <definedName name="PROGRAMADO">#REF!</definedName>
    <definedName name="PROP">[20]DATOS!$D$7</definedName>
    <definedName name="Proponente" localSheetId="4">#REF!</definedName>
    <definedName name="Proponente">#REF!</definedName>
    <definedName name="Proposito">[29]Hoja1!$C$3:$C$11</definedName>
    <definedName name="providencia" localSheetId="4">#REF!</definedName>
    <definedName name="providencia">#REF!</definedName>
    <definedName name="PROVISIONALES" localSheetId="4" hidden="1">#REF!</definedName>
    <definedName name="PROVISIONALES" hidden="1">#REF!</definedName>
    <definedName name="proyecto">[15]Pres!$D$22</definedName>
    <definedName name="prueba" localSheetId="4">#REF!</definedName>
    <definedName name="prueba">#REF!</definedName>
    <definedName name="ptope" localSheetId="4"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Puerta_Ventana">'[14]LISTADO DE MATERIALES Y EQUIPOS'!$B$88</definedName>
    <definedName name="pulsador" localSheetId="4">[33]MATERIALES!#REF!</definedName>
    <definedName name="pulsador">[34]MATERIALES!#REF!</definedName>
    <definedName name="PUNT" localSheetId="4">#REF!</definedName>
    <definedName name="PUNT">#REF!</definedName>
    <definedName name="Puntilla_x_500gr">'[14]LISTADO DE MATERIALES Y EQUIPOS'!$B$24</definedName>
    <definedName name="Q" localSheetId="4">#REF!</definedName>
    <definedName name="q" hidden="1">[1]INSUMOS!#REF!</definedName>
    <definedName name="q1q1q" localSheetId="4"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[88]APU_CANCHA!$A$2:$H$17037</definedName>
    <definedName name="qaedtguj" localSheetId="4"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edcd" localSheetId="4"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qq" localSheetId="4">#REF!</definedName>
    <definedName name="qqq">#REF!</definedName>
    <definedName name="qqqqqw" localSheetId="4"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uimbaya" localSheetId="4">#REF!</definedName>
    <definedName name="Quimbaya">#REF!</definedName>
    <definedName name="qw" localSheetId="4" hidden="1">{"via1",#N/A,TRUE,"general";"via2",#N/A,TRUE,"general";"via3",#N/A,TRUE,"general"}</definedName>
    <definedName name="qw" localSheetId="9"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qe" localSheetId="4"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a" localSheetId="4">#REF!</definedName>
    <definedName name="ra">#REF!</definedName>
    <definedName name="Rajón_de_piedra_del_municipio">[15]Insumos!$D$29</definedName>
    <definedName name="RANA">[11]INSUMOS!$D$168</definedName>
    <definedName name="Rana_o_canguro">'[14]LISTADO DE MATERIALES Y EQUIPOS'!$B$33</definedName>
    <definedName name="RANGOS" localSheetId="4">#REF!</definedName>
    <definedName name="RANGOS">#REF!</definedName>
    <definedName name="RDN">[24]PRECIOS!$G$7</definedName>
    <definedName name="reds" localSheetId="4">#REF!</definedName>
    <definedName name="reds">#REF!</definedName>
    <definedName name="REFGF" localSheetId="4">#REF!</definedName>
    <definedName name="REFGF">#REF!</definedName>
    <definedName name="REFPISC" localSheetId="4">#REF!</definedName>
    <definedName name="REFPISC">#REF!</definedName>
    <definedName name="rege" localSheetId="4"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fdg" localSheetId="4">#REF!</definedName>
    <definedName name="regfdg">#REF!</definedName>
    <definedName name="Regional" localSheetId="4">#REF!</definedName>
    <definedName name="Regional">#REF!</definedName>
    <definedName name="regresd" localSheetId="4"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JHE" localSheetId="4"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ll" localSheetId="4">#REF!</definedName>
    <definedName name="rell">#REF!</definedName>
    <definedName name="renta" localSheetId="4">#REF!</definedName>
    <definedName name="renta">#REF!</definedName>
    <definedName name="REP.PAV">'[13]factores A.N.'!$F$15:$F$69</definedName>
    <definedName name="REP_E_MOT_10" localSheetId="4">#REF!</definedName>
    <definedName name="REP_E_MOT_10">#REF!</definedName>
    <definedName name="REP_E_MOT_100" localSheetId="4">#REF!</definedName>
    <definedName name="REP_E_MOT_100">#REF!</definedName>
    <definedName name="REP_E_MOT_1000" localSheetId="4">#REF!</definedName>
    <definedName name="REP_E_MOT_1000">#REF!</definedName>
    <definedName name="REP_E_MOT_10000" localSheetId="4">#REF!</definedName>
    <definedName name="REP_E_MOT_10000">#REF!</definedName>
    <definedName name="REP_E_MOT_15000" localSheetId="4">#REF!</definedName>
    <definedName name="REP_E_MOT_15000">#REF!</definedName>
    <definedName name="REP_E_MOT_20000" localSheetId="4">#REF!</definedName>
    <definedName name="REP_E_MOT_20000">#REF!</definedName>
    <definedName name="REP_E_MOT_250" localSheetId="4">#REF!</definedName>
    <definedName name="REP_E_MOT_250">#REF!</definedName>
    <definedName name="REP_E_MOT_3000" localSheetId="4">#REF!</definedName>
    <definedName name="REP_E_MOT_3000">#REF!</definedName>
    <definedName name="REP_E_MOT_30000" localSheetId="4">#REF!</definedName>
    <definedName name="REP_E_MOT_30000">#REF!</definedName>
    <definedName name="REP_E_MOT_500" localSheetId="4">#REF!</definedName>
    <definedName name="REP_E_MOT_500">#REF!</definedName>
    <definedName name="REP_E_MOT_5000" localSheetId="4">#REF!</definedName>
    <definedName name="REP_E_MOT_5000">#REF!</definedName>
    <definedName name="REP_E_MOT_7500" localSheetId="4">#REF!</definedName>
    <definedName name="REP_E_MOT_7500">#REF!</definedName>
    <definedName name="rer" localSheetId="4"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sidente_de_obra">[15]CUADRILLAS!$B$14</definedName>
    <definedName name="Resistenciaconductor" localSheetId="4">[50]Modelo!#REF!</definedName>
    <definedName name="Resistenciaconductor">[50]Modelo!#REF!</definedName>
    <definedName name="RESTIT" localSheetId="4">#REF!</definedName>
    <definedName name="RESTIT">#REF!</definedName>
    <definedName name="resultado" localSheetId="4">#REF!</definedName>
    <definedName name="resultado">#REF!</definedName>
    <definedName name="Retenc">[22]BASES!$E$31</definedName>
    <definedName name="Retroexcavadora_de_llantas">'[15]Equipo y transporte'!$D$20</definedName>
    <definedName name="RETT" localSheetId="4">#REF!</definedName>
    <definedName name="RETT">#REF!</definedName>
    <definedName name="RETTRE" localSheetId="4"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D" localSheetId="4">#REF!</definedName>
    <definedName name="RFD">#REF!</definedName>
    <definedName name="rfhnhjyu" localSheetId="4"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ef" localSheetId="4">#REF!</definedName>
    <definedName name="rfref">#REF!</definedName>
    <definedName name="rfrf" localSheetId="4"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ge" localSheetId="4"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GTEY" localSheetId="4">#REF!</definedName>
    <definedName name="RGTEY">#REF!</definedName>
    <definedName name="rhh" localSheetId="4"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4"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R">[1]INSUMOS!#REF!</definedName>
    <definedName name="RRC" localSheetId="4">#REF!</definedName>
    <definedName name="RRC">#REF!</definedName>
    <definedName name="RRR" localSheetId="4">#REF!</definedName>
    <definedName name="RRR">#REF!</definedName>
    <definedName name="RRRR" localSheetId="4">#REF!</definedName>
    <definedName name="RRRR">#REF!</definedName>
    <definedName name="rrrrrb" localSheetId="4"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dgsd5" localSheetId="4"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t" localSheetId="4" hidden="1">{"TAB1",#N/A,TRUE,"GENERAL";"TAB2",#N/A,TRUE,"GENERAL";"TAB3",#N/A,TRUE,"GENERAL";"TAB4",#N/A,TRUE,"GENERAL";"TAB5",#N/A,TRUE,"GENERAL"}</definedName>
    <definedName name="rt" localSheetId="9"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localSheetId="9"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u" localSheetId="4"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localSheetId="9"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 localSheetId="4">#REF!</definedName>
    <definedName name="S">#REF!</definedName>
    <definedName name="SA" localSheetId="4">[51]PRESUPUESTO!#REF!</definedName>
    <definedName name="SA">[51]PRESUPUESTO!#REF!</definedName>
    <definedName name="saa" localSheetId="4"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alarios" localSheetId="4">#REF!</definedName>
    <definedName name="Salarios">#REF!</definedName>
    <definedName name="SalMinimo">[22]BASES!$E$41</definedName>
    <definedName name="SANDRA" localSheetId="4">#REF!</definedName>
    <definedName name="SANDRA">#REF!</definedName>
    <definedName name="SARD40" localSheetId="4">#REF!</definedName>
    <definedName name="SARD40">#REF!</definedName>
    <definedName name="SASASASASAS" localSheetId="4" hidden="1">{"via1",#N/A,TRUE,"general";"via2",#N/A,TRUE,"general";"via3",#N/A,TRUE,"general"}</definedName>
    <definedName name="SASASASASAS" localSheetId="9" hidden="1">{"via1",#N/A,TRUE,"general";"via2",#N/A,TRUE,"general";"via3",#N/A,TRUE,"general"}</definedName>
    <definedName name="SASASASASAS" hidden="1">{"via1",#N/A,TRUE,"general";"via2",#N/A,TRUE,"general";"via3",#N/A,TRUE,"general"}</definedName>
    <definedName name="sawee" localSheetId="4">#REF!</definedName>
    <definedName name="sawee">#REF!</definedName>
    <definedName name="SB" localSheetId="4">[51]PRESUPUESTO!#REF!</definedName>
    <definedName name="SB">[51]PRESUPUESTO!#REF!</definedName>
    <definedName name="sbgfbgdr" localSheetId="4"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btp" localSheetId="4">[18]INSUMOS!#REF!</definedName>
    <definedName name="Sbtp">[18]INSUMOS!#REF!</definedName>
    <definedName name="SbtPpto">#REF!</definedName>
    <definedName name="SC" localSheetId="4">[51]PRESUPUESTO!#REF!</definedName>
    <definedName name="SC">[51]PRESUPUESTO!#REF!</definedName>
    <definedName name="sd" localSheetId="4" hidden="1">{"TAB1",#N/A,TRUE,"GENERAL";"TAB2",#N/A,TRUE,"GENERAL";"TAB3",#N/A,TRUE,"GENERAL";"TAB4",#N/A,TRUE,"GENERAL";"TAB5",#N/A,TRUE,"GENERAL"}</definedName>
    <definedName name="sd" localSheetId="9"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f" localSheetId="4">#REF!</definedName>
    <definedName name="sdf">#REF!</definedName>
    <definedName name="SDFCE" localSheetId="4"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s" localSheetId="4"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GVBNM">[89]Insumos!$B$2:$B$2</definedName>
    <definedName name="SDFLJK" localSheetId="4"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4" localSheetId="4"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F" localSheetId="4"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dsg" localSheetId="4">#REF!</definedName>
    <definedName name="sdgfdsg">#REF!</definedName>
    <definedName name="sdgfgp" localSheetId="4"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E" localSheetId="4">[51]PRESUPUESTO!#REF!</definedName>
    <definedName name="SE">[51]PRESUPUESTO!#REF!</definedName>
    <definedName name="Secretaria">[15]CUADRILLAS!$B$26</definedName>
    <definedName name="Sector">[29]Hoja1!$N$3:$N$1163</definedName>
    <definedName name="SECTOR_006517" localSheetId="4">#REF!</definedName>
    <definedName name="SECTOR_006517">#REF!</definedName>
    <definedName name="Señal__grupo_1_._Tablero_en_lámina_galvanizada_de_75cm_75cm__calibre_16__reflectivo_tipo_1__incluye_poste">[15]Insumos!$D$39</definedName>
    <definedName name="SEP" localSheetId="4">#REF!</definedName>
    <definedName name="SEP">#REF!</definedName>
    <definedName name="SERV_OK_CUM_10" localSheetId="4">#REF!</definedName>
    <definedName name="SERV_OK_CUM_10">#REF!</definedName>
    <definedName name="SERV_OK_CUM_100" localSheetId="4">#REF!</definedName>
    <definedName name="SERV_OK_CUM_100">#REF!</definedName>
    <definedName name="SERV_OK_CUM_1000" localSheetId="4">#REF!</definedName>
    <definedName name="SERV_OK_CUM_1000">#REF!</definedName>
    <definedName name="SERV_OK_CUM_10000" localSheetId="4">#REF!</definedName>
    <definedName name="SERV_OK_CUM_10000">#REF!</definedName>
    <definedName name="SERV_OK_CUM_15000" localSheetId="4">#REF!</definedName>
    <definedName name="SERV_OK_CUM_15000">#REF!</definedName>
    <definedName name="SERV_OK_CUM_20000" localSheetId="4">#REF!</definedName>
    <definedName name="SERV_OK_CUM_20000">#REF!</definedName>
    <definedName name="SERV_OK_CUM_250" localSheetId="4">#REF!</definedName>
    <definedName name="SERV_OK_CUM_250">#REF!</definedName>
    <definedName name="SERV_OK_CUM_3000" localSheetId="4">#REF!</definedName>
    <definedName name="SERV_OK_CUM_3000">#REF!</definedName>
    <definedName name="SERV_OK_CUM_30000" localSheetId="4">#REF!</definedName>
    <definedName name="SERV_OK_CUM_30000">#REF!</definedName>
    <definedName name="SERV_OK_CUM_500" localSheetId="4">#REF!</definedName>
    <definedName name="SERV_OK_CUM_500">#REF!</definedName>
    <definedName name="SERV_OK_CUM_5000" localSheetId="4">#REF!</definedName>
    <definedName name="SERV_OK_CUM_5000">#REF!</definedName>
    <definedName name="SERV_OK_CUM_7500" localSheetId="4">#REF!</definedName>
    <definedName name="SERV_OK_CUM_7500">#REF!</definedName>
    <definedName name="SERVTEILE_E_MOT_10" localSheetId="4">#REF!</definedName>
    <definedName name="SERVTEILE_E_MOT_10">#REF!</definedName>
    <definedName name="SERVTEILE_E_MOT_100" localSheetId="4">#REF!</definedName>
    <definedName name="SERVTEILE_E_MOT_100">#REF!</definedName>
    <definedName name="SERVTEILE_E_MOT_1000" localSheetId="4">#REF!</definedName>
    <definedName name="SERVTEILE_E_MOT_1000">#REF!</definedName>
    <definedName name="SERVTEILE_E_MOT_10000" localSheetId="4">#REF!</definedName>
    <definedName name="SERVTEILE_E_MOT_10000">#REF!</definedName>
    <definedName name="SERVTEILE_E_MOT_15000" localSheetId="4">#REF!</definedName>
    <definedName name="SERVTEILE_E_MOT_15000">#REF!</definedName>
    <definedName name="SERVTEILE_E_MOT_20000" localSheetId="4">#REF!</definedName>
    <definedName name="SERVTEILE_E_MOT_20000">#REF!</definedName>
    <definedName name="SERVTEILE_E_MOT_250" localSheetId="4">#REF!</definedName>
    <definedName name="SERVTEILE_E_MOT_250">#REF!</definedName>
    <definedName name="SERVTEILE_E_MOT_3000" localSheetId="4">#REF!</definedName>
    <definedName name="SERVTEILE_E_MOT_3000">#REF!</definedName>
    <definedName name="SERVTEILE_E_MOT_30000" localSheetId="4">#REF!</definedName>
    <definedName name="SERVTEILE_E_MOT_30000">#REF!</definedName>
    <definedName name="SERVTEILE_E_MOT_3001" localSheetId="4">#REF!</definedName>
    <definedName name="SERVTEILE_E_MOT_3001">#REF!</definedName>
    <definedName name="SERVTEILE_E_MOT_500" localSheetId="4">#REF!</definedName>
    <definedName name="SERVTEILE_E_MOT_500">#REF!</definedName>
    <definedName name="SERVTEILE_E_MOT_5000" localSheetId="4">#REF!</definedName>
    <definedName name="SERVTEILE_E_MOT_5000">#REF!</definedName>
    <definedName name="SERVTEILE_E_MOT_7500" localSheetId="4">#REF!</definedName>
    <definedName name="SERVTEILE_E_MOT_7500">#REF!</definedName>
    <definedName name="setrj" localSheetId="4"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F" localSheetId="4">'[31]CIRCUITOS CODENSA'!#REF!</definedName>
    <definedName name="SF">'[31]CIRCUITOS CODENSA'!#REF!</definedName>
    <definedName name="sfasf" localSheetId="4"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D" localSheetId="4">#REF!</definedName>
    <definedName name="SFD">#REF!</definedName>
    <definedName name="SFHSGFH" localSheetId="4"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 localSheetId="4">#REF!</definedName>
    <definedName name="sfs">#REF!</definedName>
    <definedName name="sfsd" localSheetId="4"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4">#REF!</definedName>
    <definedName name="SGI_V_INDICES_CIRCUITO_CAUSA">#REF!</definedName>
    <definedName name="SIKA1" localSheetId="4">#REF!</definedName>
    <definedName name="SIKA1">#REF!</definedName>
    <definedName name="SITIO" localSheetId="4">#REF!</definedName>
    <definedName name="SITIO">#REF!</definedName>
    <definedName name="SJ" localSheetId="4">'[31]CIRCUITOS CODENSA'!#REF!</definedName>
    <definedName name="SJ">'[31]CIRCUITOS CODENSA'!#REF!</definedName>
    <definedName name="SL" localSheetId="4">[51]PRESUPUESTO!#REF!</definedName>
    <definedName name="SL">[51]PRESUPUESTO!#REF!</definedName>
    <definedName name="SM" localSheetId="4">'[31]CIRCUITOS CODENSA'!#REF!</definedName>
    <definedName name="SM">'[31]CIRCUITOS CODENSA'!#REF!</definedName>
    <definedName name="smlv">'[15]F. P. AIU'!$B$48</definedName>
    <definedName name="SOCIAL" localSheetId="4">#REF!</definedName>
    <definedName name="SOCIAL">#REF!</definedName>
    <definedName name="SOLAD" localSheetId="4">#REF!</definedName>
    <definedName name="SOLAD">#REF!</definedName>
    <definedName name="Soldadura">'[14]LISTADO DE MATERIALES Y EQUIPOS'!$B$110</definedName>
    <definedName name="Solicitante">[29]Hoja1!$A$3:$A$23</definedName>
    <definedName name="srg" localSheetId="4">[18]INSUMOS!#REF!</definedName>
    <definedName name="srg">[18]INSUMOS!#REF!</definedName>
    <definedName name="srwrwr" localSheetId="4"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D" localSheetId="4">#REF!</definedName>
    <definedName name="SSD">#REF!</definedName>
    <definedName name="sss" localSheetId="4">#REF!</definedName>
    <definedName name="SSS">#REF!</definedName>
    <definedName name="SSSSS" localSheetId="4">#REF!</definedName>
    <definedName name="SSSSS">#REF!</definedName>
    <definedName name="sssss7" localSheetId="4"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 localSheetId="4">#REF!</definedName>
    <definedName name="st">#REF!</definedName>
    <definedName name="STEEL">[11]A.P.U.!$G$453</definedName>
    <definedName name="stt" localSheetId="4"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U" localSheetId="4">'[31]CIRCUITOS CODENSA'!#REF!</definedName>
    <definedName name="SU">'[31]CIRCUITOS CODENSA'!#REF!</definedName>
    <definedName name="SUBA" localSheetId="4">#REF!</definedName>
    <definedName name="SUBA">#REF!</definedName>
    <definedName name="SUBB" localSheetId="4">#REF!</definedName>
    <definedName name="SUBB">#REF!</definedName>
    <definedName name="Subbse_Granular">[15]Insumos!$D$28</definedName>
    <definedName name="SUBCAPITULO" localSheetId="4">#REF!</definedName>
    <definedName name="SUBCAPITULO">#REF!</definedName>
    <definedName name="SUBESTACIONES" localSheetId="4">'[90]OBRAS SES'!#REF!</definedName>
    <definedName name="SUBESTACIONES">'[90]OBRAS SES'!#REF!</definedName>
    <definedName name="SUBPRODUCTOS" localSheetId="4">#REF!</definedName>
    <definedName name="SUBPRODUCTOS">#REF!</definedName>
    <definedName name="SUBR" localSheetId="4">#REF!</definedName>
    <definedName name="SUBR">#REF!</definedName>
    <definedName name="SUBTIPOACC">#REF!</definedName>
    <definedName name="SUBTOTALMAT">'[51]2,2,6,1 Pilotes 0,30'!$I$19</definedName>
    <definedName name="SUSTIT" localSheetId="4">#REF!</definedName>
    <definedName name="SUSTIT">#REF!</definedName>
    <definedName name="swsw" localSheetId="4"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T" localSheetId="4">#REF!</definedName>
    <definedName name="t">[1]INSUMOS!#REF!</definedName>
    <definedName name="T.1_POZ">[91]TUBERIA!$AB$10:$AB$84</definedName>
    <definedName name="T.3">[59]CANT.5921!#REF!</definedName>
    <definedName name="T.VIA">'[13]factores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'[13]factores A.N.'!$H$8:$H$33</definedName>
    <definedName name="T1_FC1_9">'[13]factores A.N.'!$J$8:$J$33</definedName>
    <definedName name="T1_FC2.2">[92]FACTORES!$M$8:$M$23</definedName>
    <definedName name="T11SF15">#REF!</definedName>
    <definedName name="T11SF19">#REF!</definedName>
    <definedName name="T12SF15">#REF!</definedName>
    <definedName name="T12SF19">#REF!</definedName>
    <definedName name="T1RF15">#REF!</definedName>
    <definedName name="T1RF19">#REF!</definedName>
    <definedName name="T2.PVC">'[13]factores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'[13]factores A.N.'!$I$8:$I$33</definedName>
    <definedName name="T2_FC1_9">'[13]factores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4"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A" localSheetId="4">[51]PRESUPUESTO!#REF!</definedName>
    <definedName name="TA">[51]PRESUPUESTO!#REF!</definedName>
    <definedName name="TABLA" localSheetId="4">#REF!</definedName>
    <definedName name="TABLA">#REF!</definedName>
    <definedName name="TABLAB">[70]INSUMOS!$D$801</definedName>
    <definedName name="TABLERO">[11]INSUMOS!$D$177</definedName>
    <definedName name="tablero_100x60" localSheetId="4">[33]MATERIALES!#REF!</definedName>
    <definedName name="tablero_100x60">[34]MATERIALES!#REF!</definedName>
    <definedName name="tablero_60x60" localSheetId="4">[33]MATERIALES!#REF!</definedName>
    <definedName name="tablero_60x60">[34]MATERIALES!#REF!</definedName>
    <definedName name="tablero_70x60" localSheetId="4">[33]MATERIALES!#REF!</definedName>
    <definedName name="tablero_70x60">[34]MATERIALES!#REF!</definedName>
    <definedName name="tablero_80x60" localSheetId="4">[33]MATERIALES!#REF!</definedName>
    <definedName name="tablero_80x60">[34]MATERIALES!#REF!</definedName>
    <definedName name="Tablero_de_24_circutos_trsifasico">'[14]LISTADO DE MATERIALES Y EQUIPOS'!$B$98</definedName>
    <definedName name="TACO">[11]INSUMOS!$D$179</definedName>
    <definedName name="Tarifa_km3">'[14]LISTADO DE MATERIALES Y EQUIPOS'!$B$47</definedName>
    <definedName name="TB" localSheetId="4">[51]PRESUPUESTO!#REF!</definedName>
    <definedName name="TB">[51]PRESUPUESTO!#REF!</definedName>
    <definedName name="TC" localSheetId="4">[51]PRESUPUESTO!#REF!</definedName>
    <definedName name="TC">[51]PRESUPUESTO!#REF!</definedName>
    <definedName name="TCD">'[93]Presupuesto '!$G$161</definedName>
    <definedName name="tdy" localSheetId="4"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 localSheetId="4">[51]PRESUPUESTO!#REF!</definedName>
    <definedName name="TE">[51]PRESUPUESTO!#REF!</definedName>
    <definedName name="Tecnico" localSheetId="4">#REF!</definedName>
    <definedName name="Tecnico">#REF!</definedName>
    <definedName name="TEILE_E_MOT_10" localSheetId="4">#REF!</definedName>
    <definedName name="TEILE_E_MOT_10">#REF!</definedName>
    <definedName name="TEILE_E_MOT_100" localSheetId="4">#REF!</definedName>
    <definedName name="TEILE_E_MOT_100">#REF!</definedName>
    <definedName name="TEILE_E_MOT_1000" localSheetId="4">#REF!</definedName>
    <definedName name="TEILE_E_MOT_1000">#REF!</definedName>
    <definedName name="TEILE_E_MOT_10000" localSheetId="4">#REF!</definedName>
    <definedName name="TEILE_E_MOT_10000">#REF!</definedName>
    <definedName name="TEILE_E_MOT_15000" localSheetId="4">#REF!</definedName>
    <definedName name="TEILE_E_MOT_15000">#REF!</definedName>
    <definedName name="TEILE_E_MOT_20000" localSheetId="4">#REF!</definedName>
    <definedName name="TEILE_E_MOT_20000">#REF!</definedName>
    <definedName name="TEILE_E_MOT_250" localSheetId="4">#REF!</definedName>
    <definedName name="TEILE_E_MOT_250">#REF!</definedName>
    <definedName name="TEILE_E_MOT_3000" localSheetId="4">#REF!</definedName>
    <definedName name="TEILE_E_MOT_3000">#REF!</definedName>
    <definedName name="TEILE_E_MOT_30000" localSheetId="4">#REF!</definedName>
    <definedName name="TEILE_E_MOT_30000">#REF!</definedName>
    <definedName name="TEILE_E_MOT_500" localSheetId="4">#REF!</definedName>
    <definedName name="TEILE_E_MOT_500">#REF!</definedName>
    <definedName name="TEILE_E_MOT_5000" localSheetId="4">#REF!</definedName>
    <definedName name="TEILE_E_MOT_5000">#REF!</definedName>
    <definedName name="TEILE_E_MOT_7500" localSheetId="4">#REF!</definedName>
    <definedName name="TEILE_E_MOT_7500">#REF!</definedName>
    <definedName name="Teja_metalica_arquitectonica_trapez__0_73_3_66">'[14]LISTADO DE MATERIALES Y EQUIPOS'!$B$57</definedName>
    <definedName name="TELERA">[11]INSUMOS!$D$120</definedName>
    <definedName name="tewst" localSheetId="4"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hdh" localSheetId="4"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inner">'[14]LISTADO DE MATERIALES Y EQUIPOS'!$B$62</definedName>
    <definedName name="thtj" localSheetId="4"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IEMPO">[22]BASES!$E$27</definedName>
    <definedName name="TIPO">#REF!</definedName>
    <definedName name="TipoCosteo" localSheetId="4">#REF!</definedName>
    <definedName name="TipoCosteo">#REF!</definedName>
    <definedName name="TipoCosteoNivelRiesgo" localSheetId="4">#REF!</definedName>
    <definedName name="TipoCosteoNivelRiesgo">#REF!</definedName>
    <definedName name="TiposCampamentos" localSheetId="4">#REF!</definedName>
    <definedName name="TiposCampamentos">#REF!</definedName>
    <definedName name="TiposEnsayos" localSheetId="4">#REF!</definedName>
    <definedName name="TiposEnsayos">#REF!</definedName>
    <definedName name="TiposEquipos" localSheetId="4">#REF!</definedName>
    <definedName name="TiposEquipos">#REF!</definedName>
    <definedName name="TiposOficina" localSheetId="4">#REF!</definedName>
    <definedName name="TiposOficina">#REF!</definedName>
    <definedName name="TiposPersonalProfesional" localSheetId="4">#REF!</definedName>
    <definedName name="TiposPersonalProfesional">#REF!</definedName>
    <definedName name="TiposPersonalTecnico" localSheetId="4">#REF!</definedName>
    <definedName name="TiposPersonalTecnico">#REF!</definedName>
    <definedName name="TITULO">#REF!</definedName>
    <definedName name="TL" localSheetId="4">[51]PRESUPUESTO!#REF!</definedName>
    <definedName name="TL">[51]PRESUPUESTO!#REF!</definedName>
    <definedName name="To" localSheetId="4">#REF!</definedName>
    <definedName name="To">#REF!</definedName>
    <definedName name="Tomacorriente_Doble">'[14]LISTADO DE MATERIALES Y EQUIPOS'!$B$114</definedName>
    <definedName name="Topo">[15]CUADRILLAS!$B$11</definedName>
    <definedName name="Topografia">[29]ZONAS_FISICAS!$B$12:$B$14</definedName>
    <definedName name="TORNILLO_PARA_ESTRUCTURAS_7_X_7_16">'[14]LISTADO DE MATERIALES Y EQUIPOS'!$B$104</definedName>
    <definedName name="TORNILLO_PARA_LAMINAS_6_X_1">'[14]LISTADO DE MATERIALES Y EQUIPOS'!$B$103</definedName>
    <definedName name="tortas" localSheetId="4"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ot">#REF!</definedName>
    <definedName name="Total" localSheetId="4">#REF!</definedName>
    <definedName name="TOTAL">#REF!</definedName>
    <definedName name="Total_Kilometro_típico_aereo_11.4_kV" localSheetId="4">[94]c2.5y2.6!#REF!</definedName>
    <definedName name="Total_Kilometro_típico_aereo_11.4_kV">[94]c2.5y2.6!#REF!</definedName>
    <definedName name="Total_Kilometro_típico_aereo_34.5_kV" localSheetId="4">[94]c2.5y2.6!#REF!</definedName>
    <definedName name="Total_Kilometro_típico_aereo_34.5_kV">[94]c2.5y2.6!#REF!</definedName>
    <definedName name="Total_Kilometro_típico_aereo_rural_11.4kV" localSheetId="4">[94]c2.5y2.6!#REF!</definedName>
    <definedName name="Total_Kilometro_típico_aereo_rural_11.4kV">[94]c2.5y2.6!#REF!</definedName>
    <definedName name="Total_Kilometro_típico_aereo_rural_34.5kV" localSheetId="4">[94]c2.5y2.6!#REF!</definedName>
    <definedName name="Total_Kilometro_típico_aereo_rural_34.5kV">[94]c2.5y2.6!#REF!</definedName>
    <definedName name="Total_Kilometro_típico_subterraneo_11.4_kV" localSheetId="4">[94]c2.5y2.6!#REF!</definedName>
    <definedName name="Total_Kilometro_típico_subterraneo_11.4_kV">[94]c2.5y2.6!#REF!</definedName>
    <definedName name="Total_Kilometro_típico_subterraneo_34.5_kV" localSheetId="4">[94]c2.5y2.6!#REF!</definedName>
    <definedName name="Total_Kilometro_típico_subterraneo_34.5_kV">[94]c2.5y2.6!#REF!</definedName>
    <definedName name="TotalCalidad" localSheetId="4">#REF!</definedName>
    <definedName name="TotalCalidad">#REF!</definedName>
    <definedName name="TotalCam" localSheetId="4">#REF!</definedName>
    <definedName name="TotalCam">#REF!</definedName>
    <definedName name="TotalContratoConIva">'[49]COSTEO TOTAL OBRA'!$D$37</definedName>
    <definedName name="TotalContratoSinIVA">'[49]COSTEO TOTAL OBRA'!$D$33</definedName>
    <definedName name="TotalEns" localSheetId="4">#REF!</definedName>
    <definedName name="TotalEns">#REF!</definedName>
    <definedName name="TotalEqu" localSheetId="4">#REF!</definedName>
    <definedName name="TotalEqu">#REF!</definedName>
    <definedName name="TotalImpuestosObra" localSheetId="4">#REF!</definedName>
    <definedName name="TotalImpuestosObra">#REF!</definedName>
    <definedName name="TotalNoFacturable" localSheetId="4">#REF!</definedName>
    <definedName name="TotalNoFacturable">#REF!</definedName>
    <definedName name="TotalOfi" localSheetId="4">#REF!</definedName>
    <definedName name="TotalOfi">#REF!</definedName>
    <definedName name="TotalPaginaPersonal" localSheetId="4">#REF!</definedName>
    <definedName name="TotalPaginaPersonal">#REF!</definedName>
    <definedName name="TotalPro" localSheetId="4">#REF!</definedName>
    <definedName name="TotalPro">#REF!</definedName>
    <definedName name="TotalTec" localSheetId="4">#REF!</definedName>
    <definedName name="TotalTec">#REF!</definedName>
    <definedName name="TotalTram" localSheetId="4">#REF!</definedName>
    <definedName name="TotalTram">#REF!</definedName>
    <definedName name="TotalVia" localSheetId="4">#REF!</definedName>
    <definedName name="TotalVia">#REF!</definedName>
    <definedName name="tr" localSheetId="4" hidden="1">{"TAB1",#N/A,TRUE,"GENERAL";"TAB2",#N/A,TRUE,"GENERAL";"TAB3",#N/A,TRUE,"GENERAL";"TAB4",#N/A,TRUE,"GENERAL";"TAB5",#N/A,TRUE,"GENERAL"}</definedName>
    <definedName name="TR">[55]Ins_TR!$B$2:$D$12</definedName>
    <definedName name="TRAB">[11]INSUMOS!$D$122</definedName>
    <definedName name="Tramite" localSheetId="4">#REF!</definedName>
    <definedName name="Tramite">#REF!</definedName>
    <definedName name="TRAMO">#REF!</definedName>
    <definedName name="TRANS" localSheetId="4">#REF!</definedName>
    <definedName name="TRANS">#REF!</definedName>
    <definedName name="transporte" localSheetId="4">[33]APU!#REF!</definedName>
    <definedName name="transporte">[34]APU!#REF!</definedName>
    <definedName name="Transporte_volco">'[15]Equipo y transporte'!$D$18</definedName>
    <definedName name="transtub">[17]MATERIALES!$A$66:$D$114</definedName>
    <definedName name="TRAT">[95]desmonte!$E$48</definedName>
    <definedName name="Tratamiento">[29]ZONAS_FISICAS!$H$16:$H$25</definedName>
    <definedName name="treas" localSheetId="4">#REF!</definedName>
    <definedName name="treas">#REF!</definedName>
    <definedName name="trest" localSheetId="4"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IANG">#REF!</definedName>
    <definedName name="trjfgjh" localSheetId="4"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m" localSheetId="4">[33]MATERIALES!$B$4</definedName>
    <definedName name="trm">[34]MATERIALES!$B$4</definedName>
    <definedName name="Tronzadora">'[15]Equipo y transporte'!$D$13</definedName>
    <definedName name="tru" localSheetId="4"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TA" localSheetId="4">[51]PRESUPUESTO!#REF!</definedName>
    <definedName name="TTA">[51]PRESUPUESTO!#REF!</definedName>
    <definedName name="TTB" localSheetId="4">[51]PRESUPUESTO!#REF!</definedName>
    <definedName name="TTB">[51]PRESUPUESTO!#REF!</definedName>
    <definedName name="TTC" localSheetId="4">[51]PRESUPUESTO!#REF!</definedName>
    <definedName name="TTC">[51]PRESUPUESTO!#REF!</definedName>
    <definedName name="TtCD" localSheetId="4">#REF!</definedName>
    <definedName name="TtCD">#REF!</definedName>
    <definedName name="TTE" localSheetId="4">[51]PRESUPUESTO!#REF!</definedName>
    <definedName name="TTE">[51]PRESUPUESTO!#REF!</definedName>
    <definedName name="TTL" localSheetId="4">[51]PRESUPUESTO!#REF!</definedName>
    <definedName name="TTL">[51]PRESUPUESTO!#REF!</definedName>
    <definedName name="TtlCD">#REF!</definedName>
    <definedName name="TTR" localSheetId="4"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4">#REF!</definedName>
    <definedName name="TTT">#REF!</definedName>
    <definedName name="tttt7" localSheetId="4"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4">'[31]CIRCUITOS CODENSA'!#REF!</definedName>
    <definedName name="TU">'[31]CIRCUITOS CODENSA'!#REF!</definedName>
    <definedName name="TUB">'[96]SUB APU'!$A:$D</definedName>
    <definedName name="TUBERIA">[1]INSUMOS!#REF!</definedName>
    <definedName name="Tuberia_Conduit_1_2">'[14]LISTADO DE MATERIALES Y EQUIPOS'!$B$72</definedName>
    <definedName name="Tuberia_Conduit_1_EMT">'[14]LISTADO DE MATERIALES Y EQUIPOS'!$B$79</definedName>
    <definedName name="tuberia_imc1" localSheetId="4">[33]MATERIALES!#REF!</definedName>
    <definedName name="tuberia_imc1">[34]MATERIALES!#REF!</definedName>
    <definedName name="Tubería_PVC_alcantarillado_36___Inc.Transporte">[15]Insumos!$D$36</definedName>
    <definedName name="Tubo_conduit_pvc_1">'[14]LISTADO DE MATERIALES Y EQUIPOS'!$B$121</definedName>
    <definedName name="Tubo_rectangular_100x40x1.5_mm">[15]Insumos!$D$67</definedName>
    <definedName name="tur" localSheetId="4"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wer" localSheetId="4"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localSheetId="9" hidden="1">{"via1",#N/A,TRUE,"general";"via2",#N/A,TRUE,"general";"via3",#N/A,TRUE,"general"}</definedName>
    <definedName name="ty" hidden="1">{"via1",#N/A,TRUE,"general";"via2",#N/A,TRUE,"general";"via3",#N/A,TRUE,"general"}</definedName>
    <definedName name="TY53Y" localSheetId="4">#REF!</definedName>
    <definedName name="TY53Y">#REF!</definedName>
    <definedName name="tyery" localSheetId="4"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 localSheetId="4">#REF!</definedName>
    <definedName name="U">#REF!</definedName>
    <definedName name="u3u" localSheetId="4"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BICACION" localSheetId="4">#REF!</definedName>
    <definedName name="UBICACION">#REF!</definedName>
    <definedName name="Ubicación" localSheetId="4">#REF!</definedName>
    <definedName name="Ubicación">#REF!</definedName>
    <definedName name="UI" localSheetId="4" hidden="1">{"via1",#N/A,TRUE,"general";"via2",#N/A,TRUE,"general";"via3",#N/A,TRUE,"general"}</definedName>
    <definedName name="UI" localSheetId="9" hidden="1">{"via1",#N/A,TRUE,"general";"via2",#N/A,TRUE,"general";"via3",#N/A,TRUE,"general"}</definedName>
    <definedName name="UI" hidden="1">{"via1",#N/A,TRUE,"general";"via2",#N/A,TRUE,"general";"via3",#N/A,TRUE,"general"}</definedName>
    <definedName name="uihyg" localSheetId="4">#REF!</definedName>
    <definedName name="uihyg">#REF!</definedName>
    <definedName name="uijhj" localSheetId="4"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jhg" localSheetId="4">#REF!</definedName>
    <definedName name="ujhg">#REF!</definedName>
    <definedName name="UM" localSheetId="4">'[31]CIRCUITOS CODENSA'!#REF!</definedName>
    <definedName name="UM">'[31]CIRCUITOS CODENSA'!#REF!</definedName>
    <definedName name="UNDS">[39]UNDS!$A:$B</definedName>
    <definedName name="UNIDAD1" localSheetId="4">[52]ITEMS!$C$2</definedName>
    <definedName name="UNIDAD1">[52]ITEMS!$C$2</definedName>
    <definedName name="UNIDAD521">[53]ITEMS!$C$522</definedName>
    <definedName name="UNIDADES">[65]DATOS!$B$11:$B$20</definedName>
    <definedName name="UNITARIO">[97]Unitarios!$A$3:$D$13</definedName>
    <definedName name="Unitarios" localSheetId="4">#REF!</definedName>
    <definedName name="Unitarios">#REF!</definedName>
    <definedName name="UOUIV" localSheetId="4"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PZ">[29]Hoja1!$A$40:$A$153</definedName>
    <definedName name="uryur" localSheetId="4"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S" localSheetId="4">'[31]CIRCUITOS CODENSA'!#REF!</definedName>
    <definedName name="US">'[31]CIRCUITOS CODENSA'!#REF!</definedName>
    <definedName name="ut">[17]MATERIALES!$H$6</definedName>
    <definedName name="Utilidad" localSheetId="4">[15]A.I.U!$I$112</definedName>
    <definedName name="Utilidad">#REF!</definedName>
    <definedName name="UtilidadObra" localSheetId="4">#REF!</definedName>
    <definedName name="UtilidadObra">#REF!</definedName>
    <definedName name="UTJG" localSheetId="4">#REF!</definedName>
    <definedName name="UTJG">#REF!</definedName>
    <definedName name="uu" localSheetId="4" hidden="1">{"TAB1",#N/A,TRUE,"GENERAL";"TAB2",#N/A,TRUE,"GENERAL";"TAB3",#N/A,TRUE,"GENERAL";"TAB4",#N/A,TRUE,"GENERAL";"TAB5",#N/A,TRUE,"GENERAL"}</definedName>
    <definedName name="uu" localSheetId="9"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UUUUUU" localSheetId="4" hidden="1">{"TAB1",#N/A,TRUE,"GENERAL";"TAB2",#N/A,TRUE,"GENERAL";"TAB3",#N/A,TRUE,"GENERAL";"TAB4",#N/A,TRUE,"GENERAL";"TAB5",#N/A,TRUE,"GENERAL"}</definedName>
    <definedName name="UUUUUUU" localSheetId="9" hidden="1">{"TAB1",#N/A,TRUE,"GENERAL";"TAB2",#N/A,TRUE,"GENERAL";"TAB3",#N/A,TRUE,"GENERAL";"TAB4",#N/A,TRUE,"GENERAL";"TAB5",#N/A,TRUE,"GENERAL"}</definedName>
    <definedName name="UUUUUUU" hidden="1">{"TAB1",#N/A,TRUE,"GENERAL";"TAB2",#N/A,TRUE,"GENERAL";"TAB3",#N/A,TRUE,"GENERAL";"TAB4",#N/A,TRUE,"GENERAL";"TAB5",#N/A,TRUE,"GENERAL"}</definedName>
    <definedName name="uwkap" localSheetId="4"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JN" localSheetId="4">#REF!</definedName>
    <definedName name="UYJN">#REF!</definedName>
    <definedName name="uytu" localSheetId="4"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4">#REF!</definedName>
    <definedName name="V">#REF!</definedName>
    <definedName name="VA">'[98]VIGAS AEREAS'!$B$27:$G$33</definedName>
    <definedName name="VACON">'[98]VIGAS AEREAS'!$H$37:$H$60</definedName>
    <definedName name="Valla">'[15]Apu Valla'!$G$78</definedName>
    <definedName name="VALNG">'[98]VIGAS AEREAS'!$K$37:$K$60</definedName>
    <definedName name="Valoracion" localSheetId="4">#REF!</definedName>
    <definedName name="Valoracion">#REF!</definedName>
    <definedName name="VALORACIÓN" localSheetId="4">#REF!</definedName>
    <definedName name="VALORACIÓN">#REF!</definedName>
    <definedName name="ValorTotConsultoria" localSheetId="4">#REF!</definedName>
    <definedName name="ValorTotConsultoria">#REF!</definedName>
    <definedName name="VAMC" localSheetId="4">#REF!</definedName>
    <definedName name="VAMC">#REF!</definedName>
    <definedName name="VAML">'[98]VIGAS AEREAS'!$L$37:$L$60</definedName>
    <definedName name="VAMRF">[11]A.P.U.!$G$593</definedName>
    <definedName name="VAMURO" localSheetId="4">#REF!</definedName>
    <definedName name="VAMURO">#REF!</definedName>
    <definedName name="vaquita" localSheetId="4" hidden="1">{"PRES REHAB ARM-PER POR ITEMS  KM A KM",#N/A,TRUE,"Rehabilitacion Arm-Per"}</definedName>
    <definedName name="vaquita" localSheetId="9" hidden="1">{"PRES REHAB ARM-PER POR ITEMS  KM A KM",#N/A,TRUE,"Rehabilitacion Arm-Per"}</definedName>
    <definedName name="vaquita" hidden="1">{"PRES REHAB ARM-PER POR ITEMS  KM A KM",#N/A,TRUE,"Rehabilitacion Arm-Per"}</definedName>
    <definedName name="variacion">[21]Datos!$B$8</definedName>
    <definedName name="VariosAnalisis" localSheetId="31">#REF!</definedName>
    <definedName name="VariosAnalisis" localSheetId="38">#REF!</definedName>
    <definedName name="VariosAnalisis" localSheetId="39">#REF!</definedName>
    <definedName name="VariosAnalisis" localSheetId="40">#REF!</definedName>
    <definedName name="VariosAnalisis" localSheetId="41">#REF!</definedName>
    <definedName name="VariosAnalisis" localSheetId="42">#REF!</definedName>
    <definedName name="VariosAnalisis" localSheetId="43">#REF!</definedName>
    <definedName name="VariosAnalisis" localSheetId="44">#REF!</definedName>
    <definedName name="VariosAnalisis" localSheetId="45">#REF!</definedName>
    <definedName name="VariosAnalisis" localSheetId="46">#REF!</definedName>
    <definedName name="VariosAnalisis" localSheetId="47">#REF!</definedName>
    <definedName name="VariosAnalisis" localSheetId="48">#REF!</definedName>
    <definedName name="VariosAnalisis" localSheetId="49">#REF!</definedName>
    <definedName name="VariosAnalisis" localSheetId="21">#REF!</definedName>
    <definedName name="VariosAnalisis" localSheetId="22">#REF!</definedName>
    <definedName name="VariosAnalisis" localSheetId="23">#REF!</definedName>
    <definedName name="VariosAnalisis" localSheetId="33">#REF!</definedName>
    <definedName name="VariosAnalisis" localSheetId="34">#REF!</definedName>
    <definedName name="VariosAnalisis" localSheetId="35">#REF!</definedName>
    <definedName name="VariosAnalisis" localSheetId="36">#REF!</definedName>
    <definedName name="VariosAnalisis" localSheetId="37">#REF!</definedName>
    <definedName name="VariosAnalisis" localSheetId="16">#REF!</definedName>
    <definedName name="VariosAnalisis" localSheetId="17">#REF!</definedName>
    <definedName name="VariosAnalisis" localSheetId="18">#REF!</definedName>
    <definedName name="VariosAnalisis" localSheetId="19">#REF!</definedName>
    <definedName name="VariosAnalisis" localSheetId="20">#REF!</definedName>
    <definedName name="VariosAnalisis" localSheetId="28">#REF!</definedName>
    <definedName name="VariosAnalisis" localSheetId="25">#REF!</definedName>
    <definedName name="VariosAnalisis" localSheetId="26">#REF!</definedName>
    <definedName name="VariosAnalisis" localSheetId="27">#REF!</definedName>
    <definedName name="VariosAnalisis" localSheetId="24">#REF!</definedName>
    <definedName name="VariosAnalisis" localSheetId="29">#REF!</definedName>
    <definedName name="VariosAnalisis" localSheetId="30">#REF!</definedName>
    <definedName name="VariosAnalisis" localSheetId="32">#REF!</definedName>
    <definedName name="VariosAnalisis">#REF!</definedName>
    <definedName name="vbvbvbvb" localSheetId="4"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ANAL">[11]A.P.U.!$G$429</definedName>
    <definedName name="vdfvuio" localSheetId="4"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E" localSheetId="4">'[31]CIRCUITOS CODENSA'!#REF!</definedName>
    <definedName name="VE">'[31]CIRCUITOS CODENSA'!#REF!</definedName>
    <definedName name="Vehiculo__Tipo_pickup">[15]A.I.U!$E$104</definedName>
    <definedName name="VentaAiu" localSheetId="4">#REF!</definedName>
    <definedName name="VentaAiu">#REF!</definedName>
    <definedName name="Ventana_de_aluminio">'[14]LISTADO DE MATERIALES Y EQUIPOS'!$B$87</definedName>
    <definedName name="VENTANAS" localSheetId="4">#REF!</definedName>
    <definedName name="VENTANAS">#REF!</definedName>
    <definedName name="vfbgnhyt" localSheetId="4"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vdv" localSheetId="4"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I" localSheetId="4">'[31]CIRCUITOS CODENSA'!#REF!</definedName>
    <definedName name="VI">'[31]CIRCUITOS CODENSA'!#REF!</definedName>
    <definedName name="VIA">#REF!</definedName>
    <definedName name="Viajes" localSheetId="4">#REF!</definedName>
    <definedName name="Viajes">#REF!</definedName>
    <definedName name="VIBRA">[11]INSUMOS!$D$181</definedName>
    <definedName name="Vibrador_a_gasolina">'[15]Equipo y transporte'!$D$11</definedName>
    <definedName name="vibrocompactador_de_8_t.">'[15]Equipo y transporte'!$D$12</definedName>
    <definedName name="VIGAER">[11]A.P.U.!$G$415</definedName>
    <definedName name="vk" localSheetId="4"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olco">'[14]LISTADO DE MATERIALES Y EQUIPOS'!$B$42</definedName>
    <definedName name="VOLQ">[11]INSUMOS!$D$185</definedName>
    <definedName name="VOLQH">[11]INSUMOS!$D$184</definedName>
    <definedName name="Volqueta__6_m³">'[15]Equipo y transporte'!$D$17</definedName>
    <definedName name="vsdfj" localSheetId="4"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t" localSheetId="4"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UIGENTE">[99]Hoja1!$A$1:$B$839</definedName>
    <definedName name="VV" localSheetId="4">#REF!</definedName>
    <definedName name="VV">#REF!</definedName>
    <definedName name="vvcxv" localSheetId="4"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vvt" localSheetId="4"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 localSheetId="4">#REF!</definedName>
    <definedName name="W">#REF!</definedName>
    <definedName name="w2w2w" localSheetId="4"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ART_e_MOT_10" localSheetId="4">#REF!</definedName>
    <definedName name="WART_e_MOT_10">#REF!</definedName>
    <definedName name="WART_E_MOT_100" localSheetId="4">#REF!</definedName>
    <definedName name="WART_E_MOT_100">#REF!</definedName>
    <definedName name="WART_E_MOT_1000" localSheetId="4">#REF!</definedName>
    <definedName name="WART_E_MOT_1000">#REF!</definedName>
    <definedName name="WART_E_MOT_10000" localSheetId="4">#REF!</definedName>
    <definedName name="WART_E_MOT_10000">#REF!</definedName>
    <definedName name="WART_E_MOT_15000" localSheetId="4">#REF!</definedName>
    <definedName name="WART_E_MOT_15000">#REF!</definedName>
    <definedName name="WART_E_MOT_20000" localSheetId="4">#REF!</definedName>
    <definedName name="WART_E_MOT_20000">#REF!</definedName>
    <definedName name="WART_E_MOT_250" localSheetId="4">#REF!</definedName>
    <definedName name="WART_E_MOT_250">#REF!</definedName>
    <definedName name="WART_E_MOT_3000" localSheetId="4">#REF!</definedName>
    <definedName name="WART_E_MOT_3000">#REF!</definedName>
    <definedName name="WART_E_MOT_30000" localSheetId="4">#REF!</definedName>
    <definedName name="WART_E_MOT_30000">#REF!</definedName>
    <definedName name="WART_E_MOT_500" localSheetId="4">#REF!</definedName>
    <definedName name="WART_E_MOT_500">#REF!</definedName>
    <definedName name="WART_E_MOT_5000" localSheetId="4">#REF!</definedName>
    <definedName name="WART_E_MOT_5000">#REF!</definedName>
    <definedName name="WART_E_MOT_7500" localSheetId="4">#REF!</definedName>
    <definedName name="WART_E_MOT_7500">#REF!</definedName>
    <definedName name="WART_OK_CUM_10" localSheetId="4">#REF!</definedName>
    <definedName name="WART_OK_CUM_10">#REF!</definedName>
    <definedName name="WART_OK_CUM_100" localSheetId="4">#REF!</definedName>
    <definedName name="WART_OK_CUM_100">#REF!</definedName>
    <definedName name="WART_OK_CUM_1000" localSheetId="4">#REF!</definedName>
    <definedName name="WART_OK_CUM_1000">#REF!</definedName>
    <definedName name="WART_OK_CUM_10000" localSheetId="4">#REF!</definedName>
    <definedName name="WART_OK_CUM_10000">#REF!</definedName>
    <definedName name="WART_OK_CUM_15000" localSheetId="4">#REF!</definedName>
    <definedName name="WART_OK_CUM_15000">#REF!</definedName>
    <definedName name="WART_OK_CUM_20000" localSheetId="4">#REF!</definedName>
    <definedName name="WART_OK_CUM_20000">#REF!</definedName>
    <definedName name="WART_OK_CUM_250" localSheetId="4">#REF!</definedName>
    <definedName name="WART_OK_CUM_250">#REF!</definedName>
    <definedName name="WART_OK_CUM_3000" localSheetId="4">#REF!</definedName>
    <definedName name="WART_OK_CUM_3000">#REF!</definedName>
    <definedName name="WART_OK_CUM_30000" localSheetId="4">#REF!</definedName>
    <definedName name="WART_OK_CUM_30000">#REF!</definedName>
    <definedName name="WART_OK_CUM_500" localSheetId="4">#REF!</definedName>
    <definedName name="WART_OK_CUM_500">#REF!</definedName>
    <definedName name="WART_OK_CUM_5000" localSheetId="4">#REF!</definedName>
    <definedName name="WART_OK_CUM_5000">#REF!</definedName>
    <definedName name="WART_OK_CUM_7500" localSheetId="4">#REF!</definedName>
    <definedName name="WART_OK_CUM_7500">#REF!</definedName>
    <definedName name="werew" localSheetId="4"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U5TUY" localSheetId="4">#REF!</definedName>
    <definedName name="WEU5TUY">#REF!</definedName>
    <definedName name="wew" localSheetId="4"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QEEWQ" localSheetId="4"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rn.ar." localSheetId="4" hidden="1">{#N/A,#N/A,TRUE,"CODIGO DEPENDENCIA"}</definedName>
    <definedName name="wrn.ar." localSheetId="9" hidden="1">{#N/A,#N/A,TRUE,"CODIGO DEPENDENCIA"}</definedName>
    <definedName name="wrn.ar." hidden="1">{#N/A,#N/A,TRUE,"CODIGO DEPENDENCIA"}</definedName>
    <definedName name="wrn.civil._.works." localSheetId="4" hidden="1">{#N/A,#N/A,TRUE,"1842CWN0"}</definedName>
    <definedName name="wrn.civil._.works." localSheetId="9" hidden="1">{#N/A,#N/A,TRUE,"1842CWN0"}</definedName>
    <definedName name="wrn.civil._.works." hidden="1">{#N/A,#N/A,TRUE,"1842CWN0"}</definedName>
    <definedName name="wrn.civil._.works._1" localSheetId="4" hidden="1">{#N/A,#N/A,TRUE,"1842CWN0"}</definedName>
    <definedName name="wrn.civil._.works._1" localSheetId="9" hidden="1">{#N/A,#N/A,TRUE,"1842CWN0"}</definedName>
    <definedName name="wrn.civil._.works._1" hidden="1">{#N/A,#N/A,TRUE,"1842CWN0"}</definedName>
    <definedName name="wrn.civil._.works._2" localSheetId="4" hidden="1">{#N/A,#N/A,TRUE,"1842CWN0"}</definedName>
    <definedName name="wrn.civil._.works._2" localSheetId="9" hidden="1">{#N/A,#N/A,TRUE,"1842CWN0"}</definedName>
    <definedName name="wrn.civil._.works._2" hidden="1">{#N/A,#N/A,TRUE,"1842CWN0"}</definedName>
    <definedName name="wrn.ESTADO._.REHABILITACION." localSheetId="4" hidden="1">{"PRES REHAB ARM-PER POR ITEMS  KM A KM",#N/A,TRUE,"Rehabilitacion Arm-Per"}</definedName>
    <definedName name="wrn.ESTADO._.REHABILITACION." localSheetId="9" hidden="1">{"PRES REHAB ARM-PER POR ITEMS  KM A KM",#N/A,TRUE,"Rehabilitacion Arm-Per"}</definedName>
    <definedName name="wrn.ESTADO._.REHABILITACION." hidden="1">{"PRES REHAB ARM-PER POR ITEMS  KM A KM",#N/A,TRUE,"Rehabilitacion Arm-Per"}</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4" hidden="1">{"VIA1",#N/A,TRUE,"formul";"VIA2",#N/A,TRUE,"formul";"VIA3",#N/A,TRUE,"formul"}</definedName>
    <definedName name="wrn.formu." localSheetId="9" hidden="1">{"VIA1",#N/A,TRUE,"formul";"VIA2",#N/A,TRUE,"formul";"VIA3",#N/A,TRUE,"formul"}</definedName>
    <definedName name="wrn.formu." hidden="1">{"VIA1",#N/A,TRUE,"formul";"VIA2",#N/A,TRUE,"formul";"VIA3",#N/A,TRUE,"formul"}</definedName>
    <definedName name="wrn.GENERAL." localSheetId="4"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localSheetId="9" hidden="1">{#N/A,#N/A,TRUE,"INGENIERIA";#N/A,#N/A,TRUE,"COMPRAS";#N/A,#N/A,TRUE,"DIRECCION";#N/A,#N/A,TRUE,"RESUMEN"}</definedName>
    <definedName name="wrn.GERENCIA." hidden="1">{#N/A,#N/A,TRUE,"INGENIERIA";#N/A,#N/A,TRUE,"COMPRAS";#N/A,#N/A,TRUE,"DIRECCION";#N/A,#N/A,TRUE,"RESUMEN"}</definedName>
    <definedName name="wrn.GERENCIA._1" localSheetId="4" hidden="1">{#N/A,#N/A,TRUE,"INGENIERIA";#N/A,#N/A,TRUE,"COMPRAS";#N/A,#N/A,TRUE,"DIRECCION";#N/A,#N/A,TRUE,"RESUMEN"}</definedName>
    <definedName name="wrn.GERENCIA._1" localSheetId="9" hidden="1">{#N/A,#N/A,TRUE,"INGENIERIA";#N/A,#N/A,TRUE,"COMPRAS";#N/A,#N/A,TRUE,"DIRECCION";#N/A,#N/A,TRUE,"RESUMEN"}</definedName>
    <definedName name="wrn.GERENCIA._1" hidden="1">{#N/A,#N/A,TRUE,"INGENIERIA";#N/A,#N/A,TRUE,"COMPRAS";#N/A,#N/A,TRUE,"DIRECCION";#N/A,#N/A,TRUE,"RESUMEN"}</definedName>
    <definedName name="wrn.GERENCIA._2" localSheetId="4" hidden="1">{#N/A,#N/A,TRUE,"INGENIERIA";#N/A,#N/A,TRUE,"COMPRAS";#N/A,#N/A,TRUE,"DIRECCION";#N/A,#N/A,TRUE,"RESUMEN"}</definedName>
    <definedName name="wrn.GERENCIA._2" localSheetId="9" hidden="1">{#N/A,#N/A,TRUE,"INGENIERIA";#N/A,#N/A,TRUE,"COMPRAS";#N/A,#N/A,TRUE,"DIRECCION";#N/A,#N/A,TRUE,"RESUMEN"}</definedName>
    <definedName name="wrn.GERENCIA._2" hidden="1">{#N/A,#N/A,TRUE,"INGENIERIA";#N/A,#N/A,TRUE,"COMPRAS";#N/A,#N/A,TRUE,"DIRECCION";#N/A,#N/A,TRUE,"RESUMEN"}</definedName>
    <definedName name="wrn.listado." localSheetId="4" hidden="1">{#N/A,#N/A,FALSE,"PROPON.2001"}</definedName>
    <definedName name="wrn.listado." localSheetId="9" hidden="1">{#N/A,#N/A,FALSE,"PROPON.2001"}</definedName>
    <definedName name="wrn.listado." hidden="1">{#N/A,#N/A,FALSE,"PROPON.2001"}</definedName>
    <definedName name="wrn.LL0004A." localSheetId="4" hidden="1">{#N/A,#N/A,FALSE,"List. Tie-in's Rev. A Diesel";#N/A,#N/A,FALSE,"List. Tie-in's Rev. A Gasolina";#N/A,#N/A,FALSE,"List. Tie-in's Rev. A Crudo";#N/A,#N/A,FALSE,"List. Tie-in's Rev. A Fuel Oil"}</definedName>
    <definedName name="wrn.LL0004A." localSheetId="9"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resumen." localSheetId="4" hidden="1">{"total",#N/A,FALSE,"TD 0% ";"total",#N/A,FALSE,"TD 12%";"total",#N/A,FALSE,"TD 10%"}</definedName>
    <definedName name="wrn.resumen." localSheetId="9" hidden="1">{"total",#N/A,FALSE,"TD 0% ";"total",#N/A,FALSE,"TD 12%";"total",#N/A,FALSE,"TD 10%"}</definedName>
    <definedName name="wrn.resumen." hidden="1">{"total",#N/A,FALSE,"TD 0% ";"total",#N/A,FALSE,"TD 12%";"total",#N/A,FALSE,"TD 10%"}</definedName>
    <definedName name="wrn.via" localSheetId="4"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rn.via." localSheetId="4"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SERWEER" localSheetId="4">'[67]COSTOS OFICINA'!#REF!</definedName>
    <definedName name="WSERWEER">'[67]COSTOS OFICINA'!#REF!</definedName>
    <definedName name="wsnhed" localSheetId="4"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tt" localSheetId="4"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wded3" localSheetId="4"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 localSheetId="4" hidden="1">#REF!</definedName>
    <definedName name="WWW" hidden="1">#REF!</definedName>
    <definedName name="wwwwe" localSheetId="4"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 localSheetId="4">#REF!</definedName>
    <definedName name="X">#REF!</definedName>
    <definedName name="xcbvbs" localSheetId="4"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CZXC" localSheetId="4">#REF!</definedName>
    <definedName name="XCZXC">#REF!</definedName>
    <definedName name="XMesCalidades" localSheetId="4">#REF!</definedName>
    <definedName name="XMesCalidades">#REF!</definedName>
    <definedName name="XMesNoFacturables" localSheetId="4">#REF!</definedName>
    <definedName name="XMesNoFacturables">#REF!</definedName>
    <definedName name="XMesPersonalPromedio" localSheetId="4">#REF!</definedName>
    <definedName name="XMesPersonalPromedio">#REF!</definedName>
    <definedName name="XMesProfesionales" localSheetId="4">#REF!</definedName>
    <definedName name="XMesProfesionales">#REF!</definedName>
    <definedName name="XMesTecnicos" localSheetId="4">#REF!</definedName>
    <definedName name="XMesTecnicos">#REF!</definedName>
    <definedName name="XSW" localSheetId="4" hidden="1">{#N/A,#N/A,TRUE,"1842CWN0"}</definedName>
    <definedName name="XSW" localSheetId="9" hidden="1">{#N/A,#N/A,TRUE,"1842CWN0"}</definedName>
    <definedName name="XSW" hidden="1">{#N/A,#N/A,TRUE,"1842CWN0"}</definedName>
    <definedName name="XSW_1" localSheetId="4" hidden="1">{#N/A,#N/A,TRUE,"1842CWN0"}</definedName>
    <definedName name="XSW_1" localSheetId="9" hidden="1">{#N/A,#N/A,TRUE,"1842CWN0"}</definedName>
    <definedName name="XSW_1" hidden="1">{#N/A,#N/A,TRUE,"1842CWN0"}</definedName>
    <definedName name="XSW_2" localSheetId="4" hidden="1">{#N/A,#N/A,TRUE,"1842CWN0"}</definedName>
    <definedName name="XSW_2" localSheetId="9" hidden="1">{#N/A,#N/A,TRUE,"1842CWN0"}</definedName>
    <definedName name="XSW_2" hidden="1">{#N/A,#N/A,TRUE,"1842CWN0"}</definedName>
    <definedName name="xsxs" localSheetId="4"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x">[100]PERSONAL!$D$10</definedName>
    <definedName name="xxfg" localSheetId="4"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 localSheetId="4">#REF!</definedName>
    <definedName name="xxx">#REF!</definedName>
    <definedName name="XXXX" localSheetId="4" hidden="1">#REF!</definedName>
    <definedName name="xxxx">#REF!</definedName>
    <definedName name="xxxxx" localSheetId="4">#REF!</definedName>
    <definedName name="xxxxx">#REF!</definedName>
    <definedName name="xxxxxds" localSheetId="4"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cxxxx" hidden="1">"C:\C-314\VOLUMENES\volfin4.mdb"</definedName>
    <definedName name="xxxxxxxxxx29" localSheetId="4"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ZS" localSheetId="4" hidden="1">#REF!</definedName>
    <definedName name="XZS" hidden="1">#REF!</definedName>
    <definedName name="XZXZV" localSheetId="4"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 localSheetId="4">#REF!</definedName>
    <definedName name="Y">#REF!</definedName>
    <definedName name="y6y6" localSheetId="4"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EEW" localSheetId="4">#REF!</definedName>
    <definedName name="YEEW">#REF!</definedName>
    <definedName name="yery" localSheetId="4"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HT" localSheetId="4">#REF!</definedName>
    <definedName name="YHT">#REF!</definedName>
    <definedName name="yhy" localSheetId="4"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jyj" localSheetId="4"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rey" localSheetId="4"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TEY" localSheetId="4">#REF!</definedName>
    <definedName name="YTEY">#REF!</definedName>
    <definedName name="ytj" localSheetId="4"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9"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localSheetId="9"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f" localSheetId="4" hidden="1">{"TAB1",#N/A,TRUE,"GENERAL";"TAB2",#N/A,TRUE,"GENERAL";"TAB3",#N/A,TRUE,"GENERAL";"TAB4",#N/A,TRUE,"GENERAL";"TAB5",#N/A,TRUE,"GENERAL"}</definedName>
    <definedName name="yuf" localSheetId="9" hidden="1">{"TAB1",#N/A,TRUE,"GENERAL";"TAB2",#N/A,TRUE,"GENERAL";"TAB3",#N/A,TRUE,"GENERAL";"TAB4",#N/A,TRUE,"GENERAL";"TAB5",#N/A,TRUE,"GENERAL"}</definedName>
    <definedName name="yuf" hidden="1">{"TAB1",#N/A,TRUE,"GENERAL";"TAB2",#N/A,TRUE,"GENERAL";"TAB3",#N/A,TRUE,"GENERAL";"TAB4",#N/A,TRUE,"GENERAL";"TAB5",#N/A,TRUE,"GENERAL"}</definedName>
    <definedName name="yuhgh" localSheetId="4"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UYUYHNBVVVCFDDDSAASXV" localSheetId="4">#REF!</definedName>
    <definedName name="YUYUYHNBVVVCFDDDSAASXV">#REF!</definedName>
    <definedName name="yy" localSheetId="4" hidden="1">{"via1",#N/A,TRUE,"general";"via2",#N/A,TRUE,"general";"via3",#N/A,TRUE,"general"}</definedName>
    <definedName name="yy" localSheetId="9"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 localSheetId="4">#REF!</definedName>
    <definedName name="Z">#REF!</definedName>
    <definedName name="Z_086A872D_15DF_436A_8459_CE22F6819FF4_.wvu.Rows" localSheetId="4" hidden="1">[10]Presentacion!#REF!</definedName>
    <definedName name="Z_086A872D_15DF_436A_8459_CE22F6819FF4_.wvu.Rows" hidden="1">[10]Presentacion!#REF!</definedName>
    <definedName name="Z_D55C8B2E_861A_459E_9D09_3AF38A1DE99E_.wvu.Rows" localSheetId="4" hidden="1">[10]Presentacion!#REF!</definedName>
    <definedName name="Z_D55C8B2E_861A_459E_9D09_3AF38A1DE99E_.wvu.Rows" hidden="1">[10]Presentacion!#REF!</definedName>
    <definedName name="Z_F540D718_D9AA_403F_AE49_60D937FD77E5_.wvu.Rows" localSheetId="4" hidden="1">[10]Presentacion!#REF!</definedName>
    <definedName name="Z_F540D718_D9AA_403F_AE49_60D937FD77E5_.wvu.Rows" hidden="1">[10]Presentacion!#REF!</definedName>
    <definedName name="Z0" localSheetId="4">#REF!</definedName>
    <definedName name="Z0">#REF!</definedName>
    <definedName name="ZAPATA" localSheetId="4">#REF!</definedName>
    <definedName name="ZAPATA">#REF!</definedName>
    <definedName name="ZAQ" localSheetId="4" hidden="1">{#N/A,#N/A,TRUE,"INGENIERIA";#N/A,#N/A,TRUE,"COMPRAS";#N/A,#N/A,TRUE,"DIRECCION";#N/A,#N/A,TRUE,"RESUMEN"}</definedName>
    <definedName name="ZAQ" localSheetId="9" hidden="1">{#N/A,#N/A,TRUE,"INGENIERIA";#N/A,#N/A,TRUE,"COMPRAS";#N/A,#N/A,TRUE,"DIRECCION";#N/A,#N/A,TRUE,"RESUMEN"}</definedName>
    <definedName name="ZAQ" hidden="1">{#N/A,#N/A,TRUE,"INGENIERIA";#N/A,#N/A,TRUE,"COMPRAS";#N/A,#N/A,TRUE,"DIRECCION";#N/A,#N/A,TRUE,"RESUMEN"}</definedName>
    <definedName name="ZAQ_1" localSheetId="4" hidden="1">{#N/A,#N/A,TRUE,"INGENIERIA";#N/A,#N/A,TRUE,"COMPRAS";#N/A,#N/A,TRUE,"DIRECCION";#N/A,#N/A,TRUE,"RESUMEN"}</definedName>
    <definedName name="ZAQ_1" localSheetId="9" hidden="1">{#N/A,#N/A,TRUE,"INGENIERIA";#N/A,#N/A,TRUE,"COMPRAS";#N/A,#N/A,TRUE,"DIRECCION";#N/A,#N/A,TRUE,"RESUMEN"}</definedName>
    <definedName name="ZAQ_1" hidden="1">{#N/A,#N/A,TRUE,"INGENIERIA";#N/A,#N/A,TRUE,"COMPRAS";#N/A,#N/A,TRUE,"DIRECCION";#N/A,#N/A,TRUE,"RESUMEN"}</definedName>
    <definedName name="ZAQ_2" localSheetId="4" hidden="1">{#N/A,#N/A,TRUE,"INGENIERIA";#N/A,#N/A,TRUE,"COMPRAS";#N/A,#N/A,TRUE,"DIRECCION";#N/A,#N/A,TRUE,"RESUMEN"}</definedName>
    <definedName name="ZAQ_2" localSheetId="9" hidden="1">{#N/A,#N/A,TRUE,"INGENIERIA";#N/A,#N/A,TRUE,"COMPRAS";#N/A,#N/A,TRUE,"DIRECCION";#N/A,#N/A,TRUE,"RESUMEN"}</definedName>
    <definedName name="ZAQ_2" hidden="1">{#N/A,#N/A,TRUE,"INGENIERIA";#N/A,#N/A,TRUE,"COMPRAS";#N/A,#N/A,TRUE,"DIRECCION";#N/A,#N/A,TRUE,"RESUMEN"}</definedName>
    <definedName name="zdervr" localSheetId="4"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dsfds" localSheetId="4">#REF!</definedName>
    <definedName name="zdsfds">#REF!</definedName>
    <definedName name="Zeit10" localSheetId="4">#REF!</definedName>
    <definedName name="Zeit10">#REF!</definedName>
    <definedName name="Zeit100" localSheetId="4">#REF!</definedName>
    <definedName name="Zeit100">#REF!</definedName>
    <definedName name="Zeit1000" localSheetId="4">#REF!</definedName>
    <definedName name="Zeit1000">#REF!</definedName>
    <definedName name="Zeit10000" localSheetId="4">#REF!</definedName>
    <definedName name="Zeit10000">#REF!</definedName>
    <definedName name="Zeit15000" localSheetId="4">#REF!</definedName>
    <definedName name="Zeit15000">#REF!</definedName>
    <definedName name="Zeit20000" localSheetId="4">#REF!</definedName>
    <definedName name="Zeit20000">#REF!</definedName>
    <definedName name="Zeit250" localSheetId="4">#REF!</definedName>
    <definedName name="Zeit250">#REF!</definedName>
    <definedName name="Zeit3000" localSheetId="4">#REF!</definedName>
    <definedName name="Zeit3000">#REF!</definedName>
    <definedName name="Zeit30000" localSheetId="4">#REF!</definedName>
    <definedName name="Zeit30000">#REF!</definedName>
    <definedName name="Zeit500" localSheetId="4">#REF!</definedName>
    <definedName name="Zeit500">#REF!</definedName>
    <definedName name="Zeit5000" localSheetId="4">#REF!</definedName>
    <definedName name="Zeit5000">#REF!</definedName>
    <definedName name="Zeit7500" localSheetId="4">#REF!</definedName>
    <definedName name="Zeit7500">#REF!</definedName>
    <definedName name="ZHF" localSheetId="4">#REF!</definedName>
    <definedName name="ZHF">#REF!</definedName>
    <definedName name="ZIPA">[101]vcpred!$B$9:$AA$323</definedName>
    <definedName name="zxczds" localSheetId="4"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 name="ZZZ" localSheetId="4" hidden="1">#REF!</definedName>
    <definedName name="ZZZ" hidden="1">#REF!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4" i="13" l="1"/>
  <c r="H183" i="13"/>
  <c r="H182" i="13"/>
  <c r="H72" i="13"/>
  <c r="H180" i="13"/>
  <c r="E186" i="11"/>
  <c r="C186" i="11"/>
  <c r="E164" i="11"/>
  <c r="C164" i="11"/>
  <c r="E226" i="11"/>
  <c r="C226" i="11"/>
  <c r="E224" i="11"/>
  <c r="C224" i="11"/>
  <c r="E222" i="11"/>
  <c r="C222" i="11"/>
  <c r="E220" i="11"/>
  <c r="C220" i="11"/>
  <c r="E218" i="11"/>
  <c r="C218" i="11"/>
  <c r="E216" i="11"/>
  <c r="C216" i="11"/>
  <c r="E214" i="11"/>
  <c r="C214" i="11"/>
  <c r="E212" i="11"/>
  <c r="C212" i="11"/>
  <c r="E210" i="11"/>
  <c r="C210" i="11"/>
  <c r="E208" i="11"/>
  <c r="C208" i="11"/>
  <c r="E206" i="11"/>
  <c r="C206" i="11"/>
  <c r="E204" i="11"/>
  <c r="C204" i="11"/>
  <c r="E202" i="11"/>
  <c r="C202" i="11"/>
  <c r="E200" i="11"/>
  <c r="C200" i="11"/>
  <c r="E198" i="11"/>
  <c r="C198" i="11"/>
  <c r="E196" i="11"/>
  <c r="C196" i="11"/>
  <c r="E194" i="11"/>
  <c r="C194" i="11"/>
  <c r="E192" i="11"/>
  <c r="C192" i="11"/>
  <c r="E190" i="11"/>
  <c r="C190" i="11"/>
  <c r="E188" i="11"/>
  <c r="C188" i="11"/>
  <c r="E184" i="11"/>
  <c r="C184" i="11"/>
  <c r="E182" i="11"/>
  <c r="C182" i="11"/>
  <c r="E180" i="11"/>
  <c r="C180" i="11"/>
  <c r="E178" i="11"/>
  <c r="C178" i="11"/>
  <c r="C176" i="11"/>
  <c r="E174" i="11"/>
  <c r="C174" i="11"/>
  <c r="E172" i="11"/>
  <c r="C172" i="11"/>
  <c r="E170" i="11"/>
  <c r="C170" i="11"/>
  <c r="E168" i="11"/>
  <c r="C168" i="11"/>
  <c r="E166" i="11"/>
  <c r="C166" i="11"/>
  <c r="E162" i="11"/>
  <c r="C162" i="11"/>
  <c r="E160" i="11"/>
  <c r="C160" i="11"/>
  <c r="C158" i="11"/>
  <c r="R74" i="11"/>
  <c r="Q74" i="11"/>
  <c r="P74" i="11"/>
  <c r="E53" i="11"/>
  <c r="C53" i="11"/>
  <c r="C33" i="14" l="1"/>
  <c r="C32" i="14"/>
  <c r="C31" i="14"/>
  <c r="C30" i="14"/>
  <c r="C29" i="14"/>
  <c r="C28" i="14"/>
  <c r="C27" i="14"/>
  <c r="C26" i="14"/>
  <c r="C25" i="14"/>
  <c r="C24" i="14"/>
  <c r="C23" i="14"/>
  <c r="N309" i="3" l="1"/>
  <c r="K309" i="3"/>
  <c r="N806" i="3"/>
  <c r="L806" i="3"/>
  <c r="N801" i="3"/>
  <c r="L801" i="3"/>
  <c r="P801" i="3" s="1"/>
  <c r="Q801" i="3" s="1"/>
  <c r="M806" i="3"/>
  <c r="P806" i="3"/>
  <c r="Q806" i="3" s="1"/>
  <c r="K806" i="3"/>
  <c r="M801" i="3"/>
  <c r="K801" i="3"/>
  <c r="G792" i="3"/>
  <c r="O792" i="3"/>
  <c r="N792" i="3"/>
  <c r="M792" i="3"/>
  <c r="L792" i="3"/>
  <c r="K792" i="3"/>
  <c r="N777" i="3"/>
  <c r="O777" i="3"/>
  <c r="M777" i="3"/>
  <c r="L777" i="3"/>
  <c r="K777" i="3"/>
  <c r="L764" i="3"/>
  <c r="O764" i="3"/>
  <c r="M764" i="3"/>
  <c r="K764" i="3"/>
  <c r="O755" i="3"/>
  <c r="N755" i="3"/>
  <c r="M755" i="3"/>
  <c r="L755" i="3"/>
  <c r="K755" i="3"/>
  <c r="G751" i="3"/>
  <c r="N751" i="3"/>
  <c r="P751" i="3" s="1"/>
  <c r="M751" i="3"/>
  <c r="K751" i="3"/>
  <c r="K350" i="3"/>
  <c r="K338" i="3"/>
  <c r="K327" i="3"/>
  <c r="O338" i="3"/>
  <c r="N338" i="3"/>
  <c r="M338" i="3"/>
  <c r="L338" i="3"/>
  <c r="P338" i="3" s="1"/>
  <c r="Q338" i="3" s="1"/>
  <c r="O188" i="3"/>
  <c r="N188" i="3"/>
  <c r="L188" i="3"/>
  <c r="N175" i="3"/>
  <c r="M175" i="3"/>
  <c r="L175" i="3"/>
  <c r="Q34" i="3"/>
  <c r="G29" i="3"/>
  <c r="Q29" i="3" s="1"/>
  <c r="Q22" i="3"/>
  <c r="Q15" i="3"/>
  <c r="Q8" i="3"/>
  <c r="P177" i="13"/>
  <c r="Q177" i="13" s="1"/>
  <c r="N177" i="13"/>
  <c r="O177" i="13" s="1"/>
  <c r="L177" i="13"/>
  <c r="M177" i="13" s="1"/>
  <c r="J177" i="13"/>
  <c r="K177" i="13" s="1"/>
  <c r="P176" i="13"/>
  <c r="Q176" i="13" s="1"/>
  <c r="N176" i="13"/>
  <c r="O176" i="13" s="1"/>
  <c r="L176" i="13"/>
  <c r="M176" i="13" s="1"/>
  <c r="J176" i="13"/>
  <c r="K176" i="13" s="1"/>
  <c r="P175" i="13"/>
  <c r="Q175" i="13" s="1"/>
  <c r="N175" i="13"/>
  <c r="O175" i="13" s="1"/>
  <c r="L175" i="13"/>
  <c r="M175" i="13" s="1"/>
  <c r="J175" i="13"/>
  <c r="K175" i="13" s="1"/>
  <c r="P174" i="13"/>
  <c r="Q174" i="13" s="1"/>
  <c r="N174" i="13"/>
  <c r="O174" i="13" s="1"/>
  <c r="L174" i="13"/>
  <c r="M174" i="13" s="1"/>
  <c r="J174" i="13"/>
  <c r="K174" i="13" s="1"/>
  <c r="P173" i="13"/>
  <c r="Q173" i="13" s="1"/>
  <c r="N173" i="13"/>
  <c r="O173" i="13" s="1"/>
  <c r="L173" i="13"/>
  <c r="M173" i="13" s="1"/>
  <c r="J173" i="13"/>
  <c r="K173" i="13" s="1"/>
  <c r="P165" i="13"/>
  <c r="Q165" i="13" s="1"/>
  <c r="J165" i="13"/>
  <c r="K165" i="13" s="1"/>
  <c r="P161" i="13"/>
  <c r="Q161" i="13" s="1"/>
  <c r="N161" i="13"/>
  <c r="O161" i="13" s="1"/>
  <c r="L161" i="13"/>
  <c r="M161" i="13" s="1"/>
  <c r="J161" i="13"/>
  <c r="K161" i="13" s="1"/>
  <c r="P160" i="13"/>
  <c r="Q160" i="13" s="1"/>
  <c r="N160" i="13"/>
  <c r="O160" i="13" s="1"/>
  <c r="L160" i="13"/>
  <c r="M160" i="13" s="1"/>
  <c r="J160" i="13"/>
  <c r="K160" i="13" s="1"/>
  <c r="P158" i="13"/>
  <c r="Q158" i="13" s="1"/>
  <c r="N158" i="13"/>
  <c r="O158" i="13" s="1"/>
  <c r="L158" i="13"/>
  <c r="M158" i="13" s="1"/>
  <c r="J158" i="13"/>
  <c r="K158" i="13" s="1"/>
  <c r="P157" i="13"/>
  <c r="Q157" i="13" s="1"/>
  <c r="N157" i="13"/>
  <c r="O157" i="13" s="1"/>
  <c r="L157" i="13"/>
  <c r="M157" i="13" s="1"/>
  <c r="J157" i="13"/>
  <c r="K157" i="13" s="1"/>
  <c r="P154" i="13"/>
  <c r="Q154" i="13" s="1"/>
  <c r="Q153" i="13" s="1"/>
  <c r="J30" i="14" s="1"/>
  <c r="N154" i="13"/>
  <c r="O154" i="13" s="1"/>
  <c r="O153" i="13" s="1"/>
  <c r="H30" i="14" s="1"/>
  <c r="L154" i="13"/>
  <c r="M154" i="13" s="1"/>
  <c r="M153" i="13" s="1"/>
  <c r="F30" i="14" s="1"/>
  <c r="J154" i="13"/>
  <c r="K154" i="13" s="1"/>
  <c r="K153" i="13" s="1"/>
  <c r="D30" i="14" s="1"/>
  <c r="P151" i="13"/>
  <c r="Q151" i="13" s="1"/>
  <c r="N151" i="13"/>
  <c r="O151" i="13" s="1"/>
  <c r="L151" i="13"/>
  <c r="M151" i="13" s="1"/>
  <c r="J151" i="13"/>
  <c r="K151" i="13" s="1"/>
  <c r="P150" i="13"/>
  <c r="Q150" i="13" s="1"/>
  <c r="N150" i="13"/>
  <c r="O150" i="13" s="1"/>
  <c r="L150" i="13"/>
  <c r="M150" i="13" s="1"/>
  <c r="J150" i="13"/>
  <c r="K150" i="13" s="1"/>
  <c r="P147" i="13"/>
  <c r="Q147" i="13" s="1"/>
  <c r="N147" i="13"/>
  <c r="O147" i="13" s="1"/>
  <c r="L147" i="13"/>
  <c r="M147" i="13" s="1"/>
  <c r="J147" i="13"/>
  <c r="K147" i="13" s="1"/>
  <c r="P146" i="13"/>
  <c r="Q146" i="13" s="1"/>
  <c r="N146" i="13"/>
  <c r="O146" i="13" s="1"/>
  <c r="L146" i="13"/>
  <c r="M146" i="13" s="1"/>
  <c r="J146" i="13"/>
  <c r="K146" i="13" s="1"/>
  <c r="P143" i="13"/>
  <c r="Q143" i="13" s="1"/>
  <c r="Q142" i="13" s="1"/>
  <c r="J27" i="14" s="1"/>
  <c r="N143" i="13"/>
  <c r="O143" i="13" s="1"/>
  <c r="O142" i="13" s="1"/>
  <c r="L143" i="13"/>
  <c r="M143" i="13" s="1"/>
  <c r="M142" i="13" s="1"/>
  <c r="J143" i="13"/>
  <c r="K143" i="13" s="1"/>
  <c r="K142" i="13" s="1"/>
  <c r="P140" i="13"/>
  <c r="Q140" i="13" s="1"/>
  <c r="N140" i="13"/>
  <c r="O140" i="13" s="1"/>
  <c r="L140" i="13"/>
  <c r="M140" i="13" s="1"/>
  <c r="J140" i="13"/>
  <c r="K140" i="13" s="1"/>
  <c r="P139" i="13"/>
  <c r="Q139" i="13" s="1"/>
  <c r="N139" i="13"/>
  <c r="O139" i="13" s="1"/>
  <c r="L139" i="13"/>
  <c r="M139" i="13" s="1"/>
  <c r="J139" i="13"/>
  <c r="K139" i="13" s="1"/>
  <c r="P138" i="13"/>
  <c r="Q138" i="13" s="1"/>
  <c r="N138" i="13"/>
  <c r="O138" i="13" s="1"/>
  <c r="L138" i="13"/>
  <c r="M138" i="13" s="1"/>
  <c r="J138" i="13"/>
  <c r="K138" i="13" s="1"/>
  <c r="P137" i="13"/>
  <c r="Q137" i="13" s="1"/>
  <c r="N137" i="13"/>
  <c r="O137" i="13" s="1"/>
  <c r="L137" i="13"/>
  <c r="M137" i="13" s="1"/>
  <c r="J137" i="13"/>
  <c r="K137" i="13" s="1"/>
  <c r="P136" i="13"/>
  <c r="Q136" i="13" s="1"/>
  <c r="N136" i="13"/>
  <c r="O136" i="13" s="1"/>
  <c r="L136" i="13"/>
  <c r="M136" i="13" s="1"/>
  <c r="J136" i="13"/>
  <c r="K136" i="13" s="1"/>
  <c r="P135" i="13"/>
  <c r="Q135" i="13" s="1"/>
  <c r="N135" i="13"/>
  <c r="O135" i="13" s="1"/>
  <c r="L135" i="13"/>
  <c r="M135" i="13" s="1"/>
  <c r="J135" i="13"/>
  <c r="K135" i="13" s="1"/>
  <c r="P134" i="13"/>
  <c r="Q134" i="13" s="1"/>
  <c r="N134" i="13"/>
  <c r="O134" i="13" s="1"/>
  <c r="L134" i="13"/>
  <c r="M134" i="13" s="1"/>
  <c r="J134" i="13"/>
  <c r="K134" i="13" s="1"/>
  <c r="P131" i="13"/>
  <c r="Q131" i="13" s="1"/>
  <c r="Q130" i="13" s="1"/>
  <c r="N131" i="13"/>
  <c r="O131" i="13" s="1"/>
  <c r="O130" i="13" s="1"/>
  <c r="H25" i="14" s="1"/>
  <c r="L131" i="13"/>
  <c r="M131" i="13" s="1"/>
  <c r="M130" i="13" s="1"/>
  <c r="F25" i="14" s="1"/>
  <c r="J131" i="13"/>
  <c r="K131" i="13" s="1"/>
  <c r="K130" i="13" s="1"/>
  <c r="D25" i="14" s="1"/>
  <c r="P128" i="13"/>
  <c r="Q128" i="13" s="1"/>
  <c r="Q127" i="13" s="1"/>
  <c r="N128" i="13"/>
  <c r="O128" i="13" s="1"/>
  <c r="O127" i="13" s="1"/>
  <c r="H24" i="14" s="1"/>
  <c r="L128" i="13"/>
  <c r="M128" i="13" s="1"/>
  <c r="M127" i="13" s="1"/>
  <c r="F24" i="14" s="1"/>
  <c r="J128" i="13"/>
  <c r="K128" i="13" s="1"/>
  <c r="K127" i="13" s="1"/>
  <c r="D24" i="14" s="1"/>
  <c r="P125" i="13"/>
  <c r="Q125" i="13" s="1"/>
  <c r="N125" i="13"/>
  <c r="O125" i="13" s="1"/>
  <c r="L125" i="13"/>
  <c r="M125" i="13" s="1"/>
  <c r="J125" i="13"/>
  <c r="K125" i="13" s="1"/>
  <c r="P124" i="13"/>
  <c r="Q124" i="13" s="1"/>
  <c r="N124" i="13"/>
  <c r="O124" i="13" s="1"/>
  <c r="L124" i="13"/>
  <c r="M124" i="13" s="1"/>
  <c r="J124" i="13"/>
  <c r="K124" i="13" s="1"/>
  <c r="P123" i="13"/>
  <c r="N123" i="13"/>
  <c r="L123" i="13"/>
  <c r="J123" i="13"/>
  <c r="K145" i="13" l="1"/>
  <c r="K149" i="13"/>
  <c r="O172" i="13"/>
  <c r="H33" i="14" s="1"/>
  <c r="M172" i="13"/>
  <c r="F33" i="14" s="1"/>
  <c r="Q145" i="13"/>
  <c r="J28" i="14" s="1"/>
  <c r="Q149" i="13"/>
  <c r="J29" i="14" s="1"/>
  <c r="T153" i="13"/>
  <c r="K133" i="13"/>
  <c r="D26" i="14" s="1"/>
  <c r="M145" i="13"/>
  <c r="M149" i="13"/>
  <c r="F29" i="14" s="1"/>
  <c r="Q172" i="13"/>
  <c r="M133" i="13"/>
  <c r="F26" i="14" s="1"/>
  <c r="O133" i="13"/>
  <c r="H26" i="14" s="1"/>
  <c r="O145" i="13"/>
  <c r="O149" i="13"/>
  <c r="H29" i="14" s="1"/>
  <c r="K172" i="13"/>
  <c r="D33" i="14" s="1"/>
  <c r="Q133" i="13"/>
  <c r="R153" i="13"/>
  <c r="D29" i="14"/>
  <c r="T130" i="13"/>
  <c r="J25" i="14"/>
  <c r="R130" i="13"/>
  <c r="P309" i="3"/>
  <c r="Q309" i="3" s="1"/>
  <c r="P792" i="3"/>
  <c r="Q792" i="3" s="1"/>
  <c r="P159" i="13"/>
  <c r="Q159" i="13" s="1"/>
  <c r="Q156" i="13" s="1"/>
  <c r="N170" i="13"/>
  <c r="O170" i="13" s="1"/>
  <c r="P777" i="3"/>
  <c r="Q777" i="3" s="1"/>
  <c r="J167" i="13"/>
  <c r="K167" i="13" s="1"/>
  <c r="P167" i="13"/>
  <c r="Q167" i="13" s="1"/>
  <c r="J169" i="13"/>
  <c r="K169" i="13" s="1"/>
  <c r="P169" i="13"/>
  <c r="Q169" i="13" s="1"/>
  <c r="J159" i="13"/>
  <c r="K159" i="13" s="1"/>
  <c r="K156" i="13" s="1"/>
  <c r="D31" i="14" s="1"/>
  <c r="P755" i="3"/>
  <c r="Q755" i="3" s="1"/>
  <c r="Q751" i="3"/>
  <c r="P164" i="13"/>
  <c r="Q164" i="13" s="1"/>
  <c r="P166" i="13"/>
  <c r="Q166" i="13" s="1"/>
  <c r="P168" i="13"/>
  <c r="Q168" i="13" s="1"/>
  <c r="P170" i="13"/>
  <c r="Q170" i="13" s="1"/>
  <c r="L159" i="13"/>
  <c r="M159" i="13" s="1"/>
  <c r="M156" i="13" s="1"/>
  <c r="F31" i="14" s="1"/>
  <c r="L165" i="13"/>
  <c r="M165" i="13" s="1"/>
  <c r="L167" i="13"/>
  <c r="M167" i="13" s="1"/>
  <c r="L169" i="13"/>
  <c r="M169" i="13" s="1"/>
  <c r="N159" i="13"/>
  <c r="O159" i="13" s="1"/>
  <c r="O156" i="13" s="1"/>
  <c r="H31" i="14" s="1"/>
  <c r="N165" i="13"/>
  <c r="O165" i="13" s="1"/>
  <c r="N167" i="13"/>
  <c r="O167" i="13" s="1"/>
  <c r="N169" i="13"/>
  <c r="O169" i="13" s="1"/>
  <c r="J164" i="13"/>
  <c r="K164" i="13" s="1"/>
  <c r="J166" i="13"/>
  <c r="K166" i="13" s="1"/>
  <c r="J168" i="13"/>
  <c r="K168" i="13" s="1"/>
  <c r="J170" i="13"/>
  <c r="K170" i="13" s="1"/>
  <c r="L164" i="13"/>
  <c r="M164" i="13" s="1"/>
  <c r="L166" i="13"/>
  <c r="M166" i="13" s="1"/>
  <c r="L168" i="13"/>
  <c r="M168" i="13" s="1"/>
  <c r="L170" i="13"/>
  <c r="M170" i="13" s="1"/>
  <c r="N164" i="13"/>
  <c r="O164" i="13" s="1"/>
  <c r="N168" i="13"/>
  <c r="O168" i="13" s="1"/>
  <c r="R143" i="13"/>
  <c r="R128" i="13"/>
  <c r="R150" i="13"/>
  <c r="R136" i="13"/>
  <c r="R138" i="13"/>
  <c r="R147" i="13"/>
  <c r="R160" i="13"/>
  <c r="R146" i="13"/>
  <c r="R157" i="13"/>
  <c r="R158" i="13"/>
  <c r="R176" i="13"/>
  <c r="R135" i="13"/>
  <c r="R151" i="13"/>
  <c r="R154" i="13"/>
  <c r="R125" i="13"/>
  <c r="R161" i="13"/>
  <c r="R139" i="13"/>
  <c r="R140" i="13"/>
  <c r="R173" i="13"/>
  <c r="R174" i="13"/>
  <c r="R175" i="13"/>
  <c r="R124" i="13"/>
  <c r="R134" i="13"/>
  <c r="R177" i="13"/>
  <c r="R131" i="13"/>
  <c r="R137" i="13"/>
  <c r="U153" i="13" l="1"/>
  <c r="J31" i="14"/>
  <c r="R156" i="13"/>
  <c r="T156" i="13"/>
  <c r="K163" i="13"/>
  <c r="D32" i="14" s="1"/>
  <c r="U130" i="13"/>
  <c r="J26" i="14"/>
  <c r="R133" i="13"/>
  <c r="T133" i="13"/>
  <c r="T149" i="13"/>
  <c r="M163" i="13"/>
  <c r="F32" i="14" s="1"/>
  <c r="Q163" i="13"/>
  <c r="R149" i="13"/>
  <c r="U149" i="13" s="1"/>
  <c r="J33" i="14"/>
  <c r="T172" i="13"/>
  <c r="R172" i="13"/>
  <c r="D28" i="14"/>
  <c r="D27" i="14"/>
  <c r="H28" i="14"/>
  <c r="H27" i="14"/>
  <c r="F28" i="14"/>
  <c r="R145" i="13"/>
  <c r="T145" i="13"/>
  <c r="T127" i="13"/>
  <c r="R127" i="13"/>
  <c r="J24" i="14"/>
  <c r="R159" i="13"/>
  <c r="R168" i="13"/>
  <c r="R165" i="13"/>
  <c r="R169" i="13"/>
  <c r="R164" i="13"/>
  <c r="R170" i="13"/>
  <c r="R167" i="13"/>
  <c r="G2" i="36"/>
  <c r="G7" i="36"/>
  <c r="H191" i="13"/>
  <c r="G23" i="3"/>
  <c r="D23" i="3"/>
  <c r="D16" i="3"/>
  <c r="G16" i="3"/>
  <c r="U172" i="13" l="1"/>
  <c r="H118" i="13"/>
  <c r="U133" i="13"/>
  <c r="H41" i="14"/>
  <c r="D239" i="11"/>
  <c r="J32" i="14"/>
  <c r="U156" i="13"/>
  <c r="U145" i="13"/>
  <c r="F27" i="14"/>
  <c r="T142" i="13"/>
  <c r="R142" i="13"/>
  <c r="U127" i="13"/>
  <c r="G809" i="3"/>
  <c r="G806" i="3"/>
  <c r="I804" i="3"/>
  <c r="I803" i="3"/>
  <c r="E316" i="10"/>
  <c r="G790" i="3" s="1"/>
  <c r="F778" i="3"/>
  <c r="I798" i="3"/>
  <c r="I797" i="3"/>
  <c r="I795" i="3"/>
  <c r="I794" i="3"/>
  <c r="G799" i="3"/>
  <c r="I799" i="3" s="1"/>
  <c r="G775" i="3"/>
  <c r="G796" i="3"/>
  <c r="I796" i="3" s="1"/>
  <c r="G789" i="3"/>
  <c r="E315" i="10"/>
  <c r="U142" i="13" l="1"/>
  <c r="G305" i="3"/>
  <c r="E314" i="10"/>
  <c r="G787" i="3" s="1"/>
  <c r="I787" i="3" s="1"/>
  <c r="E313" i="10"/>
  <c r="G786" i="3" s="1"/>
  <c r="I786" i="3" s="1"/>
  <c r="G785" i="3"/>
  <c r="I785" i="3" s="1"/>
  <c r="G783" i="3"/>
  <c r="I783" i="3" s="1"/>
  <c r="G782" i="3"/>
  <c r="I782" i="3" s="1"/>
  <c r="I790" i="3"/>
  <c r="I789" i="3"/>
  <c r="I788" i="3"/>
  <c r="I784" i="3"/>
  <c r="I781" i="3"/>
  <c r="I780" i="3"/>
  <c r="G774" i="3"/>
  <c r="E119" i="10" l="1"/>
  <c r="G773" i="3" s="1"/>
  <c r="I773" i="3" s="1"/>
  <c r="I775" i="3"/>
  <c r="N764" i="3" s="1"/>
  <c r="I774" i="3"/>
  <c r="I771" i="3"/>
  <c r="I770" i="3"/>
  <c r="I768" i="3"/>
  <c r="I767" i="3"/>
  <c r="G772" i="3"/>
  <c r="I772" i="3" s="1"/>
  <c r="G769" i="3"/>
  <c r="I769" i="3" s="1"/>
  <c r="G766" i="3"/>
  <c r="I766" i="3" s="1"/>
  <c r="G759" i="3"/>
  <c r="I759" i="3" s="1"/>
  <c r="E306" i="10"/>
  <c r="G760" i="3" s="1"/>
  <c r="I760" i="3" s="1"/>
  <c r="E307" i="10"/>
  <c r="G761" i="3" s="1"/>
  <c r="I761" i="3" s="1"/>
  <c r="I762" i="3"/>
  <c r="I758" i="3"/>
  <c r="I757" i="3"/>
  <c r="I756" i="3"/>
  <c r="E305" i="10"/>
  <c r="I752" i="3"/>
  <c r="E299" i="10"/>
  <c r="G310" i="3" s="1"/>
  <c r="I310" i="3" s="1"/>
  <c r="G309" i="3" s="1"/>
  <c r="I343" i="3"/>
  <c r="I341" i="3"/>
  <c r="I340" i="3"/>
  <c r="G345" i="3"/>
  <c r="I345" i="3" s="1"/>
  <c r="G344" i="3"/>
  <c r="I344" i="3" s="1"/>
  <c r="G342" i="3"/>
  <c r="I342" i="3" s="1"/>
  <c r="I315" i="3"/>
  <c r="O313" i="3" s="1"/>
  <c r="I317" i="3"/>
  <c r="K313" i="3"/>
  <c r="G335" i="3"/>
  <c r="I335" i="3" s="1"/>
  <c r="G334" i="3"/>
  <c r="I334" i="3" s="1"/>
  <c r="G333" i="3"/>
  <c r="I333" i="3" s="1"/>
  <c r="I332" i="3"/>
  <c r="I331" i="3"/>
  <c r="I330" i="3"/>
  <c r="I329" i="3"/>
  <c r="O327" i="3" s="1"/>
  <c r="G322" i="3"/>
  <c r="I322" i="3" s="1"/>
  <c r="G324" i="3"/>
  <c r="I324" i="3" s="1"/>
  <c r="G323" i="3"/>
  <c r="I323" i="3" s="1"/>
  <c r="G321" i="3"/>
  <c r="I321" i="3" s="1"/>
  <c r="G319" i="3"/>
  <c r="I319" i="3" s="1"/>
  <c r="I320" i="3"/>
  <c r="I318" i="3"/>
  <c r="I316" i="3"/>
  <c r="G306" i="3"/>
  <c r="I306" i="3" s="1"/>
  <c r="G304" i="3"/>
  <c r="I304" i="3" s="1"/>
  <c r="I305" i="3"/>
  <c r="I303" i="3"/>
  <c r="I302" i="3"/>
  <c r="L299" i="3" s="1"/>
  <c r="I301" i="3"/>
  <c r="O299" i="3" s="1"/>
  <c r="K299" i="3"/>
  <c r="K289" i="3"/>
  <c r="G295" i="3"/>
  <c r="I295" i="3" s="1"/>
  <c r="G294" i="3"/>
  <c r="I294" i="3" s="1"/>
  <c r="I291" i="3"/>
  <c r="O289" i="3" s="1"/>
  <c r="I292" i="3"/>
  <c r="L289" i="3" s="1"/>
  <c r="I293" i="3"/>
  <c r="G196" i="3"/>
  <c r="I196" i="3" s="1"/>
  <c r="G195" i="3"/>
  <c r="I195" i="3" s="1"/>
  <c r="D196" i="3"/>
  <c r="D195" i="3"/>
  <c r="G197" i="3"/>
  <c r="I197" i="3" s="1"/>
  <c r="D197" i="3"/>
  <c r="G77" i="3"/>
  <c r="I77" i="3" s="1"/>
  <c r="D77" i="3"/>
  <c r="G81" i="3"/>
  <c r="I81" i="3" s="1"/>
  <c r="I82" i="3"/>
  <c r="L75" i="3" s="1"/>
  <c r="K75" i="3"/>
  <c r="N166" i="13" l="1"/>
  <c r="O166" i="13" s="1"/>
  <c r="P764" i="3"/>
  <c r="G755" i="3"/>
  <c r="N327" i="3"/>
  <c r="L327" i="3"/>
  <c r="L313" i="3"/>
  <c r="N313" i="3"/>
  <c r="R166" i="13" l="1"/>
  <c r="O163" i="13"/>
  <c r="D189" i="3"/>
  <c r="H32" i="14" l="1"/>
  <c r="T163" i="13"/>
  <c r="R163" i="13"/>
  <c r="K679" i="3"/>
  <c r="U163" i="13" l="1"/>
  <c r="O672" i="3"/>
  <c r="K672" i="3"/>
  <c r="G691" i="3"/>
  <c r="I691" i="3" s="1"/>
  <c r="G690" i="3"/>
  <c r="I690" i="3" s="1"/>
  <c r="G692" i="3"/>
  <c r="I692" i="3" s="1"/>
  <c r="G688" i="3"/>
  <c r="I688" i="3" s="1"/>
  <c r="G687" i="3"/>
  <c r="G686" i="3"/>
  <c r="G685" i="3"/>
  <c r="I689" i="3"/>
  <c r="I684" i="3"/>
  <c r="O679" i="3" s="1"/>
  <c r="I683" i="3"/>
  <c r="L679" i="3" s="1"/>
  <c r="I682" i="3"/>
  <c r="F694" i="3"/>
  <c r="F693" i="3"/>
  <c r="F687" i="3"/>
  <c r="F686" i="3"/>
  <c r="F685" i="3"/>
  <c r="I677" i="3"/>
  <c r="E292" i="10"/>
  <c r="G676" i="3" s="1"/>
  <c r="I676" i="3" s="1"/>
  <c r="I104" i="3"/>
  <c r="C110" i="3"/>
  <c r="B110" i="3"/>
  <c r="C109" i="3"/>
  <c r="B109" i="3"/>
  <c r="C108" i="3"/>
  <c r="B108" i="3"/>
  <c r="I107" i="3"/>
  <c r="C107" i="3"/>
  <c r="B107" i="3"/>
  <c r="I106" i="3"/>
  <c r="I105" i="3"/>
  <c r="C105" i="3"/>
  <c r="B105" i="3"/>
  <c r="C104" i="3"/>
  <c r="B104" i="3"/>
  <c r="I103" i="3"/>
  <c r="C103" i="3"/>
  <c r="B103" i="3"/>
  <c r="I102" i="3"/>
  <c r="C102" i="3"/>
  <c r="B102" i="3"/>
  <c r="I101" i="3"/>
  <c r="C101" i="3"/>
  <c r="B101" i="3"/>
  <c r="I100" i="3"/>
  <c r="C100" i="3"/>
  <c r="B100" i="3"/>
  <c r="H99" i="3"/>
  <c r="I99" i="3" s="1"/>
  <c r="C99" i="3"/>
  <c r="B99" i="3"/>
  <c r="K98" i="3"/>
  <c r="Q36" i="3"/>
  <c r="I36" i="3"/>
  <c r="L34" i="3" s="1"/>
  <c r="E35" i="3"/>
  <c r="O34" i="3"/>
  <c r="K34" i="3"/>
  <c r="G43" i="3"/>
  <c r="I43" i="3" s="1"/>
  <c r="E43" i="3"/>
  <c r="D43" i="3"/>
  <c r="H41" i="3"/>
  <c r="D41" i="3"/>
  <c r="K40" i="3"/>
  <c r="G267" i="3"/>
  <c r="C267" i="3"/>
  <c r="B267" i="3"/>
  <c r="I265" i="3"/>
  <c r="C265" i="3"/>
  <c r="B265" i="3"/>
  <c r="I264" i="3"/>
  <c r="I263" i="3"/>
  <c r="O259" i="3" s="1"/>
  <c r="I262" i="3"/>
  <c r="K259" i="3"/>
  <c r="N672" i="3" l="1"/>
  <c r="I685" i="3"/>
  <c r="I686" i="3"/>
  <c r="I687" i="3"/>
  <c r="N98" i="3"/>
  <c r="I109" i="3"/>
  <c r="O98" i="3" s="1"/>
  <c r="I108" i="3"/>
  <c r="L98" i="3" s="1"/>
  <c r="I110" i="3"/>
  <c r="M98" i="3" s="1"/>
  <c r="L259" i="3"/>
  <c r="E19" i="10"/>
  <c r="F19" i="10" s="1"/>
  <c r="G94" i="3"/>
  <c r="G69" i="3"/>
  <c r="G98" i="3" l="1"/>
  <c r="P98" i="3"/>
  <c r="Q98" i="3" l="1"/>
  <c r="F27" i="13" l="1"/>
  <c r="F26" i="13"/>
  <c r="F25" i="13"/>
  <c r="B2" i="26"/>
  <c r="K55" i="4"/>
  <c r="K56" i="4"/>
  <c r="K57" i="4" s="1"/>
  <c r="K58" i="4" s="1"/>
  <c r="K59" i="4" s="1"/>
  <c r="K60" i="4" s="1"/>
  <c r="K61" i="4" s="1"/>
  <c r="K62" i="4" s="1"/>
  <c r="K63" i="4" s="1"/>
  <c r="K64" i="4" s="1"/>
  <c r="K65" i="4" s="1"/>
  <c r="K66" i="4" s="1"/>
  <c r="K67" i="4" s="1"/>
  <c r="K68" i="4" s="1"/>
  <c r="K69" i="4" s="1"/>
  <c r="K70" i="4" s="1"/>
  <c r="K71" i="4" s="1"/>
  <c r="K72" i="4" s="1"/>
  <c r="K73" i="4" s="1"/>
  <c r="K74" i="4" s="1"/>
  <c r="K75" i="4" s="1"/>
  <c r="K76" i="4" s="1"/>
  <c r="K77" i="4" s="1"/>
  <c r="K78" i="4" s="1"/>
  <c r="K79" i="4" s="1"/>
  <c r="K80" i="4" s="1"/>
  <c r="K81" i="4" s="1"/>
  <c r="K82" i="4" s="1"/>
  <c r="K83" i="4" s="1"/>
  <c r="K84" i="4" s="1"/>
  <c r="K85" i="4" s="1"/>
  <c r="K86" i="4" s="1"/>
  <c r="K87" i="4" s="1"/>
  <c r="K88" i="4" s="1"/>
  <c r="K89" i="4" s="1"/>
  <c r="K90" i="4" s="1"/>
  <c r="K91" i="4" s="1"/>
  <c r="K92" i="4" s="1"/>
  <c r="K93" i="4" s="1"/>
  <c r="K94" i="4" s="1"/>
  <c r="K95" i="4" s="1"/>
  <c r="K96" i="4" s="1"/>
  <c r="K97" i="4" s="1"/>
  <c r="K98" i="4" s="1"/>
  <c r="K99" i="4" s="1"/>
  <c r="K100" i="4" s="1"/>
  <c r="K101" i="4" s="1"/>
  <c r="K102" i="4" s="1"/>
  <c r="K103" i="4" s="1"/>
  <c r="K104" i="4" s="1"/>
  <c r="K105" i="4" s="1"/>
  <c r="K106" i="4" s="1"/>
  <c r="K107" i="4" s="1"/>
  <c r="K108" i="4" s="1"/>
  <c r="K109" i="4" s="1"/>
  <c r="K54" i="4"/>
  <c r="F31" i="13"/>
  <c r="F30" i="13"/>
  <c r="I89" i="3" l="1"/>
  <c r="I94" i="3"/>
  <c r="E93" i="3"/>
  <c r="I92" i="3"/>
  <c r="O88" i="3" s="1"/>
  <c r="I91" i="3"/>
  <c r="L88" i="3" s="1"/>
  <c r="I90" i="3"/>
  <c r="K88" i="3"/>
  <c r="H124" i="3"/>
  <c r="F124" i="3"/>
  <c r="E124" i="3"/>
  <c r="D124" i="3"/>
  <c r="C124" i="3"/>
  <c r="B124" i="3"/>
  <c r="F123" i="3"/>
  <c r="C123" i="3"/>
  <c r="B123" i="3"/>
  <c r="G122" i="3"/>
  <c r="I122" i="3" s="1"/>
  <c r="E122" i="3"/>
  <c r="D122" i="3"/>
  <c r="F121" i="3"/>
  <c r="C121" i="3"/>
  <c r="B121" i="3"/>
  <c r="F120" i="3"/>
  <c r="C120" i="3"/>
  <c r="B120" i="3"/>
  <c r="F119" i="3"/>
  <c r="C119" i="3"/>
  <c r="B119" i="3"/>
  <c r="F118" i="3"/>
  <c r="C118" i="3"/>
  <c r="B118" i="3"/>
  <c r="F117" i="3"/>
  <c r="C117" i="3"/>
  <c r="B117" i="3"/>
  <c r="D116" i="3"/>
  <c r="C116" i="3"/>
  <c r="B116" i="3"/>
  <c r="F115" i="3"/>
  <c r="C115" i="3"/>
  <c r="B115" i="3"/>
  <c r="K114" i="3"/>
  <c r="I113" i="3"/>
  <c r="H113" i="3"/>
  <c r="G113" i="3"/>
  <c r="F113" i="3"/>
  <c r="E113" i="3"/>
  <c r="D113" i="3"/>
  <c r="C113" i="3"/>
  <c r="B113" i="3"/>
  <c r="Q31" i="3"/>
  <c r="I30" i="3"/>
  <c r="M29" i="3" s="1"/>
  <c r="O29" i="3"/>
  <c r="K29" i="3"/>
  <c r="I9" i="3"/>
  <c r="L8" i="3" s="1"/>
  <c r="I10" i="3"/>
  <c r="M8" i="3" s="1"/>
  <c r="I11" i="3"/>
  <c r="I95" i="3" l="1"/>
  <c r="M88" i="3" s="1"/>
  <c r="I31" i="3"/>
  <c r="L29" i="3" s="1"/>
  <c r="H39" i="62"/>
  <c r="H41" i="62" s="1"/>
  <c r="D39" i="62"/>
  <c r="D41" i="62" s="1"/>
  <c r="G37" i="62"/>
  <c r="E37" i="62"/>
  <c r="F37" i="62" s="1"/>
  <c r="F36" i="62"/>
  <c r="G35" i="62"/>
  <c r="F35" i="62"/>
  <c r="E35" i="62"/>
  <c r="G34" i="62"/>
  <c r="F34" i="62"/>
  <c r="E34" i="62"/>
  <c r="F33" i="62"/>
  <c r="G32" i="62"/>
  <c r="E32" i="62"/>
  <c r="F32" i="62" s="1"/>
  <c r="G31" i="62"/>
  <c r="F31" i="62"/>
  <c r="E31" i="62"/>
  <c r="G30" i="62"/>
  <c r="E30" i="62"/>
  <c r="F30" i="62" s="1"/>
  <c r="G29" i="62"/>
  <c r="F29" i="62"/>
  <c r="E29" i="62"/>
  <c r="G28" i="62"/>
  <c r="F28" i="62"/>
  <c r="G27" i="62"/>
  <c r="F27" i="62"/>
  <c r="G26" i="62"/>
  <c r="E26" i="62"/>
  <c r="F26" i="62" s="1"/>
  <c r="G25" i="62"/>
  <c r="F25" i="62"/>
  <c r="E25" i="62"/>
  <c r="G24" i="62"/>
  <c r="F24" i="62"/>
  <c r="G23" i="62"/>
  <c r="F23" i="62"/>
  <c r="G22" i="62"/>
  <c r="E22" i="62"/>
  <c r="F22" i="62" s="1"/>
  <c r="G21" i="62"/>
  <c r="E21" i="62"/>
  <c r="F21" i="62" s="1"/>
  <c r="G20" i="62"/>
  <c r="E20" i="62"/>
  <c r="F20" i="62" s="1"/>
  <c r="G19" i="62"/>
  <c r="F19" i="62"/>
  <c r="G18" i="62"/>
  <c r="E18" i="62"/>
  <c r="F18" i="62" s="1"/>
  <c r="G17" i="62"/>
  <c r="E17" i="62"/>
  <c r="F17" i="62" s="1"/>
  <c r="G16" i="62"/>
  <c r="F16" i="62"/>
  <c r="G15" i="62"/>
  <c r="E15" i="62"/>
  <c r="F15" i="62" s="1"/>
  <c r="G14" i="62"/>
  <c r="E14" i="62"/>
  <c r="F14" i="62" s="1"/>
  <c r="G13" i="62"/>
  <c r="F13" i="62"/>
  <c r="E13" i="62"/>
  <c r="G12" i="62"/>
  <c r="F12" i="62"/>
  <c r="G11" i="62"/>
  <c r="F11" i="62"/>
  <c r="G10" i="62"/>
  <c r="E10" i="62"/>
  <c r="F10" i="62" s="1"/>
  <c r="G9" i="62"/>
  <c r="E9" i="62"/>
  <c r="E39" i="62" s="1"/>
  <c r="E41" i="62" s="1"/>
  <c r="G8" i="62"/>
  <c r="F8" i="62"/>
  <c r="G7" i="62"/>
  <c r="F7" i="62"/>
  <c r="G6" i="62"/>
  <c r="G39" i="62" s="1"/>
  <c r="G41" i="62" s="1"/>
  <c r="F6" i="62"/>
  <c r="P29" i="3" l="1"/>
  <c r="F9" i="62"/>
  <c r="F39" i="62" s="1"/>
  <c r="F41" i="62" s="1"/>
  <c r="F123" i="13"/>
  <c r="M123" i="13" l="1"/>
  <c r="M122" i="13" s="1"/>
  <c r="F23" i="14" s="1"/>
  <c r="O123" i="13"/>
  <c r="O122" i="13" s="1"/>
  <c r="H23" i="14" s="1"/>
  <c r="Q123" i="13"/>
  <c r="Q122" i="13" s="1"/>
  <c r="K123" i="13"/>
  <c r="K122" i="13" s="1"/>
  <c r="D23" i="14" s="1"/>
  <c r="H78" i="61"/>
  <c r="H77" i="61"/>
  <c r="H76" i="61"/>
  <c r="H75" i="61"/>
  <c r="H74" i="61"/>
  <c r="H73" i="61"/>
  <c r="H72" i="61"/>
  <c r="H67" i="61"/>
  <c r="H66" i="61"/>
  <c r="H65" i="61"/>
  <c r="H64" i="61"/>
  <c r="H63" i="61"/>
  <c r="H62" i="61"/>
  <c r="H61" i="61"/>
  <c r="H60" i="61"/>
  <c r="H59" i="61"/>
  <c r="H58" i="61"/>
  <c r="H57" i="61"/>
  <c r="H56" i="61"/>
  <c r="H55" i="61"/>
  <c r="H54" i="61"/>
  <c r="H53" i="61"/>
  <c r="H52" i="61"/>
  <c r="H51" i="61"/>
  <c r="H50" i="61"/>
  <c r="H49" i="61"/>
  <c r="H48" i="61"/>
  <c r="H47" i="61"/>
  <c r="H46" i="61"/>
  <c r="H45" i="61"/>
  <c r="H44" i="61"/>
  <c r="H43" i="61"/>
  <c r="H42" i="61"/>
  <c r="H41" i="61"/>
  <c r="H40" i="61"/>
  <c r="H39" i="61"/>
  <c r="H38" i="61"/>
  <c r="H37" i="61"/>
  <c r="H36" i="61"/>
  <c r="H35" i="61"/>
  <c r="H34" i="61"/>
  <c r="H33" i="61"/>
  <c r="H32" i="61"/>
  <c r="H31" i="61"/>
  <c r="H30" i="61"/>
  <c r="H29" i="61"/>
  <c r="H28" i="61"/>
  <c r="H27" i="61"/>
  <c r="H26" i="61"/>
  <c r="H25" i="61"/>
  <c r="H24" i="61"/>
  <c r="H23" i="61"/>
  <c r="H22" i="61"/>
  <c r="H21" i="61"/>
  <c r="H20" i="61"/>
  <c r="H19" i="61"/>
  <c r="H18" i="61"/>
  <c r="H17" i="61"/>
  <c r="H16" i="61"/>
  <c r="H15" i="61"/>
  <c r="H14" i="61"/>
  <c r="H13" i="61"/>
  <c r="H12" i="61"/>
  <c r="H11" i="61"/>
  <c r="H10" i="61"/>
  <c r="H9" i="61"/>
  <c r="H8" i="61"/>
  <c r="H7" i="61"/>
  <c r="E7" i="56"/>
  <c r="E15" i="54"/>
  <c r="E16" i="54" s="1"/>
  <c r="E17" i="54" s="1"/>
  <c r="I19" i="9"/>
  <c r="I21" i="9"/>
  <c r="I22" i="9"/>
  <c r="I23" i="9"/>
  <c r="I24" i="9"/>
  <c r="J23" i="14" l="1"/>
  <c r="R122" i="13"/>
  <c r="T122" i="13"/>
  <c r="R123" i="13"/>
  <c r="U13" i="13"/>
  <c r="U22" i="13"/>
  <c r="U28" i="13"/>
  <c r="U34" i="13"/>
  <c r="U37" i="13"/>
  <c r="U43" i="13"/>
  <c r="U47" i="13"/>
  <c r="U51" i="13"/>
  <c r="U54" i="13"/>
  <c r="U57" i="13"/>
  <c r="U62" i="13"/>
  <c r="U63" i="13"/>
  <c r="U68" i="13"/>
  <c r="C46" i="4"/>
  <c r="C34" i="4"/>
  <c r="C28" i="4"/>
  <c r="C22" i="4"/>
  <c r="C16" i="4"/>
  <c r="C10" i="4"/>
  <c r="F10" i="4"/>
  <c r="F17" i="4" s="1"/>
  <c r="F46" i="4"/>
  <c r="F40" i="4"/>
  <c r="G104" i="13"/>
  <c r="G105" i="13"/>
  <c r="G106" i="13"/>
  <c r="G107" i="13"/>
  <c r="G108" i="13"/>
  <c r="G109" i="13"/>
  <c r="G103" i="13"/>
  <c r="D104" i="13"/>
  <c r="D105" i="13"/>
  <c r="D106" i="13"/>
  <c r="D107" i="13"/>
  <c r="D108" i="13"/>
  <c r="D109" i="13"/>
  <c r="D103" i="13"/>
  <c r="G102" i="13"/>
  <c r="G101" i="13"/>
  <c r="G98" i="13"/>
  <c r="G99" i="13"/>
  <c r="G100" i="13"/>
  <c r="G97" i="13"/>
  <c r="G96" i="13"/>
  <c r="G95" i="13"/>
  <c r="G94" i="13"/>
  <c r="G93" i="13"/>
  <c r="G92" i="13"/>
  <c r="G91" i="13"/>
  <c r="G90" i="13"/>
  <c r="G89" i="13"/>
  <c r="G88" i="13"/>
  <c r="G87" i="13"/>
  <c r="G86" i="13"/>
  <c r="G85" i="13"/>
  <c r="G84" i="13"/>
  <c r="G83" i="13"/>
  <c r="G82" i="13"/>
  <c r="G81" i="13"/>
  <c r="G80" i="13"/>
  <c r="G79" i="13"/>
  <c r="G78" i="13"/>
  <c r="G77" i="13"/>
  <c r="G76" i="13"/>
  <c r="G75" i="13"/>
  <c r="U122" i="13" l="1"/>
  <c r="F11" i="4"/>
  <c r="F16" i="4"/>
  <c r="F22" i="4" s="1"/>
  <c r="F23" i="4" s="1"/>
  <c r="F28" i="4" s="1"/>
  <c r="F29" i="4" s="1"/>
  <c r="F34" i="4" s="1"/>
  <c r="F35" i="4" s="1"/>
  <c r="F41" i="4" s="1"/>
  <c r="F47" i="4" s="1"/>
  <c r="D230" i="11"/>
  <c r="F67" i="13" l="1"/>
  <c r="F2" i="60"/>
  <c r="A2" i="60"/>
  <c r="B2" i="60"/>
  <c r="G7" i="60"/>
  <c r="H6" i="60"/>
  <c r="H8" i="60" s="1"/>
  <c r="H2" i="60" s="1"/>
  <c r="E7" i="59"/>
  <c r="G7" i="59" s="1"/>
  <c r="G8" i="59" s="1"/>
  <c r="F66" i="13" s="1"/>
  <c r="A2" i="59"/>
  <c r="B2" i="59"/>
  <c r="H6" i="59"/>
  <c r="H8" i="59" s="1"/>
  <c r="H2" i="59" s="1"/>
  <c r="E7" i="58"/>
  <c r="G7" i="58" s="1"/>
  <c r="A2" i="58"/>
  <c r="H6" i="58"/>
  <c r="H8" i="58" s="1"/>
  <c r="H2" i="58" s="1"/>
  <c r="E7" i="57"/>
  <c r="G7" i="57" s="1"/>
  <c r="A2" i="57"/>
  <c r="H6" i="57"/>
  <c r="H8" i="57" s="1"/>
  <c r="H2" i="57" s="1"/>
  <c r="G7" i="56"/>
  <c r="G8" i="56" s="1"/>
  <c r="F60" i="13" s="1"/>
  <c r="A2" i="56"/>
  <c r="H6" i="56"/>
  <c r="H8" i="56" s="1"/>
  <c r="H2" i="56" s="1"/>
  <c r="E7" i="55"/>
  <c r="G7" i="55" s="1"/>
  <c r="A2" i="55"/>
  <c r="H6" i="55"/>
  <c r="H8" i="55" s="1"/>
  <c r="H2" i="55" s="1"/>
  <c r="E7" i="41"/>
  <c r="E7" i="23"/>
  <c r="G8" i="60" l="1"/>
  <c r="G2" i="60"/>
  <c r="G2" i="59"/>
  <c r="G8" i="58"/>
  <c r="F65" i="13" s="1"/>
  <c r="G2" i="58"/>
  <c r="G8" i="57"/>
  <c r="F61" i="13" s="1"/>
  <c r="G2" i="57"/>
  <c r="G2" i="56"/>
  <c r="G8" i="55"/>
  <c r="F59" i="13" s="1"/>
  <c r="G2" i="55"/>
  <c r="C147" i="11"/>
  <c r="C137" i="11"/>
  <c r="C139" i="11"/>
  <c r="C141" i="11"/>
  <c r="C143" i="11"/>
  <c r="C145" i="11"/>
  <c r="C135" i="11"/>
  <c r="H108" i="13"/>
  <c r="D145" i="11" s="1"/>
  <c r="Q146" i="11" s="1"/>
  <c r="H107" i="13"/>
  <c r="D143" i="11" s="1"/>
  <c r="O144" i="11" s="1"/>
  <c r="H103" i="13" l="1"/>
  <c r="D135" i="11" s="1"/>
  <c r="M136" i="11" s="1"/>
  <c r="J103" i="13"/>
  <c r="K103" i="13" s="1"/>
  <c r="H104" i="13"/>
  <c r="D137" i="11" s="1"/>
  <c r="N138" i="11" s="1"/>
  <c r="J104" i="13"/>
  <c r="K104" i="13" s="1"/>
  <c r="H106" i="13"/>
  <c r="D141" i="11" s="1"/>
  <c r="P142" i="11" s="1"/>
  <c r="E142" i="11" s="1"/>
  <c r="J106" i="13"/>
  <c r="K106" i="13" s="1"/>
  <c r="H105" i="13"/>
  <c r="D139" i="11" s="1"/>
  <c r="M140" i="11" s="1"/>
  <c r="J105" i="13"/>
  <c r="K105" i="13" s="1"/>
  <c r="H109" i="13"/>
  <c r="D147" i="11" s="1"/>
  <c r="Q148" i="11" s="1"/>
  <c r="J109" i="13"/>
  <c r="K109" i="13" s="1"/>
  <c r="J108" i="13"/>
  <c r="K108" i="13" s="1"/>
  <c r="J107" i="13"/>
  <c r="K107" i="13" s="1"/>
  <c r="R144" i="11"/>
  <c r="R146" i="11"/>
  <c r="E146" i="11" s="1"/>
  <c r="Q144" i="11"/>
  <c r="P144" i="11"/>
  <c r="E144" i="11" l="1"/>
  <c r="T105" i="13"/>
  <c r="R105" i="13"/>
  <c r="R148" i="11"/>
  <c r="O140" i="11"/>
  <c r="T106" i="13"/>
  <c r="R106" i="13"/>
  <c r="O148" i="11"/>
  <c r="N136" i="11"/>
  <c r="E136" i="11" s="1"/>
  <c r="T107" i="13"/>
  <c r="R107" i="13"/>
  <c r="T104" i="13"/>
  <c r="R104" i="13"/>
  <c r="P148" i="11"/>
  <c r="N140" i="11"/>
  <c r="R108" i="13"/>
  <c r="T108" i="13"/>
  <c r="M138" i="11"/>
  <c r="R109" i="13"/>
  <c r="T109" i="13"/>
  <c r="R103" i="13"/>
  <c r="T103" i="13"/>
  <c r="H41" i="54"/>
  <c r="G38" i="54"/>
  <c r="H38" i="54" s="1"/>
  <c r="G37" i="54"/>
  <c r="H37" i="54" s="1"/>
  <c r="G21" i="54"/>
  <c r="F21" i="54"/>
  <c r="G17" i="54"/>
  <c r="G16" i="54"/>
  <c r="G14" i="54"/>
  <c r="E140" i="11" l="1"/>
  <c r="M150" i="11"/>
  <c r="M151" i="11" s="1"/>
  <c r="E138" i="11"/>
  <c r="E148" i="11"/>
  <c r="H21" i="54"/>
  <c r="H20" i="54" s="1"/>
  <c r="H16" i="54"/>
  <c r="H40" i="54"/>
  <c r="H14" i="54"/>
  <c r="J14" i="54" s="1"/>
  <c r="H17" i="54"/>
  <c r="H15" i="54"/>
  <c r="H36" i="54"/>
  <c r="J15" i="54" l="1"/>
  <c r="J17" i="54" s="1"/>
  <c r="H13" i="54"/>
  <c r="A2" i="52" l="1"/>
  <c r="E7" i="52"/>
  <c r="G7" i="52" s="1"/>
  <c r="H6" i="52"/>
  <c r="H8" i="52" s="1"/>
  <c r="H2" i="52" s="1"/>
  <c r="E7" i="51"/>
  <c r="G7" i="51" s="1"/>
  <c r="A2" i="51"/>
  <c r="H6" i="51"/>
  <c r="H8" i="51" s="1"/>
  <c r="H2" i="51" s="1"/>
  <c r="A2" i="50"/>
  <c r="B2" i="50"/>
  <c r="E7" i="50"/>
  <c r="G7" i="50" s="1"/>
  <c r="H6" i="50"/>
  <c r="H8" i="50" s="1"/>
  <c r="H2" i="50" s="1"/>
  <c r="E7" i="49"/>
  <c r="G7" i="49" s="1"/>
  <c r="A2" i="49"/>
  <c r="H6" i="49"/>
  <c r="H8" i="49" s="1"/>
  <c r="H2" i="49" s="1"/>
  <c r="E7" i="37"/>
  <c r="G7" i="37" s="1"/>
  <c r="E7" i="46"/>
  <c r="G7" i="46" s="1"/>
  <c r="G8" i="46" s="1"/>
  <c r="F45" i="13" s="1"/>
  <c r="E7" i="47"/>
  <c r="G7" i="47" s="1"/>
  <c r="A2" i="47"/>
  <c r="B2" i="47"/>
  <c r="H6" i="47"/>
  <c r="H8" i="47" s="1"/>
  <c r="H2" i="47" s="1"/>
  <c r="E7" i="40"/>
  <c r="G7" i="40" s="1"/>
  <c r="G8" i="40" s="1"/>
  <c r="A2" i="46"/>
  <c r="H6" i="46"/>
  <c r="H8" i="46" s="1"/>
  <c r="H2" i="46" s="1"/>
  <c r="A2" i="45"/>
  <c r="G7" i="45"/>
  <c r="G8" i="45" s="1"/>
  <c r="H6" i="45"/>
  <c r="H8" i="45" s="1"/>
  <c r="H2" i="45" s="1"/>
  <c r="A2" i="44"/>
  <c r="G7" i="44"/>
  <c r="G2" i="44" s="1"/>
  <c r="H6" i="44"/>
  <c r="H8" i="44" s="1"/>
  <c r="H2" i="44" s="1"/>
  <c r="A2" i="43"/>
  <c r="G7" i="43"/>
  <c r="G8" i="43" s="1"/>
  <c r="H6" i="43"/>
  <c r="H8" i="43" s="1"/>
  <c r="H2" i="43" s="1"/>
  <c r="A2" i="42"/>
  <c r="G7" i="42"/>
  <c r="G8" i="42" s="1"/>
  <c r="H6" i="42"/>
  <c r="H8" i="42" s="1"/>
  <c r="H2" i="42" s="1"/>
  <c r="A2" i="41"/>
  <c r="G7" i="41"/>
  <c r="G8" i="41" s="1"/>
  <c r="F36" i="13" s="1"/>
  <c r="H6" i="41"/>
  <c r="H8" i="41" s="1"/>
  <c r="H2" i="41" s="1"/>
  <c r="A2" i="40"/>
  <c r="B2" i="40"/>
  <c r="H6" i="40"/>
  <c r="H8" i="40" s="1"/>
  <c r="H2" i="40" s="1"/>
  <c r="E7" i="39"/>
  <c r="G7" i="39" s="1"/>
  <c r="A2" i="39"/>
  <c r="H6" i="39"/>
  <c r="H8" i="39" s="1"/>
  <c r="H2" i="39" s="1"/>
  <c r="A2" i="38"/>
  <c r="E7" i="38"/>
  <c r="G7" i="38" s="1"/>
  <c r="H6" i="38"/>
  <c r="H8" i="38" s="1"/>
  <c r="H2" i="38" s="1"/>
  <c r="A2" i="37"/>
  <c r="H6" i="37"/>
  <c r="H8" i="37" s="1"/>
  <c r="H2" i="37" s="1"/>
  <c r="E8" i="36"/>
  <c r="G8" i="36" s="1"/>
  <c r="H6" i="36"/>
  <c r="H9" i="36" s="1"/>
  <c r="H2" i="36" s="1"/>
  <c r="E7" i="35"/>
  <c r="A2" i="35"/>
  <c r="B2" i="35"/>
  <c r="G7" i="35"/>
  <c r="G8" i="35" s="1"/>
  <c r="H6" i="35"/>
  <c r="H8" i="35" s="1"/>
  <c r="H2" i="35" s="1"/>
  <c r="E7" i="33"/>
  <c r="A2" i="33"/>
  <c r="G7" i="33"/>
  <c r="H6" i="33"/>
  <c r="H8" i="33" s="1"/>
  <c r="H2" i="33" s="1"/>
  <c r="E7" i="32"/>
  <c r="G7" i="32" s="1"/>
  <c r="G8" i="32" s="1"/>
  <c r="A2" i="32"/>
  <c r="H6" i="32"/>
  <c r="H8" i="32" s="1"/>
  <c r="H2" i="32" s="1"/>
  <c r="E7" i="31"/>
  <c r="G7" i="31" s="1"/>
  <c r="A2" i="31"/>
  <c r="B2" i="31"/>
  <c r="H6" i="31"/>
  <c r="H8" i="31" s="1"/>
  <c r="H2" i="31" s="1"/>
  <c r="B2" i="30"/>
  <c r="A2" i="30"/>
  <c r="G7" i="30"/>
  <c r="G8" i="30" s="1"/>
  <c r="H6" i="30"/>
  <c r="H8" i="30" s="1"/>
  <c r="H2" i="30" s="1"/>
  <c r="B2" i="29"/>
  <c r="A2" i="29"/>
  <c r="H9" i="29"/>
  <c r="H2" i="29" s="1"/>
  <c r="G7" i="29"/>
  <c r="G9" i="29" s="1"/>
  <c r="F19" i="13" s="1"/>
  <c r="H6" i="29"/>
  <c r="A2" i="28"/>
  <c r="G7" i="28"/>
  <c r="G2" i="28" s="1"/>
  <c r="H6" i="28"/>
  <c r="H9" i="28" s="1"/>
  <c r="H2" i="28" s="1"/>
  <c r="F17" i="13"/>
  <c r="A2" i="27"/>
  <c r="H9" i="27"/>
  <c r="H2" i="27" s="1"/>
  <c r="G7" i="27"/>
  <c r="G9" i="27" s="1"/>
  <c r="H6" i="27"/>
  <c r="E7" i="26"/>
  <c r="G7" i="26" s="1"/>
  <c r="G9" i="26" s="1"/>
  <c r="F12" i="13"/>
  <c r="D12" i="13"/>
  <c r="A2" i="25"/>
  <c r="E7" i="24"/>
  <c r="G7" i="24" s="1"/>
  <c r="G9" i="24" s="1"/>
  <c r="A2" i="24"/>
  <c r="H6" i="26"/>
  <c r="H9" i="26" s="1"/>
  <c r="H2" i="26" s="1"/>
  <c r="F2" i="26"/>
  <c r="E7" i="25"/>
  <c r="G7" i="25" s="1"/>
  <c r="G9" i="25" s="1"/>
  <c r="H6" i="25"/>
  <c r="H9" i="25" s="1"/>
  <c r="H2" i="25" s="1"/>
  <c r="H6" i="24"/>
  <c r="H9" i="24" s="1"/>
  <c r="H2" i="24" s="1"/>
  <c r="F2" i="24"/>
  <c r="G7" i="23"/>
  <c r="G9" i="23" s="1"/>
  <c r="F10" i="13" s="1"/>
  <c r="A2" i="23"/>
  <c r="H6" i="23"/>
  <c r="H9" i="23" s="1"/>
  <c r="H2" i="23" s="1"/>
  <c r="F2" i="23"/>
  <c r="G2" i="26" l="1"/>
  <c r="F11" i="13"/>
  <c r="G2" i="24"/>
  <c r="G2" i="23"/>
  <c r="G2" i="25"/>
  <c r="G8" i="52"/>
  <c r="F56" i="13" s="1"/>
  <c r="G2" i="52"/>
  <c r="G8" i="51"/>
  <c r="F53" i="13" s="1"/>
  <c r="G2" i="51"/>
  <c r="G8" i="50"/>
  <c r="F50" i="13" s="1"/>
  <c r="G2" i="50"/>
  <c r="G8" i="49"/>
  <c r="F49" i="13" s="1"/>
  <c r="G2" i="49"/>
  <c r="G8" i="47"/>
  <c r="F46" i="13" s="1"/>
  <c r="G2" i="47"/>
  <c r="G2" i="46"/>
  <c r="G2" i="45"/>
  <c r="G8" i="44"/>
  <c r="G2" i="43"/>
  <c r="G2" i="42"/>
  <c r="G2" i="41"/>
  <c r="G2" i="40"/>
  <c r="G8" i="39"/>
  <c r="G2" i="39"/>
  <c r="G8" i="38"/>
  <c r="G2" i="38"/>
  <c r="G8" i="37"/>
  <c r="G2" i="37"/>
  <c r="G9" i="36"/>
  <c r="F24" i="13"/>
  <c r="G2" i="35"/>
  <c r="G8" i="33"/>
  <c r="G2" i="33"/>
  <c r="G2" i="32"/>
  <c r="G8" i="31"/>
  <c r="G2" i="31"/>
  <c r="G2" i="30"/>
  <c r="G2" i="29"/>
  <c r="G9" i="28"/>
  <c r="F18" i="13" s="1"/>
  <c r="G2" i="27"/>
  <c r="C29" i="22"/>
  <c r="E24" i="22"/>
  <c r="D24" i="22"/>
  <c r="E21" i="22"/>
  <c r="D21" i="22"/>
  <c r="J20" i="21"/>
  <c r="J19" i="21"/>
  <c r="J18" i="21"/>
  <c r="J17" i="21"/>
  <c r="F11" i="21"/>
  <c r="G11" i="21" s="1"/>
  <c r="J11" i="21" s="1"/>
  <c r="F10" i="21"/>
  <c r="G10" i="21" s="1"/>
  <c r="J10" i="21" s="1"/>
  <c r="F9" i="21"/>
  <c r="G9" i="21" s="1"/>
  <c r="J9" i="21" s="1"/>
  <c r="F8" i="21"/>
  <c r="G8" i="21" s="1"/>
  <c r="J8" i="21" s="1"/>
  <c r="F20" i="13" l="1"/>
  <c r="F21" i="13"/>
  <c r="J22" i="21"/>
  <c r="E29" i="22"/>
  <c r="E30" i="22" s="1"/>
  <c r="J13" i="21"/>
  <c r="E31" i="22"/>
  <c r="E33" i="22" s="1"/>
  <c r="E35" i="22" s="1"/>
  <c r="D29" i="22"/>
  <c r="D30" i="22" s="1"/>
  <c r="D31" i="22" s="1"/>
  <c r="D33" i="22" s="1"/>
  <c r="D35" i="22" s="1"/>
  <c r="K41" i="21" l="1"/>
  <c r="J28" i="21" s="1"/>
  <c r="J29" i="21" l="1"/>
  <c r="J31" i="21" s="1"/>
  <c r="J35" i="21"/>
  <c r="J38" i="21" s="1"/>
  <c r="K43" i="21" s="1"/>
  <c r="H102" i="13"/>
  <c r="H101" i="13"/>
  <c r="H100" i="13"/>
  <c r="H99" i="13"/>
  <c r="H98" i="13"/>
  <c r="H97" i="13"/>
  <c r="H96" i="13"/>
  <c r="H95" i="13"/>
  <c r="H94" i="13"/>
  <c r="H93" i="13"/>
  <c r="H92" i="13"/>
  <c r="H91" i="13"/>
  <c r="H90" i="13"/>
  <c r="H89" i="13"/>
  <c r="H88" i="13"/>
  <c r="H87" i="13"/>
  <c r="H86" i="13"/>
  <c r="H85" i="13"/>
  <c r="H84" i="13"/>
  <c r="H83" i="13"/>
  <c r="H82" i="13"/>
  <c r="H81" i="13"/>
  <c r="H79" i="13"/>
  <c r="H80" i="13"/>
  <c r="H78" i="13"/>
  <c r="H77" i="13"/>
  <c r="H76" i="13"/>
  <c r="H75" i="13"/>
  <c r="H74" i="13" l="1"/>
  <c r="H110" i="13"/>
  <c r="E133" i="11"/>
  <c r="C133" i="11"/>
  <c r="C81" i="11"/>
  <c r="C83" i="11"/>
  <c r="C85" i="11"/>
  <c r="C87" i="11"/>
  <c r="C89" i="11"/>
  <c r="C91" i="11"/>
  <c r="C93" i="11"/>
  <c r="C95" i="11"/>
  <c r="C97" i="11"/>
  <c r="C99" i="11"/>
  <c r="C101" i="11"/>
  <c r="C103" i="11"/>
  <c r="C105" i="11"/>
  <c r="C107" i="11"/>
  <c r="C109" i="11"/>
  <c r="C111" i="11"/>
  <c r="C113" i="11"/>
  <c r="C115" i="11"/>
  <c r="C117" i="11"/>
  <c r="C119" i="11"/>
  <c r="C121" i="11"/>
  <c r="C123" i="11"/>
  <c r="C125" i="11"/>
  <c r="C127" i="11"/>
  <c r="C129" i="11"/>
  <c r="C131" i="11"/>
  <c r="C79" i="11"/>
  <c r="E131" i="11"/>
  <c r="E129" i="11"/>
  <c r="E127" i="11"/>
  <c r="E125" i="11"/>
  <c r="E123" i="11"/>
  <c r="E121" i="11"/>
  <c r="E119" i="11"/>
  <c r="E117" i="11"/>
  <c r="E115" i="11"/>
  <c r="E113" i="11"/>
  <c r="E111" i="11"/>
  <c r="E109" i="11"/>
  <c r="E107" i="11"/>
  <c r="E105" i="11"/>
  <c r="E103" i="11"/>
  <c r="E101" i="11"/>
  <c r="E99" i="11"/>
  <c r="E97" i="11"/>
  <c r="E95" i="11"/>
  <c r="E93" i="11"/>
  <c r="E91" i="11"/>
  <c r="E89" i="11"/>
  <c r="E87" i="11"/>
  <c r="E85" i="11"/>
  <c r="E83" i="11"/>
  <c r="E81" i="11"/>
  <c r="E79" i="11"/>
  <c r="E71" i="11"/>
  <c r="E69" i="11"/>
  <c r="C69" i="11"/>
  <c r="E67" i="11"/>
  <c r="C67" i="11"/>
  <c r="E65" i="11"/>
  <c r="E63" i="11"/>
  <c r="E61" i="11"/>
  <c r="E59" i="11"/>
  <c r="E57" i="11"/>
  <c r="E55" i="11"/>
  <c r="E51" i="11"/>
  <c r="E49" i="11"/>
  <c r="C49" i="11"/>
  <c r="E47" i="11"/>
  <c r="E45" i="11"/>
  <c r="E43" i="11"/>
  <c r="E41" i="11"/>
  <c r="E39" i="11"/>
  <c r="E37" i="11"/>
  <c r="E35" i="11"/>
  <c r="E31" i="11"/>
  <c r="E29" i="11"/>
  <c r="E27" i="11"/>
  <c r="C27" i="11"/>
  <c r="E25" i="11"/>
  <c r="E23" i="11"/>
  <c r="E21" i="11"/>
  <c r="E19" i="11"/>
  <c r="C19" i="11"/>
  <c r="E17" i="11"/>
  <c r="C17" i="11"/>
  <c r="E15" i="11"/>
  <c r="C15" i="11"/>
  <c r="E13" i="11"/>
  <c r="E11" i="11"/>
  <c r="E9" i="11"/>
  <c r="E7" i="11"/>
  <c r="H113" i="13" l="1"/>
  <c r="H187" i="13" s="1"/>
  <c r="I239" i="11"/>
  <c r="H9" i="54"/>
  <c r="E22" i="19"/>
  <c r="F22" i="19" s="1"/>
  <c r="E25" i="19"/>
  <c r="F25" i="19" s="1"/>
  <c r="F26" i="19"/>
  <c r="F24" i="19"/>
  <c r="E23" i="19"/>
  <c r="F23" i="19" s="1"/>
  <c r="E10" i="19"/>
  <c r="F10" i="19" s="1"/>
  <c r="E11" i="19"/>
  <c r="E12" i="19"/>
  <c r="F12" i="19" s="1"/>
  <c r="E13" i="19"/>
  <c r="F13" i="19" s="1"/>
  <c r="E14" i="19"/>
  <c r="F14" i="19" s="1"/>
  <c r="E15" i="19"/>
  <c r="F15" i="19" s="1"/>
  <c r="E16" i="19"/>
  <c r="F16" i="19" s="1"/>
  <c r="E17" i="19"/>
  <c r="F17" i="19" s="1"/>
  <c r="F9" i="19"/>
  <c r="D46" i="19"/>
  <c r="F46" i="19" s="1"/>
  <c r="D45" i="19"/>
  <c r="F45" i="19" s="1"/>
  <c r="E35" i="19"/>
  <c r="D35" i="19"/>
  <c r="F30" i="19"/>
  <c r="F29" i="19"/>
  <c r="F28" i="19"/>
  <c r="F27" i="19"/>
  <c r="F11" i="19"/>
  <c r="L239" i="11" l="1"/>
  <c r="N239" i="11"/>
  <c r="M239" i="11"/>
  <c r="K239" i="11"/>
  <c r="Q239" i="11"/>
  <c r="J239" i="11"/>
  <c r="R239" i="11"/>
  <c r="O239" i="11"/>
  <c r="G239" i="11"/>
  <c r="G240" i="11" s="1"/>
  <c r="H240" i="11" s="1"/>
  <c r="I240" i="11" s="1"/>
  <c r="J240" i="11" s="1"/>
  <c r="K240" i="11" s="1"/>
  <c r="L240" i="11" s="1"/>
  <c r="M240" i="11" s="1"/>
  <c r="N240" i="11" s="1"/>
  <c r="O240" i="11" s="1"/>
  <c r="P240" i="11" s="1"/>
  <c r="Q240" i="11" s="1"/>
  <c r="R240" i="11" s="1"/>
  <c r="H239" i="11"/>
  <c r="P239" i="11"/>
  <c r="F47" i="19"/>
  <c r="F35" i="19"/>
  <c r="F36" i="19" s="1"/>
  <c r="F31" i="19"/>
  <c r="F18" i="19"/>
  <c r="E240" i="3" l="1"/>
  <c r="E258" i="3" s="1"/>
  <c r="D240" i="3"/>
  <c r="D239" i="3"/>
  <c r="D238" i="3"/>
  <c r="D237" i="3"/>
  <c r="D236" i="3"/>
  <c r="E239" i="3"/>
  <c r="E242" i="3"/>
  <c r="D242" i="3"/>
  <c r="E241" i="3"/>
  <c r="D241" i="3"/>
  <c r="E238" i="3"/>
  <c r="G237" i="3"/>
  <c r="I237" i="3" s="1"/>
  <c r="E237" i="3"/>
  <c r="E236" i="3"/>
  <c r="E235" i="3"/>
  <c r="D235" i="3"/>
  <c r="K234" i="3"/>
  <c r="C21" i="14" l="1"/>
  <c r="C20" i="14"/>
  <c r="C19" i="14"/>
  <c r="C18" i="14"/>
  <c r="C17" i="14"/>
  <c r="C16" i="14"/>
  <c r="C15" i="14"/>
  <c r="C14" i="14"/>
  <c r="C13" i="14"/>
  <c r="C12" i="14"/>
  <c r="C11" i="14"/>
  <c r="C10" i="14"/>
  <c r="C9" i="14"/>
  <c r="C8" i="14"/>
  <c r="B288" i="10" l="1"/>
  <c r="E749" i="3"/>
  <c r="E748" i="3"/>
  <c r="I748" i="3"/>
  <c r="D749" i="3"/>
  <c r="D748" i="3"/>
  <c r="K747" i="3"/>
  <c r="K736" i="3"/>
  <c r="K730" i="3"/>
  <c r="K724" i="3"/>
  <c r="K718" i="3"/>
  <c r="K710" i="3"/>
  <c r="K704" i="3"/>
  <c r="K697" i="3"/>
  <c r="K662" i="3"/>
  <c r="K657" i="3"/>
  <c r="K651" i="3"/>
  <c r="K642" i="3"/>
  <c r="K636" i="3"/>
  <c r="K629" i="3"/>
  <c r="K622" i="3"/>
  <c r="K617" i="3"/>
  <c r="D10" i="13" l="1"/>
  <c r="E10" i="13"/>
  <c r="D11" i="13"/>
  <c r="E11" i="13"/>
  <c r="C7" i="11" l="1"/>
  <c r="B2" i="24"/>
  <c r="C5" i="11"/>
  <c r="B2" i="23"/>
  <c r="J76" i="13"/>
  <c r="K76" i="13" s="1"/>
  <c r="J102" i="13"/>
  <c r="K102" i="13" s="1"/>
  <c r="J97" i="13"/>
  <c r="K97" i="13" s="1"/>
  <c r="J93" i="13"/>
  <c r="K93" i="13" s="1"/>
  <c r="J88" i="13"/>
  <c r="K88" i="13" s="1"/>
  <c r="R102" i="13" l="1"/>
  <c r="T102" i="13"/>
  <c r="T88" i="13"/>
  <c r="R88" i="13"/>
  <c r="R93" i="13"/>
  <c r="T93" i="13"/>
  <c r="T97" i="13"/>
  <c r="R97" i="13"/>
  <c r="R76" i="13"/>
  <c r="T76" i="13"/>
  <c r="E744" i="3"/>
  <c r="D744" i="3"/>
  <c r="E742" i="3"/>
  <c r="E741" i="3"/>
  <c r="E740" i="3"/>
  <c r="E739" i="3"/>
  <c r="E738" i="3"/>
  <c r="D743" i="3"/>
  <c r="D742" i="3"/>
  <c r="D741" i="3"/>
  <c r="D740" i="3"/>
  <c r="D739" i="3"/>
  <c r="D738" i="3"/>
  <c r="G625" i="3"/>
  <c r="I625" i="3" s="1"/>
  <c r="G714" i="3"/>
  <c r="I714" i="3" s="1"/>
  <c r="G712" i="3"/>
  <c r="I712" i="3" s="1"/>
  <c r="G644" i="3"/>
  <c r="I644" i="3" s="1"/>
  <c r="G741" i="3"/>
  <c r="I741" i="3" s="1"/>
  <c r="G740" i="3"/>
  <c r="I740" i="3" s="1"/>
  <c r="G732" i="3"/>
  <c r="I732" i="3" s="1"/>
  <c r="G739" i="3"/>
  <c r="I739" i="3" s="1"/>
  <c r="G664" i="3"/>
  <c r="I664" i="3" s="1"/>
  <c r="G668" i="3"/>
  <c r="I668" i="3" s="1"/>
  <c r="G713" i="3"/>
  <c r="I713" i="3" s="1"/>
  <c r="G626" i="3"/>
  <c r="I626" i="3" s="1"/>
  <c r="G744" i="3"/>
  <c r="I744" i="3" s="1"/>
  <c r="G648" i="3"/>
  <c r="I648" i="3" s="1"/>
  <c r="G632" i="3"/>
  <c r="I632" i="3" s="1"/>
  <c r="G742" i="3"/>
  <c r="I742" i="3" s="1"/>
  <c r="G738" i="3"/>
  <c r="I738" i="3" s="1"/>
  <c r="G706" i="3"/>
  <c r="I706" i="3" s="1"/>
  <c r="G707" i="3"/>
  <c r="I707" i="3" s="1"/>
  <c r="D733" i="3"/>
  <c r="E745" i="3"/>
  <c r="D745" i="3"/>
  <c r="E743" i="3"/>
  <c r="E737" i="3"/>
  <c r="D737" i="3"/>
  <c r="E734" i="3"/>
  <c r="D734" i="3"/>
  <c r="E732" i="3"/>
  <c r="D732" i="3"/>
  <c r="E731" i="3"/>
  <c r="D731" i="3"/>
  <c r="E728" i="3"/>
  <c r="D728" i="3"/>
  <c r="G727" i="3"/>
  <c r="I727" i="3" s="1"/>
  <c r="E727" i="3"/>
  <c r="D727" i="3"/>
  <c r="G726" i="3"/>
  <c r="I726" i="3" s="1"/>
  <c r="E726" i="3"/>
  <c r="D726" i="3"/>
  <c r="E725" i="3"/>
  <c r="D725" i="3"/>
  <c r="G720" i="3"/>
  <c r="I720" i="3" s="1"/>
  <c r="E722" i="3"/>
  <c r="D722" i="3"/>
  <c r="G721" i="3"/>
  <c r="I721" i="3" s="1"/>
  <c r="E721" i="3"/>
  <c r="D721" i="3"/>
  <c r="E720" i="3"/>
  <c r="D720" i="3"/>
  <c r="E719" i="3"/>
  <c r="D719" i="3"/>
  <c r="E716" i="3"/>
  <c r="D716" i="3"/>
  <c r="E715" i="3"/>
  <c r="D715" i="3"/>
  <c r="E714" i="3"/>
  <c r="D714" i="3"/>
  <c r="E713" i="3"/>
  <c r="D713" i="3"/>
  <c r="E712" i="3"/>
  <c r="D712" i="3"/>
  <c r="E711" i="3"/>
  <c r="D711" i="3"/>
  <c r="E708" i="3"/>
  <c r="D708" i="3"/>
  <c r="E707" i="3"/>
  <c r="D707" i="3"/>
  <c r="E706" i="3"/>
  <c r="D706" i="3"/>
  <c r="E705" i="3"/>
  <c r="D705" i="3"/>
  <c r="D699" i="3"/>
  <c r="E702" i="3"/>
  <c r="D702" i="3"/>
  <c r="E701" i="3"/>
  <c r="D701" i="3"/>
  <c r="G700" i="3"/>
  <c r="I700" i="3" s="1"/>
  <c r="E700" i="3"/>
  <c r="D700" i="3"/>
  <c r="E699" i="3"/>
  <c r="E698" i="3"/>
  <c r="D698" i="3"/>
  <c r="D666" i="3"/>
  <c r="D665" i="3"/>
  <c r="G669" i="3"/>
  <c r="I669" i="3" s="1"/>
  <c r="O662" i="3" s="1"/>
  <c r="E669" i="3"/>
  <c r="D669" i="3"/>
  <c r="D668" i="3"/>
  <c r="D667" i="3"/>
  <c r="G701" i="3"/>
  <c r="I701" i="3" s="1"/>
  <c r="O697" i="3" s="1"/>
  <c r="D664" i="3"/>
  <c r="D660" i="3"/>
  <c r="E670" i="3"/>
  <c r="D670" i="3"/>
  <c r="E668" i="3"/>
  <c r="E667" i="3"/>
  <c r="G666" i="3"/>
  <c r="I666" i="3" s="1"/>
  <c r="E666" i="3"/>
  <c r="G665" i="3"/>
  <c r="I665" i="3" s="1"/>
  <c r="E665" i="3"/>
  <c r="E664" i="3"/>
  <c r="E663" i="3"/>
  <c r="D663" i="3"/>
  <c r="E660" i="3"/>
  <c r="G659" i="3"/>
  <c r="I659" i="3" s="1"/>
  <c r="N657" i="3" s="1"/>
  <c r="E659" i="3"/>
  <c r="D659" i="3"/>
  <c r="E658" i="3"/>
  <c r="D658" i="3"/>
  <c r="D648" i="3"/>
  <c r="G646" i="3"/>
  <c r="I646" i="3" s="1"/>
  <c r="E646" i="3"/>
  <c r="G645" i="3"/>
  <c r="I645" i="3" s="1"/>
  <c r="E645" i="3"/>
  <c r="E644" i="3"/>
  <c r="D646" i="3"/>
  <c r="D645" i="3"/>
  <c r="D644" i="3"/>
  <c r="E655" i="3"/>
  <c r="D655" i="3"/>
  <c r="G654" i="3"/>
  <c r="I654" i="3" s="1"/>
  <c r="E654" i="3"/>
  <c r="D654" i="3"/>
  <c r="G653" i="3"/>
  <c r="I653" i="3" s="1"/>
  <c r="E653" i="3"/>
  <c r="D653" i="3"/>
  <c r="E652" i="3"/>
  <c r="D652" i="3"/>
  <c r="E649" i="3"/>
  <c r="D649" i="3"/>
  <c r="E648" i="3"/>
  <c r="G647" i="3"/>
  <c r="I647" i="3" s="1"/>
  <c r="E647" i="3"/>
  <c r="D647" i="3"/>
  <c r="E643" i="3"/>
  <c r="D643" i="3"/>
  <c r="D627" i="3"/>
  <c r="D634" i="3"/>
  <c r="D639" i="3"/>
  <c r="D638" i="3"/>
  <c r="D640" i="3"/>
  <c r="D633" i="3"/>
  <c r="D632" i="3"/>
  <c r="D631" i="3"/>
  <c r="E640" i="3"/>
  <c r="G639" i="3"/>
  <c r="I639" i="3" s="1"/>
  <c r="E639" i="3"/>
  <c r="G638" i="3"/>
  <c r="I638" i="3" s="1"/>
  <c r="E638" i="3"/>
  <c r="E637" i="3"/>
  <c r="D637" i="3"/>
  <c r="E632" i="3"/>
  <c r="E625" i="3"/>
  <c r="E634" i="3"/>
  <c r="E633" i="3"/>
  <c r="E631" i="3"/>
  <c r="E630" i="3"/>
  <c r="D630" i="3"/>
  <c r="G624" i="3"/>
  <c r="I624" i="3" s="1"/>
  <c r="E626" i="3"/>
  <c r="E627" i="3"/>
  <c r="E624" i="3"/>
  <c r="D625" i="3"/>
  <c r="D624" i="3"/>
  <c r="E623" i="3"/>
  <c r="D623" i="3"/>
  <c r="E619" i="3"/>
  <c r="E618" i="3"/>
  <c r="E620" i="3"/>
  <c r="D619" i="3"/>
  <c r="D618" i="3"/>
  <c r="D620" i="3"/>
  <c r="G618" i="3"/>
  <c r="I618" i="3" s="1"/>
  <c r="G715" i="3" l="1"/>
  <c r="I715" i="3" s="1"/>
  <c r="N710" i="3" s="1"/>
  <c r="G743" i="3"/>
  <c r="I743" i="3" s="1"/>
  <c r="O736" i="3" s="1"/>
  <c r="G733" i="3"/>
  <c r="I733" i="3" s="1"/>
  <c r="N730" i="3" s="1"/>
  <c r="N636" i="3"/>
  <c r="N718" i="3"/>
  <c r="N736" i="3"/>
  <c r="N704" i="3"/>
  <c r="N724" i="3"/>
  <c r="N651" i="3"/>
  <c r="N642" i="3"/>
  <c r="N622" i="3"/>
  <c r="V97" i="13" l="1"/>
  <c r="D123" i="11"/>
  <c r="V88" i="13"/>
  <c r="D105" i="11"/>
  <c r="P106" i="11" s="1"/>
  <c r="E106" i="11" s="1"/>
  <c r="V76" i="13"/>
  <c r="D81" i="11"/>
  <c r="V93" i="13"/>
  <c r="D115" i="11"/>
  <c r="V102" i="13"/>
  <c r="D133" i="11"/>
  <c r="O134" i="11" s="1"/>
  <c r="O116" i="11" l="1"/>
  <c r="N116" i="11"/>
  <c r="E134" i="11"/>
  <c r="Q82" i="11"/>
  <c r="P82" i="11"/>
  <c r="O82" i="11"/>
  <c r="Q124" i="11"/>
  <c r="P124" i="11"/>
  <c r="O124" i="11"/>
  <c r="E82" i="11" l="1"/>
  <c r="E124" i="11"/>
  <c r="E116" i="11"/>
  <c r="D40" i="19" l="1"/>
  <c r="D448" i="3"/>
  <c r="D441" i="3"/>
  <c r="D456" i="3"/>
  <c r="E456" i="3"/>
  <c r="K604" i="3" l="1"/>
  <c r="K592" i="3"/>
  <c r="K578" i="3"/>
  <c r="N574" i="3"/>
  <c r="P574" i="3" s="1"/>
  <c r="Q574" i="3" s="1"/>
  <c r="K574" i="3"/>
  <c r="K561" i="3"/>
  <c r="K549" i="3"/>
  <c r="K518" i="3"/>
  <c r="K506" i="3"/>
  <c r="K494" i="3"/>
  <c r="O475" i="3"/>
  <c r="O468" i="3"/>
  <c r="K482" i="3"/>
  <c r="K475" i="3"/>
  <c r="K468" i="3"/>
  <c r="O461" i="3"/>
  <c r="K461" i="3"/>
  <c r="K452" i="3"/>
  <c r="K445" i="3"/>
  <c r="K433" i="3"/>
  <c r="K421" i="3"/>
  <c r="K409" i="3"/>
  <c r="K397" i="3"/>
  <c r="K385" i="3"/>
  <c r="K373" i="3"/>
  <c r="K361" i="3"/>
  <c r="K279" i="3"/>
  <c r="K271" i="3"/>
  <c r="K246" i="3"/>
  <c r="K227" i="3"/>
  <c r="K215" i="3"/>
  <c r="K203" i="3"/>
  <c r="K188" i="3"/>
  <c r="K175" i="3"/>
  <c r="K162" i="3"/>
  <c r="K145" i="3"/>
  <c r="K129" i="3"/>
  <c r="K63" i="3"/>
  <c r="K49" i="3"/>
  <c r="K22" i="3"/>
  <c r="K15" i="3"/>
  <c r="K8" i="3"/>
  <c r="N70" i="13" l="1"/>
  <c r="O70" i="13" s="1"/>
  <c r="O69" i="13" s="1"/>
  <c r="H20" i="14" s="1"/>
  <c r="P70" i="13"/>
  <c r="Q70" i="13" s="1"/>
  <c r="J70" i="13"/>
  <c r="K70" i="13" s="1"/>
  <c r="K69" i="13" s="1"/>
  <c r="D20" i="14" s="1"/>
  <c r="N39" i="13"/>
  <c r="O39" i="13" s="1"/>
  <c r="P21" i="13"/>
  <c r="Q21" i="13" s="1"/>
  <c r="P19" i="13"/>
  <c r="Q19" i="13" s="1"/>
  <c r="P20" i="13"/>
  <c r="Q20" i="13" s="1"/>
  <c r="N21" i="13"/>
  <c r="O21" i="13" s="1"/>
  <c r="N19" i="13"/>
  <c r="O19" i="13" s="1"/>
  <c r="N65" i="13"/>
  <c r="O65" i="13" s="1"/>
  <c r="N10" i="13"/>
  <c r="O10" i="13" s="1"/>
  <c r="N11" i="13"/>
  <c r="O11" i="13" s="1"/>
  <c r="P56" i="13"/>
  <c r="Q56" i="13" s="1"/>
  <c r="N50" i="13"/>
  <c r="O50" i="13" s="1"/>
  <c r="P67" i="13"/>
  <c r="Q67" i="13" s="1"/>
  <c r="P66" i="13"/>
  <c r="Q66" i="13" s="1"/>
  <c r="N53" i="13"/>
  <c r="O53" i="13" s="1"/>
  <c r="P27" i="13"/>
  <c r="Q27" i="13" s="1"/>
  <c r="P46" i="13"/>
  <c r="Q46" i="13" s="1"/>
  <c r="N27" i="13"/>
  <c r="O27" i="13" s="1"/>
  <c r="N56" i="13"/>
  <c r="O56" i="13" s="1"/>
  <c r="P33" i="13"/>
  <c r="Q33" i="13" s="1"/>
  <c r="N67" i="13"/>
  <c r="O67" i="13" s="1"/>
  <c r="N66" i="13"/>
  <c r="O66" i="13" s="1"/>
  <c r="P50" i="13"/>
  <c r="Q50" i="13" s="1"/>
  <c r="P53" i="13"/>
  <c r="Q53" i="13" s="1"/>
  <c r="O74" i="13"/>
  <c r="H21" i="14" s="1"/>
  <c r="M74" i="13"/>
  <c r="F21" i="14" s="1"/>
  <c r="H20" i="9"/>
  <c r="I20" i="9" s="1"/>
  <c r="H20" i="7"/>
  <c r="I20" i="7" s="1"/>
  <c r="H19" i="7"/>
  <c r="I19" i="7" s="1"/>
  <c r="I18" i="7"/>
  <c r="I21" i="7"/>
  <c r="G239" i="3"/>
  <c r="I239" i="3" s="1"/>
  <c r="G240" i="3"/>
  <c r="I240" i="3" s="1"/>
  <c r="G667" i="3"/>
  <c r="I667" i="3" s="1"/>
  <c r="N662" i="3" s="1"/>
  <c r="N33" i="13" s="1"/>
  <c r="O33" i="13" s="1"/>
  <c r="G238" i="3"/>
  <c r="I238" i="3" s="1"/>
  <c r="C10" i="7"/>
  <c r="C8" i="7"/>
  <c r="C9" i="7"/>
  <c r="H17" i="7"/>
  <c r="I17" i="7" s="1"/>
  <c r="G699" i="3"/>
  <c r="I699" i="3" s="1"/>
  <c r="N697" i="3" s="1"/>
  <c r="I574" i="3"/>
  <c r="N46" i="13" l="1"/>
  <c r="O46" i="13" s="1"/>
  <c r="O64" i="13"/>
  <c r="H19" i="14" s="1"/>
  <c r="H16" i="9"/>
  <c r="I16" i="9" s="1"/>
  <c r="C11" i="9"/>
  <c r="C12" i="9"/>
  <c r="C13" i="9"/>
  <c r="G241" i="3"/>
  <c r="I241" i="3" s="1"/>
  <c r="G633" i="3"/>
  <c r="I633" i="3" s="1"/>
  <c r="H17" i="9"/>
  <c r="I17" i="9" s="1"/>
  <c r="I14" i="7"/>
  <c r="G242" i="3"/>
  <c r="I242" i="3" s="1"/>
  <c r="G655" i="3"/>
  <c r="I655" i="3" s="1"/>
  <c r="L651" i="3" s="1"/>
  <c r="G634" i="3"/>
  <c r="I634" i="3" s="1"/>
  <c r="G619" i="3"/>
  <c r="G640" i="3"/>
  <c r="I640" i="3" s="1"/>
  <c r="L636" i="3" s="1"/>
  <c r="G716" i="3"/>
  <c r="I716" i="3" s="1"/>
  <c r="L710" i="3" s="1"/>
  <c r="G734" i="3"/>
  <c r="I734" i="3" s="1"/>
  <c r="L730" i="3" s="1"/>
  <c r="G728" i="3"/>
  <c r="I728" i="3" s="1"/>
  <c r="L724" i="3" s="1"/>
  <c r="G708" i="3"/>
  <c r="I708" i="3" s="1"/>
  <c r="L704" i="3" s="1"/>
  <c r="G660" i="3"/>
  <c r="I660" i="3" s="1"/>
  <c r="L657" i="3" s="1"/>
  <c r="G649" i="3"/>
  <c r="I649" i="3" s="1"/>
  <c r="L642" i="3" s="1"/>
  <c r="G745" i="3"/>
  <c r="I745" i="3" s="1"/>
  <c r="L736" i="3" s="1"/>
  <c r="G627" i="3"/>
  <c r="I627" i="3" s="1"/>
  <c r="L622" i="3" s="1"/>
  <c r="G670" i="3"/>
  <c r="G702" i="3"/>
  <c r="I702" i="3" s="1"/>
  <c r="L697" i="3" s="1"/>
  <c r="G722" i="3"/>
  <c r="I722" i="3" s="1"/>
  <c r="L718" i="3" s="1"/>
  <c r="H18" i="9"/>
  <c r="I18" i="9" s="1"/>
  <c r="Q69" i="13"/>
  <c r="J20" i="14" s="1"/>
  <c r="Q55" i="13"/>
  <c r="J17" i="14" s="1"/>
  <c r="Q52" i="13"/>
  <c r="J16" i="14" s="1"/>
  <c r="O52" i="13"/>
  <c r="H16" i="14" s="1"/>
  <c r="V57" i="13"/>
  <c r="Q74" i="13"/>
  <c r="J21" i="14" s="1"/>
  <c r="V54" i="13"/>
  <c r="I15" i="7"/>
  <c r="I16" i="7"/>
  <c r="C11" i="7"/>
  <c r="I670" i="3" l="1"/>
  <c r="L662" i="3" s="1"/>
  <c r="G675" i="3"/>
  <c r="I675" i="3" s="1"/>
  <c r="J56" i="13"/>
  <c r="K56" i="13" s="1"/>
  <c r="K55" i="13" s="1"/>
  <c r="D17" i="14" s="1"/>
  <c r="J67" i="13"/>
  <c r="K67" i="13" s="1"/>
  <c r="J53" i="13"/>
  <c r="K53" i="13" s="1"/>
  <c r="K52" i="13" s="1"/>
  <c r="D16" i="14" s="1"/>
  <c r="J33" i="13"/>
  <c r="K33" i="13" s="1"/>
  <c r="J50" i="13"/>
  <c r="K50" i="13" s="1"/>
  <c r="J19" i="13"/>
  <c r="K19" i="13" s="1"/>
  <c r="J21" i="13"/>
  <c r="K21" i="13" s="1"/>
  <c r="J46" i="13"/>
  <c r="K46" i="13" s="1"/>
  <c r="J66" i="13"/>
  <c r="K66" i="13" s="1"/>
  <c r="J27" i="13"/>
  <c r="K27" i="13" s="1"/>
  <c r="I25" i="7"/>
  <c r="I25" i="9"/>
  <c r="L629" i="3"/>
  <c r="L234" i="3"/>
  <c r="O55" i="13"/>
  <c r="H17" i="14" s="1"/>
  <c r="B610" i="3"/>
  <c r="B609" i="3"/>
  <c r="B608" i="3"/>
  <c r="B607" i="3"/>
  <c r="B606" i="3"/>
  <c r="B593" i="3"/>
  <c r="B605" i="3" s="1"/>
  <c r="B449" i="3"/>
  <c r="B448" i="3"/>
  <c r="B447" i="3"/>
  <c r="B446" i="3"/>
  <c r="B444" i="3"/>
  <c r="B430" i="3"/>
  <c r="B418" i="3" s="1"/>
  <c r="B429" i="3"/>
  <c r="B417" i="3" s="1"/>
  <c r="B406" i="3"/>
  <c r="B405" i="3"/>
  <c r="B138" i="3"/>
  <c r="B154" i="3" s="1"/>
  <c r="B137" i="3"/>
  <c r="B153" i="3" s="1"/>
  <c r="B126" i="3"/>
  <c r="B142" i="3" s="1"/>
  <c r="B159" i="3" s="1"/>
  <c r="B232" i="3" s="1"/>
  <c r="B256" i="3" s="1"/>
  <c r="B125" i="3"/>
  <c r="B140" i="3"/>
  <c r="B157" i="3" s="1"/>
  <c r="B139" i="3"/>
  <c r="B156" i="3" s="1"/>
  <c r="B136" i="3"/>
  <c r="B152" i="3" s="1"/>
  <c r="B135" i="3"/>
  <c r="B151" i="3" s="1"/>
  <c r="B134" i="3"/>
  <c r="B150" i="3" s="1"/>
  <c r="B229" i="3" s="1"/>
  <c r="B133" i="3"/>
  <c r="B149" i="3" s="1"/>
  <c r="B132" i="3"/>
  <c r="B131" i="3"/>
  <c r="E9" i="10" l="1"/>
  <c r="G778" i="3" s="1"/>
  <c r="I778" i="3" s="1"/>
  <c r="L672" i="3"/>
  <c r="E101" i="10"/>
  <c r="G260" i="3" s="1"/>
  <c r="I260" i="3" s="1"/>
  <c r="G693" i="3"/>
  <c r="I693" i="3" s="1"/>
  <c r="E188" i="10"/>
  <c r="G93" i="3" s="1"/>
  <c r="I93" i="3" s="1"/>
  <c r="N88" i="3" s="1"/>
  <c r="G694" i="3"/>
  <c r="I694" i="3" s="1"/>
  <c r="I266" i="3"/>
  <c r="I267" i="3"/>
  <c r="P30" i="13" s="1"/>
  <c r="Q30" i="13" s="1"/>
  <c r="B141" i="3"/>
  <c r="B158" i="3" s="1"/>
  <c r="B231" i="3" s="1"/>
  <c r="B255" i="3" s="1"/>
  <c r="J20" i="13"/>
  <c r="K20" i="13" s="1"/>
  <c r="B2" i="25"/>
  <c r="D25" i="13"/>
  <c r="E26" i="13"/>
  <c r="F2" i="33" s="1"/>
  <c r="D26" i="13"/>
  <c r="C25" i="11" s="1"/>
  <c r="B155" i="3"/>
  <c r="B252" i="3"/>
  <c r="B230" i="3"/>
  <c r="B147" i="3"/>
  <c r="E31" i="13" s="1"/>
  <c r="B148" i="3"/>
  <c r="N299" i="3" l="1"/>
  <c r="F9" i="10"/>
  <c r="G296" i="3"/>
  <c r="I296" i="3" s="1"/>
  <c r="D31" i="13"/>
  <c r="B2" i="37" s="1"/>
  <c r="N679" i="3"/>
  <c r="G88" i="3"/>
  <c r="G631" i="3"/>
  <c r="I631" i="3" s="1"/>
  <c r="N629" i="3" s="1"/>
  <c r="N20" i="13" s="1"/>
  <c r="O20" i="13" s="1"/>
  <c r="G236" i="3"/>
  <c r="I236" i="3" s="1"/>
  <c r="N234" i="3" s="1"/>
  <c r="P88" i="3"/>
  <c r="E30" i="13"/>
  <c r="N259" i="3"/>
  <c r="N30" i="13" s="1"/>
  <c r="O30" i="13" s="1"/>
  <c r="J30" i="13"/>
  <c r="K30" i="13" s="1"/>
  <c r="D53" i="13"/>
  <c r="G159" i="13"/>
  <c r="H159" i="13" s="1"/>
  <c r="D33" i="13"/>
  <c r="C35" i="11" s="1"/>
  <c r="G165" i="13"/>
  <c r="H165" i="13" s="1"/>
  <c r="E32" i="13"/>
  <c r="D56" i="13"/>
  <c r="G170" i="13"/>
  <c r="H170" i="13" s="1"/>
  <c r="F2" i="40"/>
  <c r="F2" i="38"/>
  <c r="F2" i="39"/>
  <c r="F2" i="37"/>
  <c r="F2" i="42"/>
  <c r="D59" i="13"/>
  <c r="B2" i="55" s="1"/>
  <c r="D60" i="13"/>
  <c r="B2" i="56" s="1"/>
  <c r="C29" i="11"/>
  <c r="C23" i="11"/>
  <c r="B2" i="33"/>
  <c r="C21" i="11"/>
  <c r="B2" i="32"/>
  <c r="C9" i="11"/>
  <c r="D40" i="13"/>
  <c r="E39" i="13"/>
  <c r="E40" i="13"/>
  <c r="D39" i="13"/>
  <c r="E70" i="13"/>
  <c r="D70" i="13"/>
  <c r="C71" i="11" s="1"/>
  <c r="E56" i="13"/>
  <c r="F2" i="52" s="1"/>
  <c r="E66" i="13"/>
  <c r="F2" i="59" s="1"/>
  <c r="E53" i="13"/>
  <c r="E50" i="13"/>
  <c r="E46" i="13"/>
  <c r="E27" i="13"/>
  <c r="F2" i="35" s="1"/>
  <c r="E33" i="13"/>
  <c r="E49" i="13"/>
  <c r="F2" i="49" s="1"/>
  <c r="D49" i="13"/>
  <c r="E19" i="13"/>
  <c r="F2" i="29" s="1"/>
  <c r="E20" i="13"/>
  <c r="F2" i="30" s="1"/>
  <c r="E21" i="13"/>
  <c r="F2" i="31" s="1"/>
  <c r="E17" i="13"/>
  <c r="F2" i="27" s="1"/>
  <c r="D36" i="13"/>
  <c r="D42" i="13"/>
  <c r="D65" i="13"/>
  <c r="E36" i="13"/>
  <c r="E41" i="13"/>
  <c r="E45" i="13"/>
  <c r="E59" i="13"/>
  <c r="D61" i="13"/>
  <c r="D45" i="13"/>
  <c r="D32" i="13"/>
  <c r="E42" i="13"/>
  <c r="D41" i="13"/>
  <c r="D17" i="13"/>
  <c r="E61" i="13"/>
  <c r="F2" i="57" s="1"/>
  <c r="D18" i="13"/>
  <c r="E18" i="13"/>
  <c r="F2" i="28" s="1"/>
  <c r="E60" i="13"/>
  <c r="B277" i="10"/>
  <c r="T159" i="13" l="1"/>
  <c r="U159" i="13" s="1"/>
  <c r="D198" i="11"/>
  <c r="T165" i="13"/>
  <c r="U165" i="13" s="1"/>
  <c r="D206" i="11"/>
  <c r="O207" i="11" s="1"/>
  <c r="E207" i="11" s="1"/>
  <c r="T170" i="13"/>
  <c r="U170" i="13" s="1"/>
  <c r="D216" i="11"/>
  <c r="G131" i="13"/>
  <c r="H131" i="13" s="1"/>
  <c r="N289" i="3"/>
  <c r="Q88" i="3"/>
  <c r="B2" i="39"/>
  <c r="C33" i="11"/>
  <c r="B2" i="51"/>
  <c r="C55" i="11"/>
  <c r="B2" i="52"/>
  <c r="C57" i="11"/>
  <c r="C61" i="11"/>
  <c r="C59" i="11"/>
  <c r="C63" i="11"/>
  <c r="B2" i="57"/>
  <c r="C65" i="11"/>
  <c r="B2" i="58"/>
  <c r="F2" i="56"/>
  <c r="F2" i="55"/>
  <c r="F2" i="51"/>
  <c r="F2" i="50"/>
  <c r="C45" i="11"/>
  <c r="B2" i="45"/>
  <c r="C37" i="11"/>
  <c r="B2" i="41"/>
  <c r="C41" i="11"/>
  <c r="B2" i="43"/>
  <c r="C43" i="11"/>
  <c r="B2" i="44"/>
  <c r="C51" i="11"/>
  <c r="F2" i="47"/>
  <c r="F2" i="46"/>
  <c r="C39" i="11"/>
  <c r="B2" i="42"/>
  <c r="C31" i="11"/>
  <c r="B2" i="38"/>
  <c r="B2" i="49"/>
  <c r="C47" i="11"/>
  <c r="B2" i="46"/>
  <c r="F2" i="44"/>
  <c r="F2" i="45"/>
  <c r="F2" i="43"/>
  <c r="C13" i="11"/>
  <c r="B2" i="28"/>
  <c r="C11" i="11"/>
  <c r="B2" i="27"/>
  <c r="E12" i="13"/>
  <c r="F2" i="25" s="1"/>
  <c r="I619" i="3"/>
  <c r="N217" i="11" l="1"/>
  <c r="M217" i="11"/>
  <c r="O199" i="11"/>
  <c r="E199" i="11" s="1"/>
  <c r="D166" i="11"/>
  <c r="H167" i="11" s="1"/>
  <c r="H130" i="13"/>
  <c r="N25" i="14" s="1"/>
  <c r="O25" i="14" s="1"/>
  <c r="T131" i="13"/>
  <c r="U131" i="13" s="1"/>
  <c r="L617" i="3"/>
  <c r="F605" i="3"/>
  <c r="C40" i="4"/>
  <c r="D40" i="4" s="1"/>
  <c r="E40" i="4" s="1"/>
  <c r="G58" i="4" s="1"/>
  <c r="I58" i="4" s="1"/>
  <c r="F58" i="4" s="1"/>
  <c r="C41" i="4"/>
  <c r="D41" i="4" s="1"/>
  <c r="E41" i="4" s="1"/>
  <c r="G65" i="4" s="1"/>
  <c r="I65" i="4" s="1"/>
  <c r="F65" i="4" s="1"/>
  <c r="H65" i="4" s="1"/>
  <c r="H605" i="3"/>
  <c r="F606" i="3"/>
  <c r="I606" i="3" s="1"/>
  <c r="F607" i="3"/>
  <c r="I607" i="3" s="1"/>
  <c r="F608" i="3"/>
  <c r="I608" i="3" s="1"/>
  <c r="F609" i="3"/>
  <c r="I609" i="3" s="1"/>
  <c r="I610" i="3"/>
  <c r="H593" i="3"/>
  <c r="G594" i="3"/>
  <c r="I594" i="3" s="1"/>
  <c r="G595" i="3"/>
  <c r="I595" i="3" s="1"/>
  <c r="I596" i="3"/>
  <c r="G597" i="3"/>
  <c r="I597" i="3" s="1"/>
  <c r="G598" i="3"/>
  <c r="I598" i="3" s="1"/>
  <c r="H579" i="3"/>
  <c r="I580" i="3"/>
  <c r="I581" i="3"/>
  <c r="I582" i="3"/>
  <c r="I583" i="3"/>
  <c r="I584" i="3"/>
  <c r="I585" i="3"/>
  <c r="I586" i="3"/>
  <c r="H507" i="3"/>
  <c r="I507" i="3" s="1"/>
  <c r="G508" i="3"/>
  <c r="I508" i="3" s="1"/>
  <c r="I509" i="3"/>
  <c r="I510" i="3"/>
  <c r="I511" i="3"/>
  <c r="I512" i="3"/>
  <c r="I513" i="3"/>
  <c r="L506" i="3" s="1"/>
  <c r="I514" i="3"/>
  <c r="O506" i="3" s="1"/>
  <c r="I515" i="3"/>
  <c r="H495" i="3"/>
  <c r="I495" i="3" s="1"/>
  <c r="G496" i="3"/>
  <c r="I496" i="3" s="1"/>
  <c r="I498" i="3"/>
  <c r="I499" i="3"/>
  <c r="I500" i="3"/>
  <c r="I501" i="3"/>
  <c r="L494" i="3" s="1"/>
  <c r="I502" i="3"/>
  <c r="O494" i="3" s="1"/>
  <c r="I503" i="3"/>
  <c r="D10" i="4"/>
  <c r="C11" i="4"/>
  <c r="D11" i="4" s="1"/>
  <c r="E11" i="4" s="1"/>
  <c r="G60" i="4" s="1"/>
  <c r="I60" i="4" s="1"/>
  <c r="F60" i="4" s="1"/>
  <c r="H483" i="3"/>
  <c r="G484" i="3"/>
  <c r="G486" i="3"/>
  <c r="I486" i="3" s="1"/>
  <c r="G487" i="3"/>
  <c r="I487" i="3" s="1"/>
  <c r="G488" i="3"/>
  <c r="I488" i="3" s="1"/>
  <c r="H476" i="3"/>
  <c r="F449" i="3"/>
  <c r="F463" i="3" s="1"/>
  <c r="F470" i="3" s="1"/>
  <c r="H449" i="3"/>
  <c r="H463" i="3" s="1"/>
  <c r="H470" i="3" s="1"/>
  <c r="H477" i="3" s="1"/>
  <c r="H469" i="3"/>
  <c r="H462" i="3"/>
  <c r="F446" i="3"/>
  <c r="H446" i="3"/>
  <c r="H163" i="3"/>
  <c r="H422" i="3"/>
  <c r="G423" i="3"/>
  <c r="I423" i="3" s="1"/>
  <c r="G424" i="3"/>
  <c r="I424" i="3" s="1"/>
  <c r="G425" i="3"/>
  <c r="I425" i="3" s="1"/>
  <c r="G426" i="3"/>
  <c r="I426" i="3" s="1"/>
  <c r="G427" i="3"/>
  <c r="I427" i="3" s="1"/>
  <c r="H410" i="3"/>
  <c r="G411" i="3"/>
  <c r="I411" i="3" s="1"/>
  <c r="G412" i="3"/>
  <c r="I412" i="3" s="1"/>
  <c r="G413" i="3"/>
  <c r="I413" i="3" s="1"/>
  <c r="G414" i="3"/>
  <c r="I414" i="3" s="1"/>
  <c r="G415" i="3"/>
  <c r="I415" i="3" s="1"/>
  <c r="G281" i="3"/>
  <c r="I281" i="3" s="1"/>
  <c r="G282" i="3"/>
  <c r="I282" i="3" s="1"/>
  <c r="G283" i="3"/>
  <c r="I283" i="3" s="1"/>
  <c r="H272" i="3"/>
  <c r="G273" i="3"/>
  <c r="I273" i="3" s="1"/>
  <c r="N271" i="3" s="1"/>
  <c r="D22" i="4"/>
  <c r="C23" i="4"/>
  <c r="D23" i="4" s="1"/>
  <c r="E23" i="4" s="1"/>
  <c r="G62" i="4" s="1"/>
  <c r="I62" i="4" s="1"/>
  <c r="F62" i="4" s="1"/>
  <c r="H62" i="4" s="1"/>
  <c r="H247" i="3"/>
  <c r="G248" i="3"/>
  <c r="I248" i="3" s="1"/>
  <c r="G249" i="3"/>
  <c r="I249" i="3" s="1"/>
  <c r="G250" i="3"/>
  <c r="I250" i="3" s="1"/>
  <c r="G252" i="3"/>
  <c r="I252" i="3" s="1"/>
  <c r="H216" i="3"/>
  <c r="G191" i="3"/>
  <c r="G206" i="3" s="1"/>
  <c r="G53" i="3"/>
  <c r="G193" i="3"/>
  <c r="G208" i="3" s="1"/>
  <c r="G55" i="3"/>
  <c r="G51" i="3"/>
  <c r="H204" i="3"/>
  <c r="G205" i="3"/>
  <c r="I205" i="3" s="1"/>
  <c r="G192" i="3"/>
  <c r="G209" i="3"/>
  <c r="I209" i="3" s="1"/>
  <c r="G190" i="3"/>
  <c r="G194" i="3"/>
  <c r="I194" i="3" s="1"/>
  <c r="H131" i="3"/>
  <c r="F134" i="3"/>
  <c r="F150" i="3" s="1"/>
  <c r="F136" i="3"/>
  <c r="G56" i="3"/>
  <c r="F137" i="3"/>
  <c r="F153" i="3" s="1"/>
  <c r="T382" i="6"/>
  <c r="U382" i="6"/>
  <c r="V382" i="6" s="1"/>
  <c r="W382" i="6" s="1"/>
  <c r="X382" i="6" s="1"/>
  <c r="Y382" i="6" s="1"/>
  <c r="Z382" i="6" s="1"/>
  <c r="AA382" i="6" s="1"/>
  <c r="R382" i="6" s="1"/>
  <c r="F382" i="6" s="1"/>
  <c r="E382" i="6" s="1"/>
  <c r="H137" i="3"/>
  <c r="H153" i="3" s="1"/>
  <c r="T397" i="6"/>
  <c r="U397" i="6" s="1"/>
  <c r="V397" i="6" s="1"/>
  <c r="W397" i="6" s="1"/>
  <c r="X397" i="6" s="1"/>
  <c r="Y397" i="6" s="1"/>
  <c r="Z397" i="6" s="1"/>
  <c r="AA397" i="6" s="1"/>
  <c r="R397" i="6" s="1"/>
  <c r="F397" i="6" s="1"/>
  <c r="E397" i="6" s="1"/>
  <c r="G138" i="3" s="1"/>
  <c r="F139" i="3"/>
  <c r="F156" i="3" s="1"/>
  <c r="T402" i="6"/>
  <c r="U402" i="6"/>
  <c r="V402" i="6" s="1"/>
  <c r="W402" i="6" s="1"/>
  <c r="X402" i="6" s="1"/>
  <c r="Y402" i="6" s="1"/>
  <c r="Z402" i="6" s="1"/>
  <c r="AA402" i="6" s="1"/>
  <c r="R402" i="6" s="1"/>
  <c r="F402" i="6" s="1"/>
  <c r="E402" i="6" s="1"/>
  <c r="G57" i="3" s="1"/>
  <c r="H139" i="3"/>
  <c r="H156" i="3" s="1"/>
  <c r="F140" i="3"/>
  <c r="H140" i="3"/>
  <c r="H157" i="3" s="1"/>
  <c r="H230" i="3" s="1"/>
  <c r="F125" i="3"/>
  <c r="F141" i="3" s="1"/>
  <c r="F158" i="3" s="1"/>
  <c r="H125" i="3"/>
  <c r="H141" i="3" s="1"/>
  <c r="H158" i="3" s="1"/>
  <c r="H231" i="3" s="1"/>
  <c r="F126" i="3"/>
  <c r="F142" i="3" s="1"/>
  <c r="H126" i="3"/>
  <c r="H142" i="3" s="1"/>
  <c r="H159" i="3" s="1"/>
  <c r="H232" i="3" s="1"/>
  <c r="H398" i="3"/>
  <c r="G399" i="3"/>
  <c r="I399" i="3" s="1"/>
  <c r="G400" i="3"/>
  <c r="I400" i="3" s="1"/>
  <c r="G401" i="3"/>
  <c r="I401" i="3" s="1"/>
  <c r="G402" i="3"/>
  <c r="I402" i="3" s="1"/>
  <c r="G403" i="3"/>
  <c r="I403" i="3" s="1"/>
  <c r="H386" i="3"/>
  <c r="G387" i="3"/>
  <c r="I387" i="3" s="1"/>
  <c r="G388" i="3"/>
  <c r="I388" i="3" s="1"/>
  <c r="G389" i="3"/>
  <c r="I389" i="3" s="1"/>
  <c r="G390" i="3"/>
  <c r="I390" i="3" s="1"/>
  <c r="G391" i="3"/>
  <c r="I391" i="3" s="1"/>
  <c r="H147" i="3"/>
  <c r="F154" i="3"/>
  <c r="H154" i="3"/>
  <c r="T413" i="6"/>
  <c r="U413" i="6"/>
  <c r="V413" i="6" s="1"/>
  <c r="W413" i="6" s="1"/>
  <c r="X413" i="6" s="1"/>
  <c r="Y413" i="6" s="1"/>
  <c r="Z413" i="6" s="1"/>
  <c r="AA413" i="6" s="1"/>
  <c r="R413" i="6" s="1"/>
  <c r="F413" i="6" s="1"/>
  <c r="E413" i="6" s="1"/>
  <c r="G155" i="3" s="1"/>
  <c r="I155" i="3" s="1"/>
  <c r="H50" i="3"/>
  <c r="H228" i="3"/>
  <c r="G229" i="3"/>
  <c r="I229" i="3" s="1"/>
  <c r="N227" i="3" s="1"/>
  <c r="N12" i="13" s="1"/>
  <c r="I69" i="3"/>
  <c r="T408" i="6"/>
  <c r="U408" i="6" s="1"/>
  <c r="V408" i="6" s="1"/>
  <c r="W408" i="6"/>
  <c r="X408" i="6" s="1"/>
  <c r="Y408" i="6" s="1"/>
  <c r="Z408" i="6" s="1"/>
  <c r="AA408" i="6" s="1"/>
  <c r="R408" i="6" s="1"/>
  <c r="F408" i="6" s="1"/>
  <c r="E408" i="6" s="1"/>
  <c r="G25" i="3" s="1"/>
  <c r="I25" i="3" s="1"/>
  <c r="O22" i="3" s="1"/>
  <c r="G375" i="3"/>
  <c r="I375" i="3" s="1"/>
  <c r="G364" i="3"/>
  <c r="I364" i="3" s="1"/>
  <c r="G365" i="3"/>
  <c r="G377" i="3" s="1"/>
  <c r="I377" i="3" s="1"/>
  <c r="G366" i="3"/>
  <c r="G378" i="3" s="1"/>
  <c r="I378" i="3" s="1"/>
  <c r="H531" i="3"/>
  <c r="I532" i="3"/>
  <c r="G533" i="3"/>
  <c r="I533" i="3" s="1"/>
  <c r="I534" i="3"/>
  <c r="G535" i="3"/>
  <c r="I535" i="3" s="1"/>
  <c r="G537" i="3" s="1"/>
  <c r="I537" i="3" s="1"/>
  <c r="Z936" i="6"/>
  <c r="AA936" i="6" s="1"/>
  <c r="R936" i="6" s="1"/>
  <c r="F936" i="6" s="1"/>
  <c r="E936" i="6" s="1"/>
  <c r="G536" i="3"/>
  <c r="I536" i="3" s="1"/>
  <c r="G538" i="3"/>
  <c r="I538" i="3" s="1"/>
  <c r="G539" i="3"/>
  <c r="I539" i="3" s="1"/>
  <c r="G540" i="3"/>
  <c r="I540" i="3" s="1"/>
  <c r="I541" i="3"/>
  <c r="G542" i="3"/>
  <c r="I542" i="3" s="1"/>
  <c r="I543" i="3"/>
  <c r="H562" i="3"/>
  <c r="G563" i="3"/>
  <c r="I563" i="3" s="1"/>
  <c r="G566" i="3"/>
  <c r="I566" i="3" s="1"/>
  <c r="I568" i="3"/>
  <c r="I550" i="3"/>
  <c r="I551" i="3"/>
  <c r="G552" i="3"/>
  <c r="I552" i="3" s="1"/>
  <c r="I553" i="3"/>
  <c r="I554" i="3"/>
  <c r="I555" i="3"/>
  <c r="I556" i="3"/>
  <c r="L549" i="3" s="1"/>
  <c r="I557" i="3"/>
  <c r="O549" i="3" s="1"/>
  <c r="I558" i="3"/>
  <c r="H351" i="3"/>
  <c r="G352" i="3"/>
  <c r="I352" i="3" s="1"/>
  <c r="G353" i="3"/>
  <c r="I353" i="3" s="1"/>
  <c r="G354" i="3"/>
  <c r="I354" i="3" s="1"/>
  <c r="D28" i="4"/>
  <c r="E28" i="4" s="1"/>
  <c r="C29" i="4"/>
  <c r="D29" i="4" s="1"/>
  <c r="E29" i="4" s="1"/>
  <c r="G63" i="4" s="1"/>
  <c r="H176" i="3"/>
  <c r="I177" i="3"/>
  <c r="G178" i="3"/>
  <c r="I178" i="3" s="1"/>
  <c r="G179" i="3"/>
  <c r="I179" i="3" s="1"/>
  <c r="G180" i="3"/>
  <c r="I180" i="3" s="1"/>
  <c r="G181" i="3"/>
  <c r="I181" i="3" s="1"/>
  <c r="G182" i="3"/>
  <c r="I182" i="3" s="1"/>
  <c r="T464" i="6"/>
  <c r="U464" i="6" s="1"/>
  <c r="V464" i="6" s="1"/>
  <c r="W464" i="6" s="1"/>
  <c r="X464" i="6" s="1"/>
  <c r="Y464" i="6" s="1"/>
  <c r="Z464" i="6" s="1"/>
  <c r="AA464" i="6" s="1"/>
  <c r="R464" i="6" s="1"/>
  <c r="F464" i="6" s="1"/>
  <c r="E464" i="6" s="1"/>
  <c r="G183" i="3" s="1"/>
  <c r="I183" i="3" s="1"/>
  <c r="H434" i="3"/>
  <c r="G435" i="3"/>
  <c r="I435" i="3" s="1"/>
  <c r="G436" i="3"/>
  <c r="I436" i="3" s="1"/>
  <c r="G437" i="3"/>
  <c r="I437" i="3" s="1"/>
  <c r="G438" i="3"/>
  <c r="I438" i="3" s="1"/>
  <c r="G439" i="3"/>
  <c r="I439" i="3" s="1"/>
  <c r="G363" i="3"/>
  <c r="I363" i="3" s="1"/>
  <c r="H519" i="3"/>
  <c r="I519" i="3" s="1"/>
  <c r="G520" i="3"/>
  <c r="I520" i="3" s="1"/>
  <c r="I521" i="3"/>
  <c r="I522" i="3"/>
  <c r="I523" i="3"/>
  <c r="I524" i="3"/>
  <c r="I525" i="3"/>
  <c r="L518" i="3" s="1"/>
  <c r="I526" i="3"/>
  <c r="O518" i="3" s="1"/>
  <c r="I527" i="3"/>
  <c r="G164" i="3"/>
  <c r="I164" i="3" s="1"/>
  <c r="G165" i="3"/>
  <c r="I165" i="3" s="1"/>
  <c r="G166" i="3"/>
  <c r="I166" i="3" s="1"/>
  <c r="T1111" i="6"/>
  <c r="U1111" i="6" s="1"/>
  <c r="V1111" i="6" s="1"/>
  <c r="W1111" i="6" s="1"/>
  <c r="X1111" i="6" s="1"/>
  <c r="Y1111" i="6" s="1"/>
  <c r="Z1111" i="6" s="1"/>
  <c r="AA1111" i="6" s="1"/>
  <c r="R1111" i="6" s="1"/>
  <c r="F1111" i="6" s="1"/>
  <c r="E1111" i="6" s="1"/>
  <c r="G167" i="3" s="1"/>
  <c r="I167" i="3" s="1"/>
  <c r="T461" i="6"/>
  <c r="U461" i="6" s="1"/>
  <c r="V461" i="6" s="1"/>
  <c r="W461" i="6" s="1"/>
  <c r="X461" i="6" s="1"/>
  <c r="Y461" i="6" s="1"/>
  <c r="Z461" i="6" s="1"/>
  <c r="AA461" i="6" s="1"/>
  <c r="R461" i="6" s="1"/>
  <c r="F461" i="6" s="1"/>
  <c r="E461" i="6" s="1"/>
  <c r="G169" i="3" s="1"/>
  <c r="I169" i="3" s="1"/>
  <c r="H453" i="3"/>
  <c r="G455" i="3"/>
  <c r="I455" i="3" s="1"/>
  <c r="E610" i="3"/>
  <c r="D610" i="3"/>
  <c r="C610" i="3"/>
  <c r="C609" i="3"/>
  <c r="C608" i="3"/>
  <c r="C607" i="3"/>
  <c r="C606" i="3"/>
  <c r="C593" i="3"/>
  <c r="C605" i="3" s="1"/>
  <c r="D583" i="3"/>
  <c r="D597" i="3" s="1"/>
  <c r="D609" i="3" s="1"/>
  <c r="D582" i="3"/>
  <c r="D596" i="3" s="1"/>
  <c r="D608" i="3" s="1"/>
  <c r="D581" i="3"/>
  <c r="D595" i="3" s="1"/>
  <c r="D607" i="3" s="1"/>
  <c r="D594" i="3"/>
  <c r="D606" i="3" s="1"/>
  <c r="D579" i="3"/>
  <c r="D593" i="3" s="1"/>
  <c r="D605" i="3" s="1"/>
  <c r="D150" i="10"/>
  <c r="B150" i="10"/>
  <c r="E583" i="3"/>
  <c r="E597" i="3" s="1"/>
  <c r="E579" i="3"/>
  <c r="E593" i="3" s="1"/>
  <c r="E581" i="3"/>
  <c r="E594" i="3" s="1"/>
  <c r="E585" i="3"/>
  <c r="E586" i="3"/>
  <c r="E584" i="3"/>
  <c r="E582" i="3"/>
  <c r="E580" i="3"/>
  <c r="D586" i="3"/>
  <c r="D585" i="3"/>
  <c r="D584" i="3"/>
  <c r="B143" i="10"/>
  <c r="D224" i="3"/>
  <c r="A2" i="6"/>
  <c r="M6" i="6"/>
  <c r="M7" i="6"/>
  <c r="M8" i="6"/>
  <c r="M9" i="6"/>
  <c r="M10" i="6"/>
  <c r="E214" i="3"/>
  <c r="E221" i="3"/>
  <c r="E68" i="3" s="1"/>
  <c r="E216" i="3"/>
  <c r="D457" i="3"/>
  <c r="D429" i="3"/>
  <c r="D405" i="3" s="1"/>
  <c r="D251" i="3"/>
  <c r="E179" i="3"/>
  <c r="E178" i="3"/>
  <c r="D179" i="3"/>
  <c r="D178" i="3"/>
  <c r="D183" i="3"/>
  <c r="E182" i="3"/>
  <c r="D182" i="3"/>
  <c r="E181" i="3"/>
  <c r="D181" i="3"/>
  <c r="E180" i="3"/>
  <c r="D180" i="3"/>
  <c r="E176" i="3"/>
  <c r="D176" i="3"/>
  <c r="E564" i="3"/>
  <c r="E568" i="3"/>
  <c r="D568" i="3"/>
  <c r="D567" i="3"/>
  <c r="E566" i="3"/>
  <c r="D566" i="3"/>
  <c r="E563" i="3"/>
  <c r="D562" i="3"/>
  <c r="D552" i="3"/>
  <c r="E535" i="3"/>
  <c r="D535" i="3"/>
  <c r="E542" i="3"/>
  <c r="D542" i="3"/>
  <c r="E540" i="3"/>
  <c r="D539" i="3"/>
  <c r="E538" i="3"/>
  <c r="D538" i="3"/>
  <c r="D133" i="10"/>
  <c r="E536" i="3" s="1"/>
  <c r="B133" i="10"/>
  <c r="D536" i="3" s="1"/>
  <c r="E533" i="3"/>
  <c r="D533" i="3"/>
  <c r="E531" i="3"/>
  <c r="D531" i="3"/>
  <c r="E508" i="3"/>
  <c r="E520" i="3"/>
  <c r="E496" i="3"/>
  <c r="E484" i="3"/>
  <c r="D508" i="3"/>
  <c r="D496" i="3"/>
  <c r="E488" i="3"/>
  <c r="E487" i="3"/>
  <c r="D487" i="3"/>
  <c r="E486" i="3"/>
  <c r="D486" i="3"/>
  <c r="D484" i="3"/>
  <c r="D483" i="3"/>
  <c r="E483" i="3"/>
  <c r="D491" i="3"/>
  <c r="D490" i="3"/>
  <c r="D462" i="3"/>
  <c r="D469" i="3" s="1"/>
  <c r="D476" i="3" s="1"/>
  <c r="E165" i="3"/>
  <c r="D165" i="3"/>
  <c r="E455" i="3"/>
  <c r="D455" i="3"/>
  <c r="E454" i="3"/>
  <c r="D454" i="3"/>
  <c r="D453" i="3"/>
  <c r="D446" i="3"/>
  <c r="C444" i="3"/>
  <c r="E444" i="3"/>
  <c r="F444" i="3"/>
  <c r="G444" i="3"/>
  <c r="H444" i="3"/>
  <c r="I444" i="3"/>
  <c r="E445" i="3"/>
  <c r="C446" i="3"/>
  <c r="E446" i="3"/>
  <c r="C447" i="3"/>
  <c r="D447" i="3"/>
  <c r="D463" i="3" s="1"/>
  <c r="D470" i="3" s="1"/>
  <c r="D477" i="3" s="1"/>
  <c r="D489" i="3" s="1"/>
  <c r="E447" i="3"/>
  <c r="F447" i="3"/>
  <c r="H447" i="3"/>
  <c r="E448" i="3"/>
  <c r="F448" i="3"/>
  <c r="H448" i="3"/>
  <c r="D449" i="3"/>
  <c r="E449" i="3"/>
  <c r="E463" i="3" s="1"/>
  <c r="E470" i="3" s="1"/>
  <c r="E477" i="3" s="1"/>
  <c r="E489" i="3" s="1"/>
  <c r="E490" i="3" s="1"/>
  <c r="E491" i="3" s="1"/>
  <c r="E403" i="3"/>
  <c r="D403" i="3"/>
  <c r="E402" i="3"/>
  <c r="D402" i="3"/>
  <c r="E401" i="3"/>
  <c r="D401" i="3"/>
  <c r="E400" i="3"/>
  <c r="E399" i="3"/>
  <c r="D400" i="3"/>
  <c r="D399" i="3"/>
  <c r="D398" i="3"/>
  <c r="E167" i="3"/>
  <c r="D167" i="3"/>
  <c r="E169" i="3"/>
  <c r="D169" i="3"/>
  <c r="E168" i="3"/>
  <c r="D168" i="3"/>
  <c r="E166" i="3"/>
  <c r="D166" i="3"/>
  <c r="E164" i="3"/>
  <c r="D163" i="3"/>
  <c r="E439" i="3"/>
  <c r="D439" i="3"/>
  <c r="E436" i="3"/>
  <c r="E435" i="3"/>
  <c r="D434" i="3"/>
  <c r="B124" i="10"/>
  <c r="D436" i="3" s="1"/>
  <c r="D123" i="10"/>
  <c r="E438" i="3" s="1"/>
  <c r="B123" i="10"/>
  <c r="D438" i="3" s="1"/>
  <c r="D122" i="10"/>
  <c r="E437" i="3" s="1"/>
  <c r="B122" i="10"/>
  <c r="D437" i="3" s="1"/>
  <c r="B121" i="10"/>
  <c r="D435" i="3" s="1"/>
  <c r="B119" i="10"/>
  <c r="D164" i="3" s="1"/>
  <c r="D415" i="3"/>
  <c r="D414" i="3"/>
  <c r="D413" i="3"/>
  <c r="D412" i="3"/>
  <c r="D411" i="3"/>
  <c r="D410" i="3"/>
  <c r="D422" i="3"/>
  <c r="E427" i="3"/>
  <c r="E426" i="3"/>
  <c r="E425" i="3"/>
  <c r="E424" i="3"/>
  <c r="E423" i="3"/>
  <c r="E411" i="3" s="1"/>
  <c r="D425" i="3"/>
  <c r="D424" i="3"/>
  <c r="D423" i="3"/>
  <c r="D391" i="3"/>
  <c r="D427" i="3" s="1"/>
  <c r="D390" i="3"/>
  <c r="D426" i="3" s="1"/>
  <c r="D389" i="3"/>
  <c r="D388" i="3"/>
  <c r="D387" i="3"/>
  <c r="D386" i="3"/>
  <c r="D375" i="3"/>
  <c r="E367" i="3"/>
  <c r="E379" i="3" s="1"/>
  <c r="D367" i="3"/>
  <c r="D379" i="3" s="1"/>
  <c r="E366" i="3"/>
  <c r="E378" i="3" s="1"/>
  <c r="D366" i="3"/>
  <c r="D378" i="3" s="1"/>
  <c r="E365" i="3"/>
  <c r="E377" i="3" s="1"/>
  <c r="D365" i="3"/>
  <c r="D377" i="3" s="1"/>
  <c r="E364" i="3"/>
  <c r="E376" i="3" s="1"/>
  <c r="E363" i="3"/>
  <c r="E375" i="3" s="1"/>
  <c r="D363" i="3"/>
  <c r="D362" i="3"/>
  <c r="D374" i="3" s="1"/>
  <c r="D64" i="3"/>
  <c r="D89" i="3" s="1"/>
  <c r="D216" i="3"/>
  <c r="E252" i="3"/>
  <c r="E253" i="3"/>
  <c r="E256" i="3"/>
  <c r="E254" i="3" s="1"/>
  <c r="E250" i="3"/>
  <c r="E251" i="3"/>
  <c r="D250" i="3"/>
  <c r="D249" i="3"/>
  <c r="D248" i="3"/>
  <c r="D91" i="10"/>
  <c r="E248" i="3" s="1"/>
  <c r="D247" i="3"/>
  <c r="D228" i="3"/>
  <c r="E229" i="3"/>
  <c r="E90" i="3" s="1"/>
  <c r="D229" i="3"/>
  <c r="D90" i="3" s="1"/>
  <c r="D50" i="3"/>
  <c r="D115" i="3" s="1"/>
  <c r="D146" i="3"/>
  <c r="E155" i="3"/>
  <c r="D155" i="3"/>
  <c r="E130" i="3"/>
  <c r="E146" i="3" s="1"/>
  <c r="E228" i="3" s="1"/>
  <c r="E247" i="3" s="1"/>
  <c r="D130" i="3"/>
  <c r="E138" i="3"/>
  <c r="E154" i="3" s="1"/>
  <c r="D138" i="3"/>
  <c r="D154" i="3" s="1"/>
  <c r="D253" i="3" s="1"/>
  <c r="E137" i="3"/>
  <c r="E153" i="3" s="1"/>
  <c r="D137" i="3"/>
  <c r="D153" i="3" s="1"/>
  <c r="C131" i="3"/>
  <c r="D131" i="3"/>
  <c r="D147" i="3" s="1"/>
  <c r="D221" i="3" s="1"/>
  <c r="D68" i="3" s="1"/>
  <c r="C132" i="3"/>
  <c r="C133" i="3"/>
  <c r="C149" i="3" s="1"/>
  <c r="C134" i="3"/>
  <c r="C150" i="3" s="1"/>
  <c r="C229" i="3" s="1"/>
  <c r="C135" i="3"/>
  <c r="C151" i="3" s="1"/>
  <c r="C136" i="3"/>
  <c r="C152" i="3" s="1"/>
  <c r="C139" i="3"/>
  <c r="C156" i="3" s="1"/>
  <c r="C140" i="3"/>
  <c r="C157" i="3" s="1"/>
  <c r="C252" i="3" s="1"/>
  <c r="D140" i="3"/>
  <c r="D157" i="3" s="1"/>
  <c r="D230" i="3" s="1"/>
  <c r="D91" i="3" s="1"/>
  <c r="E140" i="3"/>
  <c r="E157" i="3" s="1"/>
  <c r="E230" i="3" s="1"/>
  <c r="E91" i="3" s="1"/>
  <c r="C125" i="3"/>
  <c r="C141" i="3" s="1"/>
  <c r="C158" i="3" s="1"/>
  <c r="C231" i="3" s="1"/>
  <c r="C255" i="3" s="1"/>
  <c r="D125" i="3"/>
  <c r="D141" i="3" s="1"/>
  <c r="D158" i="3" s="1"/>
  <c r="D231" i="3" s="1"/>
  <c r="E125" i="3"/>
  <c r="E141" i="3" s="1"/>
  <c r="E158" i="3" s="1"/>
  <c r="E231" i="3" s="1"/>
  <c r="E92" i="3" s="1"/>
  <c r="C126" i="3"/>
  <c r="C142" i="3" s="1"/>
  <c r="C159" i="3" s="1"/>
  <c r="C232" i="3" s="1"/>
  <c r="C256" i="3" s="1"/>
  <c r="D126" i="3"/>
  <c r="D142" i="3" s="1"/>
  <c r="D159" i="3" s="1"/>
  <c r="D232" i="3" s="1"/>
  <c r="D256" i="3" s="1"/>
  <c r="E126" i="3"/>
  <c r="E142" i="3" s="1"/>
  <c r="E159" i="3" s="1"/>
  <c r="E232" i="3" s="1"/>
  <c r="E56" i="3"/>
  <c r="D56" i="3"/>
  <c r="E55" i="3"/>
  <c r="D55" i="3"/>
  <c r="E57" i="3"/>
  <c r="D57" i="3"/>
  <c r="E53" i="3"/>
  <c r="D53" i="3"/>
  <c r="D209" i="3"/>
  <c r="E206" i="3"/>
  <c r="E52" i="3" s="1"/>
  <c r="D206" i="3"/>
  <c r="B87" i="10"/>
  <c r="D194" i="3" s="1"/>
  <c r="D204" i="3"/>
  <c r="E193" i="3"/>
  <c r="E208" i="3" s="1"/>
  <c r="E54" i="3" s="1"/>
  <c r="D193" i="3"/>
  <c r="D208" i="3" s="1"/>
  <c r="D54" i="3" s="1"/>
  <c r="E190" i="3"/>
  <c r="E191" i="3"/>
  <c r="E192" i="3"/>
  <c r="E207" i="3" s="1"/>
  <c r="D192" i="3"/>
  <c r="D207" i="3" s="1"/>
  <c r="D191" i="3"/>
  <c r="D52" i="3" s="1"/>
  <c r="D117" i="3" s="1"/>
  <c r="E30" i="3"/>
  <c r="E352" i="3"/>
  <c r="E355" i="3"/>
  <c r="D355" i="3"/>
  <c r="E354" i="3"/>
  <c r="E353" i="3"/>
  <c r="D353" i="3"/>
  <c r="D354" i="3"/>
  <c r="D351" i="3"/>
  <c r="E273" i="3"/>
  <c r="E283" i="3"/>
  <c r="D283" i="3"/>
  <c r="E282" i="3"/>
  <c r="E281" i="3"/>
  <c r="D282" i="3"/>
  <c r="F83" i="10"/>
  <c r="D281" i="3"/>
  <c r="D280" i="3"/>
  <c r="D272" i="3" s="1"/>
  <c r="F82" i="10"/>
  <c r="F77" i="10"/>
  <c r="F76" i="10"/>
  <c r="F75" i="10"/>
  <c r="F74" i="10"/>
  <c r="F73" i="10"/>
  <c r="F72" i="10"/>
  <c r="F71" i="10"/>
  <c r="F68" i="10"/>
  <c r="F64" i="10"/>
  <c r="F62" i="10"/>
  <c r="F59" i="10"/>
  <c r="F55" i="10"/>
  <c r="I54" i="10"/>
  <c r="F53" i="10"/>
  <c r="I52" i="10"/>
  <c r="F52" i="10"/>
  <c r="I51" i="10"/>
  <c r="F40" i="10"/>
  <c r="F35" i="10"/>
  <c r="F27" i="10"/>
  <c r="F24" i="10"/>
  <c r="F22" i="10"/>
  <c r="F21" i="10"/>
  <c r="F20" i="10"/>
  <c r="F16" i="10"/>
  <c r="I15" i="10"/>
  <c r="I14" i="10"/>
  <c r="C429" i="3"/>
  <c r="C417" i="3" s="1"/>
  <c r="C448" i="3"/>
  <c r="C405" i="3"/>
  <c r="C430" i="3"/>
  <c r="C418" i="3" s="1"/>
  <c r="C449" i="3"/>
  <c r="C406" i="3"/>
  <c r="C137" i="3"/>
  <c r="C153" i="3" s="1"/>
  <c r="C138" i="3"/>
  <c r="C154" i="3" s="1"/>
  <c r="E129" i="3"/>
  <c r="E245" i="3"/>
  <c r="D25" i="3"/>
  <c r="T1876" i="6"/>
  <c r="U1876" i="6" s="1"/>
  <c r="V1876" i="6" s="1"/>
  <c r="W1876" i="6" s="1"/>
  <c r="X1876" i="6" s="1"/>
  <c r="Y1876" i="6" s="1"/>
  <c r="Z1876" i="6" s="1"/>
  <c r="AA1876" i="6" s="1"/>
  <c r="R1876" i="6" s="1"/>
  <c r="F1876" i="6" s="1"/>
  <c r="E1876" i="6" s="1"/>
  <c r="T1875" i="6"/>
  <c r="U1875" i="6"/>
  <c r="V1875" i="6" s="1"/>
  <c r="W1875" i="6" s="1"/>
  <c r="X1875" i="6" s="1"/>
  <c r="Y1875" i="6" s="1"/>
  <c r="Z1875" i="6" s="1"/>
  <c r="AA1875" i="6" s="1"/>
  <c r="R1875" i="6" s="1"/>
  <c r="F1875" i="6" s="1"/>
  <c r="E1875" i="6" s="1"/>
  <c r="T1874" i="6"/>
  <c r="U1874" i="6" s="1"/>
  <c r="V1874" i="6" s="1"/>
  <c r="W1874" i="6" s="1"/>
  <c r="X1874" i="6" s="1"/>
  <c r="Y1874" i="6" s="1"/>
  <c r="Z1874" i="6" s="1"/>
  <c r="AA1874" i="6" s="1"/>
  <c r="R1874" i="6" s="1"/>
  <c r="F1874" i="6" s="1"/>
  <c r="E1874" i="6" s="1"/>
  <c r="T1873" i="6"/>
  <c r="U1873" i="6" s="1"/>
  <c r="V1873" i="6" s="1"/>
  <c r="W1873" i="6" s="1"/>
  <c r="X1873" i="6" s="1"/>
  <c r="Y1873" i="6" s="1"/>
  <c r="Z1873" i="6" s="1"/>
  <c r="AA1873" i="6" s="1"/>
  <c r="R1873" i="6" s="1"/>
  <c r="F1873" i="6" s="1"/>
  <c r="E1873" i="6" s="1"/>
  <c r="T1872" i="6"/>
  <c r="U1872" i="6" s="1"/>
  <c r="V1872" i="6" s="1"/>
  <c r="W1872" i="6" s="1"/>
  <c r="X1872" i="6" s="1"/>
  <c r="Y1872" i="6" s="1"/>
  <c r="Z1872" i="6" s="1"/>
  <c r="AA1872" i="6" s="1"/>
  <c r="R1872" i="6" s="1"/>
  <c r="F1872" i="6" s="1"/>
  <c r="E1872" i="6" s="1"/>
  <c r="T1871" i="6"/>
  <c r="U1871" i="6" s="1"/>
  <c r="V1871" i="6" s="1"/>
  <c r="W1871" i="6" s="1"/>
  <c r="X1871" i="6" s="1"/>
  <c r="Y1871" i="6" s="1"/>
  <c r="Z1871" i="6" s="1"/>
  <c r="AA1871" i="6" s="1"/>
  <c r="R1871" i="6" s="1"/>
  <c r="F1871" i="6" s="1"/>
  <c r="E1871" i="6" s="1"/>
  <c r="T1870" i="6"/>
  <c r="U1870" i="6" s="1"/>
  <c r="V1870" i="6" s="1"/>
  <c r="W1870" i="6" s="1"/>
  <c r="X1870" i="6" s="1"/>
  <c r="Y1870" i="6" s="1"/>
  <c r="Z1870" i="6" s="1"/>
  <c r="AA1870" i="6" s="1"/>
  <c r="R1870" i="6" s="1"/>
  <c r="F1870" i="6" s="1"/>
  <c r="E1870" i="6" s="1"/>
  <c r="T1869" i="6"/>
  <c r="U1869" i="6" s="1"/>
  <c r="V1869" i="6" s="1"/>
  <c r="W1869" i="6" s="1"/>
  <c r="X1869" i="6" s="1"/>
  <c r="Y1869" i="6" s="1"/>
  <c r="Z1869" i="6" s="1"/>
  <c r="AA1869" i="6" s="1"/>
  <c r="R1869" i="6" s="1"/>
  <c r="F1869" i="6" s="1"/>
  <c r="E1869" i="6" s="1"/>
  <c r="T1868" i="6"/>
  <c r="U1868" i="6"/>
  <c r="V1868" i="6" s="1"/>
  <c r="W1868" i="6" s="1"/>
  <c r="X1868" i="6" s="1"/>
  <c r="Y1868" i="6" s="1"/>
  <c r="Z1868" i="6" s="1"/>
  <c r="AA1868" i="6" s="1"/>
  <c r="R1868" i="6" s="1"/>
  <c r="F1868" i="6"/>
  <c r="E1868" i="6" s="1"/>
  <c r="D1868" i="6"/>
  <c r="B1868" i="6"/>
  <c r="T1867" i="6"/>
  <c r="U1867" i="6" s="1"/>
  <c r="V1867" i="6" s="1"/>
  <c r="W1867" i="6" s="1"/>
  <c r="X1867" i="6" s="1"/>
  <c r="Y1867" i="6" s="1"/>
  <c r="Z1867" i="6" s="1"/>
  <c r="AA1867" i="6" s="1"/>
  <c r="R1867" i="6" s="1"/>
  <c r="F1867" i="6"/>
  <c r="E1867" i="6" s="1"/>
  <c r="D1867" i="6"/>
  <c r="B1867" i="6"/>
  <c r="T1866" i="6"/>
  <c r="U1866" i="6"/>
  <c r="V1866" i="6"/>
  <c r="W1866" i="6" s="1"/>
  <c r="X1866" i="6" s="1"/>
  <c r="Y1866" i="6" s="1"/>
  <c r="Z1866" i="6" s="1"/>
  <c r="AA1866" i="6" s="1"/>
  <c r="R1866" i="6" s="1"/>
  <c r="F1866" i="6"/>
  <c r="E1866" i="6" s="1"/>
  <c r="D1866" i="6"/>
  <c r="B1866" i="6"/>
  <c r="T1865" i="6"/>
  <c r="U1865" i="6"/>
  <c r="V1865" i="6" s="1"/>
  <c r="W1865" i="6" s="1"/>
  <c r="X1865" i="6" s="1"/>
  <c r="Y1865" i="6" s="1"/>
  <c r="Z1865" i="6" s="1"/>
  <c r="AA1865" i="6" s="1"/>
  <c r="R1865" i="6" s="1"/>
  <c r="F1865" i="6"/>
  <c r="E1865" i="6" s="1"/>
  <c r="D1865" i="6"/>
  <c r="B1865" i="6"/>
  <c r="T1864" i="6"/>
  <c r="U1864" i="6" s="1"/>
  <c r="V1864" i="6" s="1"/>
  <c r="W1864" i="6" s="1"/>
  <c r="X1864" i="6" s="1"/>
  <c r="Y1864" i="6" s="1"/>
  <c r="Z1864" i="6" s="1"/>
  <c r="AA1864" i="6" s="1"/>
  <c r="R1864" i="6" s="1"/>
  <c r="F1864" i="6"/>
  <c r="E1864" i="6" s="1"/>
  <c r="D1864" i="6"/>
  <c r="B1864" i="6"/>
  <c r="T1863" i="6"/>
  <c r="U1863" i="6" s="1"/>
  <c r="V1863" i="6" s="1"/>
  <c r="W1863" i="6" s="1"/>
  <c r="X1863" i="6" s="1"/>
  <c r="Y1863" i="6" s="1"/>
  <c r="Z1863" i="6" s="1"/>
  <c r="AA1863" i="6" s="1"/>
  <c r="R1863" i="6" s="1"/>
  <c r="F1863" i="6"/>
  <c r="E1863" i="6" s="1"/>
  <c r="D1863" i="6"/>
  <c r="B1863" i="6"/>
  <c r="T1862" i="6"/>
  <c r="U1862" i="6"/>
  <c r="V1862" i="6" s="1"/>
  <c r="W1862" i="6" s="1"/>
  <c r="X1862" i="6" s="1"/>
  <c r="Y1862" i="6" s="1"/>
  <c r="Z1862" i="6" s="1"/>
  <c r="AA1862" i="6" s="1"/>
  <c r="R1862" i="6" s="1"/>
  <c r="F1862" i="6"/>
  <c r="E1862" i="6" s="1"/>
  <c r="D1862" i="6"/>
  <c r="B1862" i="6"/>
  <c r="T1861" i="6"/>
  <c r="U1861" i="6"/>
  <c r="V1861" i="6" s="1"/>
  <c r="W1861" i="6" s="1"/>
  <c r="X1861" i="6" s="1"/>
  <c r="Y1861" i="6" s="1"/>
  <c r="Z1861" i="6" s="1"/>
  <c r="AA1861" i="6" s="1"/>
  <c r="R1861" i="6" s="1"/>
  <c r="F1861" i="6"/>
  <c r="E1861" i="6" s="1"/>
  <c r="D1861" i="6"/>
  <c r="B1861" i="6"/>
  <c r="T1860" i="6"/>
  <c r="U1860" i="6"/>
  <c r="V1860" i="6" s="1"/>
  <c r="W1860" i="6" s="1"/>
  <c r="X1860" i="6" s="1"/>
  <c r="Y1860" i="6" s="1"/>
  <c r="Z1860" i="6" s="1"/>
  <c r="AA1860" i="6" s="1"/>
  <c r="R1860" i="6" s="1"/>
  <c r="F1860" i="6"/>
  <c r="E1860" i="6" s="1"/>
  <c r="D1860" i="6"/>
  <c r="B1860" i="6"/>
  <c r="T1859" i="6"/>
  <c r="U1859" i="6"/>
  <c r="V1859" i="6" s="1"/>
  <c r="W1859" i="6" s="1"/>
  <c r="X1859" i="6" s="1"/>
  <c r="Y1859" i="6" s="1"/>
  <c r="Z1859" i="6" s="1"/>
  <c r="AA1859" i="6" s="1"/>
  <c r="R1859" i="6" s="1"/>
  <c r="F1859" i="6"/>
  <c r="E1859" i="6" s="1"/>
  <c r="D1859" i="6"/>
  <c r="B1859" i="6"/>
  <c r="T1858" i="6"/>
  <c r="U1858" i="6" s="1"/>
  <c r="V1858" i="6" s="1"/>
  <c r="W1858" i="6" s="1"/>
  <c r="X1858" i="6" s="1"/>
  <c r="Y1858" i="6" s="1"/>
  <c r="Z1858" i="6" s="1"/>
  <c r="AA1858" i="6" s="1"/>
  <c r="R1858" i="6" s="1"/>
  <c r="F1858" i="6"/>
  <c r="E1858" i="6" s="1"/>
  <c r="D1858" i="6"/>
  <c r="B1858" i="6"/>
  <c r="T1857" i="6"/>
  <c r="U1857" i="6" s="1"/>
  <c r="V1857" i="6" s="1"/>
  <c r="W1857" i="6" s="1"/>
  <c r="X1857" i="6" s="1"/>
  <c r="Y1857" i="6" s="1"/>
  <c r="Z1857" i="6" s="1"/>
  <c r="AA1857" i="6" s="1"/>
  <c r="R1857" i="6" s="1"/>
  <c r="F1857" i="6"/>
  <c r="E1857" i="6" s="1"/>
  <c r="D1857" i="6"/>
  <c r="B1857" i="6"/>
  <c r="T1856" i="6"/>
  <c r="U1856" i="6" s="1"/>
  <c r="V1856" i="6" s="1"/>
  <c r="W1856" i="6" s="1"/>
  <c r="X1856" i="6" s="1"/>
  <c r="Y1856" i="6" s="1"/>
  <c r="Z1856" i="6" s="1"/>
  <c r="AA1856" i="6" s="1"/>
  <c r="R1856" i="6" s="1"/>
  <c r="F1856" i="6"/>
  <c r="E1856" i="6" s="1"/>
  <c r="D1856" i="6"/>
  <c r="B1856" i="6"/>
  <c r="T1855" i="6"/>
  <c r="U1855" i="6" s="1"/>
  <c r="V1855" i="6" s="1"/>
  <c r="W1855" i="6" s="1"/>
  <c r="X1855" i="6" s="1"/>
  <c r="Y1855" i="6" s="1"/>
  <c r="Z1855" i="6" s="1"/>
  <c r="AA1855" i="6" s="1"/>
  <c r="R1855" i="6" s="1"/>
  <c r="F1855" i="6"/>
  <c r="E1855" i="6" s="1"/>
  <c r="D1855" i="6"/>
  <c r="B1855" i="6"/>
  <c r="T1854" i="6"/>
  <c r="U1854" i="6" s="1"/>
  <c r="V1854" i="6" s="1"/>
  <c r="W1854" i="6" s="1"/>
  <c r="X1854" i="6" s="1"/>
  <c r="Y1854" i="6" s="1"/>
  <c r="Z1854" i="6" s="1"/>
  <c r="AA1854" i="6" s="1"/>
  <c r="R1854" i="6" s="1"/>
  <c r="F1854" i="6"/>
  <c r="E1854" i="6" s="1"/>
  <c r="D1854" i="6"/>
  <c r="B1854" i="6"/>
  <c r="T1853" i="6"/>
  <c r="U1853" i="6" s="1"/>
  <c r="V1853" i="6" s="1"/>
  <c r="W1853" i="6" s="1"/>
  <c r="X1853" i="6" s="1"/>
  <c r="Y1853" i="6" s="1"/>
  <c r="Z1853" i="6" s="1"/>
  <c r="AA1853" i="6" s="1"/>
  <c r="R1853" i="6" s="1"/>
  <c r="F1853" i="6"/>
  <c r="E1853" i="6" s="1"/>
  <c r="D1853" i="6"/>
  <c r="B1853" i="6"/>
  <c r="T1852" i="6"/>
  <c r="U1852" i="6" s="1"/>
  <c r="V1852" i="6" s="1"/>
  <c r="W1852" i="6" s="1"/>
  <c r="X1852" i="6" s="1"/>
  <c r="Y1852" i="6" s="1"/>
  <c r="Z1852" i="6" s="1"/>
  <c r="AA1852" i="6" s="1"/>
  <c r="R1852" i="6" s="1"/>
  <c r="F1852" i="6"/>
  <c r="E1852" i="6" s="1"/>
  <c r="D1852" i="6"/>
  <c r="B1852" i="6"/>
  <c r="T1851" i="6"/>
  <c r="U1851" i="6" s="1"/>
  <c r="V1851" i="6" s="1"/>
  <c r="W1851" i="6" s="1"/>
  <c r="X1851" i="6" s="1"/>
  <c r="Y1851" i="6" s="1"/>
  <c r="Z1851" i="6" s="1"/>
  <c r="AA1851" i="6" s="1"/>
  <c r="R1851" i="6" s="1"/>
  <c r="F1851" i="6"/>
  <c r="E1851" i="6" s="1"/>
  <c r="D1851" i="6"/>
  <c r="B1851" i="6"/>
  <c r="T1850" i="6"/>
  <c r="U1850" i="6" s="1"/>
  <c r="V1850" i="6" s="1"/>
  <c r="W1850" i="6" s="1"/>
  <c r="X1850" i="6" s="1"/>
  <c r="Y1850" i="6" s="1"/>
  <c r="Z1850" i="6" s="1"/>
  <c r="AA1850" i="6" s="1"/>
  <c r="R1850" i="6" s="1"/>
  <c r="F1850" i="6"/>
  <c r="E1850" i="6" s="1"/>
  <c r="D1850" i="6"/>
  <c r="B1850" i="6"/>
  <c r="T1849" i="6"/>
  <c r="U1849" i="6"/>
  <c r="V1849" i="6"/>
  <c r="W1849" i="6" s="1"/>
  <c r="X1849" i="6" s="1"/>
  <c r="Y1849" i="6" s="1"/>
  <c r="Z1849" i="6" s="1"/>
  <c r="AA1849" i="6" s="1"/>
  <c r="R1849" i="6" s="1"/>
  <c r="F1849" i="6"/>
  <c r="E1849" i="6" s="1"/>
  <c r="D1849" i="6"/>
  <c r="B1849" i="6"/>
  <c r="T1848" i="6"/>
  <c r="U1848" i="6"/>
  <c r="V1848" i="6"/>
  <c r="W1848" i="6" s="1"/>
  <c r="X1848" i="6" s="1"/>
  <c r="Y1848" i="6" s="1"/>
  <c r="Z1848" i="6" s="1"/>
  <c r="AA1848" i="6" s="1"/>
  <c r="R1848" i="6" s="1"/>
  <c r="F1848" i="6"/>
  <c r="E1848" i="6" s="1"/>
  <c r="D1848" i="6"/>
  <c r="B1848" i="6"/>
  <c r="T1847" i="6"/>
  <c r="U1847" i="6"/>
  <c r="V1847" i="6"/>
  <c r="W1847" i="6"/>
  <c r="X1847" i="6" s="1"/>
  <c r="Y1847" i="6" s="1"/>
  <c r="Z1847" i="6"/>
  <c r="AA1847" i="6" s="1"/>
  <c r="R1847" i="6" s="1"/>
  <c r="F1847" i="6"/>
  <c r="E1847" i="6" s="1"/>
  <c r="D1847" i="6"/>
  <c r="B1847" i="6"/>
  <c r="T1846" i="6"/>
  <c r="U1846" i="6"/>
  <c r="V1846" i="6"/>
  <c r="W1846" i="6" s="1"/>
  <c r="X1846" i="6" s="1"/>
  <c r="Y1846" i="6" s="1"/>
  <c r="Z1846" i="6" s="1"/>
  <c r="AA1846" i="6" s="1"/>
  <c r="R1846" i="6" s="1"/>
  <c r="E1846" i="6"/>
  <c r="T1845" i="6"/>
  <c r="U1845" i="6" s="1"/>
  <c r="V1845" i="6" s="1"/>
  <c r="W1845" i="6" s="1"/>
  <c r="X1845" i="6"/>
  <c r="Y1845" i="6" s="1"/>
  <c r="Z1845" i="6" s="1"/>
  <c r="AA1845" i="6" s="1"/>
  <c r="R1845" i="6" s="1"/>
  <c r="F1845" i="6"/>
  <c r="E1845" i="6" s="1"/>
  <c r="D1845" i="6"/>
  <c r="B1845" i="6"/>
  <c r="T1844" i="6"/>
  <c r="U1844" i="6"/>
  <c r="V1844" i="6" s="1"/>
  <c r="W1844" i="6" s="1"/>
  <c r="X1844" i="6"/>
  <c r="Y1844" i="6" s="1"/>
  <c r="Z1844" i="6" s="1"/>
  <c r="AA1844" i="6" s="1"/>
  <c r="R1844" i="6" s="1"/>
  <c r="F1844" i="6"/>
  <c r="E1844" i="6" s="1"/>
  <c r="D1844" i="6"/>
  <c r="B1844" i="6"/>
  <c r="T1843" i="6"/>
  <c r="U1843" i="6" s="1"/>
  <c r="V1843" i="6" s="1"/>
  <c r="W1843" i="6" s="1"/>
  <c r="X1843" i="6" s="1"/>
  <c r="Y1843" i="6" s="1"/>
  <c r="Z1843" i="6" s="1"/>
  <c r="AA1843" i="6" s="1"/>
  <c r="R1843" i="6" s="1"/>
  <c r="F1843" i="6"/>
  <c r="E1843" i="6" s="1"/>
  <c r="D1843" i="6"/>
  <c r="B1843" i="6"/>
  <c r="T1842" i="6"/>
  <c r="U1842" i="6"/>
  <c r="V1842" i="6" s="1"/>
  <c r="W1842" i="6" s="1"/>
  <c r="X1842" i="6" s="1"/>
  <c r="Y1842" i="6" s="1"/>
  <c r="Z1842" i="6" s="1"/>
  <c r="AA1842" i="6" s="1"/>
  <c r="R1842" i="6" s="1"/>
  <c r="F1842" i="6"/>
  <c r="E1842" i="6" s="1"/>
  <c r="D1842" i="6"/>
  <c r="B1842" i="6"/>
  <c r="T1841" i="6"/>
  <c r="U1841" i="6"/>
  <c r="V1841" i="6" s="1"/>
  <c r="W1841" i="6" s="1"/>
  <c r="X1841" i="6" s="1"/>
  <c r="Y1841" i="6" s="1"/>
  <c r="Z1841" i="6" s="1"/>
  <c r="AA1841" i="6" s="1"/>
  <c r="R1841" i="6" s="1"/>
  <c r="F1841" i="6"/>
  <c r="E1841" i="6" s="1"/>
  <c r="D1841" i="6"/>
  <c r="B1841" i="6"/>
  <c r="T1840" i="6"/>
  <c r="U1840" i="6" s="1"/>
  <c r="V1840" i="6" s="1"/>
  <c r="W1840" i="6" s="1"/>
  <c r="X1840" i="6" s="1"/>
  <c r="Y1840" i="6" s="1"/>
  <c r="Z1840" i="6" s="1"/>
  <c r="AA1840" i="6" s="1"/>
  <c r="R1840" i="6" s="1"/>
  <c r="F1840" i="6"/>
  <c r="E1840" i="6" s="1"/>
  <c r="D1840" i="6"/>
  <c r="B1840" i="6"/>
  <c r="T1839" i="6"/>
  <c r="U1839" i="6" s="1"/>
  <c r="V1839" i="6" s="1"/>
  <c r="W1839" i="6" s="1"/>
  <c r="X1839" i="6" s="1"/>
  <c r="Y1839" i="6" s="1"/>
  <c r="Z1839" i="6" s="1"/>
  <c r="AA1839" i="6"/>
  <c r="R1839" i="6" s="1"/>
  <c r="F1839" i="6"/>
  <c r="E1839" i="6" s="1"/>
  <c r="D1839" i="6"/>
  <c r="B1839" i="6"/>
  <c r="T1838" i="6"/>
  <c r="U1838" i="6" s="1"/>
  <c r="V1838" i="6" s="1"/>
  <c r="W1838" i="6" s="1"/>
  <c r="X1838" i="6" s="1"/>
  <c r="Y1838" i="6" s="1"/>
  <c r="Z1838" i="6" s="1"/>
  <c r="AA1838" i="6" s="1"/>
  <c r="R1838" i="6" s="1"/>
  <c r="F1838" i="6"/>
  <c r="E1838" i="6" s="1"/>
  <c r="D1838" i="6"/>
  <c r="B1838" i="6"/>
  <c r="T1837" i="6"/>
  <c r="U1837" i="6"/>
  <c r="V1837" i="6" s="1"/>
  <c r="W1837" i="6" s="1"/>
  <c r="X1837" i="6" s="1"/>
  <c r="Y1837" i="6" s="1"/>
  <c r="Z1837" i="6" s="1"/>
  <c r="AA1837" i="6" s="1"/>
  <c r="R1837" i="6" s="1"/>
  <c r="F1837" i="6"/>
  <c r="E1837" i="6" s="1"/>
  <c r="D1837" i="6"/>
  <c r="B1837" i="6"/>
  <c r="T1836" i="6"/>
  <c r="U1836" i="6" s="1"/>
  <c r="V1836" i="6" s="1"/>
  <c r="W1836" i="6" s="1"/>
  <c r="X1836" i="6" s="1"/>
  <c r="Y1836" i="6" s="1"/>
  <c r="Z1836" i="6" s="1"/>
  <c r="AA1836" i="6" s="1"/>
  <c r="R1836" i="6" s="1"/>
  <c r="F1836" i="6"/>
  <c r="E1836" i="6" s="1"/>
  <c r="D1836" i="6"/>
  <c r="B1836" i="6"/>
  <c r="T1835" i="6"/>
  <c r="U1835" i="6" s="1"/>
  <c r="V1835" i="6" s="1"/>
  <c r="W1835" i="6" s="1"/>
  <c r="X1835" i="6" s="1"/>
  <c r="Y1835" i="6" s="1"/>
  <c r="Z1835" i="6" s="1"/>
  <c r="AA1835" i="6" s="1"/>
  <c r="R1835" i="6" s="1"/>
  <c r="F1835" i="6"/>
  <c r="E1835" i="6" s="1"/>
  <c r="D1835" i="6"/>
  <c r="B1835" i="6"/>
  <c r="T1834" i="6"/>
  <c r="U1834" i="6"/>
  <c r="V1834" i="6" s="1"/>
  <c r="W1834" i="6" s="1"/>
  <c r="X1834" i="6" s="1"/>
  <c r="Y1834" i="6" s="1"/>
  <c r="Z1834" i="6" s="1"/>
  <c r="AA1834" i="6" s="1"/>
  <c r="R1834" i="6" s="1"/>
  <c r="F1834" i="6"/>
  <c r="E1834" i="6" s="1"/>
  <c r="D1834" i="6"/>
  <c r="B1834" i="6"/>
  <c r="T1833" i="6"/>
  <c r="U1833" i="6" s="1"/>
  <c r="V1833" i="6" s="1"/>
  <c r="W1833" i="6" s="1"/>
  <c r="X1833" i="6" s="1"/>
  <c r="Y1833" i="6" s="1"/>
  <c r="Z1833" i="6" s="1"/>
  <c r="AA1833" i="6" s="1"/>
  <c r="R1833" i="6" s="1"/>
  <c r="F1833" i="6"/>
  <c r="E1833" i="6" s="1"/>
  <c r="D1833" i="6"/>
  <c r="B1833" i="6"/>
  <c r="T1832" i="6"/>
  <c r="U1832" i="6" s="1"/>
  <c r="V1832" i="6" s="1"/>
  <c r="W1832" i="6" s="1"/>
  <c r="X1832" i="6" s="1"/>
  <c r="Y1832" i="6" s="1"/>
  <c r="Z1832" i="6" s="1"/>
  <c r="AA1832" i="6" s="1"/>
  <c r="R1832" i="6" s="1"/>
  <c r="F1832" i="6"/>
  <c r="E1832" i="6" s="1"/>
  <c r="D1832" i="6"/>
  <c r="B1832" i="6"/>
  <c r="T1831" i="6"/>
  <c r="U1831" i="6"/>
  <c r="V1831" i="6" s="1"/>
  <c r="W1831" i="6" s="1"/>
  <c r="X1831" i="6" s="1"/>
  <c r="Y1831" i="6" s="1"/>
  <c r="Z1831" i="6" s="1"/>
  <c r="AA1831" i="6" s="1"/>
  <c r="R1831" i="6" s="1"/>
  <c r="F1831" i="6"/>
  <c r="E1831" i="6" s="1"/>
  <c r="D1831" i="6"/>
  <c r="B1831" i="6"/>
  <c r="T1830" i="6"/>
  <c r="U1830" i="6" s="1"/>
  <c r="V1830" i="6" s="1"/>
  <c r="W1830" i="6" s="1"/>
  <c r="X1830" i="6" s="1"/>
  <c r="Y1830" i="6" s="1"/>
  <c r="Z1830" i="6" s="1"/>
  <c r="AA1830" i="6" s="1"/>
  <c r="R1830" i="6" s="1"/>
  <c r="F1830" i="6"/>
  <c r="E1830" i="6" s="1"/>
  <c r="D1830" i="6"/>
  <c r="B1830" i="6"/>
  <c r="T1829" i="6"/>
  <c r="U1829" i="6"/>
  <c r="V1829" i="6" s="1"/>
  <c r="W1829" i="6" s="1"/>
  <c r="X1829" i="6" s="1"/>
  <c r="Y1829" i="6" s="1"/>
  <c r="Z1829" i="6" s="1"/>
  <c r="AA1829" i="6" s="1"/>
  <c r="R1829" i="6" s="1"/>
  <c r="F1829" i="6"/>
  <c r="E1829" i="6" s="1"/>
  <c r="D1829" i="6"/>
  <c r="B1829" i="6"/>
  <c r="T1828" i="6"/>
  <c r="U1828" i="6" s="1"/>
  <c r="V1828" i="6" s="1"/>
  <c r="W1828" i="6" s="1"/>
  <c r="X1828" i="6" s="1"/>
  <c r="Y1828" i="6" s="1"/>
  <c r="Z1828" i="6" s="1"/>
  <c r="AA1828" i="6" s="1"/>
  <c r="R1828" i="6" s="1"/>
  <c r="F1828" i="6"/>
  <c r="E1828" i="6" s="1"/>
  <c r="D1828" i="6"/>
  <c r="B1828" i="6"/>
  <c r="T1827" i="6"/>
  <c r="U1827" i="6" s="1"/>
  <c r="V1827" i="6" s="1"/>
  <c r="W1827" i="6" s="1"/>
  <c r="X1827" i="6" s="1"/>
  <c r="Y1827" i="6" s="1"/>
  <c r="Z1827" i="6" s="1"/>
  <c r="AA1827" i="6" s="1"/>
  <c r="R1827" i="6" s="1"/>
  <c r="F1827" i="6"/>
  <c r="E1827" i="6" s="1"/>
  <c r="D1827" i="6"/>
  <c r="B1827" i="6"/>
  <c r="T1826" i="6"/>
  <c r="U1826" i="6" s="1"/>
  <c r="V1826" i="6" s="1"/>
  <c r="W1826" i="6" s="1"/>
  <c r="X1826" i="6" s="1"/>
  <c r="Y1826" i="6" s="1"/>
  <c r="Z1826" i="6" s="1"/>
  <c r="AA1826" i="6" s="1"/>
  <c r="R1826" i="6" s="1"/>
  <c r="F1826" i="6"/>
  <c r="E1826" i="6" s="1"/>
  <c r="D1826" i="6"/>
  <c r="B1826" i="6"/>
  <c r="T1825" i="6"/>
  <c r="U1825" i="6"/>
  <c r="V1825" i="6" s="1"/>
  <c r="W1825" i="6" s="1"/>
  <c r="X1825" i="6" s="1"/>
  <c r="Y1825" i="6" s="1"/>
  <c r="Z1825" i="6" s="1"/>
  <c r="AA1825" i="6" s="1"/>
  <c r="R1825" i="6" s="1"/>
  <c r="F1825" i="6"/>
  <c r="E1825" i="6" s="1"/>
  <c r="D1825" i="6"/>
  <c r="B1825" i="6"/>
  <c r="T1824" i="6"/>
  <c r="U1824" i="6" s="1"/>
  <c r="V1824" i="6" s="1"/>
  <c r="W1824" i="6" s="1"/>
  <c r="X1824" i="6" s="1"/>
  <c r="Y1824" i="6" s="1"/>
  <c r="Z1824" i="6" s="1"/>
  <c r="AA1824" i="6" s="1"/>
  <c r="R1824" i="6" s="1"/>
  <c r="F1824" i="6"/>
  <c r="E1824" i="6" s="1"/>
  <c r="D1824" i="6"/>
  <c r="B1824" i="6"/>
  <c r="T1823" i="6"/>
  <c r="U1823" i="6"/>
  <c r="V1823" i="6" s="1"/>
  <c r="W1823" i="6" s="1"/>
  <c r="X1823" i="6" s="1"/>
  <c r="Y1823" i="6" s="1"/>
  <c r="Z1823" i="6" s="1"/>
  <c r="AA1823" i="6" s="1"/>
  <c r="R1823" i="6" s="1"/>
  <c r="F1823" i="6"/>
  <c r="E1823" i="6" s="1"/>
  <c r="D1823" i="6"/>
  <c r="B1823" i="6"/>
  <c r="T1822" i="6"/>
  <c r="U1822" i="6"/>
  <c r="V1822" i="6" s="1"/>
  <c r="W1822" i="6" s="1"/>
  <c r="X1822" i="6"/>
  <c r="Y1822" i="6" s="1"/>
  <c r="Z1822" i="6" s="1"/>
  <c r="AA1822" i="6" s="1"/>
  <c r="R1822" i="6" s="1"/>
  <c r="F1822" i="6"/>
  <c r="E1822" i="6" s="1"/>
  <c r="D1822" i="6"/>
  <c r="B1822" i="6"/>
  <c r="T1821" i="6"/>
  <c r="U1821" i="6" s="1"/>
  <c r="V1821" i="6" s="1"/>
  <c r="W1821" i="6" s="1"/>
  <c r="X1821" i="6" s="1"/>
  <c r="Y1821" i="6" s="1"/>
  <c r="Z1821" i="6" s="1"/>
  <c r="AA1821" i="6" s="1"/>
  <c r="R1821" i="6" s="1"/>
  <c r="F1821" i="6"/>
  <c r="E1821" i="6" s="1"/>
  <c r="D1821" i="6"/>
  <c r="B1821" i="6"/>
  <c r="T1820" i="6"/>
  <c r="U1820" i="6"/>
  <c r="V1820" i="6" s="1"/>
  <c r="W1820" i="6" s="1"/>
  <c r="X1820" i="6" s="1"/>
  <c r="Y1820" i="6" s="1"/>
  <c r="Z1820" i="6" s="1"/>
  <c r="AA1820" i="6" s="1"/>
  <c r="R1820" i="6" s="1"/>
  <c r="F1820" i="6"/>
  <c r="E1820" i="6" s="1"/>
  <c r="D1820" i="6"/>
  <c r="B1820" i="6"/>
  <c r="T1819" i="6"/>
  <c r="U1819" i="6"/>
  <c r="V1819" i="6" s="1"/>
  <c r="W1819" i="6" s="1"/>
  <c r="X1819" i="6" s="1"/>
  <c r="Y1819" i="6" s="1"/>
  <c r="Z1819" i="6" s="1"/>
  <c r="AA1819" i="6" s="1"/>
  <c r="R1819" i="6" s="1"/>
  <c r="F1819" i="6"/>
  <c r="E1819" i="6" s="1"/>
  <c r="D1819" i="6"/>
  <c r="B1819" i="6"/>
  <c r="T1818" i="6"/>
  <c r="U1818" i="6"/>
  <c r="V1818" i="6" s="1"/>
  <c r="W1818" i="6" s="1"/>
  <c r="X1818" i="6"/>
  <c r="Y1818" i="6" s="1"/>
  <c r="Z1818" i="6" s="1"/>
  <c r="AA1818" i="6" s="1"/>
  <c r="R1818" i="6" s="1"/>
  <c r="F1818" i="6"/>
  <c r="E1818" i="6" s="1"/>
  <c r="D1818" i="6"/>
  <c r="B1818" i="6"/>
  <c r="T1817" i="6"/>
  <c r="U1817" i="6"/>
  <c r="V1817" i="6" s="1"/>
  <c r="W1817" i="6"/>
  <c r="X1817" i="6"/>
  <c r="Y1817" i="6" s="1"/>
  <c r="Z1817" i="6" s="1"/>
  <c r="AA1817" i="6" s="1"/>
  <c r="R1817" i="6" s="1"/>
  <c r="F1817" i="6"/>
  <c r="E1817" i="6" s="1"/>
  <c r="D1817" i="6"/>
  <c r="B1817" i="6"/>
  <c r="T1816" i="6"/>
  <c r="U1816" i="6" s="1"/>
  <c r="V1816" i="6" s="1"/>
  <c r="W1816" i="6" s="1"/>
  <c r="X1816" i="6" s="1"/>
  <c r="Y1816" i="6" s="1"/>
  <c r="Z1816" i="6" s="1"/>
  <c r="AA1816" i="6" s="1"/>
  <c r="R1816" i="6" s="1"/>
  <c r="F1816" i="6"/>
  <c r="E1816" i="6" s="1"/>
  <c r="D1816" i="6"/>
  <c r="B1816" i="6"/>
  <c r="T1815" i="6"/>
  <c r="U1815" i="6"/>
  <c r="V1815" i="6" s="1"/>
  <c r="W1815" i="6" s="1"/>
  <c r="X1815" i="6" s="1"/>
  <c r="Y1815" i="6" s="1"/>
  <c r="Z1815" i="6" s="1"/>
  <c r="AA1815" i="6" s="1"/>
  <c r="R1815" i="6" s="1"/>
  <c r="F1815" i="6"/>
  <c r="E1815" i="6" s="1"/>
  <c r="D1815" i="6"/>
  <c r="B1815" i="6"/>
  <c r="T1814" i="6"/>
  <c r="U1814" i="6"/>
  <c r="V1814" i="6" s="1"/>
  <c r="W1814" i="6" s="1"/>
  <c r="X1814" i="6" s="1"/>
  <c r="Y1814" i="6" s="1"/>
  <c r="Z1814" i="6" s="1"/>
  <c r="AA1814" i="6"/>
  <c r="R1814" i="6" s="1"/>
  <c r="F1814" i="6"/>
  <c r="E1814" i="6" s="1"/>
  <c r="D1814" i="6"/>
  <c r="B1814" i="6"/>
  <c r="T1813" i="6"/>
  <c r="U1813" i="6" s="1"/>
  <c r="V1813" i="6" s="1"/>
  <c r="W1813" i="6" s="1"/>
  <c r="X1813" i="6" s="1"/>
  <c r="Y1813" i="6" s="1"/>
  <c r="Z1813" i="6" s="1"/>
  <c r="AA1813" i="6" s="1"/>
  <c r="R1813" i="6" s="1"/>
  <c r="F1813" i="6"/>
  <c r="E1813" i="6" s="1"/>
  <c r="D1813" i="6"/>
  <c r="B1813" i="6"/>
  <c r="T1812" i="6"/>
  <c r="U1812" i="6" s="1"/>
  <c r="V1812" i="6" s="1"/>
  <c r="W1812" i="6" s="1"/>
  <c r="X1812" i="6" s="1"/>
  <c r="Y1812" i="6" s="1"/>
  <c r="Z1812" i="6" s="1"/>
  <c r="AA1812" i="6" s="1"/>
  <c r="R1812" i="6" s="1"/>
  <c r="F1812" i="6"/>
  <c r="E1812" i="6" s="1"/>
  <c r="D1812" i="6"/>
  <c r="B1812" i="6"/>
  <c r="T1811" i="6"/>
  <c r="U1811" i="6"/>
  <c r="V1811" i="6" s="1"/>
  <c r="W1811" i="6" s="1"/>
  <c r="X1811" i="6" s="1"/>
  <c r="Y1811" i="6" s="1"/>
  <c r="Z1811" i="6" s="1"/>
  <c r="AA1811" i="6" s="1"/>
  <c r="R1811" i="6" s="1"/>
  <c r="F1811" i="6"/>
  <c r="E1811" i="6" s="1"/>
  <c r="D1811" i="6"/>
  <c r="B1811" i="6"/>
  <c r="T1810" i="6"/>
  <c r="U1810" i="6" s="1"/>
  <c r="V1810" i="6" s="1"/>
  <c r="W1810" i="6" s="1"/>
  <c r="X1810" i="6" s="1"/>
  <c r="Y1810" i="6" s="1"/>
  <c r="Z1810" i="6" s="1"/>
  <c r="AA1810" i="6" s="1"/>
  <c r="R1810" i="6" s="1"/>
  <c r="F1810" i="6"/>
  <c r="E1810" i="6" s="1"/>
  <c r="D1810" i="6"/>
  <c r="B1810" i="6"/>
  <c r="T1809" i="6"/>
  <c r="U1809" i="6"/>
  <c r="V1809" i="6" s="1"/>
  <c r="W1809" i="6" s="1"/>
  <c r="X1809" i="6" s="1"/>
  <c r="Y1809" i="6" s="1"/>
  <c r="Z1809" i="6" s="1"/>
  <c r="AA1809" i="6" s="1"/>
  <c r="R1809" i="6" s="1"/>
  <c r="F1809" i="6"/>
  <c r="E1809" i="6" s="1"/>
  <c r="D1809" i="6"/>
  <c r="B1809" i="6"/>
  <c r="T1808" i="6"/>
  <c r="U1808" i="6" s="1"/>
  <c r="V1808" i="6" s="1"/>
  <c r="W1808" i="6" s="1"/>
  <c r="X1808" i="6" s="1"/>
  <c r="Y1808" i="6" s="1"/>
  <c r="Z1808" i="6" s="1"/>
  <c r="AA1808" i="6" s="1"/>
  <c r="R1808" i="6" s="1"/>
  <c r="F1808" i="6"/>
  <c r="E1808" i="6" s="1"/>
  <c r="D1808" i="6"/>
  <c r="B1808" i="6"/>
  <c r="T1807" i="6"/>
  <c r="U1807" i="6" s="1"/>
  <c r="V1807" i="6" s="1"/>
  <c r="W1807" i="6" s="1"/>
  <c r="X1807" i="6" s="1"/>
  <c r="Y1807" i="6" s="1"/>
  <c r="Z1807" i="6" s="1"/>
  <c r="AA1807" i="6" s="1"/>
  <c r="R1807" i="6" s="1"/>
  <c r="F1807" i="6"/>
  <c r="E1807" i="6" s="1"/>
  <c r="D1807" i="6"/>
  <c r="B1807" i="6"/>
  <c r="T1806" i="6"/>
  <c r="U1806" i="6"/>
  <c r="V1806" i="6" s="1"/>
  <c r="W1806" i="6" s="1"/>
  <c r="X1806" i="6" s="1"/>
  <c r="Y1806" i="6" s="1"/>
  <c r="Z1806" i="6" s="1"/>
  <c r="AA1806" i="6" s="1"/>
  <c r="R1806" i="6" s="1"/>
  <c r="F1806" i="6"/>
  <c r="E1806" i="6" s="1"/>
  <c r="D1806" i="6"/>
  <c r="B1806" i="6"/>
  <c r="T1805" i="6"/>
  <c r="U1805" i="6" s="1"/>
  <c r="V1805" i="6" s="1"/>
  <c r="W1805" i="6" s="1"/>
  <c r="X1805" i="6" s="1"/>
  <c r="Y1805" i="6" s="1"/>
  <c r="Z1805" i="6" s="1"/>
  <c r="AA1805" i="6" s="1"/>
  <c r="R1805" i="6" s="1"/>
  <c r="F1805" i="6"/>
  <c r="E1805" i="6" s="1"/>
  <c r="D1805" i="6"/>
  <c r="B1805" i="6"/>
  <c r="T1804" i="6"/>
  <c r="U1804" i="6"/>
  <c r="V1804" i="6" s="1"/>
  <c r="W1804" i="6" s="1"/>
  <c r="X1804" i="6" s="1"/>
  <c r="Y1804" i="6" s="1"/>
  <c r="Z1804" i="6" s="1"/>
  <c r="AA1804" i="6" s="1"/>
  <c r="R1804" i="6" s="1"/>
  <c r="F1804" i="6"/>
  <c r="E1804" i="6" s="1"/>
  <c r="D1804" i="6"/>
  <c r="B1804" i="6"/>
  <c r="Z1803" i="6"/>
  <c r="AA1803" i="6"/>
  <c r="R1803" i="6" s="1"/>
  <c r="F1803" i="6"/>
  <c r="E1803" i="6" s="1"/>
  <c r="D1803" i="6"/>
  <c r="B1803" i="6"/>
  <c r="T1802" i="6"/>
  <c r="U1802" i="6" s="1"/>
  <c r="V1802" i="6" s="1"/>
  <c r="W1802" i="6" s="1"/>
  <c r="X1802" i="6" s="1"/>
  <c r="Y1802" i="6" s="1"/>
  <c r="Z1802" i="6" s="1"/>
  <c r="AA1802" i="6" s="1"/>
  <c r="R1802" i="6" s="1"/>
  <c r="F1802" i="6"/>
  <c r="E1802" i="6" s="1"/>
  <c r="D1802" i="6"/>
  <c r="B1802" i="6"/>
  <c r="T1801" i="6"/>
  <c r="U1801" i="6" s="1"/>
  <c r="V1801" i="6" s="1"/>
  <c r="W1801" i="6" s="1"/>
  <c r="X1801" i="6" s="1"/>
  <c r="Y1801" i="6" s="1"/>
  <c r="Z1801" i="6" s="1"/>
  <c r="AA1801" i="6" s="1"/>
  <c r="R1801" i="6" s="1"/>
  <c r="F1801" i="6"/>
  <c r="E1801" i="6" s="1"/>
  <c r="D1801" i="6"/>
  <c r="B1801" i="6"/>
  <c r="T1800" i="6"/>
  <c r="U1800" i="6"/>
  <c r="V1800" i="6" s="1"/>
  <c r="W1800" i="6"/>
  <c r="X1800" i="6"/>
  <c r="Y1800" i="6" s="1"/>
  <c r="Z1800" i="6" s="1"/>
  <c r="AA1800" i="6" s="1"/>
  <c r="R1800" i="6" s="1"/>
  <c r="F1800" i="6"/>
  <c r="E1800" i="6" s="1"/>
  <c r="D1800" i="6"/>
  <c r="B1800" i="6"/>
  <c r="T1799" i="6"/>
  <c r="U1799" i="6" s="1"/>
  <c r="V1799" i="6" s="1"/>
  <c r="W1799" i="6" s="1"/>
  <c r="X1799" i="6" s="1"/>
  <c r="Y1799" i="6" s="1"/>
  <c r="Z1799" i="6" s="1"/>
  <c r="AA1799" i="6" s="1"/>
  <c r="R1799" i="6" s="1"/>
  <c r="F1799" i="6"/>
  <c r="E1799" i="6" s="1"/>
  <c r="D1799" i="6"/>
  <c r="B1799" i="6"/>
  <c r="T1798" i="6"/>
  <c r="U1798" i="6"/>
  <c r="V1798" i="6" s="1"/>
  <c r="W1798" i="6" s="1"/>
  <c r="X1798" i="6" s="1"/>
  <c r="Y1798" i="6" s="1"/>
  <c r="Z1798" i="6" s="1"/>
  <c r="AA1798" i="6" s="1"/>
  <c r="R1798" i="6" s="1"/>
  <c r="F1798" i="6"/>
  <c r="E1798" i="6" s="1"/>
  <c r="D1798" i="6"/>
  <c r="B1798" i="6"/>
  <c r="T1797" i="6"/>
  <c r="U1797" i="6" s="1"/>
  <c r="V1797" i="6" s="1"/>
  <c r="W1797" i="6"/>
  <c r="X1797" i="6" s="1"/>
  <c r="Y1797" i="6" s="1"/>
  <c r="Z1797" i="6" s="1"/>
  <c r="AA1797" i="6" s="1"/>
  <c r="R1797" i="6" s="1"/>
  <c r="F1797" i="6"/>
  <c r="E1797" i="6" s="1"/>
  <c r="D1797" i="6"/>
  <c r="B1797" i="6"/>
  <c r="T1796" i="6"/>
  <c r="U1796" i="6" s="1"/>
  <c r="V1796" i="6" s="1"/>
  <c r="W1796" i="6" s="1"/>
  <c r="X1796" i="6" s="1"/>
  <c r="Y1796" i="6" s="1"/>
  <c r="Z1796" i="6" s="1"/>
  <c r="AA1796" i="6" s="1"/>
  <c r="R1796" i="6" s="1"/>
  <c r="F1796" i="6"/>
  <c r="E1796" i="6" s="1"/>
  <c r="D1796" i="6"/>
  <c r="B1796" i="6"/>
  <c r="T1795" i="6"/>
  <c r="U1795" i="6" s="1"/>
  <c r="V1795" i="6" s="1"/>
  <c r="W1795" i="6" s="1"/>
  <c r="X1795" i="6" s="1"/>
  <c r="Y1795" i="6" s="1"/>
  <c r="Z1795" i="6" s="1"/>
  <c r="AA1795" i="6" s="1"/>
  <c r="R1795" i="6" s="1"/>
  <c r="F1795" i="6"/>
  <c r="E1795" i="6" s="1"/>
  <c r="D1795" i="6"/>
  <c r="B1795" i="6"/>
  <c r="T1794" i="6"/>
  <c r="U1794" i="6" s="1"/>
  <c r="V1794" i="6" s="1"/>
  <c r="W1794" i="6" s="1"/>
  <c r="X1794" i="6" s="1"/>
  <c r="Y1794" i="6" s="1"/>
  <c r="Z1794" i="6" s="1"/>
  <c r="AA1794" i="6" s="1"/>
  <c r="R1794" i="6" s="1"/>
  <c r="F1794" i="6"/>
  <c r="E1794" i="6" s="1"/>
  <c r="D1794" i="6"/>
  <c r="B1794" i="6"/>
  <c r="T1793" i="6"/>
  <c r="U1793" i="6" s="1"/>
  <c r="V1793" i="6" s="1"/>
  <c r="W1793" i="6" s="1"/>
  <c r="X1793" i="6" s="1"/>
  <c r="Y1793" i="6" s="1"/>
  <c r="Z1793" i="6" s="1"/>
  <c r="AA1793" i="6" s="1"/>
  <c r="R1793" i="6" s="1"/>
  <c r="F1793" i="6"/>
  <c r="E1793" i="6" s="1"/>
  <c r="D1793" i="6"/>
  <c r="B1793" i="6"/>
  <c r="T1792" i="6"/>
  <c r="U1792" i="6" s="1"/>
  <c r="V1792" i="6" s="1"/>
  <c r="W1792" i="6"/>
  <c r="X1792" i="6"/>
  <c r="Y1792" i="6" s="1"/>
  <c r="Z1792" i="6" s="1"/>
  <c r="AA1792" i="6" s="1"/>
  <c r="R1792" i="6" s="1"/>
  <c r="F1792" i="6"/>
  <c r="E1792" i="6" s="1"/>
  <c r="D1792" i="6"/>
  <c r="B1792" i="6"/>
  <c r="T1791" i="6"/>
  <c r="U1791" i="6" s="1"/>
  <c r="V1791" i="6" s="1"/>
  <c r="W1791" i="6" s="1"/>
  <c r="X1791" i="6" s="1"/>
  <c r="Y1791" i="6" s="1"/>
  <c r="Z1791" i="6" s="1"/>
  <c r="AA1791" i="6" s="1"/>
  <c r="R1791" i="6" s="1"/>
  <c r="F1791" i="6"/>
  <c r="E1791" i="6" s="1"/>
  <c r="D1791" i="6"/>
  <c r="B1791" i="6"/>
  <c r="T1790" i="6"/>
  <c r="U1790" i="6"/>
  <c r="V1790" i="6" s="1"/>
  <c r="W1790" i="6" s="1"/>
  <c r="X1790" i="6" s="1"/>
  <c r="Y1790" i="6" s="1"/>
  <c r="Z1790" i="6" s="1"/>
  <c r="AA1790" i="6" s="1"/>
  <c r="R1790" i="6" s="1"/>
  <c r="F1790" i="6"/>
  <c r="E1790" i="6" s="1"/>
  <c r="D1790" i="6"/>
  <c r="B1790" i="6"/>
  <c r="T1789" i="6"/>
  <c r="U1789" i="6" s="1"/>
  <c r="V1789" i="6" s="1"/>
  <c r="W1789" i="6" s="1"/>
  <c r="X1789" i="6" s="1"/>
  <c r="Y1789" i="6" s="1"/>
  <c r="Z1789" i="6" s="1"/>
  <c r="AA1789" i="6" s="1"/>
  <c r="R1789" i="6" s="1"/>
  <c r="F1789" i="6"/>
  <c r="E1789" i="6" s="1"/>
  <c r="D1789" i="6"/>
  <c r="B1789" i="6"/>
  <c r="T1788" i="6"/>
  <c r="U1788" i="6"/>
  <c r="V1788" i="6" s="1"/>
  <c r="W1788" i="6" s="1"/>
  <c r="X1788" i="6" s="1"/>
  <c r="Y1788" i="6" s="1"/>
  <c r="Z1788" i="6" s="1"/>
  <c r="AA1788" i="6" s="1"/>
  <c r="R1788" i="6" s="1"/>
  <c r="E1788" i="6"/>
  <c r="T1787" i="6"/>
  <c r="U1787" i="6"/>
  <c r="V1787" i="6"/>
  <c r="W1787" i="6" s="1"/>
  <c r="X1787" i="6" s="1"/>
  <c r="Y1787" i="6" s="1"/>
  <c r="Z1787" i="6" s="1"/>
  <c r="AA1787" i="6" s="1"/>
  <c r="R1787" i="6" s="1"/>
  <c r="F1787" i="6"/>
  <c r="E1787" i="6" s="1"/>
  <c r="T1786" i="6"/>
  <c r="U1786" i="6"/>
  <c r="V1786" i="6" s="1"/>
  <c r="W1786" i="6" s="1"/>
  <c r="X1786" i="6" s="1"/>
  <c r="Y1786" i="6" s="1"/>
  <c r="Z1786" i="6" s="1"/>
  <c r="AA1786" i="6" s="1"/>
  <c r="R1786" i="6" s="1"/>
  <c r="F1786" i="6"/>
  <c r="E1786" i="6" s="1"/>
  <c r="T1785" i="6"/>
  <c r="U1785" i="6"/>
  <c r="V1785" i="6" s="1"/>
  <c r="W1785" i="6"/>
  <c r="X1785" i="6" s="1"/>
  <c r="Y1785" i="6" s="1"/>
  <c r="Z1785" i="6" s="1"/>
  <c r="AA1785" i="6" s="1"/>
  <c r="R1785" i="6" s="1"/>
  <c r="F1785" i="6" s="1"/>
  <c r="E1785" i="6" s="1"/>
  <c r="T1784" i="6"/>
  <c r="U1784" i="6" s="1"/>
  <c r="V1784" i="6" s="1"/>
  <c r="W1784" i="6"/>
  <c r="X1784" i="6" s="1"/>
  <c r="Y1784" i="6" s="1"/>
  <c r="Z1784" i="6" s="1"/>
  <c r="AA1784" i="6" s="1"/>
  <c r="R1784" i="6" s="1"/>
  <c r="F1784" i="6" s="1"/>
  <c r="E1784" i="6" s="1"/>
  <c r="M1784" i="6"/>
  <c r="T1783" i="6"/>
  <c r="U1783" i="6" s="1"/>
  <c r="V1783" i="6" s="1"/>
  <c r="W1783" i="6" s="1"/>
  <c r="X1783" i="6" s="1"/>
  <c r="Y1783" i="6" s="1"/>
  <c r="Z1783" i="6" s="1"/>
  <c r="AA1783" i="6" s="1"/>
  <c r="R1783" i="6" s="1"/>
  <c r="F1783" i="6" s="1"/>
  <c r="E1783" i="6" s="1"/>
  <c r="M1783" i="6"/>
  <c r="W1782" i="6"/>
  <c r="X1782" i="6" s="1"/>
  <c r="Y1782" i="6" s="1"/>
  <c r="Z1782" i="6" s="1"/>
  <c r="AA1782" i="6" s="1"/>
  <c r="R1782" i="6" s="1"/>
  <c r="F1782" i="6" s="1"/>
  <c r="E1782" i="6" s="1"/>
  <c r="W1781" i="6"/>
  <c r="X1781" i="6" s="1"/>
  <c r="Y1781" i="6" s="1"/>
  <c r="Z1781" i="6" s="1"/>
  <c r="AA1781" i="6" s="1"/>
  <c r="R1781" i="6" s="1"/>
  <c r="F1781" i="6" s="1"/>
  <c r="E1781" i="6" s="1"/>
  <c r="T1780" i="6"/>
  <c r="U1780" i="6" s="1"/>
  <c r="V1780" i="6" s="1"/>
  <c r="W1780" i="6"/>
  <c r="X1780" i="6" s="1"/>
  <c r="Y1780" i="6" s="1"/>
  <c r="Z1780" i="6" s="1"/>
  <c r="AA1780" i="6" s="1"/>
  <c r="R1780" i="6" s="1"/>
  <c r="F1780" i="6" s="1"/>
  <c r="E1780" i="6" s="1"/>
  <c r="M1780" i="6"/>
  <c r="T1779" i="6"/>
  <c r="U1779" i="6"/>
  <c r="V1779" i="6" s="1"/>
  <c r="W1779" i="6" s="1"/>
  <c r="X1779" i="6" s="1"/>
  <c r="Y1779" i="6" s="1"/>
  <c r="Z1779" i="6" s="1"/>
  <c r="AA1779" i="6" s="1"/>
  <c r="R1779" i="6" s="1"/>
  <c r="F1779" i="6" s="1"/>
  <c r="E1779" i="6" s="1"/>
  <c r="M1779" i="6"/>
  <c r="T1778" i="6"/>
  <c r="U1778" i="6" s="1"/>
  <c r="V1778" i="6" s="1"/>
  <c r="W1778" i="6" s="1"/>
  <c r="X1778" i="6" s="1"/>
  <c r="Y1778" i="6" s="1"/>
  <c r="Z1778" i="6" s="1"/>
  <c r="AA1778" i="6" s="1"/>
  <c r="R1778" i="6" s="1"/>
  <c r="F1778" i="6" s="1"/>
  <c r="E1778" i="6" s="1"/>
  <c r="M1778" i="6"/>
  <c r="T1777" i="6"/>
  <c r="U1777" i="6" s="1"/>
  <c r="V1777" i="6" s="1"/>
  <c r="W1777" i="6" s="1"/>
  <c r="X1777" i="6" s="1"/>
  <c r="Y1777" i="6" s="1"/>
  <c r="Z1777" i="6"/>
  <c r="AA1777" i="6" s="1"/>
  <c r="R1777" i="6" s="1"/>
  <c r="F1777" i="6" s="1"/>
  <c r="E1777" i="6" s="1"/>
  <c r="M1777" i="6"/>
  <c r="T1776" i="6"/>
  <c r="U1776" i="6" s="1"/>
  <c r="V1776" i="6" s="1"/>
  <c r="W1776" i="6" s="1"/>
  <c r="X1776" i="6" s="1"/>
  <c r="Y1776" i="6" s="1"/>
  <c r="Z1776" i="6" s="1"/>
  <c r="AA1776" i="6" s="1"/>
  <c r="R1776" i="6" s="1"/>
  <c r="F1776" i="6" s="1"/>
  <c r="E1776" i="6" s="1"/>
  <c r="M1776" i="6"/>
  <c r="T1775" i="6"/>
  <c r="U1775" i="6" s="1"/>
  <c r="V1775" i="6" s="1"/>
  <c r="W1775" i="6" s="1"/>
  <c r="X1775" i="6" s="1"/>
  <c r="Y1775" i="6" s="1"/>
  <c r="Z1775" i="6" s="1"/>
  <c r="AA1775" i="6" s="1"/>
  <c r="R1775" i="6" s="1"/>
  <c r="F1775" i="6" s="1"/>
  <c r="E1775" i="6" s="1"/>
  <c r="M1775" i="6"/>
  <c r="T1774" i="6"/>
  <c r="U1774" i="6" s="1"/>
  <c r="V1774" i="6"/>
  <c r="W1774" i="6"/>
  <c r="X1774" i="6" s="1"/>
  <c r="Y1774" i="6" s="1"/>
  <c r="Z1774" i="6" s="1"/>
  <c r="AA1774" i="6" s="1"/>
  <c r="R1774" i="6" s="1"/>
  <c r="F1774" i="6" s="1"/>
  <c r="E1774" i="6" s="1"/>
  <c r="M1774" i="6"/>
  <c r="T1773" i="6"/>
  <c r="U1773" i="6"/>
  <c r="V1773" i="6" s="1"/>
  <c r="W1773" i="6" s="1"/>
  <c r="X1773" i="6" s="1"/>
  <c r="Y1773" i="6" s="1"/>
  <c r="Z1773" i="6" s="1"/>
  <c r="AA1773" i="6" s="1"/>
  <c r="R1773" i="6" s="1"/>
  <c r="F1773" i="6" s="1"/>
  <c r="E1773" i="6" s="1"/>
  <c r="M1773" i="6"/>
  <c r="T1772" i="6"/>
  <c r="U1772" i="6" s="1"/>
  <c r="V1772" i="6" s="1"/>
  <c r="W1772" i="6" s="1"/>
  <c r="X1772" i="6" s="1"/>
  <c r="Y1772" i="6" s="1"/>
  <c r="Z1772" i="6" s="1"/>
  <c r="AA1772" i="6" s="1"/>
  <c r="R1772" i="6" s="1"/>
  <c r="F1772" i="6" s="1"/>
  <c r="E1772" i="6" s="1"/>
  <c r="M1772" i="6"/>
  <c r="T1771" i="6"/>
  <c r="U1771" i="6" s="1"/>
  <c r="V1771" i="6" s="1"/>
  <c r="W1771" i="6" s="1"/>
  <c r="X1771" i="6" s="1"/>
  <c r="Y1771" i="6" s="1"/>
  <c r="Z1771" i="6" s="1"/>
  <c r="AA1771" i="6" s="1"/>
  <c r="R1771" i="6" s="1"/>
  <c r="F1771" i="6" s="1"/>
  <c r="E1771" i="6" s="1"/>
  <c r="M1771" i="6"/>
  <c r="T1770" i="6"/>
  <c r="U1770" i="6" s="1"/>
  <c r="V1770" i="6" s="1"/>
  <c r="W1770" i="6" s="1"/>
  <c r="X1770" i="6" s="1"/>
  <c r="Y1770" i="6" s="1"/>
  <c r="Z1770" i="6" s="1"/>
  <c r="AA1770" i="6" s="1"/>
  <c r="R1770" i="6" s="1"/>
  <c r="F1770" i="6" s="1"/>
  <c r="E1770" i="6" s="1"/>
  <c r="M1770" i="6"/>
  <c r="T1769" i="6"/>
  <c r="U1769" i="6" s="1"/>
  <c r="V1769" i="6" s="1"/>
  <c r="W1769" i="6" s="1"/>
  <c r="X1769" i="6" s="1"/>
  <c r="Y1769" i="6" s="1"/>
  <c r="Z1769" i="6" s="1"/>
  <c r="AA1769" i="6" s="1"/>
  <c r="R1769" i="6" s="1"/>
  <c r="F1769" i="6" s="1"/>
  <c r="E1769" i="6" s="1"/>
  <c r="M1769" i="6"/>
  <c r="T1768" i="6"/>
  <c r="U1768" i="6" s="1"/>
  <c r="V1768" i="6" s="1"/>
  <c r="W1768" i="6" s="1"/>
  <c r="X1768" i="6" s="1"/>
  <c r="Y1768" i="6" s="1"/>
  <c r="Z1768" i="6" s="1"/>
  <c r="AA1768" i="6" s="1"/>
  <c r="R1768" i="6" s="1"/>
  <c r="F1768" i="6" s="1"/>
  <c r="E1768" i="6" s="1"/>
  <c r="M1768" i="6"/>
  <c r="T1767" i="6"/>
  <c r="U1767" i="6"/>
  <c r="V1767" i="6"/>
  <c r="W1767" i="6" s="1"/>
  <c r="X1767" i="6" s="1"/>
  <c r="Y1767" i="6" s="1"/>
  <c r="Z1767" i="6" s="1"/>
  <c r="AA1767" i="6" s="1"/>
  <c r="R1767" i="6" s="1"/>
  <c r="F1767" i="6" s="1"/>
  <c r="E1767" i="6" s="1"/>
  <c r="M1767" i="6"/>
  <c r="T1766" i="6"/>
  <c r="U1766" i="6" s="1"/>
  <c r="V1766" i="6" s="1"/>
  <c r="W1766" i="6" s="1"/>
  <c r="X1766" i="6" s="1"/>
  <c r="Y1766" i="6" s="1"/>
  <c r="Z1766" i="6" s="1"/>
  <c r="AA1766" i="6" s="1"/>
  <c r="R1766" i="6" s="1"/>
  <c r="F1766" i="6" s="1"/>
  <c r="E1766" i="6" s="1"/>
  <c r="M1766" i="6"/>
  <c r="T1765" i="6"/>
  <c r="U1765" i="6" s="1"/>
  <c r="V1765" i="6"/>
  <c r="W1765" i="6" s="1"/>
  <c r="X1765" i="6" s="1"/>
  <c r="Y1765" i="6" s="1"/>
  <c r="Z1765" i="6" s="1"/>
  <c r="AA1765" i="6" s="1"/>
  <c r="R1765" i="6" s="1"/>
  <c r="F1765" i="6" s="1"/>
  <c r="E1765" i="6" s="1"/>
  <c r="M1765" i="6"/>
  <c r="T1764" i="6"/>
  <c r="U1764" i="6" s="1"/>
  <c r="V1764" i="6" s="1"/>
  <c r="W1764" i="6"/>
  <c r="X1764" i="6" s="1"/>
  <c r="Y1764" i="6" s="1"/>
  <c r="Z1764" i="6"/>
  <c r="AA1764" i="6" s="1"/>
  <c r="R1764" i="6" s="1"/>
  <c r="F1764" i="6" s="1"/>
  <c r="E1764" i="6" s="1"/>
  <c r="M1764" i="6"/>
  <c r="T1763" i="6"/>
  <c r="U1763" i="6"/>
  <c r="V1763" i="6" s="1"/>
  <c r="W1763" i="6" s="1"/>
  <c r="X1763" i="6" s="1"/>
  <c r="Y1763" i="6" s="1"/>
  <c r="Z1763" i="6" s="1"/>
  <c r="AA1763" i="6" s="1"/>
  <c r="R1763" i="6" s="1"/>
  <c r="F1763" i="6" s="1"/>
  <c r="E1763" i="6" s="1"/>
  <c r="M1763" i="6"/>
  <c r="T1762" i="6"/>
  <c r="U1762" i="6" s="1"/>
  <c r="V1762" i="6" s="1"/>
  <c r="W1762" i="6" s="1"/>
  <c r="X1762" i="6"/>
  <c r="Y1762" i="6" s="1"/>
  <c r="Z1762" i="6" s="1"/>
  <c r="AA1762" i="6" s="1"/>
  <c r="R1762" i="6" s="1"/>
  <c r="F1762" i="6" s="1"/>
  <c r="E1762" i="6" s="1"/>
  <c r="M1762" i="6"/>
  <c r="T1761" i="6"/>
  <c r="U1761" i="6" s="1"/>
  <c r="V1761" i="6" s="1"/>
  <c r="W1761" i="6" s="1"/>
  <c r="X1761" i="6" s="1"/>
  <c r="Y1761" i="6" s="1"/>
  <c r="Z1761" i="6" s="1"/>
  <c r="AA1761" i="6" s="1"/>
  <c r="R1761" i="6" s="1"/>
  <c r="F1761" i="6" s="1"/>
  <c r="E1761" i="6" s="1"/>
  <c r="M1761" i="6"/>
  <c r="T1760" i="6"/>
  <c r="U1760" i="6" s="1"/>
  <c r="V1760" i="6" s="1"/>
  <c r="W1760" i="6" s="1"/>
  <c r="X1760" i="6" s="1"/>
  <c r="Y1760" i="6" s="1"/>
  <c r="Z1760" i="6" s="1"/>
  <c r="AA1760" i="6" s="1"/>
  <c r="R1760" i="6" s="1"/>
  <c r="F1760" i="6" s="1"/>
  <c r="E1760" i="6" s="1"/>
  <c r="M1760" i="6"/>
  <c r="T1759" i="6"/>
  <c r="U1759" i="6"/>
  <c r="V1759" i="6" s="1"/>
  <c r="W1759" i="6" s="1"/>
  <c r="X1759" i="6"/>
  <c r="Y1759" i="6" s="1"/>
  <c r="Z1759" i="6" s="1"/>
  <c r="AA1759" i="6" s="1"/>
  <c r="R1759" i="6" s="1"/>
  <c r="F1759" i="6" s="1"/>
  <c r="E1759" i="6" s="1"/>
  <c r="M1759" i="6"/>
  <c r="T1758" i="6"/>
  <c r="U1758" i="6" s="1"/>
  <c r="V1758" i="6"/>
  <c r="W1758" i="6" s="1"/>
  <c r="X1758" i="6" s="1"/>
  <c r="Y1758" i="6" s="1"/>
  <c r="Z1758" i="6" s="1"/>
  <c r="AA1758" i="6" s="1"/>
  <c r="R1758" i="6" s="1"/>
  <c r="F1758" i="6" s="1"/>
  <c r="E1758" i="6" s="1"/>
  <c r="M1758" i="6"/>
  <c r="T1757" i="6"/>
  <c r="U1757" i="6" s="1"/>
  <c r="V1757" i="6" s="1"/>
  <c r="W1757" i="6" s="1"/>
  <c r="X1757" i="6" s="1"/>
  <c r="Y1757" i="6" s="1"/>
  <c r="Z1757" i="6" s="1"/>
  <c r="AA1757" i="6" s="1"/>
  <c r="R1757" i="6" s="1"/>
  <c r="F1757" i="6" s="1"/>
  <c r="E1757" i="6" s="1"/>
  <c r="M1757" i="6"/>
  <c r="T1756" i="6"/>
  <c r="U1756" i="6" s="1"/>
  <c r="V1756" i="6" s="1"/>
  <c r="W1756" i="6" s="1"/>
  <c r="X1756" i="6" s="1"/>
  <c r="Y1756" i="6" s="1"/>
  <c r="Z1756" i="6" s="1"/>
  <c r="AA1756" i="6" s="1"/>
  <c r="R1756" i="6" s="1"/>
  <c r="F1756" i="6" s="1"/>
  <c r="E1756" i="6" s="1"/>
  <c r="M1756" i="6"/>
  <c r="T1755" i="6"/>
  <c r="U1755" i="6" s="1"/>
  <c r="V1755" i="6" s="1"/>
  <c r="W1755" i="6" s="1"/>
  <c r="X1755" i="6" s="1"/>
  <c r="Y1755" i="6" s="1"/>
  <c r="Z1755" i="6" s="1"/>
  <c r="AA1755" i="6" s="1"/>
  <c r="R1755" i="6" s="1"/>
  <c r="F1755" i="6" s="1"/>
  <c r="E1755" i="6" s="1"/>
  <c r="M1755" i="6"/>
  <c r="T1754" i="6"/>
  <c r="U1754" i="6" s="1"/>
  <c r="V1754" i="6" s="1"/>
  <c r="W1754" i="6" s="1"/>
  <c r="X1754" i="6" s="1"/>
  <c r="Y1754" i="6" s="1"/>
  <c r="Z1754" i="6" s="1"/>
  <c r="AA1754" i="6" s="1"/>
  <c r="R1754" i="6" s="1"/>
  <c r="F1754" i="6" s="1"/>
  <c r="E1754" i="6" s="1"/>
  <c r="M1754" i="6"/>
  <c r="T1753" i="6"/>
  <c r="U1753" i="6" s="1"/>
  <c r="V1753" i="6" s="1"/>
  <c r="W1753" i="6" s="1"/>
  <c r="X1753" i="6" s="1"/>
  <c r="Y1753" i="6" s="1"/>
  <c r="Z1753" i="6" s="1"/>
  <c r="AA1753" i="6" s="1"/>
  <c r="R1753" i="6" s="1"/>
  <c r="F1753" i="6" s="1"/>
  <c r="E1753" i="6" s="1"/>
  <c r="M1753" i="6"/>
  <c r="T1752" i="6"/>
  <c r="U1752" i="6" s="1"/>
  <c r="V1752" i="6"/>
  <c r="W1752" i="6"/>
  <c r="X1752" i="6" s="1"/>
  <c r="Y1752" i="6" s="1"/>
  <c r="Z1752" i="6" s="1"/>
  <c r="AA1752" i="6" s="1"/>
  <c r="R1752" i="6" s="1"/>
  <c r="F1752" i="6" s="1"/>
  <c r="E1752" i="6" s="1"/>
  <c r="M1752" i="6"/>
  <c r="T1751" i="6"/>
  <c r="U1751" i="6" s="1"/>
  <c r="V1751" i="6" s="1"/>
  <c r="W1751" i="6" s="1"/>
  <c r="X1751" i="6" s="1"/>
  <c r="Y1751" i="6" s="1"/>
  <c r="Z1751" i="6" s="1"/>
  <c r="AA1751" i="6" s="1"/>
  <c r="R1751" i="6" s="1"/>
  <c r="F1751" i="6" s="1"/>
  <c r="E1751" i="6" s="1"/>
  <c r="M1751" i="6"/>
  <c r="T1750" i="6"/>
  <c r="U1750" i="6"/>
  <c r="V1750" i="6" s="1"/>
  <c r="W1750" i="6" s="1"/>
  <c r="X1750" i="6" s="1"/>
  <c r="Y1750" i="6" s="1"/>
  <c r="Z1750" i="6" s="1"/>
  <c r="AA1750" i="6" s="1"/>
  <c r="R1750" i="6" s="1"/>
  <c r="F1750" i="6"/>
  <c r="E1750" i="6" s="1"/>
  <c r="M1750" i="6"/>
  <c r="T1749" i="6"/>
  <c r="U1749" i="6"/>
  <c r="V1749" i="6" s="1"/>
  <c r="W1749" i="6" s="1"/>
  <c r="X1749" i="6" s="1"/>
  <c r="Y1749" i="6" s="1"/>
  <c r="Z1749" i="6" s="1"/>
  <c r="AA1749" i="6" s="1"/>
  <c r="R1749" i="6" s="1"/>
  <c r="F1749" i="6" s="1"/>
  <c r="E1749" i="6" s="1"/>
  <c r="M1749" i="6"/>
  <c r="T1748" i="6"/>
  <c r="U1748" i="6"/>
  <c r="V1748" i="6"/>
  <c r="W1748" i="6" s="1"/>
  <c r="X1748" i="6" s="1"/>
  <c r="Y1748" i="6" s="1"/>
  <c r="Z1748" i="6" s="1"/>
  <c r="AA1748" i="6" s="1"/>
  <c r="R1748" i="6" s="1"/>
  <c r="F1748" i="6" s="1"/>
  <c r="E1748" i="6" s="1"/>
  <c r="M1748" i="6"/>
  <c r="T1747" i="6"/>
  <c r="U1747" i="6" s="1"/>
  <c r="V1747" i="6" s="1"/>
  <c r="W1747" i="6" s="1"/>
  <c r="X1747" i="6" s="1"/>
  <c r="Y1747" i="6" s="1"/>
  <c r="Z1747" i="6" s="1"/>
  <c r="AA1747" i="6" s="1"/>
  <c r="R1747" i="6"/>
  <c r="F1747" i="6" s="1"/>
  <c r="E1747" i="6" s="1"/>
  <c r="M1747" i="6"/>
  <c r="T1746" i="6"/>
  <c r="U1746" i="6" s="1"/>
  <c r="V1746" i="6" s="1"/>
  <c r="W1746" i="6" s="1"/>
  <c r="X1746" i="6" s="1"/>
  <c r="Y1746" i="6" s="1"/>
  <c r="Z1746" i="6" s="1"/>
  <c r="AA1746" i="6" s="1"/>
  <c r="R1746" i="6" s="1"/>
  <c r="F1746" i="6" s="1"/>
  <c r="E1746" i="6" s="1"/>
  <c r="M1746" i="6"/>
  <c r="T1745" i="6"/>
  <c r="U1745" i="6"/>
  <c r="V1745" i="6" s="1"/>
  <c r="W1745" i="6" s="1"/>
  <c r="X1745" i="6" s="1"/>
  <c r="Y1745" i="6" s="1"/>
  <c r="Z1745" i="6" s="1"/>
  <c r="AA1745" i="6" s="1"/>
  <c r="R1745" i="6" s="1"/>
  <c r="F1745" i="6" s="1"/>
  <c r="E1745" i="6" s="1"/>
  <c r="M1745" i="6"/>
  <c r="T1744" i="6"/>
  <c r="U1744" i="6" s="1"/>
  <c r="V1744" i="6" s="1"/>
  <c r="W1744" i="6" s="1"/>
  <c r="X1744" i="6" s="1"/>
  <c r="Y1744" i="6" s="1"/>
  <c r="Z1744" i="6" s="1"/>
  <c r="AA1744" i="6" s="1"/>
  <c r="R1744" i="6" s="1"/>
  <c r="F1744" i="6" s="1"/>
  <c r="E1744" i="6" s="1"/>
  <c r="M1744" i="6"/>
  <c r="T1743" i="6"/>
  <c r="U1743" i="6" s="1"/>
  <c r="V1743" i="6" s="1"/>
  <c r="W1743" i="6" s="1"/>
  <c r="X1743" i="6" s="1"/>
  <c r="Y1743" i="6" s="1"/>
  <c r="Z1743" i="6" s="1"/>
  <c r="AA1743" i="6" s="1"/>
  <c r="R1743" i="6" s="1"/>
  <c r="F1743" i="6" s="1"/>
  <c r="E1743" i="6" s="1"/>
  <c r="M1743" i="6"/>
  <c r="T1742" i="6"/>
  <c r="U1742" i="6" s="1"/>
  <c r="V1742" i="6" s="1"/>
  <c r="W1742" i="6" s="1"/>
  <c r="X1742" i="6" s="1"/>
  <c r="Y1742" i="6" s="1"/>
  <c r="Z1742" i="6" s="1"/>
  <c r="AA1742" i="6" s="1"/>
  <c r="R1742" i="6" s="1"/>
  <c r="F1742" i="6" s="1"/>
  <c r="E1742" i="6" s="1"/>
  <c r="M1742" i="6"/>
  <c r="T1741" i="6"/>
  <c r="U1741" i="6"/>
  <c r="V1741" i="6"/>
  <c r="W1741" i="6" s="1"/>
  <c r="X1741" i="6" s="1"/>
  <c r="Y1741" i="6" s="1"/>
  <c r="Z1741" i="6" s="1"/>
  <c r="AA1741" i="6" s="1"/>
  <c r="R1741" i="6" s="1"/>
  <c r="F1741" i="6" s="1"/>
  <c r="E1741" i="6" s="1"/>
  <c r="M1741" i="6"/>
  <c r="T1740" i="6"/>
  <c r="U1740" i="6"/>
  <c r="V1740" i="6" s="1"/>
  <c r="W1740" i="6" s="1"/>
  <c r="X1740" i="6" s="1"/>
  <c r="Y1740" i="6" s="1"/>
  <c r="Z1740" i="6" s="1"/>
  <c r="AA1740" i="6" s="1"/>
  <c r="R1740" i="6" s="1"/>
  <c r="F1740" i="6" s="1"/>
  <c r="E1740" i="6" s="1"/>
  <c r="M1740" i="6"/>
  <c r="T1739" i="6"/>
  <c r="U1739" i="6" s="1"/>
  <c r="V1739" i="6" s="1"/>
  <c r="W1739" i="6" s="1"/>
  <c r="X1739" i="6" s="1"/>
  <c r="Y1739" i="6" s="1"/>
  <c r="Z1739" i="6" s="1"/>
  <c r="AA1739" i="6" s="1"/>
  <c r="R1739" i="6" s="1"/>
  <c r="F1739" i="6" s="1"/>
  <c r="E1739" i="6" s="1"/>
  <c r="M1739" i="6"/>
  <c r="T1738" i="6"/>
  <c r="U1738" i="6" s="1"/>
  <c r="V1738" i="6" s="1"/>
  <c r="W1738" i="6" s="1"/>
  <c r="X1738" i="6"/>
  <c r="Y1738" i="6" s="1"/>
  <c r="Z1738" i="6" s="1"/>
  <c r="AA1738" i="6" s="1"/>
  <c r="R1738" i="6" s="1"/>
  <c r="F1738" i="6" s="1"/>
  <c r="E1738" i="6" s="1"/>
  <c r="M1738" i="6"/>
  <c r="T1737" i="6"/>
  <c r="U1737" i="6" s="1"/>
  <c r="V1737" i="6" s="1"/>
  <c r="W1737" i="6" s="1"/>
  <c r="X1737" i="6" s="1"/>
  <c r="Y1737" i="6" s="1"/>
  <c r="Z1737" i="6" s="1"/>
  <c r="AA1737" i="6" s="1"/>
  <c r="R1737" i="6" s="1"/>
  <c r="F1737" i="6" s="1"/>
  <c r="E1737" i="6" s="1"/>
  <c r="M1737" i="6"/>
  <c r="T1736" i="6"/>
  <c r="U1736" i="6"/>
  <c r="V1736" i="6" s="1"/>
  <c r="W1736" i="6"/>
  <c r="X1736" i="6" s="1"/>
  <c r="Y1736" i="6" s="1"/>
  <c r="Z1736" i="6" s="1"/>
  <c r="AA1736" i="6" s="1"/>
  <c r="R1736" i="6" s="1"/>
  <c r="F1736" i="6" s="1"/>
  <c r="E1736" i="6" s="1"/>
  <c r="M1736" i="6"/>
  <c r="T1735" i="6"/>
  <c r="U1735" i="6" s="1"/>
  <c r="V1735" i="6" s="1"/>
  <c r="W1735" i="6"/>
  <c r="X1735" i="6" s="1"/>
  <c r="Y1735" i="6" s="1"/>
  <c r="Z1735" i="6" s="1"/>
  <c r="AA1735" i="6" s="1"/>
  <c r="R1735" i="6" s="1"/>
  <c r="F1735" i="6" s="1"/>
  <c r="E1735" i="6" s="1"/>
  <c r="M1735" i="6"/>
  <c r="T1734" i="6"/>
  <c r="U1734" i="6" s="1"/>
  <c r="V1734" i="6" s="1"/>
  <c r="W1734" i="6" s="1"/>
  <c r="X1734" i="6" s="1"/>
  <c r="Y1734" i="6"/>
  <c r="Z1734" i="6" s="1"/>
  <c r="AA1734" i="6" s="1"/>
  <c r="R1734" i="6" s="1"/>
  <c r="F1734" i="6" s="1"/>
  <c r="E1734" i="6" s="1"/>
  <c r="M1734" i="6"/>
  <c r="T1733" i="6"/>
  <c r="U1733" i="6" s="1"/>
  <c r="V1733" i="6" s="1"/>
  <c r="W1733" i="6" s="1"/>
  <c r="X1733" i="6" s="1"/>
  <c r="Y1733" i="6" s="1"/>
  <c r="Z1733" i="6" s="1"/>
  <c r="AA1733" i="6" s="1"/>
  <c r="R1733" i="6" s="1"/>
  <c r="F1733" i="6" s="1"/>
  <c r="E1733" i="6" s="1"/>
  <c r="M1733" i="6"/>
  <c r="T1732" i="6"/>
  <c r="U1732" i="6" s="1"/>
  <c r="V1732" i="6"/>
  <c r="W1732" i="6" s="1"/>
  <c r="X1732" i="6" s="1"/>
  <c r="Y1732" i="6" s="1"/>
  <c r="Z1732" i="6" s="1"/>
  <c r="AA1732" i="6"/>
  <c r="R1732" i="6" s="1"/>
  <c r="F1732" i="6" s="1"/>
  <c r="E1732" i="6" s="1"/>
  <c r="M1732" i="6"/>
  <c r="T1731" i="6"/>
  <c r="U1731" i="6" s="1"/>
  <c r="V1731" i="6" s="1"/>
  <c r="W1731" i="6" s="1"/>
  <c r="X1731" i="6" s="1"/>
  <c r="Y1731" i="6" s="1"/>
  <c r="Z1731" i="6" s="1"/>
  <c r="AA1731" i="6" s="1"/>
  <c r="R1731" i="6" s="1"/>
  <c r="F1731" i="6" s="1"/>
  <c r="E1731" i="6" s="1"/>
  <c r="M1731" i="6"/>
  <c r="T1730" i="6"/>
  <c r="U1730" i="6" s="1"/>
  <c r="V1730" i="6" s="1"/>
  <c r="W1730" i="6" s="1"/>
  <c r="X1730" i="6" s="1"/>
  <c r="Y1730" i="6" s="1"/>
  <c r="Z1730" i="6" s="1"/>
  <c r="AA1730" i="6" s="1"/>
  <c r="R1730" i="6" s="1"/>
  <c r="F1730" i="6" s="1"/>
  <c r="E1730" i="6" s="1"/>
  <c r="M1730" i="6"/>
  <c r="T1729" i="6"/>
  <c r="U1729" i="6" s="1"/>
  <c r="V1729" i="6" s="1"/>
  <c r="W1729" i="6" s="1"/>
  <c r="X1729" i="6" s="1"/>
  <c r="Y1729" i="6" s="1"/>
  <c r="Z1729" i="6" s="1"/>
  <c r="AA1729" i="6" s="1"/>
  <c r="R1729" i="6" s="1"/>
  <c r="F1729" i="6" s="1"/>
  <c r="E1729" i="6" s="1"/>
  <c r="M1729" i="6"/>
  <c r="T1728" i="6"/>
  <c r="U1728" i="6"/>
  <c r="V1728" i="6" s="1"/>
  <c r="W1728" i="6"/>
  <c r="X1728" i="6" s="1"/>
  <c r="Y1728" i="6" s="1"/>
  <c r="Z1728" i="6" s="1"/>
  <c r="AA1728" i="6" s="1"/>
  <c r="R1728" i="6" s="1"/>
  <c r="F1728" i="6" s="1"/>
  <c r="E1728" i="6" s="1"/>
  <c r="M1728" i="6"/>
  <c r="T1727" i="6"/>
  <c r="U1727" i="6" s="1"/>
  <c r="V1727" i="6" s="1"/>
  <c r="W1727" i="6" s="1"/>
  <c r="X1727" i="6" s="1"/>
  <c r="Y1727" i="6" s="1"/>
  <c r="Z1727" i="6" s="1"/>
  <c r="AA1727" i="6" s="1"/>
  <c r="R1727" i="6" s="1"/>
  <c r="F1727" i="6"/>
  <c r="E1727" i="6" s="1"/>
  <c r="M1727" i="6"/>
  <c r="T1726" i="6"/>
  <c r="U1726" i="6" s="1"/>
  <c r="V1726" i="6" s="1"/>
  <c r="W1726" i="6" s="1"/>
  <c r="X1726" i="6" s="1"/>
  <c r="Y1726" i="6" s="1"/>
  <c r="Z1726" i="6" s="1"/>
  <c r="AA1726" i="6" s="1"/>
  <c r="R1726" i="6" s="1"/>
  <c r="F1726" i="6" s="1"/>
  <c r="E1726" i="6" s="1"/>
  <c r="M1726" i="6"/>
  <c r="T1725" i="6"/>
  <c r="U1725" i="6" s="1"/>
  <c r="V1725" i="6" s="1"/>
  <c r="W1725" i="6" s="1"/>
  <c r="X1725" i="6" s="1"/>
  <c r="Y1725" i="6" s="1"/>
  <c r="Z1725" i="6" s="1"/>
  <c r="AA1725" i="6" s="1"/>
  <c r="R1725" i="6" s="1"/>
  <c r="F1725" i="6" s="1"/>
  <c r="E1725" i="6" s="1"/>
  <c r="M1725" i="6"/>
  <c r="T1724" i="6"/>
  <c r="U1724" i="6" s="1"/>
  <c r="V1724" i="6" s="1"/>
  <c r="W1724" i="6" s="1"/>
  <c r="X1724" i="6" s="1"/>
  <c r="Y1724" i="6"/>
  <c r="Z1724" i="6" s="1"/>
  <c r="AA1724" i="6" s="1"/>
  <c r="R1724" i="6"/>
  <c r="F1724" i="6" s="1"/>
  <c r="E1724" i="6" s="1"/>
  <c r="M1724" i="6"/>
  <c r="T1723" i="6"/>
  <c r="U1723" i="6"/>
  <c r="V1723" i="6" s="1"/>
  <c r="W1723" i="6" s="1"/>
  <c r="X1723" i="6" s="1"/>
  <c r="Y1723" i="6" s="1"/>
  <c r="Z1723" i="6" s="1"/>
  <c r="AA1723" i="6" s="1"/>
  <c r="R1723" i="6" s="1"/>
  <c r="F1723" i="6" s="1"/>
  <c r="E1723" i="6" s="1"/>
  <c r="M1723" i="6"/>
  <c r="Y1722" i="6"/>
  <c r="Z1722" i="6" s="1"/>
  <c r="AA1722" i="6" s="1"/>
  <c r="R1722" i="6" s="1"/>
  <c r="F1722" i="6" s="1"/>
  <c r="E1722" i="6"/>
  <c r="M1722" i="6"/>
  <c r="Y1721" i="6"/>
  <c r="Z1721" i="6" s="1"/>
  <c r="AA1721" i="6" s="1"/>
  <c r="R1721" i="6" s="1"/>
  <c r="F1721" i="6" s="1"/>
  <c r="E1721" i="6" s="1"/>
  <c r="M1721" i="6"/>
  <c r="Y1720" i="6"/>
  <c r="Z1720" i="6" s="1"/>
  <c r="AA1720" i="6" s="1"/>
  <c r="R1720" i="6" s="1"/>
  <c r="F1720" i="6" s="1"/>
  <c r="E1720" i="6" s="1"/>
  <c r="M1720" i="6"/>
  <c r="Y1719" i="6"/>
  <c r="Z1719" i="6" s="1"/>
  <c r="AA1719" i="6" s="1"/>
  <c r="R1719" i="6" s="1"/>
  <c r="F1719" i="6" s="1"/>
  <c r="E1719" i="6" s="1"/>
  <c r="M1719" i="6"/>
  <c r="Y1718" i="6"/>
  <c r="Z1718" i="6" s="1"/>
  <c r="AA1718" i="6" s="1"/>
  <c r="R1718" i="6" s="1"/>
  <c r="F1718" i="6" s="1"/>
  <c r="E1718" i="6" s="1"/>
  <c r="M1718" i="6"/>
  <c r="Y1717" i="6"/>
  <c r="Z1717" i="6" s="1"/>
  <c r="AA1717" i="6" s="1"/>
  <c r="R1717" i="6" s="1"/>
  <c r="F1717" i="6" s="1"/>
  <c r="E1717" i="6" s="1"/>
  <c r="M1717" i="6"/>
  <c r="T1716" i="6"/>
  <c r="U1716" i="6"/>
  <c r="V1716" i="6" s="1"/>
  <c r="W1716" i="6" s="1"/>
  <c r="X1716" i="6" s="1"/>
  <c r="Y1716" i="6" s="1"/>
  <c r="Z1716" i="6" s="1"/>
  <c r="AA1716" i="6" s="1"/>
  <c r="R1716" i="6" s="1"/>
  <c r="F1716" i="6" s="1"/>
  <c r="E1716" i="6" s="1"/>
  <c r="T1715" i="6"/>
  <c r="U1715" i="6" s="1"/>
  <c r="V1715" i="6" s="1"/>
  <c r="W1715" i="6" s="1"/>
  <c r="X1715" i="6" s="1"/>
  <c r="Y1715" i="6" s="1"/>
  <c r="Z1715" i="6" s="1"/>
  <c r="AA1715" i="6" s="1"/>
  <c r="R1715" i="6" s="1"/>
  <c r="F1715" i="6" s="1"/>
  <c r="E1715" i="6" s="1"/>
  <c r="M1715" i="6"/>
  <c r="T1714" i="6"/>
  <c r="U1714" i="6" s="1"/>
  <c r="V1714" i="6" s="1"/>
  <c r="W1714" i="6" s="1"/>
  <c r="X1714" i="6" s="1"/>
  <c r="Y1714" i="6" s="1"/>
  <c r="Z1714" i="6"/>
  <c r="AA1714" i="6" s="1"/>
  <c r="R1714" i="6" s="1"/>
  <c r="F1714" i="6" s="1"/>
  <c r="E1714" i="6" s="1"/>
  <c r="M1714" i="6"/>
  <c r="T1713" i="6"/>
  <c r="U1713" i="6" s="1"/>
  <c r="V1713" i="6" s="1"/>
  <c r="W1713" i="6" s="1"/>
  <c r="X1713" i="6" s="1"/>
  <c r="Y1713" i="6" s="1"/>
  <c r="Z1713" i="6" s="1"/>
  <c r="AA1713" i="6" s="1"/>
  <c r="R1713" i="6" s="1"/>
  <c r="F1713" i="6" s="1"/>
  <c r="E1713" i="6" s="1"/>
  <c r="M1713" i="6"/>
  <c r="T1712" i="6"/>
  <c r="U1712" i="6" s="1"/>
  <c r="V1712" i="6" s="1"/>
  <c r="W1712" i="6" s="1"/>
  <c r="X1712" i="6" s="1"/>
  <c r="Y1712" i="6" s="1"/>
  <c r="Z1712" i="6" s="1"/>
  <c r="AA1712" i="6" s="1"/>
  <c r="R1712" i="6" s="1"/>
  <c r="F1712" i="6" s="1"/>
  <c r="E1712" i="6" s="1"/>
  <c r="M1712" i="6"/>
  <c r="T1711" i="6"/>
  <c r="U1711" i="6" s="1"/>
  <c r="V1711" i="6"/>
  <c r="W1711" i="6" s="1"/>
  <c r="X1711" i="6" s="1"/>
  <c r="Y1711" i="6" s="1"/>
  <c r="Z1711" i="6" s="1"/>
  <c r="AA1711" i="6" s="1"/>
  <c r="R1711" i="6" s="1"/>
  <c r="F1711" i="6" s="1"/>
  <c r="E1711" i="6" s="1"/>
  <c r="M1711" i="6"/>
  <c r="T1710" i="6"/>
  <c r="U1710" i="6" s="1"/>
  <c r="V1710" i="6" s="1"/>
  <c r="W1710" i="6" s="1"/>
  <c r="X1710" i="6" s="1"/>
  <c r="Y1710" i="6" s="1"/>
  <c r="Z1710" i="6" s="1"/>
  <c r="AA1710" i="6" s="1"/>
  <c r="R1710" i="6" s="1"/>
  <c r="F1710" i="6" s="1"/>
  <c r="E1710" i="6" s="1"/>
  <c r="M1710" i="6"/>
  <c r="T1709" i="6"/>
  <c r="U1709" i="6" s="1"/>
  <c r="V1709" i="6" s="1"/>
  <c r="W1709" i="6" s="1"/>
  <c r="X1709" i="6"/>
  <c r="Y1709" i="6" s="1"/>
  <c r="Z1709" i="6" s="1"/>
  <c r="AA1709" i="6" s="1"/>
  <c r="R1709" i="6" s="1"/>
  <c r="F1709" i="6" s="1"/>
  <c r="E1709" i="6" s="1"/>
  <c r="M1709" i="6"/>
  <c r="T1708" i="6"/>
  <c r="U1708" i="6" s="1"/>
  <c r="V1708" i="6" s="1"/>
  <c r="W1708" i="6" s="1"/>
  <c r="X1708" i="6" s="1"/>
  <c r="Y1708" i="6" s="1"/>
  <c r="Z1708" i="6" s="1"/>
  <c r="AA1708" i="6" s="1"/>
  <c r="R1708" i="6" s="1"/>
  <c r="F1708" i="6" s="1"/>
  <c r="E1708" i="6" s="1"/>
  <c r="M1708" i="6"/>
  <c r="T1707" i="6"/>
  <c r="U1707" i="6" s="1"/>
  <c r="V1707" i="6" s="1"/>
  <c r="W1707" i="6" s="1"/>
  <c r="X1707" i="6" s="1"/>
  <c r="Y1707" i="6" s="1"/>
  <c r="Z1707" i="6" s="1"/>
  <c r="AA1707" i="6" s="1"/>
  <c r="R1707" i="6" s="1"/>
  <c r="F1707" i="6" s="1"/>
  <c r="E1707" i="6" s="1"/>
  <c r="M1707" i="6"/>
  <c r="T1706" i="6"/>
  <c r="U1706" i="6" s="1"/>
  <c r="V1706" i="6" s="1"/>
  <c r="W1706" i="6"/>
  <c r="X1706" i="6" s="1"/>
  <c r="Y1706" i="6" s="1"/>
  <c r="Z1706" i="6" s="1"/>
  <c r="AA1706" i="6" s="1"/>
  <c r="R1706" i="6" s="1"/>
  <c r="F1706" i="6" s="1"/>
  <c r="E1706" i="6" s="1"/>
  <c r="T1705" i="6"/>
  <c r="U1705" i="6" s="1"/>
  <c r="V1705" i="6" s="1"/>
  <c r="W1705" i="6" s="1"/>
  <c r="X1705" i="6"/>
  <c r="Y1705" i="6" s="1"/>
  <c r="Z1705" i="6" s="1"/>
  <c r="AA1705" i="6" s="1"/>
  <c r="R1705" i="6" s="1"/>
  <c r="F1705" i="6" s="1"/>
  <c r="E1705" i="6" s="1"/>
  <c r="M1705" i="6"/>
  <c r="T1704" i="6"/>
  <c r="U1704" i="6" s="1"/>
  <c r="V1704" i="6" s="1"/>
  <c r="W1704" i="6" s="1"/>
  <c r="X1704" i="6" s="1"/>
  <c r="Y1704" i="6"/>
  <c r="Z1704" i="6" s="1"/>
  <c r="AA1704" i="6" s="1"/>
  <c r="R1704" i="6" s="1"/>
  <c r="F1704" i="6" s="1"/>
  <c r="E1704" i="6" s="1"/>
  <c r="M1704" i="6"/>
  <c r="T1703" i="6"/>
  <c r="U1703" i="6" s="1"/>
  <c r="V1703" i="6" s="1"/>
  <c r="W1703" i="6" s="1"/>
  <c r="X1703" i="6" s="1"/>
  <c r="Y1703" i="6" s="1"/>
  <c r="Z1703" i="6" s="1"/>
  <c r="AA1703" i="6" s="1"/>
  <c r="R1703" i="6" s="1"/>
  <c r="F1703" i="6" s="1"/>
  <c r="E1703" i="6" s="1"/>
  <c r="M1703" i="6"/>
  <c r="T1702" i="6"/>
  <c r="U1702" i="6" s="1"/>
  <c r="V1702" i="6" s="1"/>
  <c r="W1702" i="6" s="1"/>
  <c r="X1702" i="6" s="1"/>
  <c r="Y1702" i="6" s="1"/>
  <c r="Z1702" i="6" s="1"/>
  <c r="AA1702" i="6" s="1"/>
  <c r="R1702" i="6" s="1"/>
  <c r="F1702" i="6" s="1"/>
  <c r="E1702" i="6" s="1"/>
  <c r="M1702" i="6"/>
  <c r="T1701" i="6"/>
  <c r="U1701" i="6" s="1"/>
  <c r="V1701" i="6" s="1"/>
  <c r="W1701" i="6" s="1"/>
  <c r="X1701" i="6" s="1"/>
  <c r="Y1701" i="6" s="1"/>
  <c r="Z1701" i="6" s="1"/>
  <c r="AA1701" i="6" s="1"/>
  <c r="R1701" i="6" s="1"/>
  <c r="F1701" i="6" s="1"/>
  <c r="E1701" i="6" s="1"/>
  <c r="M1701" i="6"/>
  <c r="T1700" i="6"/>
  <c r="U1700" i="6" s="1"/>
  <c r="V1700" i="6" s="1"/>
  <c r="W1700" i="6" s="1"/>
  <c r="X1700" i="6" s="1"/>
  <c r="Y1700" i="6" s="1"/>
  <c r="Z1700" i="6" s="1"/>
  <c r="AA1700" i="6" s="1"/>
  <c r="R1700" i="6" s="1"/>
  <c r="F1700" i="6" s="1"/>
  <c r="E1700" i="6" s="1"/>
  <c r="M1700" i="6"/>
  <c r="T1699" i="6"/>
  <c r="U1699" i="6" s="1"/>
  <c r="V1699" i="6" s="1"/>
  <c r="W1699" i="6" s="1"/>
  <c r="X1699" i="6" s="1"/>
  <c r="Y1699" i="6" s="1"/>
  <c r="Z1699" i="6" s="1"/>
  <c r="AA1699" i="6" s="1"/>
  <c r="R1699" i="6" s="1"/>
  <c r="F1699" i="6" s="1"/>
  <c r="E1699" i="6" s="1"/>
  <c r="M1699" i="6"/>
  <c r="T1698" i="6"/>
  <c r="U1698" i="6" s="1"/>
  <c r="V1698" i="6" s="1"/>
  <c r="W1698" i="6" s="1"/>
  <c r="X1698" i="6" s="1"/>
  <c r="Y1698" i="6" s="1"/>
  <c r="Z1698" i="6" s="1"/>
  <c r="AA1698" i="6" s="1"/>
  <c r="R1698" i="6" s="1"/>
  <c r="F1698" i="6" s="1"/>
  <c r="E1698" i="6" s="1"/>
  <c r="M1698" i="6"/>
  <c r="T1697" i="6"/>
  <c r="U1697" i="6" s="1"/>
  <c r="V1697" i="6" s="1"/>
  <c r="W1697" i="6" s="1"/>
  <c r="X1697" i="6" s="1"/>
  <c r="Y1697" i="6" s="1"/>
  <c r="Z1697" i="6" s="1"/>
  <c r="AA1697" i="6" s="1"/>
  <c r="R1697" i="6" s="1"/>
  <c r="F1697" i="6" s="1"/>
  <c r="E1697" i="6" s="1"/>
  <c r="M1697" i="6"/>
  <c r="T1696" i="6"/>
  <c r="U1696" i="6" s="1"/>
  <c r="V1696" i="6" s="1"/>
  <c r="W1696" i="6" s="1"/>
  <c r="X1696" i="6" s="1"/>
  <c r="Y1696" i="6" s="1"/>
  <c r="Z1696" i="6" s="1"/>
  <c r="AA1696" i="6" s="1"/>
  <c r="R1696" i="6" s="1"/>
  <c r="F1696" i="6" s="1"/>
  <c r="E1696" i="6" s="1"/>
  <c r="M1696" i="6"/>
  <c r="T1695" i="6"/>
  <c r="U1695" i="6"/>
  <c r="V1695" i="6" s="1"/>
  <c r="W1695" i="6" s="1"/>
  <c r="X1695" i="6" s="1"/>
  <c r="Y1695" i="6" s="1"/>
  <c r="Z1695" i="6" s="1"/>
  <c r="AA1695" i="6" s="1"/>
  <c r="R1695" i="6" s="1"/>
  <c r="F1695" i="6" s="1"/>
  <c r="E1695" i="6" s="1"/>
  <c r="M1695" i="6"/>
  <c r="T1694" i="6"/>
  <c r="U1694" i="6" s="1"/>
  <c r="V1694" i="6" s="1"/>
  <c r="W1694" i="6" s="1"/>
  <c r="X1694" i="6" s="1"/>
  <c r="Y1694" i="6" s="1"/>
  <c r="Z1694" i="6" s="1"/>
  <c r="AA1694" i="6" s="1"/>
  <c r="R1694" i="6" s="1"/>
  <c r="F1694" i="6" s="1"/>
  <c r="E1694" i="6" s="1"/>
  <c r="M1694" i="6"/>
  <c r="T1693" i="6"/>
  <c r="U1693" i="6"/>
  <c r="V1693" i="6" s="1"/>
  <c r="W1693" i="6"/>
  <c r="X1693" i="6" s="1"/>
  <c r="Y1693" i="6" s="1"/>
  <c r="Z1693" i="6" s="1"/>
  <c r="AA1693" i="6" s="1"/>
  <c r="R1693" i="6" s="1"/>
  <c r="F1693" i="6" s="1"/>
  <c r="E1693" i="6" s="1"/>
  <c r="M1693" i="6"/>
  <c r="T1692" i="6"/>
  <c r="U1692" i="6" s="1"/>
  <c r="V1692" i="6" s="1"/>
  <c r="W1692" i="6" s="1"/>
  <c r="X1692" i="6" s="1"/>
  <c r="Y1692" i="6" s="1"/>
  <c r="Z1692" i="6" s="1"/>
  <c r="AA1692" i="6" s="1"/>
  <c r="R1692" i="6" s="1"/>
  <c r="F1692" i="6" s="1"/>
  <c r="E1692" i="6" s="1"/>
  <c r="M1692" i="6"/>
  <c r="T1691" i="6"/>
  <c r="U1691" i="6" s="1"/>
  <c r="V1691" i="6" s="1"/>
  <c r="W1691" i="6" s="1"/>
  <c r="X1691" i="6" s="1"/>
  <c r="Y1691" i="6" s="1"/>
  <c r="Z1691" i="6" s="1"/>
  <c r="AA1691" i="6" s="1"/>
  <c r="R1691" i="6" s="1"/>
  <c r="F1691" i="6" s="1"/>
  <c r="E1691" i="6" s="1"/>
  <c r="M1691" i="6"/>
  <c r="T1690" i="6"/>
  <c r="U1690" i="6" s="1"/>
  <c r="V1690" i="6" s="1"/>
  <c r="W1690" i="6"/>
  <c r="X1690" i="6" s="1"/>
  <c r="Y1690" i="6" s="1"/>
  <c r="Z1690" i="6" s="1"/>
  <c r="AA1690" i="6" s="1"/>
  <c r="R1690" i="6" s="1"/>
  <c r="F1690" i="6" s="1"/>
  <c r="E1690" i="6" s="1"/>
  <c r="M1690" i="6"/>
  <c r="T1689" i="6"/>
  <c r="U1689" i="6" s="1"/>
  <c r="V1689" i="6" s="1"/>
  <c r="W1689" i="6" s="1"/>
  <c r="X1689" i="6" s="1"/>
  <c r="Y1689" i="6" s="1"/>
  <c r="Z1689" i="6" s="1"/>
  <c r="AA1689" i="6" s="1"/>
  <c r="R1689" i="6" s="1"/>
  <c r="F1689" i="6" s="1"/>
  <c r="E1689" i="6" s="1"/>
  <c r="M1689" i="6"/>
  <c r="T1688" i="6"/>
  <c r="U1688" i="6"/>
  <c r="V1688" i="6" s="1"/>
  <c r="W1688" i="6" s="1"/>
  <c r="X1688" i="6" s="1"/>
  <c r="Y1688" i="6" s="1"/>
  <c r="Z1688" i="6" s="1"/>
  <c r="AA1688" i="6" s="1"/>
  <c r="R1688" i="6" s="1"/>
  <c r="F1688" i="6" s="1"/>
  <c r="E1688" i="6" s="1"/>
  <c r="T1687" i="6"/>
  <c r="U1687" i="6"/>
  <c r="V1687" i="6" s="1"/>
  <c r="W1687" i="6" s="1"/>
  <c r="X1687" i="6" s="1"/>
  <c r="Y1687" i="6" s="1"/>
  <c r="Z1687" i="6" s="1"/>
  <c r="AA1687" i="6" s="1"/>
  <c r="R1687" i="6" s="1"/>
  <c r="F1687" i="6" s="1"/>
  <c r="E1687" i="6" s="1"/>
  <c r="M1687" i="6"/>
  <c r="T1686" i="6"/>
  <c r="U1686" i="6" s="1"/>
  <c r="V1686" i="6" s="1"/>
  <c r="W1686" i="6" s="1"/>
  <c r="X1686" i="6"/>
  <c r="Y1686" i="6" s="1"/>
  <c r="Z1686" i="6" s="1"/>
  <c r="AA1686" i="6" s="1"/>
  <c r="R1686" i="6" s="1"/>
  <c r="F1686" i="6" s="1"/>
  <c r="E1686" i="6" s="1"/>
  <c r="M1686" i="6"/>
  <c r="T1685" i="6"/>
  <c r="U1685" i="6" s="1"/>
  <c r="V1685" i="6" s="1"/>
  <c r="W1685" i="6" s="1"/>
  <c r="X1685" i="6" s="1"/>
  <c r="Y1685" i="6" s="1"/>
  <c r="Z1685" i="6" s="1"/>
  <c r="AA1685" i="6" s="1"/>
  <c r="R1685" i="6" s="1"/>
  <c r="F1685" i="6" s="1"/>
  <c r="E1685" i="6" s="1"/>
  <c r="M1685" i="6"/>
  <c r="T1684" i="6"/>
  <c r="U1684" i="6" s="1"/>
  <c r="V1684" i="6" s="1"/>
  <c r="W1684" i="6" s="1"/>
  <c r="X1684" i="6" s="1"/>
  <c r="Y1684" i="6" s="1"/>
  <c r="Z1684" i="6" s="1"/>
  <c r="AA1684" i="6" s="1"/>
  <c r="R1684" i="6" s="1"/>
  <c r="F1684" i="6" s="1"/>
  <c r="E1684" i="6" s="1"/>
  <c r="M1684" i="6"/>
  <c r="T1683" i="6"/>
  <c r="U1683" i="6"/>
  <c r="V1683" i="6" s="1"/>
  <c r="W1683" i="6" s="1"/>
  <c r="X1683" i="6" s="1"/>
  <c r="Y1683" i="6" s="1"/>
  <c r="Z1683" i="6" s="1"/>
  <c r="AA1683" i="6" s="1"/>
  <c r="R1683" i="6" s="1"/>
  <c r="F1683" i="6" s="1"/>
  <c r="E1683" i="6" s="1"/>
  <c r="M1683" i="6"/>
  <c r="T1682" i="6"/>
  <c r="U1682" i="6" s="1"/>
  <c r="V1682" i="6" s="1"/>
  <c r="W1682" i="6" s="1"/>
  <c r="X1682" i="6" s="1"/>
  <c r="Y1682" i="6" s="1"/>
  <c r="Z1682" i="6" s="1"/>
  <c r="AA1682" i="6" s="1"/>
  <c r="R1682" i="6" s="1"/>
  <c r="F1682" i="6" s="1"/>
  <c r="E1682" i="6" s="1"/>
  <c r="M1682" i="6"/>
  <c r="T1681" i="6"/>
  <c r="U1681" i="6" s="1"/>
  <c r="V1681" i="6" s="1"/>
  <c r="W1681" i="6" s="1"/>
  <c r="X1681" i="6" s="1"/>
  <c r="Y1681" i="6" s="1"/>
  <c r="Z1681" i="6" s="1"/>
  <c r="AA1681" i="6" s="1"/>
  <c r="R1681" i="6" s="1"/>
  <c r="F1681" i="6" s="1"/>
  <c r="E1681" i="6" s="1"/>
  <c r="M1681" i="6"/>
  <c r="T1680" i="6"/>
  <c r="U1680" i="6" s="1"/>
  <c r="V1680" i="6" s="1"/>
  <c r="W1680" i="6" s="1"/>
  <c r="X1680" i="6" s="1"/>
  <c r="Y1680" i="6" s="1"/>
  <c r="Z1680" i="6" s="1"/>
  <c r="AA1680" i="6" s="1"/>
  <c r="R1680" i="6" s="1"/>
  <c r="F1680" i="6" s="1"/>
  <c r="E1680" i="6" s="1"/>
  <c r="M1680" i="6"/>
  <c r="T1679" i="6"/>
  <c r="U1679" i="6" s="1"/>
  <c r="V1679" i="6" s="1"/>
  <c r="W1679" i="6" s="1"/>
  <c r="X1679" i="6" s="1"/>
  <c r="Y1679" i="6" s="1"/>
  <c r="Z1679" i="6" s="1"/>
  <c r="AA1679" i="6" s="1"/>
  <c r="R1679" i="6" s="1"/>
  <c r="F1679" i="6" s="1"/>
  <c r="E1679" i="6" s="1"/>
  <c r="M1679" i="6"/>
  <c r="T1678" i="6"/>
  <c r="U1678" i="6" s="1"/>
  <c r="V1678" i="6" s="1"/>
  <c r="W1678" i="6" s="1"/>
  <c r="X1678" i="6" s="1"/>
  <c r="Y1678" i="6" s="1"/>
  <c r="Z1678" i="6" s="1"/>
  <c r="AA1678" i="6" s="1"/>
  <c r="R1678" i="6" s="1"/>
  <c r="F1678" i="6" s="1"/>
  <c r="E1678" i="6" s="1"/>
  <c r="M1678" i="6"/>
  <c r="T1677" i="6"/>
  <c r="U1677" i="6" s="1"/>
  <c r="V1677" i="6" s="1"/>
  <c r="W1677" i="6" s="1"/>
  <c r="X1677" i="6" s="1"/>
  <c r="Y1677" i="6" s="1"/>
  <c r="Z1677" i="6" s="1"/>
  <c r="AA1677" i="6" s="1"/>
  <c r="R1677" i="6" s="1"/>
  <c r="F1677" i="6" s="1"/>
  <c r="E1677" i="6" s="1"/>
  <c r="M1677" i="6"/>
  <c r="T1676" i="6"/>
  <c r="U1676" i="6" s="1"/>
  <c r="V1676" i="6" s="1"/>
  <c r="W1676" i="6" s="1"/>
  <c r="X1676" i="6" s="1"/>
  <c r="Y1676" i="6"/>
  <c r="Z1676" i="6" s="1"/>
  <c r="AA1676" i="6" s="1"/>
  <c r="R1676" i="6" s="1"/>
  <c r="F1676" i="6" s="1"/>
  <c r="E1676" i="6" s="1"/>
  <c r="M1676" i="6"/>
  <c r="T1675" i="6"/>
  <c r="U1675" i="6" s="1"/>
  <c r="V1675" i="6" s="1"/>
  <c r="W1675" i="6" s="1"/>
  <c r="X1675" i="6" s="1"/>
  <c r="Y1675" i="6" s="1"/>
  <c r="Z1675" i="6"/>
  <c r="AA1675" i="6" s="1"/>
  <c r="R1675" i="6" s="1"/>
  <c r="F1675" i="6" s="1"/>
  <c r="E1675" i="6" s="1"/>
  <c r="M1675" i="6"/>
  <c r="T1674" i="6"/>
  <c r="U1674" i="6" s="1"/>
  <c r="V1674" i="6" s="1"/>
  <c r="W1674" i="6" s="1"/>
  <c r="X1674" i="6" s="1"/>
  <c r="Y1674" i="6" s="1"/>
  <c r="Z1674" i="6" s="1"/>
  <c r="AA1674" i="6" s="1"/>
  <c r="R1674" i="6" s="1"/>
  <c r="F1674" i="6" s="1"/>
  <c r="E1674" i="6" s="1"/>
  <c r="M1674" i="6"/>
  <c r="T1673" i="6"/>
  <c r="U1673" i="6" s="1"/>
  <c r="V1673" i="6" s="1"/>
  <c r="W1673" i="6" s="1"/>
  <c r="X1673" i="6" s="1"/>
  <c r="Y1673" i="6" s="1"/>
  <c r="Z1673" i="6" s="1"/>
  <c r="AA1673" i="6" s="1"/>
  <c r="R1673" i="6" s="1"/>
  <c r="F1673" i="6" s="1"/>
  <c r="E1673" i="6" s="1"/>
  <c r="M1673" i="6"/>
  <c r="T1672" i="6"/>
  <c r="U1672" i="6" s="1"/>
  <c r="V1672" i="6" s="1"/>
  <c r="W1672" i="6" s="1"/>
  <c r="X1672" i="6" s="1"/>
  <c r="Y1672" i="6" s="1"/>
  <c r="Z1672" i="6" s="1"/>
  <c r="AA1672" i="6" s="1"/>
  <c r="R1672" i="6" s="1"/>
  <c r="F1672" i="6" s="1"/>
  <c r="E1672" i="6" s="1"/>
  <c r="M1672" i="6"/>
  <c r="T1671" i="6"/>
  <c r="U1671" i="6" s="1"/>
  <c r="V1671" i="6" s="1"/>
  <c r="W1671" i="6" s="1"/>
  <c r="X1671" i="6" s="1"/>
  <c r="Y1671" i="6" s="1"/>
  <c r="Z1671" i="6" s="1"/>
  <c r="AA1671" i="6" s="1"/>
  <c r="R1671" i="6" s="1"/>
  <c r="F1671" i="6" s="1"/>
  <c r="E1671" i="6" s="1"/>
  <c r="M1671" i="6"/>
  <c r="T1670" i="6"/>
  <c r="U1670" i="6"/>
  <c r="V1670" i="6"/>
  <c r="W1670" i="6" s="1"/>
  <c r="X1670" i="6" s="1"/>
  <c r="Y1670" i="6" s="1"/>
  <c r="Z1670" i="6" s="1"/>
  <c r="AA1670" i="6" s="1"/>
  <c r="R1670" i="6" s="1"/>
  <c r="F1670" i="6" s="1"/>
  <c r="E1670" i="6" s="1"/>
  <c r="M1670" i="6"/>
  <c r="T1669" i="6"/>
  <c r="U1669" i="6"/>
  <c r="V1669" i="6"/>
  <c r="W1669" i="6" s="1"/>
  <c r="X1669" i="6" s="1"/>
  <c r="Y1669" i="6" s="1"/>
  <c r="Z1669" i="6" s="1"/>
  <c r="AA1669" i="6" s="1"/>
  <c r="R1669" i="6" s="1"/>
  <c r="F1669" i="6" s="1"/>
  <c r="E1669" i="6" s="1"/>
  <c r="M1669" i="6"/>
  <c r="T1668" i="6"/>
  <c r="U1668" i="6"/>
  <c r="V1668" i="6" s="1"/>
  <c r="W1668" i="6" s="1"/>
  <c r="X1668" i="6" s="1"/>
  <c r="Y1668" i="6" s="1"/>
  <c r="Z1668" i="6" s="1"/>
  <c r="AA1668" i="6" s="1"/>
  <c r="R1668" i="6" s="1"/>
  <c r="F1668" i="6" s="1"/>
  <c r="E1668" i="6" s="1"/>
  <c r="M1668" i="6"/>
  <c r="T1667" i="6"/>
  <c r="U1667" i="6" s="1"/>
  <c r="V1667" i="6" s="1"/>
  <c r="W1667" i="6" s="1"/>
  <c r="X1667" i="6" s="1"/>
  <c r="Y1667" i="6" s="1"/>
  <c r="Z1667" i="6" s="1"/>
  <c r="AA1667" i="6" s="1"/>
  <c r="R1667" i="6" s="1"/>
  <c r="F1667" i="6" s="1"/>
  <c r="E1667" i="6" s="1"/>
  <c r="M1667" i="6"/>
  <c r="T1666" i="6"/>
  <c r="U1666" i="6" s="1"/>
  <c r="V1666" i="6" s="1"/>
  <c r="W1666" i="6" s="1"/>
  <c r="X1666" i="6" s="1"/>
  <c r="Y1666" i="6" s="1"/>
  <c r="Z1666" i="6" s="1"/>
  <c r="AA1666" i="6" s="1"/>
  <c r="R1666" i="6" s="1"/>
  <c r="F1666" i="6" s="1"/>
  <c r="E1666" i="6" s="1"/>
  <c r="M1666" i="6"/>
  <c r="T1665" i="6"/>
  <c r="U1665" i="6"/>
  <c r="V1665" i="6"/>
  <c r="W1665" i="6" s="1"/>
  <c r="X1665" i="6" s="1"/>
  <c r="Y1665" i="6" s="1"/>
  <c r="Z1665" i="6" s="1"/>
  <c r="AA1665" i="6" s="1"/>
  <c r="R1665" i="6" s="1"/>
  <c r="F1665" i="6" s="1"/>
  <c r="E1665" i="6" s="1"/>
  <c r="M1665" i="6"/>
  <c r="T1664" i="6"/>
  <c r="U1664" i="6" s="1"/>
  <c r="V1664" i="6" s="1"/>
  <c r="W1664" i="6" s="1"/>
  <c r="X1664" i="6" s="1"/>
  <c r="Y1664" i="6" s="1"/>
  <c r="Z1664" i="6" s="1"/>
  <c r="AA1664" i="6" s="1"/>
  <c r="R1664" i="6" s="1"/>
  <c r="F1664" i="6" s="1"/>
  <c r="E1664" i="6" s="1"/>
  <c r="M1664" i="6"/>
  <c r="T1663" i="6"/>
  <c r="U1663" i="6"/>
  <c r="V1663" i="6"/>
  <c r="W1663" i="6" s="1"/>
  <c r="X1663" i="6" s="1"/>
  <c r="Y1663" i="6" s="1"/>
  <c r="Z1663" i="6" s="1"/>
  <c r="AA1663" i="6" s="1"/>
  <c r="R1663" i="6" s="1"/>
  <c r="F1663" i="6" s="1"/>
  <c r="E1663" i="6" s="1"/>
  <c r="M1663" i="6"/>
  <c r="T1662" i="6"/>
  <c r="U1662" i="6" s="1"/>
  <c r="V1662" i="6" s="1"/>
  <c r="W1662" i="6" s="1"/>
  <c r="X1662" i="6" s="1"/>
  <c r="Y1662" i="6" s="1"/>
  <c r="Z1662" i="6" s="1"/>
  <c r="AA1662" i="6" s="1"/>
  <c r="R1662" i="6" s="1"/>
  <c r="F1662" i="6" s="1"/>
  <c r="E1662" i="6" s="1"/>
  <c r="M1662" i="6"/>
  <c r="T1661" i="6"/>
  <c r="U1661" i="6"/>
  <c r="V1661" i="6" s="1"/>
  <c r="W1661" i="6" s="1"/>
  <c r="X1661" i="6" s="1"/>
  <c r="Y1661" i="6" s="1"/>
  <c r="Z1661" i="6" s="1"/>
  <c r="AA1661" i="6" s="1"/>
  <c r="R1661" i="6" s="1"/>
  <c r="F1661" i="6" s="1"/>
  <c r="E1661" i="6" s="1"/>
  <c r="M1661" i="6"/>
  <c r="T1660" i="6"/>
  <c r="U1660" i="6" s="1"/>
  <c r="V1660" i="6" s="1"/>
  <c r="W1660" i="6" s="1"/>
  <c r="X1660" i="6" s="1"/>
  <c r="Y1660" i="6" s="1"/>
  <c r="Z1660" i="6" s="1"/>
  <c r="AA1660" i="6" s="1"/>
  <c r="R1660" i="6" s="1"/>
  <c r="F1660" i="6" s="1"/>
  <c r="E1660" i="6" s="1"/>
  <c r="M1660" i="6"/>
  <c r="T1659" i="6"/>
  <c r="U1659" i="6"/>
  <c r="V1659" i="6" s="1"/>
  <c r="W1659" i="6" s="1"/>
  <c r="X1659" i="6" s="1"/>
  <c r="Y1659" i="6" s="1"/>
  <c r="Z1659" i="6" s="1"/>
  <c r="AA1659" i="6" s="1"/>
  <c r="R1659" i="6" s="1"/>
  <c r="F1659" i="6" s="1"/>
  <c r="E1659" i="6" s="1"/>
  <c r="M1659" i="6"/>
  <c r="T1658" i="6"/>
  <c r="U1658" i="6" s="1"/>
  <c r="V1658" i="6"/>
  <c r="W1658" i="6" s="1"/>
  <c r="X1658" i="6" s="1"/>
  <c r="Y1658" i="6" s="1"/>
  <c r="Z1658" i="6" s="1"/>
  <c r="AA1658" i="6" s="1"/>
  <c r="R1658" i="6" s="1"/>
  <c r="F1658" i="6" s="1"/>
  <c r="E1658" i="6" s="1"/>
  <c r="M1658" i="6"/>
  <c r="T1657" i="6"/>
  <c r="U1657" i="6"/>
  <c r="V1657" i="6" s="1"/>
  <c r="W1657" i="6" s="1"/>
  <c r="X1657" i="6" s="1"/>
  <c r="Y1657" i="6" s="1"/>
  <c r="Z1657" i="6" s="1"/>
  <c r="AA1657" i="6" s="1"/>
  <c r="R1657" i="6" s="1"/>
  <c r="F1657" i="6" s="1"/>
  <c r="E1657" i="6" s="1"/>
  <c r="M1657" i="6"/>
  <c r="T1656" i="6"/>
  <c r="U1656" i="6" s="1"/>
  <c r="V1656" i="6"/>
  <c r="W1656" i="6" s="1"/>
  <c r="X1656" i="6" s="1"/>
  <c r="Y1656" i="6" s="1"/>
  <c r="Z1656" i="6" s="1"/>
  <c r="AA1656" i="6" s="1"/>
  <c r="R1656" i="6" s="1"/>
  <c r="F1656" i="6" s="1"/>
  <c r="E1656" i="6"/>
  <c r="M1656" i="6"/>
  <c r="T1655" i="6"/>
  <c r="U1655" i="6"/>
  <c r="V1655" i="6" s="1"/>
  <c r="W1655" i="6" s="1"/>
  <c r="X1655" i="6" s="1"/>
  <c r="Y1655" i="6" s="1"/>
  <c r="Z1655" i="6" s="1"/>
  <c r="AA1655" i="6" s="1"/>
  <c r="R1655" i="6" s="1"/>
  <c r="F1655" i="6" s="1"/>
  <c r="E1655" i="6" s="1"/>
  <c r="M1655" i="6"/>
  <c r="T1654" i="6"/>
  <c r="U1654" i="6"/>
  <c r="V1654" i="6"/>
  <c r="W1654" i="6" s="1"/>
  <c r="X1654" i="6" s="1"/>
  <c r="Y1654" i="6" s="1"/>
  <c r="Z1654" i="6" s="1"/>
  <c r="AA1654" i="6" s="1"/>
  <c r="R1654" i="6" s="1"/>
  <c r="F1654" i="6" s="1"/>
  <c r="E1654" i="6" s="1"/>
  <c r="M1654" i="6"/>
  <c r="T1653" i="6"/>
  <c r="U1653" i="6" s="1"/>
  <c r="V1653" i="6" s="1"/>
  <c r="W1653" i="6" s="1"/>
  <c r="X1653" i="6" s="1"/>
  <c r="Y1653" i="6" s="1"/>
  <c r="Z1653" i="6" s="1"/>
  <c r="AA1653" i="6" s="1"/>
  <c r="R1653" i="6" s="1"/>
  <c r="F1653" i="6" s="1"/>
  <c r="E1653" i="6" s="1"/>
  <c r="M1653" i="6"/>
  <c r="T1652" i="6"/>
  <c r="U1652" i="6" s="1"/>
  <c r="V1652" i="6" s="1"/>
  <c r="W1652" i="6" s="1"/>
  <c r="X1652" i="6" s="1"/>
  <c r="Y1652" i="6" s="1"/>
  <c r="Z1652" i="6" s="1"/>
  <c r="AA1652" i="6" s="1"/>
  <c r="R1652" i="6" s="1"/>
  <c r="F1652" i="6" s="1"/>
  <c r="E1652" i="6" s="1"/>
  <c r="M1652" i="6"/>
  <c r="T1651" i="6"/>
  <c r="U1651" i="6" s="1"/>
  <c r="V1651" i="6" s="1"/>
  <c r="W1651" i="6" s="1"/>
  <c r="X1651" i="6" s="1"/>
  <c r="Y1651" i="6" s="1"/>
  <c r="Z1651" i="6" s="1"/>
  <c r="AA1651" i="6"/>
  <c r="R1651" i="6" s="1"/>
  <c r="F1651" i="6" s="1"/>
  <c r="E1651" i="6" s="1"/>
  <c r="M1651" i="6"/>
  <c r="T1650" i="6"/>
  <c r="U1650" i="6"/>
  <c r="V1650" i="6" s="1"/>
  <c r="W1650" i="6" s="1"/>
  <c r="X1650" i="6" s="1"/>
  <c r="Y1650" i="6" s="1"/>
  <c r="Z1650" i="6" s="1"/>
  <c r="AA1650" i="6" s="1"/>
  <c r="R1650" i="6" s="1"/>
  <c r="F1650" i="6" s="1"/>
  <c r="E1650" i="6" s="1"/>
  <c r="M1650" i="6"/>
  <c r="T1649" i="6"/>
  <c r="U1649" i="6"/>
  <c r="V1649" i="6"/>
  <c r="W1649" i="6" s="1"/>
  <c r="X1649" i="6" s="1"/>
  <c r="Y1649" i="6" s="1"/>
  <c r="Z1649" i="6" s="1"/>
  <c r="AA1649" i="6" s="1"/>
  <c r="R1649" i="6" s="1"/>
  <c r="F1649" i="6" s="1"/>
  <c r="E1649" i="6" s="1"/>
  <c r="M1649" i="6"/>
  <c r="T1648" i="6"/>
  <c r="U1648" i="6" s="1"/>
  <c r="V1648" i="6" s="1"/>
  <c r="W1648" i="6" s="1"/>
  <c r="X1648" i="6" s="1"/>
  <c r="Y1648" i="6" s="1"/>
  <c r="Z1648" i="6" s="1"/>
  <c r="AA1648" i="6" s="1"/>
  <c r="R1648" i="6" s="1"/>
  <c r="F1648" i="6" s="1"/>
  <c r="E1648" i="6" s="1"/>
  <c r="M1648" i="6"/>
  <c r="T1647" i="6"/>
  <c r="U1647" i="6"/>
  <c r="V1647" i="6"/>
  <c r="W1647" i="6" s="1"/>
  <c r="X1647" i="6" s="1"/>
  <c r="Y1647" i="6" s="1"/>
  <c r="Z1647" i="6" s="1"/>
  <c r="AA1647" i="6" s="1"/>
  <c r="R1647" i="6" s="1"/>
  <c r="F1647" i="6" s="1"/>
  <c r="E1647" i="6" s="1"/>
  <c r="M1647" i="6"/>
  <c r="T1646" i="6"/>
  <c r="U1646" i="6" s="1"/>
  <c r="V1646" i="6" s="1"/>
  <c r="W1646" i="6" s="1"/>
  <c r="X1646" i="6" s="1"/>
  <c r="Y1646" i="6" s="1"/>
  <c r="Z1646" i="6" s="1"/>
  <c r="AA1646" i="6" s="1"/>
  <c r="R1646" i="6" s="1"/>
  <c r="F1646" i="6" s="1"/>
  <c r="E1646" i="6" s="1"/>
  <c r="M1646" i="6"/>
  <c r="T1645" i="6"/>
  <c r="U1645" i="6" s="1"/>
  <c r="V1645" i="6" s="1"/>
  <c r="W1645" i="6" s="1"/>
  <c r="X1645" i="6" s="1"/>
  <c r="Y1645" i="6" s="1"/>
  <c r="Z1645" i="6" s="1"/>
  <c r="AA1645" i="6" s="1"/>
  <c r="R1645" i="6" s="1"/>
  <c r="F1645" i="6" s="1"/>
  <c r="E1645" i="6" s="1"/>
  <c r="M1645" i="6"/>
  <c r="T1644" i="6"/>
  <c r="U1644" i="6" s="1"/>
  <c r="V1644" i="6" s="1"/>
  <c r="W1644" i="6" s="1"/>
  <c r="X1644" i="6" s="1"/>
  <c r="Y1644" i="6" s="1"/>
  <c r="Z1644" i="6" s="1"/>
  <c r="AA1644" i="6" s="1"/>
  <c r="R1644" i="6" s="1"/>
  <c r="F1644" i="6" s="1"/>
  <c r="E1644" i="6" s="1"/>
  <c r="M1644" i="6"/>
  <c r="T1643" i="6"/>
  <c r="U1643" i="6"/>
  <c r="V1643" i="6"/>
  <c r="W1643" i="6" s="1"/>
  <c r="X1643" i="6" s="1"/>
  <c r="Y1643" i="6" s="1"/>
  <c r="Z1643" i="6" s="1"/>
  <c r="AA1643" i="6" s="1"/>
  <c r="R1643" i="6" s="1"/>
  <c r="F1643" i="6" s="1"/>
  <c r="E1643" i="6" s="1"/>
  <c r="M1643" i="6"/>
  <c r="T1642" i="6"/>
  <c r="U1642" i="6" s="1"/>
  <c r="V1642" i="6" s="1"/>
  <c r="W1642" i="6" s="1"/>
  <c r="X1642" i="6" s="1"/>
  <c r="Y1642" i="6" s="1"/>
  <c r="Z1642" i="6" s="1"/>
  <c r="AA1642" i="6" s="1"/>
  <c r="R1642" i="6" s="1"/>
  <c r="F1642" i="6" s="1"/>
  <c r="E1642" i="6" s="1"/>
  <c r="M1642" i="6"/>
  <c r="T1641" i="6"/>
  <c r="U1641" i="6"/>
  <c r="V1641" i="6"/>
  <c r="W1641" i="6" s="1"/>
  <c r="X1641" i="6" s="1"/>
  <c r="Y1641" i="6" s="1"/>
  <c r="Z1641" i="6" s="1"/>
  <c r="AA1641" i="6" s="1"/>
  <c r="R1641" i="6" s="1"/>
  <c r="F1641" i="6" s="1"/>
  <c r="E1641" i="6" s="1"/>
  <c r="M1641" i="6"/>
  <c r="T1640" i="6"/>
  <c r="U1640" i="6" s="1"/>
  <c r="V1640" i="6"/>
  <c r="W1640" i="6" s="1"/>
  <c r="X1640" i="6" s="1"/>
  <c r="Y1640" i="6" s="1"/>
  <c r="Z1640" i="6" s="1"/>
  <c r="AA1640" i="6" s="1"/>
  <c r="R1640" i="6" s="1"/>
  <c r="F1640" i="6" s="1"/>
  <c r="E1640" i="6" s="1"/>
  <c r="M1640" i="6"/>
  <c r="T1639" i="6"/>
  <c r="U1639" i="6"/>
  <c r="V1639" i="6"/>
  <c r="W1639" i="6" s="1"/>
  <c r="X1639" i="6" s="1"/>
  <c r="Y1639" i="6" s="1"/>
  <c r="Z1639" i="6" s="1"/>
  <c r="AA1639" i="6" s="1"/>
  <c r="R1639" i="6" s="1"/>
  <c r="F1639" i="6" s="1"/>
  <c r="E1639" i="6" s="1"/>
  <c r="M1639" i="6"/>
  <c r="T1638" i="6"/>
  <c r="U1638" i="6"/>
  <c r="V1638" i="6" s="1"/>
  <c r="W1638" i="6" s="1"/>
  <c r="X1638" i="6" s="1"/>
  <c r="Y1638" i="6" s="1"/>
  <c r="Z1638" i="6" s="1"/>
  <c r="AA1638" i="6" s="1"/>
  <c r="R1638" i="6" s="1"/>
  <c r="F1638" i="6" s="1"/>
  <c r="E1638" i="6" s="1"/>
  <c r="M1638" i="6"/>
  <c r="T1637" i="6"/>
  <c r="U1637" i="6"/>
  <c r="V1637" i="6" s="1"/>
  <c r="W1637" i="6" s="1"/>
  <c r="X1637" i="6" s="1"/>
  <c r="Y1637" i="6" s="1"/>
  <c r="Z1637" i="6" s="1"/>
  <c r="AA1637" i="6" s="1"/>
  <c r="R1637" i="6" s="1"/>
  <c r="F1637" i="6" s="1"/>
  <c r="E1637" i="6" s="1"/>
  <c r="M1637" i="6"/>
  <c r="T1636" i="6"/>
  <c r="U1636" i="6"/>
  <c r="V1636" i="6" s="1"/>
  <c r="W1636" i="6" s="1"/>
  <c r="X1636" i="6" s="1"/>
  <c r="Y1636" i="6" s="1"/>
  <c r="Z1636" i="6" s="1"/>
  <c r="AA1636" i="6" s="1"/>
  <c r="R1636" i="6" s="1"/>
  <c r="F1636" i="6" s="1"/>
  <c r="E1636" i="6" s="1"/>
  <c r="M1636" i="6"/>
  <c r="T1635" i="6"/>
  <c r="U1635" i="6"/>
  <c r="V1635" i="6" s="1"/>
  <c r="W1635" i="6" s="1"/>
  <c r="X1635" i="6" s="1"/>
  <c r="Y1635" i="6" s="1"/>
  <c r="Z1635" i="6" s="1"/>
  <c r="AA1635" i="6" s="1"/>
  <c r="R1635" i="6" s="1"/>
  <c r="F1635" i="6" s="1"/>
  <c r="E1635" i="6" s="1"/>
  <c r="M1635" i="6"/>
  <c r="T1634" i="6"/>
  <c r="U1634" i="6"/>
  <c r="V1634" i="6"/>
  <c r="W1634" i="6" s="1"/>
  <c r="X1634" i="6" s="1"/>
  <c r="Y1634" i="6" s="1"/>
  <c r="Z1634" i="6" s="1"/>
  <c r="AA1634" i="6" s="1"/>
  <c r="R1634" i="6" s="1"/>
  <c r="F1634" i="6" s="1"/>
  <c r="E1634" i="6" s="1"/>
  <c r="M1634" i="6"/>
  <c r="T1633" i="6"/>
  <c r="U1633" i="6" s="1"/>
  <c r="V1633" i="6" s="1"/>
  <c r="W1633" i="6" s="1"/>
  <c r="X1633" i="6" s="1"/>
  <c r="Y1633" i="6" s="1"/>
  <c r="Z1633" i="6" s="1"/>
  <c r="AA1633" i="6" s="1"/>
  <c r="R1633" i="6" s="1"/>
  <c r="F1633" i="6" s="1"/>
  <c r="E1633" i="6" s="1"/>
  <c r="M1633" i="6"/>
  <c r="T1632" i="6"/>
  <c r="U1632" i="6" s="1"/>
  <c r="V1632" i="6" s="1"/>
  <c r="W1632" i="6" s="1"/>
  <c r="X1632" i="6" s="1"/>
  <c r="Y1632" i="6" s="1"/>
  <c r="Z1632" i="6" s="1"/>
  <c r="AA1632" i="6" s="1"/>
  <c r="R1632" i="6" s="1"/>
  <c r="F1632" i="6" s="1"/>
  <c r="E1632" i="6" s="1"/>
  <c r="M1632" i="6"/>
  <c r="T1631" i="6"/>
  <c r="U1631" i="6" s="1"/>
  <c r="V1631" i="6" s="1"/>
  <c r="W1631" i="6" s="1"/>
  <c r="X1631" i="6" s="1"/>
  <c r="Y1631" i="6" s="1"/>
  <c r="Z1631" i="6" s="1"/>
  <c r="AA1631" i="6" s="1"/>
  <c r="R1631" i="6" s="1"/>
  <c r="F1631" i="6" s="1"/>
  <c r="E1631" i="6" s="1"/>
  <c r="M1631" i="6"/>
  <c r="T1630" i="6"/>
  <c r="U1630" i="6" s="1"/>
  <c r="V1630" i="6" s="1"/>
  <c r="W1630" i="6" s="1"/>
  <c r="X1630" i="6" s="1"/>
  <c r="Y1630" i="6" s="1"/>
  <c r="Z1630" i="6" s="1"/>
  <c r="AA1630" i="6" s="1"/>
  <c r="R1630" i="6" s="1"/>
  <c r="F1630" i="6" s="1"/>
  <c r="E1630" i="6" s="1"/>
  <c r="M1630" i="6"/>
  <c r="T1629" i="6"/>
  <c r="U1629" i="6" s="1"/>
  <c r="V1629" i="6" s="1"/>
  <c r="W1629" i="6" s="1"/>
  <c r="X1629" i="6" s="1"/>
  <c r="Y1629" i="6" s="1"/>
  <c r="Z1629" i="6" s="1"/>
  <c r="AA1629" i="6" s="1"/>
  <c r="R1629" i="6" s="1"/>
  <c r="F1629" i="6" s="1"/>
  <c r="E1629" i="6" s="1"/>
  <c r="M1629" i="6"/>
  <c r="T1628" i="6"/>
  <c r="U1628" i="6"/>
  <c r="V1628" i="6" s="1"/>
  <c r="W1628" i="6" s="1"/>
  <c r="X1628" i="6" s="1"/>
  <c r="Y1628" i="6" s="1"/>
  <c r="Z1628" i="6" s="1"/>
  <c r="AA1628" i="6" s="1"/>
  <c r="R1628" i="6" s="1"/>
  <c r="F1628" i="6" s="1"/>
  <c r="E1628" i="6" s="1"/>
  <c r="M1628" i="6"/>
  <c r="T1627" i="6"/>
  <c r="U1627" i="6" s="1"/>
  <c r="V1627" i="6" s="1"/>
  <c r="W1627" i="6" s="1"/>
  <c r="X1627" i="6" s="1"/>
  <c r="Y1627" i="6" s="1"/>
  <c r="Z1627" i="6" s="1"/>
  <c r="AA1627" i="6" s="1"/>
  <c r="R1627" i="6" s="1"/>
  <c r="F1627" i="6"/>
  <c r="E1627" i="6" s="1"/>
  <c r="M1627" i="6"/>
  <c r="T1626" i="6"/>
  <c r="U1626" i="6"/>
  <c r="V1626" i="6" s="1"/>
  <c r="W1626" i="6" s="1"/>
  <c r="X1626" i="6" s="1"/>
  <c r="Y1626" i="6" s="1"/>
  <c r="Z1626" i="6" s="1"/>
  <c r="AA1626" i="6" s="1"/>
  <c r="R1626" i="6" s="1"/>
  <c r="F1626" i="6" s="1"/>
  <c r="E1626" i="6" s="1"/>
  <c r="M1626" i="6"/>
  <c r="T1625" i="6"/>
  <c r="U1625" i="6" s="1"/>
  <c r="V1625" i="6" s="1"/>
  <c r="W1625" i="6" s="1"/>
  <c r="X1625" i="6" s="1"/>
  <c r="Y1625" i="6" s="1"/>
  <c r="Z1625" i="6" s="1"/>
  <c r="AA1625" i="6" s="1"/>
  <c r="R1625" i="6" s="1"/>
  <c r="F1625" i="6" s="1"/>
  <c r="E1625" i="6" s="1"/>
  <c r="M1625" i="6"/>
  <c r="T1624" i="6"/>
  <c r="U1624" i="6" s="1"/>
  <c r="V1624" i="6" s="1"/>
  <c r="W1624" i="6" s="1"/>
  <c r="X1624" i="6" s="1"/>
  <c r="Y1624" i="6" s="1"/>
  <c r="Z1624" i="6" s="1"/>
  <c r="AA1624" i="6" s="1"/>
  <c r="R1624" i="6" s="1"/>
  <c r="F1624" i="6" s="1"/>
  <c r="E1624" i="6" s="1"/>
  <c r="M1624" i="6"/>
  <c r="T1623" i="6"/>
  <c r="U1623" i="6" s="1"/>
  <c r="V1623" i="6" s="1"/>
  <c r="W1623" i="6" s="1"/>
  <c r="X1623" i="6" s="1"/>
  <c r="Y1623" i="6"/>
  <c r="Z1623" i="6" s="1"/>
  <c r="AA1623" i="6" s="1"/>
  <c r="R1623" i="6" s="1"/>
  <c r="F1623" i="6" s="1"/>
  <c r="E1623" i="6" s="1"/>
  <c r="M1623" i="6"/>
  <c r="T1622" i="6"/>
  <c r="U1622" i="6"/>
  <c r="V1622" i="6" s="1"/>
  <c r="W1622" i="6" s="1"/>
  <c r="X1622" i="6" s="1"/>
  <c r="Y1622" i="6" s="1"/>
  <c r="Z1622" i="6" s="1"/>
  <c r="AA1622" i="6" s="1"/>
  <c r="R1622" i="6" s="1"/>
  <c r="F1622" i="6" s="1"/>
  <c r="E1622" i="6" s="1"/>
  <c r="M1622" i="6"/>
  <c r="T1621" i="6"/>
  <c r="U1621" i="6" s="1"/>
  <c r="V1621" i="6" s="1"/>
  <c r="W1621" i="6" s="1"/>
  <c r="X1621" i="6" s="1"/>
  <c r="Y1621" i="6" s="1"/>
  <c r="Z1621" i="6" s="1"/>
  <c r="AA1621" i="6" s="1"/>
  <c r="R1621" i="6" s="1"/>
  <c r="F1621" i="6" s="1"/>
  <c r="E1621" i="6" s="1"/>
  <c r="M1621" i="6"/>
  <c r="T1620" i="6"/>
  <c r="U1620" i="6"/>
  <c r="V1620" i="6" s="1"/>
  <c r="W1620" i="6" s="1"/>
  <c r="X1620" i="6" s="1"/>
  <c r="Y1620" i="6" s="1"/>
  <c r="Z1620" i="6" s="1"/>
  <c r="AA1620" i="6" s="1"/>
  <c r="R1620" i="6" s="1"/>
  <c r="F1620" i="6" s="1"/>
  <c r="E1620" i="6" s="1"/>
  <c r="M1620" i="6"/>
  <c r="T1619" i="6"/>
  <c r="U1619" i="6" s="1"/>
  <c r="V1619" i="6" s="1"/>
  <c r="W1619" i="6" s="1"/>
  <c r="X1619" i="6" s="1"/>
  <c r="Y1619" i="6" s="1"/>
  <c r="Z1619" i="6" s="1"/>
  <c r="AA1619" i="6" s="1"/>
  <c r="R1619" i="6" s="1"/>
  <c r="F1619" i="6" s="1"/>
  <c r="E1619" i="6" s="1"/>
  <c r="M1619" i="6"/>
  <c r="T1618" i="6"/>
  <c r="U1618" i="6" s="1"/>
  <c r="V1618" i="6" s="1"/>
  <c r="W1618" i="6" s="1"/>
  <c r="X1618" i="6" s="1"/>
  <c r="Y1618" i="6" s="1"/>
  <c r="Z1618" i="6" s="1"/>
  <c r="AA1618" i="6" s="1"/>
  <c r="R1618" i="6" s="1"/>
  <c r="F1618" i="6" s="1"/>
  <c r="E1618" i="6" s="1"/>
  <c r="M1618" i="6"/>
  <c r="T1617" i="6"/>
  <c r="U1617" i="6" s="1"/>
  <c r="V1617" i="6"/>
  <c r="W1617" i="6" s="1"/>
  <c r="X1617" i="6" s="1"/>
  <c r="Y1617" i="6" s="1"/>
  <c r="Z1617" i="6" s="1"/>
  <c r="AA1617" i="6" s="1"/>
  <c r="R1617" i="6" s="1"/>
  <c r="F1617" i="6" s="1"/>
  <c r="E1617" i="6" s="1"/>
  <c r="M1617" i="6"/>
  <c r="T1616" i="6"/>
  <c r="U1616" i="6"/>
  <c r="V1616" i="6" s="1"/>
  <c r="W1616" i="6" s="1"/>
  <c r="X1616" i="6" s="1"/>
  <c r="Y1616" i="6" s="1"/>
  <c r="Z1616" i="6" s="1"/>
  <c r="AA1616" i="6" s="1"/>
  <c r="R1616" i="6" s="1"/>
  <c r="F1616" i="6" s="1"/>
  <c r="E1616" i="6" s="1"/>
  <c r="M1616" i="6"/>
  <c r="T1615" i="6"/>
  <c r="U1615" i="6"/>
  <c r="V1615" i="6" s="1"/>
  <c r="W1615" i="6" s="1"/>
  <c r="X1615" i="6" s="1"/>
  <c r="Y1615" i="6" s="1"/>
  <c r="Z1615" i="6" s="1"/>
  <c r="AA1615" i="6" s="1"/>
  <c r="R1615" i="6" s="1"/>
  <c r="F1615" i="6" s="1"/>
  <c r="E1615" i="6" s="1"/>
  <c r="M1615" i="6"/>
  <c r="T1614" i="6"/>
  <c r="U1614" i="6" s="1"/>
  <c r="V1614" i="6" s="1"/>
  <c r="W1614" i="6" s="1"/>
  <c r="X1614" i="6" s="1"/>
  <c r="Y1614" i="6" s="1"/>
  <c r="Z1614" i="6" s="1"/>
  <c r="AA1614" i="6" s="1"/>
  <c r="R1614" i="6" s="1"/>
  <c r="F1614" i="6" s="1"/>
  <c r="E1614" i="6" s="1"/>
  <c r="M1614" i="6"/>
  <c r="T1613" i="6"/>
  <c r="U1613" i="6" s="1"/>
  <c r="V1613" i="6" s="1"/>
  <c r="W1613" i="6" s="1"/>
  <c r="X1613" i="6" s="1"/>
  <c r="Y1613" i="6" s="1"/>
  <c r="Z1613" i="6" s="1"/>
  <c r="AA1613" i="6" s="1"/>
  <c r="R1613" i="6" s="1"/>
  <c r="F1613" i="6" s="1"/>
  <c r="E1613" i="6" s="1"/>
  <c r="M1613" i="6"/>
  <c r="T1612" i="6"/>
  <c r="U1612" i="6"/>
  <c r="V1612" i="6" s="1"/>
  <c r="W1612" i="6" s="1"/>
  <c r="X1612" i="6" s="1"/>
  <c r="Y1612" i="6" s="1"/>
  <c r="Z1612" i="6" s="1"/>
  <c r="AA1612" i="6" s="1"/>
  <c r="R1612" i="6" s="1"/>
  <c r="F1612" i="6" s="1"/>
  <c r="E1612" i="6" s="1"/>
  <c r="M1612" i="6"/>
  <c r="T1611" i="6"/>
  <c r="U1611" i="6" s="1"/>
  <c r="V1611" i="6" s="1"/>
  <c r="W1611" i="6" s="1"/>
  <c r="X1611" i="6" s="1"/>
  <c r="Y1611" i="6" s="1"/>
  <c r="Z1611" i="6" s="1"/>
  <c r="AA1611" i="6" s="1"/>
  <c r="R1611" i="6" s="1"/>
  <c r="F1611" i="6" s="1"/>
  <c r="E1611" i="6" s="1"/>
  <c r="M1611" i="6"/>
  <c r="T1610" i="6"/>
  <c r="U1610" i="6"/>
  <c r="V1610" i="6" s="1"/>
  <c r="W1610" i="6" s="1"/>
  <c r="X1610" i="6" s="1"/>
  <c r="Y1610" i="6" s="1"/>
  <c r="Z1610" i="6" s="1"/>
  <c r="AA1610" i="6" s="1"/>
  <c r="R1610" i="6" s="1"/>
  <c r="F1610" i="6" s="1"/>
  <c r="E1610" i="6" s="1"/>
  <c r="M1610" i="6"/>
  <c r="T1609" i="6"/>
  <c r="U1609" i="6" s="1"/>
  <c r="V1609" i="6" s="1"/>
  <c r="W1609" i="6" s="1"/>
  <c r="X1609" i="6" s="1"/>
  <c r="Y1609" i="6" s="1"/>
  <c r="Z1609" i="6" s="1"/>
  <c r="AA1609" i="6" s="1"/>
  <c r="R1609" i="6" s="1"/>
  <c r="F1609" i="6" s="1"/>
  <c r="E1609" i="6" s="1"/>
  <c r="M1609" i="6"/>
  <c r="T1608" i="6"/>
  <c r="U1608" i="6" s="1"/>
  <c r="V1608" i="6" s="1"/>
  <c r="W1608" i="6" s="1"/>
  <c r="X1608" i="6" s="1"/>
  <c r="Y1608" i="6" s="1"/>
  <c r="Z1608" i="6" s="1"/>
  <c r="AA1608" i="6" s="1"/>
  <c r="R1608" i="6" s="1"/>
  <c r="F1608" i="6" s="1"/>
  <c r="E1608" i="6" s="1"/>
  <c r="M1608" i="6"/>
  <c r="T1607" i="6"/>
  <c r="U1607" i="6" s="1"/>
  <c r="V1607" i="6" s="1"/>
  <c r="W1607" i="6" s="1"/>
  <c r="X1607" i="6" s="1"/>
  <c r="Y1607" i="6" s="1"/>
  <c r="Z1607" i="6" s="1"/>
  <c r="AA1607" i="6" s="1"/>
  <c r="R1607" i="6" s="1"/>
  <c r="F1607" i="6" s="1"/>
  <c r="E1607" i="6" s="1"/>
  <c r="M1607" i="6"/>
  <c r="T1606" i="6"/>
  <c r="U1606" i="6" s="1"/>
  <c r="V1606" i="6" s="1"/>
  <c r="W1606" i="6" s="1"/>
  <c r="X1606" i="6" s="1"/>
  <c r="Y1606" i="6" s="1"/>
  <c r="Z1606" i="6" s="1"/>
  <c r="AA1606" i="6" s="1"/>
  <c r="R1606" i="6" s="1"/>
  <c r="F1606" i="6" s="1"/>
  <c r="E1606" i="6" s="1"/>
  <c r="M1606" i="6"/>
  <c r="T1605" i="6"/>
  <c r="U1605" i="6" s="1"/>
  <c r="V1605" i="6" s="1"/>
  <c r="W1605" i="6" s="1"/>
  <c r="X1605" i="6" s="1"/>
  <c r="Y1605" i="6" s="1"/>
  <c r="Z1605" i="6" s="1"/>
  <c r="AA1605" i="6" s="1"/>
  <c r="R1605" i="6" s="1"/>
  <c r="F1605" i="6" s="1"/>
  <c r="E1605" i="6" s="1"/>
  <c r="M1605" i="6"/>
  <c r="T1604" i="6"/>
  <c r="U1604" i="6"/>
  <c r="V1604" i="6" s="1"/>
  <c r="W1604" i="6" s="1"/>
  <c r="X1604" i="6" s="1"/>
  <c r="Y1604" i="6" s="1"/>
  <c r="Z1604" i="6" s="1"/>
  <c r="AA1604" i="6" s="1"/>
  <c r="R1604" i="6" s="1"/>
  <c r="F1604" i="6" s="1"/>
  <c r="E1604" i="6" s="1"/>
  <c r="M1604" i="6"/>
  <c r="T1603" i="6"/>
  <c r="U1603" i="6" s="1"/>
  <c r="V1603" i="6" s="1"/>
  <c r="W1603" i="6" s="1"/>
  <c r="X1603" i="6" s="1"/>
  <c r="Y1603" i="6" s="1"/>
  <c r="Z1603" i="6" s="1"/>
  <c r="AA1603" i="6" s="1"/>
  <c r="R1603" i="6" s="1"/>
  <c r="F1603" i="6" s="1"/>
  <c r="E1603" i="6" s="1"/>
  <c r="M1603" i="6"/>
  <c r="T1602" i="6"/>
  <c r="U1602" i="6"/>
  <c r="V1602" i="6" s="1"/>
  <c r="W1602" i="6" s="1"/>
  <c r="X1602" i="6" s="1"/>
  <c r="Y1602" i="6" s="1"/>
  <c r="Z1602" i="6" s="1"/>
  <c r="AA1602" i="6" s="1"/>
  <c r="R1602" i="6" s="1"/>
  <c r="F1602" i="6" s="1"/>
  <c r="E1602" i="6" s="1"/>
  <c r="M1602" i="6"/>
  <c r="T1601" i="6"/>
  <c r="U1601" i="6"/>
  <c r="V1601" i="6" s="1"/>
  <c r="W1601" i="6" s="1"/>
  <c r="X1601" i="6" s="1"/>
  <c r="Y1601" i="6" s="1"/>
  <c r="Z1601" i="6" s="1"/>
  <c r="AA1601" i="6" s="1"/>
  <c r="R1601" i="6" s="1"/>
  <c r="F1601" i="6" s="1"/>
  <c r="E1601" i="6" s="1"/>
  <c r="M1601" i="6"/>
  <c r="T1600" i="6"/>
  <c r="U1600" i="6"/>
  <c r="V1600" i="6" s="1"/>
  <c r="W1600" i="6" s="1"/>
  <c r="X1600" i="6" s="1"/>
  <c r="Y1600" i="6" s="1"/>
  <c r="Z1600" i="6" s="1"/>
  <c r="AA1600" i="6" s="1"/>
  <c r="R1600" i="6" s="1"/>
  <c r="F1600" i="6" s="1"/>
  <c r="E1600" i="6" s="1"/>
  <c r="M1600" i="6"/>
  <c r="T1599" i="6"/>
  <c r="U1599" i="6" s="1"/>
  <c r="V1599" i="6" s="1"/>
  <c r="W1599" i="6" s="1"/>
  <c r="X1599" i="6" s="1"/>
  <c r="Y1599" i="6" s="1"/>
  <c r="Z1599" i="6" s="1"/>
  <c r="AA1599" i="6" s="1"/>
  <c r="R1599" i="6" s="1"/>
  <c r="F1599" i="6" s="1"/>
  <c r="E1599" i="6" s="1"/>
  <c r="M1599" i="6"/>
  <c r="T1598" i="6"/>
  <c r="U1598" i="6" s="1"/>
  <c r="V1598" i="6" s="1"/>
  <c r="W1598" i="6" s="1"/>
  <c r="X1598" i="6" s="1"/>
  <c r="Y1598" i="6" s="1"/>
  <c r="Z1598" i="6" s="1"/>
  <c r="AA1598" i="6" s="1"/>
  <c r="R1598" i="6" s="1"/>
  <c r="F1598" i="6" s="1"/>
  <c r="E1598" i="6" s="1"/>
  <c r="M1598" i="6"/>
  <c r="T1597" i="6"/>
  <c r="U1597" i="6"/>
  <c r="V1597" i="6" s="1"/>
  <c r="W1597" i="6" s="1"/>
  <c r="X1597" i="6" s="1"/>
  <c r="Y1597" i="6" s="1"/>
  <c r="Z1597" i="6" s="1"/>
  <c r="AA1597" i="6" s="1"/>
  <c r="R1597" i="6" s="1"/>
  <c r="F1597" i="6" s="1"/>
  <c r="E1597" i="6" s="1"/>
  <c r="M1597" i="6"/>
  <c r="T1596" i="6"/>
  <c r="U1596" i="6"/>
  <c r="V1596" i="6" s="1"/>
  <c r="W1596" i="6" s="1"/>
  <c r="X1596" i="6" s="1"/>
  <c r="Y1596" i="6" s="1"/>
  <c r="Z1596" i="6" s="1"/>
  <c r="AA1596" i="6" s="1"/>
  <c r="R1596" i="6" s="1"/>
  <c r="F1596" i="6" s="1"/>
  <c r="E1596" i="6" s="1"/>
  <c r="M1596" i="6"/>
  <c r="T1595" i="6"/>
  <c r="U1595" i="6"/>
  <c r="V1595" i="6" s="1"/>
  <c r="W1595" i="6" s="1"/>
  <c r="X1595" i="6" s="1"/>
  <c r="Y1595" i="6" s="1"/>
  <c r="Z1595" i="6" s="1"/>
  <c r="AA1595" i="6" s="1"/>
  <c r="R1595" i="6" s="1"/>
  <c r="F1595" i="6" s="1"/>
  <c r="E1595" i="6" s="1"/>
  <c r="M1595" i="6"/>
  <c r="T1594" i="6"/>
  <c r="U1594" i="6"/>
  <c r="V1594" i="6" s="1"/>
  <c r="W1594" i="6" s="1"/>
  <c r="X1594" i="6" s="1"/>
  <c r="Y1594" i="6" s="1"/>
  <c r="Z1594" i="6" s="1"/>
  <c r="AA1594" i="6" s="1"/>
  <c r="R1594" i="6" s="1"/>
  <c r="F1594" i="6" s="1"/>
  <c r="E1594" i="6" s="1"/>
  <c r="M1594" i="6"/>
  <c r="T1593" i="6"/>
  <c r="U1593" i="6"/>
  <c r="V1593" i="6" s="1"/>
  <c r="W1593" i="6" s="1"/>
  <c r="X1593" i="6" s="1"/>
  <c r="Y1593" i="6" s="1"/>
  <c r="Z1593" i="6" s="1"/>
  <c r="AA1593" i="6" s="1"/>
  <c r="R1593" i="6" s="1"/>
  <c r="F1593" i="6" s="1"/>
  <c r="E1593" i="6" s="1"/>
  <c r="M1593" i="6"/>
  <c r="T1592" i="6"/>
  <c r="U1592" i="6" s="1"/>
  <c r="V1592" i="6" s="1"/>
  <c r="W1592" i="6" s="1"/>
  <c r="X1592" i="6" s="1"/>
  <c r="Y1592" i="6" s="1"/>
  <c r="Z1592" i="6" s="1"/>
  <c r="AA1592" i="6" s="1"/>
  <c r="R1592" i="6" s="1"/>
  <c r="F1592" i="6" s="1"/>
  <c r="E1592" i="6" s="1"/>
  <c r="M1592" i="6"/>
  <c r="T1591" i="6"/>
  <c r="U1591" i="6" s="1"/>
  <c r="V1591" i="6" s="1"/>
  <c r="W1591" i="6" s="1"/>
  <c r="X1591" i="6" s="1"/>
  <c r="Y1591" i="6" s="1"/>
  <c r="Z1591" i="6" s="1"/>
  <c r="AA1591" i="6" s="1"/>
  <c r="R1591" i="6" s="1"/>
  <c r="F1591" i="6" s="1"/>
  <c r="E1591" i="6" s="1"/>
  <c r="M1591" i="6"/>
  <c r="T1590" i="6"/>
  <c r="U1590" i="6" s="1"/>
  <c r="V1590" i="6" s="1"/>
  <c r="W1590" i="6" s="1"/>
  <c r="X1590" i="6" s="1"/>
  <c r="Y1590" i="6" s="1"/>
  <c r="Z1590" i="6" s="1"/>
  <c r="AA1590" i="6" s="1"/>
  <c r="R1590" i="6" s="1"/>
  <c r="F1590" i="6" s="1"/>
  <c r="E1590" i="6" s="1"/>
  <c r="M1590" i="6"/>
  <c r="T1589" i="6"/>
  <c r="U1589" i="6"/>
  <c r="V1589" i="6" s="1"/>
  <c r="W1589" i="6" s="1"/>
  <c r="X1589" i="6" s="1"/>
  <c r="Y1589" i="6"/>
  <c r="Z1589" i="6" s="1"/>
  <c r="AA1589" i="6" s="1"/>
  <c r="R1589" i="6" s="1"/>
  <c r="F1589" i="6" s="1"/>
  <c r="E1589" i="6" s="1"/>
  <c r="M1589" i="6"/>
  <c r="T1588" i="6"/>
  <c r="U1588" i="6"/>
  <c r="V1588" i="6" s="1"/>
  <c r="W1588" i="6" s="1"/>
  <c r="X1588" i="6" s="1"/>
  <c r="Y1588" i="6" s="1"/>
  <c r="Z1588" i="6" s="1"/>
  <c r="AA1588" i="6" s="1"/>
  <c r="R1588" i="6" s="1"/>
  <c r="F1588" i="6" s="1"/>
  <c r="E1588" i="6" s="1"/>
  <c r="M1588" i="6"/>
  <c r="T1587" i="6"/>
  <c r="U1587" i="6" s="1"/>
  <c r="V1587" i="6" s="1"/>
  <c r="W1587" i="6" s="1"/>
  <c r="X1587" i="6" s="1"/>
  <c r="Y1587" i="6" s="1"/>
  <c r="Z1587" i="6" s="1"/>
  <c r="AA1587" i="6" s="1"/>
  <c r="R1587" i="6" s="1"/>
  <c r="F1587" i="6" s="1"/>
  <c r="E1587" i="6" s="1"/>
  <c r="M1587" i="6"/>
  <c r="T1586" i="6"/>
  <c r="U1586" i="6" s="1"/>
  <c r="V1586" i="6" s="1"/>
  <c r="W1586" i="6" s="1"/>
  <c r="X1586" i="6" s="1"/>
  <c r="Y1586" i="6" s="1"/>
  <c r="Z1586" i="6" s="1"/>
  <c r="AA1586" i="6" s="1"/>
  <c r="R1586" i="6" s="1"/>
  <c r="F1586" i="6" s="1"/>
  <c r="E1586" i="6" s="1"/>
  <c r="M1586" i="6"/>
  <c r="T1585" i="6"/>
  <c r="U1585" i="6" s="1"/>
  <c r="V1585" i="6" s="1"/>
  <c r="W1585" i="6" s="1"/>
  <c r="X1585" i="6" s="1"/>
  <c r="Y1585" i="6" s="1"/>
  <c r="Z1585" i="6" s="1"/>
  <c r="AA1585" i="6" s="1"/>
  <c r="R1585" i="6" s="1"/>
  <c r="F1585" i="6" s="1"/>
  <c r="E1585" i="6" s="1"/>
  <c r="M1585" i="6"/>
  <c r="T1584" i="6"/>
  <c r="U1584" i="6"/>
  <c r="V1584" i="6"/>
  <c r="W1584" i="6" s="1"/>
  <c r="X1584" i="6" s="1"/>
  <c r="Y1584" i="6" s="1"/>
  <c r="Z1584" i="6" s="1"/>
  <c r="AA1584" i="6" s="1"/>
  <c r="R1584" i="6" s="1"/>
  <c r="F1584" i="6" s="1"/>
  <c r="E1584" i="6" s="1"/>
  <c r="M1584" i="6"/>
  <c r="T1583" i="6"/>
  <c r="U1583" i="6" s="1"/>
  <c r="V1583" i="6" s="1"/>
  <c r="W1583" i="6" s="1"/>
  <c r="X1583" i="6" s="1"/>
  <c r="Y1583" i="6" s="1"/>
  <c r="Z1583" i="6" s="1"/>
  <c r="AA1583" i="6" s="1"/>
  <c r="R1583" i="6" s="1"/>
  <c r="F1583" i="6" s="1"/>
  <c r="E1583" i="6" s="1"/>
  <c r="M1583" i="6"/>
  <c r="T1582" i="6"/>
  <c r="U1582" i="6"/>
  <c r="V1582" i="6" s="1"/>
  <c r="W1582" i="6" s="1"/>
  <c r="X1582" i="6" s="1"/>
  <c r="Y1582" i="6" s="1"/>
  <c r="Z1582" i="6" s="1"/>
  <c r="AA1582" i="6" s="1"/>
  <c r="R1582" i="6" s="1"/>
  <c r="F1582" i="6" s="1"/>
  <c r="E1582" i="6" s="1"/>
  <c r="M1582" i="6"/>
  <c r="T1581" i="6"/>
  <c r="U1581" i="6" s="1"/>
  <c r="V1581" i="6" s="1"/>
  <c r="W1581" i="6" s="1"/>
  <c r="X1581" i="6" s="1"/>
  <c r="Y1581" i="6" s="1"/>
  <c r="Z1581" i="6" s="1"/>
  <c r="AA1581" i="6" s="1"/>
  <c r="R1581" i="6" s="1"/>
  <c r="F1581" i="6" s="1"/>
  <c r="E1581" i="6" s="1"/>
  <c r="M1581" i="6"/>
  <c r="T1580" i="6"/>
  <c r="U1580" i="6"/>
  <c r="V1580" i="6" s="1"/>
  <c r="W1580" i="6" s="1"/>
  <c r="X1580" i="6" s="1"/>
  <c r="Y1580" i="6" s="1"/>
  <c r="Z1580" i="6" s="1"/>
  <c r="AA1580" i="6" s="1"/>
  <c r="R1580" i="6" s="1"/>
  <c r="F1580" i="6" s="1"/>
  <c r="E1580" i="6" s="1"/>
  <c r="M1580" i="6"/>
  <c r="T1579" i="6"/>
  <c r="U1579" i="6" s="1"/>
  <c r="V1579" i="6" s="1"/>
  <c r="W1579" i="6" s="1"/>
  <c r="X1579" i="6" s="1"/>
  <c r="Y1579" i="6" s="1"/>
  <c r="Z1579" i="6" s="1"/>
  <c r="AA1579" i="6" s="1"/>
  <c r="R1579" i="6" s="1"/>
  <c r="F1579" i="6" s="1"/>
  <c r="E1579" i="6" s="1"/>
  <c r="M1579" i="6"/>
  <c r="T1578" i="6"/>
  <c r="U1578" i="6" s="1"/>
  <c r="V1578" i="6" s="1"/>
  <c r="W1578" i="6" s="1"/>
  <c r="X1578" i="6" s="1"/>
  <c r="Y1578" i="6" s="1"/>
  <c r="Z1578" i="6" s="1"/>
  <c r="AA1578" i="6" s="1"/>
  <c r="R1578" i="6" s="1"/>
  <c r="F1578" i="6" s="1"/>
  <c r="E1578" i="6" s="1"/>
  <c r="M1578" i="6"/>
  <c r="T1577" i="6"/>
  <c r="U1577" i="6" s="1"/>
  <c r="V1577" i="6" s="1"/>
  <c r="W1577" i="6" s="1"/>
  <c r="X1577" i="6" s="1"/>
  <c r="Y1577" i="6" s="1"/>
  <c r="Z1577" i="6" s="1"/>
  <c r="AA1577" i="6" s="1"/>
  <c r="R1577" i="6" s="1"/>
  <c r="F1577" i="6" s="1"/>
  <c r="E1577" i="6" s="1"/>
  <c r="M1577" i="6"/>
  <c r="T1576" i="6"/>
  <c r="U1576" i="6"/>
  <c r="V1576" i="6" s="1"/>
  <c r="W1576" i="6"/>
  <c r="X1576" i="6" s="1"/>
  <c r="Y1576" i="6" s="1"/>
  <c r="Z1576" i="6" s="1"/>
  <c r="AA1576" i="6" s="1"/>
  <c r="R1576" i="6" s="1"/>
  <c r="F1576" i="6" s="1"/>
  <c r="E1576" i="6" s="1"/>
  <c r="M1576" i="6"/>
  <c r="T1575" i="6"/>
  <c r="U1575" i="6" s="1"/>
  <c r="V1575" i="6" s="1"/>
  <c r="W1575" i="6" s="1"/>
  <c r="X1575" i="6" s="1"/>
  <c r="Y1575" i="6" s="1"/>
  <c r="Z1575" i="6" s="1"/>
  <c r="AA1575" i="6" s="1"/>
  <c r="R1575" i="6" s="1"/>
  <c r="F1575" i="6" s="1"/>
  <c r="E1575" i="6" s="1"/>
  <c r="M1575" i="6"/>
  <c r="T1574" i="6"/>
  <c r="U1574" i="6"/>
  <c r="V1574" i="6" s="1"/>
  <c r="W1574" i="6" s="1"/>
  <c r="X1574" i="6" s="1"/>
  <c r="Y1574" i="6" s="1"/>
  <c r="Z1574" i="6" s="1"/>
  <c r="AA1574" i="6" s="1"/>
  <c r="R1574" i="6" s="1"/>
  <c r="F1574" i="6" s="1"/>
  <c r="E1574" i="6" s="1"/>
  <c r="M1574" i="6"/>
  <c r="T1573" i="6"/>
  <c r="U1573" i="6" s="1"/>
  <c r="V1573" i="6" s="1"/>
  <c r="W1573" i="6" s="1"/>
  <c r="X1573" i="6" s="1"/>
  <c r="Y1573" i="6" s="1"/>
  <c r="Z1573" i="6" s="1"/>
  <c r="AA1573" i="6" s="1"/>
  <c r="R1573" i="6" s="1"/>
  <c r="F1573" i="6" s="1"/>
  <c r="E1573" i="6" s="1"/>
  <c r="M1573" i="6"/>
  <c r="T1572" i="6"/>
  <c r="U1572" i="6"/>
  <c r="V1572" i="6" s="1"/>
  <c r="W1572" i="6" s="1"/>
  <c r="X1572" i="6" s="1"/>
  <c r="Y1572" i="6" s="1"/>
  <c r="Z1572" i="6" s="1"/>
  <c r="AA1572" i="6"/>
  <c r="R1572" i="6" s="1"/>
  <c r="F1572" i="6" s="1"/>
  <c r="E1572" i="6" s="1"/>
  <c r="M1572" i="6"/>
  <c r="T1571" i="6"/>
  <c r="U1571" i="6" s="1"/>
  <c r="V1571" i="6" s="1"/>
  <c r="W1571" i="6" s="1"/>
  <c r="X1571" i="6" s="1"/>
  <c r="Y1571" i="6" s="1"/>
  <c r="Z1571" i="6" s="1"/>
  <c r="AA1571" i="6" s="1"/>
  <c r="R1571" i="6" s="1"/>
  <c r="F1571" i="6" s="1"/>
  <c r="E1571" i="6" s="1"/>
  <c r="M1571" i="6"/>
  <c r="T1570" i="6"/>
  <c r="U1570" i="6" s="1"/>
  <c r="V1570" i="6" s="1"/>
  <c r="W1570" i="6" s="1"/>
  <c r="X1570" i="6" s="1"/>
  <c r="Y1570" i="6" s="1"/>
  <c r="Z1570" i="6" s="1"/>
  <c r="AA1570" i="6" s="1"/>
  <c r="R1570" i="6" s="1"/>
  <c r="F1570" i="6" s="1"/>
  <c r="E1570" i="6" s="1"/>
  <c r="M1570" i="6"/>
  <c r="T1569" i="6"/>
  <c r="U1569" i="6" s="1"/>
  <c r="V1569" i="6" s="1"/>
  <c r="W1569" i="6" s="1"/>
  <c r="X1569" i="6" s="1"/>
  <c r="Y1569" i="6" s="1"/>
  <c r="Z1569" i="6" s="1"/>
  <c r="AA1569" i="6" s="1"/>
  <c r="R1569" i="6" s="1"/>
  <c r="F1569" i="6" s="1"/>
  <c r="E1569" i="6" s="1"/>
  <c r="M1569" i="6"/>
  <c r="T1568" i="6"/>
  <c r="U1568" i="6"/>
  <c r="V1568" i="6" s="1"/>
  <c r="W1568" i="6" s="1"/>
  <c r="X1568" i="6" s="1"/>
  <c r="Y1568" i="6" s="1"/>
  <c r="Z1568" i="6" s="1"/>
  <c r="AA1568" i="6" s="1"/>
  <c r="R1568" i="6" s="1"/>
  <c r="F1568" i="6" s="1"/>
  <c r="E1568" i="6" s="1"/>
  <c r="M1568" i="6"/>
  <c r="T1567" i="6"/>
  <c r="U1567" i="6"/>
  <c r="V1567" i="6" s="1"/>
  <c r="W1567" i="6" s="1"/>
  <c r="X1567" i="6" s="1"/>
  <c r="Y1567" i="6" s="1"/>
  <c r="Z1567" i="6" s="1"/>
  <c r="AA1567" i="6" s="1"/>
  <c r="R1567" i="6" s="1"/>
  <c r="F1567" i="6" s="1"/>
  <c r="E1567" i="6" s="1"/>
  <c r="M1567" i="6"/>
  <c r="T1566" i="6"/>
  <c r="U1566" i="6"/>
  <c r="V1566" i="6" s="1"/>
  <c r="W1566" i="6" s="1"/>
  <c r="X1566" i="6" s="1"/>
  <c r="Y1566" i="6" s="1"/>
  <c r="Z1566" i="6" s="1"/>
  <c r="AA1566" i="6" s="1"/>
  <c r="R1566" i="6" s="1"/>
  <c r="F1566" i="6" s="1"/>
  <c r="E1566" i="6" s="1"/>
  <c r="M1566" i="6"/>
  <c r="T1565" i="6"/>
  <c r="U1565" i="6"/>
  <c r="V1565" i="6" s="1"/>
  <c r="W1565" i="6" s="1"/>
  <c r="X1565" i="6" s="1"/>
  <c r="Y1565" i="6" s="1"/>
  <c r="Z1565" i="6" s="1"/>
  <c r="AA1565" i="6" s="1"/>
  <c r="R1565" i="6" s="1"/>
  <c r="F1565" i="6" s="1"/>
  <c r="E1565" i="6" s="1"/>
  <c r="M1565" i="6"/>
  <c r="T1564" i="6"/>
  <c r="U1564" i="6" s="1"/>
  <c r="V1564" i="6" s="1"/>
  <c r="W1564" i="6" s="1"/>
  <c r="X1564" i="6" s="1"/>
  <c r="Y1564" i="6" s="1"/>
  <c r="Z1564" i="6" s="1"/>
  <c r="AA1564" i="6" s="1"/>
  <c r="R1564" i="6" s="1"/>
  <c r="F1564" i="6" s="1"/>
  <c r="E1564" i="6" s="1"/>
  <c r="M1564" i="6"/>
  <c r="T1563" i="6"/>
  <c r="U1563" i="6"/>
  <c r="V1563" i="6" s="1"/>
  <c r="W1563" i="6" s="1"/>
  <c r="X1563" i="6" s="1"/>
  <c r="Y1563" i="6"/>
  <c r="Z1563" i="6" s="1"/>
  <c r="AA1563" i="6" s="1"/>
  <c r="R1563" i="6" s="1"/>
  <c r="F1563" i="6" s="1"/>
  <c r="E1563" i="6" s="1"/>
  <c r="M1563" i="6"/>
  <c r="T1562" i="6"/>
  <c r="U1562" i="6"/>
  <c r="V1562" i="6" s="1"/>
  <c r="W1562" i="6" s="1"/>
  <c r="X1562" i="6" s="1"/>
  <c r="Y1562" i="6" s="1"/>
  <c r="Z1562" i="6" s="1"/>
  <c r="AA1562" i="6" s="1"/>
  <c r="R1562" i="6" s="1"/>
  <c r="F1562" i="6" s="1"/>
  <c r="E1562" i="6" s="1"/>
  <c r="M1562" i="6"/>
  <c r="T1561" i="6"/>
  <c r="U1561" i="6" s="1"/>
  <c r="V1561" i="6" s="1"/>
  <c r="W1561" i="6" s="1"/>
  <c r="X1561" i="6" s="1"/>
  <c r="Y1561" i="6" s="1"/>
  <c r="Z1561" i="6" s="1"/>
  <c r="AA1561" i="6" s="1"/>
  <c r="R1561" i="6" s="1"/>
  <c r="F1561" i="6" s="1"/>
  <c r="E1561" i="6" s="1"/>
  <c r="M1561" i="6"/>
  <c r="T1560" i="6"/>
  <c r="U1560" i="6" s="1"/>
  <c r="V1560" i="6" s="1"/>
  <c r="W1560" i="6" s="1"/>
  <c r="X1560" i="6" s="1"/>
  <c r="Y1560" i="6" s="1"/>
  <c r="Z1560" i="6" s="1"/>
  <c r="AA1560" i="6" s="1"/>
  <c r="R1560" i="6" s="1"/>
  <c r="F1560" i="6" s="1"/>
  <c r="E1560" i="6" s="1"/>
  <c r="M1560" i="6"/>
  <c r="T1559" i="6"/>
  <c r="U1559" i="6" s="1"/>
  <c r="V1559" i="6" s="1"/>
  <c r="W1559" i="6" s="1"/>
  <c r="X1559" i="6" s="1"/>
  <c r="Y1559" i="6" s="1"/>
  <c r="Z1559" i="6" s="1"/>
  <c r="AA1559" i="6" s="1"/>
  <c r="R1559" i="6" s="1"/>
  <c r="F1559" i="6" s="1"/>
  <c r="E1559" i="6" s="1"/>
  <c r="M1559" i="6"/>
  <c r="T1558" i="6"/>
  <c r="U1558" i="6"/>
  <c r="V1558" i="6" s="1"/>
  <c r="W1558" i="6" s="1"/>
  <c r="X1558" i="6" s="1"/>
  <c r="Y1558" i="6" s="1"/>
  <c r="Z1558" i="6" s="1"/>
  <c r="AA1558" i="6" s="1"/>
  <c r="R1558" i="6" s="1"/>
  <c r="F1558" i="6" s="1"/>
  <c r="E1558" i="6" s="1"/>
  <c r="M1558" i="6"/>
  <c r="T1557" i="6"/>
  <c r="U1557" i="6"/>
  <c r="V1557" i="6" s="1"/>
  <c r="W1557" i="6" s="1"/>
  <c r="X1557" i="6" s="1"/>
  <c r="Y1557" i="6" s="1"/>
  <c r="Z1557" i="6" s="1"/>
  <c r="AA1557" i="6" s="1"/>
  <c r="R1557" i="6" s="1"/>
  <c r="F1557" i="6" s="1"/>
  <c r="E1557" i="6" s="1"/>
  <c r="M1557" i="6"/>
  <c r="T1556" i="6"/>
  <c r="U1556" i="6"/>
  <c r="V1556" i="6" s="1"/>
  <c r="W1556" i="6" s="1"/>
  <c r="X1556" i="6" s="1"/>
  <c r="Y1556" i="6" s="1"/>
  <c r="Z1556" i="6" s="1"/>
  <c r="AA1556" i="6" s="1"/>
  <c r="R1556" i="6" s="1"/>
  <c r="F1556" i="6" s="1"/>
  <c r="E1556" i="6" s="1"/>
  <c r="M1556" i="6"/>
  <c r="T1555" i="6"/>
  <c r="U1555" i="6"/>
  <c r="V1555" i="6" s="1"/>
  <c r="W1555" i="6" s="1"/>
  <c r="X1555" i="6" s="1"/>
  <c r="Y1555" i="6"/>
  <c r="Z1555" i="6" s="1"/>
  <c r="AA1555" i="6" s="1"/>
  <c r="R1555" i="6" s="1"/>
  <c r="F1555" i="6" s="1"/>
  <c r="E1555" i="6" s="1"/>
  <c r="M1555" i="6"/>
  <c r="T1554" i="6"/>
  <c r="U1554" i="6" s="1"/>
  <c r="V1554" i="6" s="1"/>
  <c r="W1554" i="6" s="1"/>
  <c r="X1554" i="6" s="1"/>
  <c r="Y1554" i="6" s="1"/>
  <c r="Z1554" i="6" s="1"/>
  <c r="AA1554" i="6" s="1"/>
  <c r="R1554" i="6" s="1"/>
  <c r="F1554" i="6" s="1"/>
  <c r="E1554" i="6" s="1"/>
  <c r="M1554" i="6"/>
  <c r="T1553" i="6"/>
  <c r="U1553" i="6" s="1"/>
  <c r="V1553" i="6" s="1"/>
  <c r="W1553" i="6" s="1"/>
  <c r="X1553" i="6" s="1"/>
  <c r="Y1553" i="6" s="1"/>
  <c r="Z1553" i="6" s="1"/>
  <c r="AA1553" i="6" s="1"/>
  <c r="R1553" i="6" s="1"/>
  <c r="F1553" i="6" s="1"/>
  <c r="E1553" i="6" s="1"/>
  <c r="M1553" i="6"/>
  <c r="T1552" i="6"/>
  <c r="U1552" i="6" s="1"/>
  <c r="V1552" i="6" s="1"/>
  <c r="W1552" i="6" s="1"/>
  <c r="X1552" i="6" s="1"/>
  <c r="Y1552" i="6" s="1"/>
  <c r="Z1552" i="6" s="1"/>
  <c r="AA1552" i="6" s="1"/>
  <c r="R1552" i="6" s="1"/>
  <c r="F1552" i="6" s="1"/>
  <c r="E1552" i="6" s="1"/>
  <c r="M1552" i="6"/>
  <c r="T1551" i="6"/>
  <c r="U1551" i="6"/>
  <c r="V1551" i="6" s="1"/>
  <c r="W1551" i="6" s="1"/>
  <c r="X1551" i="6" s="1"/>
  <c r="Y1551" i="6" s="1"/>
  <c r="Z1551" i="6" s="1"/>
  <c r="AA1551" i="6" s="1"/>
  <c r="R1551" i="6" s="1"/>
  <c r="F1551" i="6" s="1"/>
  <c r="E1551" i="6" s="1"/>
  <c r="M1551" i="6"/>
  <c r="T1550" i="6"/>
  <c r="U1550" i="6"/>
  <c r="V1550" i="6" s="1"/>
  <c r="W1550" i="6" s="1"/>
  <c r="X1550" i="6" s="1"/>
  <c r="Y1550" i="6" s="1"/>
  <c r="Z1550" i="6" s="1"/>
  <c r="AA1550" i="6" s="1"/>
  <c r="R1550" i="6" s="1"/>
  <c r="F1550" i="6" s="1"/>
  <c r="E1550" i="6" s="1"/>
  <c r="M1550" i="6"/>
  <c r="T1549" i="6"/>
  <c r="U1549" i="6"/>
  <c r="V1549" i="6" s="1"/>
  <c r="W1549" i="6" s="1"/>
  <c r="X1549" i="6" s="1"/>
  <c r="Y1549" i="6" s="1"/>
  <c r="Z1549" i="6" s="1"/>
  <c r="AA1549" i="6" s="1"/>
  <c r="R1549" i="6" s="1"/>
  <c r="F1549" i="6" s="1"/>
  <c r="E1549" i="6" s="1"/>
  <c r="M1549" i="6"/>
  <c r="T1548" i="6"/>
  <c r="U1548" i="6" s="1"/>
  <c r="V1548" i="6" s="1"/>
  <c r="W1548" i="6" s="1"/>
  <c r="X1548" i="6" s="1"/>
  <c r="Y1548" i="6" s="1"/>
  <c r="Z1548" i="6" s="1"/>
  <c r="AA1548" i="6" s="1"/>
  <c r="R1548" i="6" s="1"/>
  <c r="F1548" i="6" s="1"/>
  <c r="E1548" i="6" s="1"/>
  <c r="M1548" i="6"/>
  <c r="T1547" i="6"/>
  <c r="U1547" i="6"/>
  <c r="V1547" i="6" s="1"/>
  <c r="W1547" i="6" s="1"/>
  <c r="X1547" i="6" s="1"/>
  <c r="Y1547" i="6" s="1"/>
  <c r="Z1547" i="6" s="1"/>
  <c r="AA1547" i="6" s="1"/>
  <c r="R1547" i="6" s="1"/>
  <c r="F1547" i="6" s="1"/>
  <c r="E1547" i="6" s="1"/>
  <c r="M1547" i="6"/>
  <c r="T1546" i="6"/>
  <c r="U1546" i="6"/>
  <c r="V1546" i="6" s="1"/>
  <c r="W1546" i="6" s="1"/>
  <c r="X1546" i="6" s="1"/>
  <c r="Y1546" i="6" s="1"/>
  <c r="Z1546" i="6" s="1"/>
  <c r="AA1546" i="6" s="1"/>
  <c r="R1546" i="6" s="1"/>
  <c r="F1546" i="6" s="1"/>
  <c r="E1546" i="6" s="1"/>
  <c r="M1546" i="6"/>
  <c r="T1545" i="6"/>
  <c r="U1545" i="6"/>
  <c r="V1545" i="6" s="1"/>
  <c r="W1545" i="6" s="1"/>
  <c r="X1545" i="6" s="1"/>
  <c r="Y1545" i="6" s="1"/>
  <c r="Z1545" i="6" s="1"/>
  <c r="AA1545" i="6" s="1"/>
  <c r="R1545" i="6" s="1"/>
  <c r="F1545" i="6" s="1"/>
  <c r="E1545" i="6" s="1"/>
  <c r="M1545" i="6"/>
  <c r="T1544" i="6"/>
  <c r="U1544" i="6"/>
  <c r="V1544" i="6" s="1"/>
  <c r="W1544" i="6" s="1"/>
  <c r="X1544" i="6" s="1"/>
  <c r="Y1544" i="6" s="1"/>
  <c r="Z1544" i="6" s="1"/>
  <c r="AA1544" i="6" s="1"/>
  <c r="R1544" i="6" s="1"/>
  <c r="F1544" i="6" s="1"/>
  <c r="E1544" i="6" s="1"/>
  <c r="M1544" i="6"/>
  <c r="T1543" i="6"/>
  <c r="U1543" i="6"/>
  <c r="V1543" i="6" s="1"/>
  <c r="W1543" i="6" s="1"/>
  <c r="X1543" i="6" s="1"/>
  <c r="Y1543" i="6" s="1"/>
  <c r="Z1543" i="6" s="1"/>
  <c r="AA1543" i="6" s="1"/>
  <c r="R1543" i="6" s="1"/>
  <c r="F1543" i="6" s="1"/>
  <c r="E1543" i="6" s="1"/>
  <c r="M1543" i="6"/>
  <c r="T1542" i="6"/>
  <c r="U1542" i="6" s="1"/>
  <c r="V1542" i="6" s="1"/>
  <c r="W1542" i="6" s="1"/>
  <c r="X1542" i="6" s="1"/>
  <c r="Y1542" i="6" s="1"/>
  <c r="Z1542" i="6" s="1"/>
  <c r="AA1542" i="6" s="1"/>
  <c r="R1542" i="6" s="1"/>
  <c r="F1542" i="6" s="1"/>
  <c r="E1542" i="6" s="1"/>
  <c r="M1542" i="6"/>
  <c r="T1541" i="6"/>
  <c r="U1541" i="6" s="1"/>
  <c r="V1541" i="6" s="1"/>
  <c r="W1541" i="6" s="1"/>
  <c r="X1541" i="6" s="1"/>
  <c r="Y1541" i="6" s="1"/>
  <c r="Z1541" i="6" s="1"/>
  <c r="AA1541" i="6" s="1"/>
  <c r="R1541" i="6" s="1"/>
  <c r="F1541" i="6" s="1"/>
  <c r="E1541" i="6" s="1"/>
  <c r="M1541" i="6"/>
  <c r="T1540" i="6"/>
  <c r="U1540" i="6"/>
  <c r="V1540" i="6" s="1"/>
  <c r="W1540" i="6" s="1"/>
  <c r="X1540" i="6" s="1"/>
  <c r="Y1540" i="6" s="1"/>
  <c r="Z1540" i="6" s="1"/>
  <c r="AA1540" i="6" s="1"/>
  <c r="R1540" i="6" s="1"/>
  <c r="F1540" i="6" s="1"/>
  <c r="E1540" i="6" s="1"/>
  <c r="M1540" i="6"/>
  <c r="T1539" i="6"/>
  <c r="U1539" i="6"/>
  <c r="V1539" i="6" s="1"/>
  <c r="W1539" i="6" s="1"/>
  <c r="X1539" i="6" s="1"/>
  <c r="Y1539" i="6" s="1"/>
  <c r="Z1539" i="6" s="1"/>
  <c r="AA1539" i="6" s="1"/>
  <c r="R1539" i="6" s="1"/>
  <c r="F1539" i="6" s="1"/>
  <c r="E1539" i="6" s="1"/>
  <c r="M1539" i="6"/>
  <c r="T1538" i="6"/>
  <c r="U1538" i="6"/>
  <c r="V1538" i="6" s="1"/>
  <c r="W1538" i="6" s="1"/>
  <c r="X1538" i="6" s="1"/>
  <c r="Y1538" i="6" s="1"/>
  <c r="Z1538" i="6" s="1"/>
  <c r="AA1538" i="6" s="1"/>
  <c r="R1538" i="6" s="1"/>
  <c r="F1538" i="6" s="1"/>
  <c r="E1538" i="6" s="1"/>
  <c r="M1538" i="6"/>
  <c r="T1537" i="6"/>
  <c r="U1537" i="6"/>
  <c r="V1537" i="6" s="1"/>
  <c r="W1537" i="6" s="1"/>
  <c r="X1537" i="6" s="1"/>
  <c r="Y1537" i="6" s="1"/>
  <c r="Z1537" i="6" s="1"/>
  <c r="AA1537" i="6" s="1"/>
  <c r="R1537" i="6" s="1"/>
  <c r="F1537" i="6" s="1"/>
  <c r="E1537" i="6" s="1"/>
  <c r="M1537" i="6"/>
  <c r="T1536" i="6"/>
  <c r="U1536" i="6"/>
  <c r="V1536" i="6" s="1"/>
  <c r="W1536" i="6" s="1"/>
  <c r="X1536" i="6" s="1"/>
  <c r="Y1536" i="6" s="1"/>
  <c r="Z1536" i="6" s="1"/>
  <c r="AA1536" i="6" s="1"/>
  <c r="R1536" i="6" s="1"/>
  <c r="F1536" i="6" s="1"/>
  <c r="E1536" i="6" s="1"/>
  <c r="M1536" i="6"/>
  <c r="T1535" i="6"/>
  <c r="U1535" i="6"/>
  <c r="V1535" i="6" s="1"/>
  <c r="W1535" i="6" s="1"/>
  <c r="X1535" i="6" s="1"/>
  <c r="Y1535" i="6" s="1"/>
  <c r="Z1535" i="6" s="1"/>
  <c r="AA1535" i="6" s="1"/>
  <c r="R1535" i="6" s="1"/>
  <c r="F1535" i="6" s="1"/>
  <c r="E1535" i="6" s="1"/>
  <c r="M1535" i="6"/>
  <c r="T1534" i="6"/>
  <c r="U1534" i="6"/>
  <c r="V1534" i="6" s="1"/>
  <c r="W1534" i="6" s="1"/>
  <c r="X1534" i="6" s="1"/>
  <c r="Y1534" i="6" s="1"/>
  <c r="Z1534" i="6" s="1"/>
  <c r="AA1534" i="6" s="1"/>
  <c r="R1534" i="6" s="1"/>
  <c r="F1534" i="6" s="1"/>
  <c r="E1534" i="6" s="1"/>
  <c r="M1534" i="6"/>
  <c r="T1533" i="6"/>
  <c r="U1533" i="6" s="1"/>
  <c r="V1533" i="6" s="1"/>
  <c r="W1533" i="6" s="1"/>
  <c r="X1533" i="6" s="1"/>
  <c r="Y1533" i="6" s="1"/>
  <c r="Z1533" i="6" s="1"/>
  <c r="AA1533" i="6" s="1"/>
  <c r="R1533" i="6" s="1"/>
  <c r="F1533" i="6" s="1"/>
  <c r="E1533" i="6" s="1"/>
  <c r="M1533" i="6"/>
  <c r="T1532" i="6"/>
  <c r="U1532" i="6"/>
  <c r="V1532" i="6" s="1"/>
  <c r="W1532" i="6" s="1"/>
  <c r="X1532" i="6" s="1"/>
  <c r="Y1532" i="6" s="1"/>
  <c r="Z1532" i="6" s="1"/>
  <c r="AA1532" i="6" s="1"/>
  <c r="R1532" i="6" s="1"/>
  <c r="F1532" i="6" s="1"/>
  <c r="E1532" i="6" s="1"/>
  <c r="M1532" i="6"/>
  <c r="T1531" i="6"/>
  <c r="U1531" i="6"/>
  <c r="V1531" i="6" s="1"/>
  <c r="W1531" i="6" s="1"/>
  <c r="X1531" i="6" s="1"/>
  <c r="Y1531" i="6" s="1"/>
  <c r="Z1531" i="6" s="1"/>
  <c r="AA1531" i="6" s="1"/>
  <c r="R1531" i="6" s="1"/>
  <c r="F1531" i="6" s="1"/>
  <c r="E1531" i="6" s="1"/>
  <c r="M1531" i="6"/>
  <c r="T1530" i="6"/>
  <c r="U1530" i="6"/>
  <c r="V1530" i="6" s="1"/>
  <c r="W1530" i="6" s="1"/>
  <c r="X1530" i="6" s="1"/>
  <c r="Y1530" i="6" s="1"/>
  <c r="Z1530" i="6" s="1"/>
  <c r="AA1530" i="6" s="1"/>
  <c r="R1530" i="6" s="1"/>
  <c r="F1530" i="6" s="1"/>
  <c r="E1530" i="6" s="1"/>
  <c r="M1530" i="6"/>
  <c r="T1529" i="6"/>
  <c r="U1529" i="6"/>
  <c r="V1529" i="6" s="1"/>
  <c r="W1529" i="6" s="1"/>
  <c r="X1529" i="6" s="1"/>
  <c r="Y1529" i="6" s="1"/>
  <c r="Z1529" i="6" s="1"/>
  <c r="AA1529" i="6" s="1"/>
  <c r="R1529" i="6" s="1"/>
  <c r="F1529" i="6" s="1"/>
  <c r="E1529" i="6" s="1"/>
  <c r="M1529" i="6"/>
  <c r="T1528" i="6"/>
  <c r="U1528" i="6"/>
  <c r="V1528" i="6" s="1"/>
  <c r="W1528" i="6" s="1"/>
  <c r="X1528" i="6" s="1"/>
  <c r="Y1528" i="6" s="1"/>
  <c r="Z1528" i="6" s="1"/>
  <c r="AA1528" i="6" s="1"/>
  <c r="R1528" i="6" s="1"/>
  <c r="F1528" i="6" s="1"/>
  <c r="E1528" i="6" s="1"/>
  <c r="M1528" i="6"/>
  <c r="T1527" i="6"/>
  <c r="U1527" i="6"/>
  <c r="V1527" i="6" s="1"/>
  <c r="W1527" i="6" s="1"/>
  <c r="X1527" i="6" s="1"/>
  <c r="Y1527" i="6" s="1"/>
  <c r="Z1527" i="6" s="1"/>
  <c r="AA1527" i="6" s="1"/>
  <c r="R1527" i="6" s="1"/>
  <c r="F1527" i="6" s="1"/>
  <c r="E1527" i="6" s="1"/>
  <c r="M1527" i="6"/>
  <c r="T1526" i="6"/>
  <c r="U1526" i="6" s="1"/>
  <c r="V1526" i="6" s="1"/>
  <c r="W1526" i="6" s="1"/>
  <c r="X1526" i="6" s="1"/>
  <c r="Y1526" i="6" s="1"/>
  <c r="Z1526" i="6" s="1"/>
  <c r="AA1526" i="6"/>
  <c r="R1526" i="6" s="1"/>
  <c r="F1526" i="6" s="1"/>
  <c r="E1526" i="6" s="1"/>
  <c r="M1526" i="6"/>
  <c r="T1525" i="6"/>
  <c r="U1525" i="6" s="1"/>
  <c r="V1525" i="6" s="1"/>
  <c r="W1525" i="6" s="1"/>
  <c r="X1525" i="6" s="1"/>
  <c r="Y1525" i="6" s="1"/>
  <c r="Z1525" i="6" s="1"/>
  <c r="AA1525" i="6" s="1"/>
  <c r="R1525" i="6" s="1"/>
  <c r="F1525" i="6" s="1"/>
  <c r="E1525" i="6" s="1"/>
  <c r="M1525" i="6"/>
  <c r="T1524" i="6"/>
  <c r="U1524" i="6" s="1"/>
  <c r="V1524" i="6" s="1"/>
  <c r="W1524" i="6" s="1"/>
  <c r="X1524" i="6" s="1"/>
  <c r="Y1524" i="6" s="1"/>
  <c r="Z1524" i="6" s="1"/>
  <c r="AA1524" i="6" s="1"/>
  <c r="R1524" i="6" s="1"/>
  <c r="F1524" i="6" s="1"/>
  <c r="E1524" i="6" s="1"/>
  <c r="M1524" i="6"/>
  <c r="T1523" i="6"/>
  <c r="U1523" i="6" s="1"/>
  <c r="V1523" i="6" s="1"/>
  <c r="W1523" i="6" s="1"/>
  <c r="X1523" i="6" s="1"/>
  <c r="Y1523" i="6" s="1"/>
  <c r="Z1523" i="6" s="1"/>
  <c r="AA1523" i="6" s="1"/>
  <c r="R1523" i="6" s="1"/>
  <c r="F1523" i="6" s="1"/>
  <c r="E1523" i="6" s="1"/>
  <c r="M1523" i="6"/>
  <c r="T1522" i="6"/>
  <c r="U1522" i="6"/>
  <c r="V1522" i="6" s="1"/>
  <c r="W1522" i="6" s="1"/>
  <c r="X1522" i="6" s="1"/>
  <c r="Y1522" i="6" s="1"/>
  <c r="Z1522" i="6" s="1"/>
  <c r="AA1522" i="6"/>
  <c r="R1522" i="6" s="1"/>
  <c r="F1522" i="6" s="1"/>
  <c r="E1522" i="6" s="1"/>
  <c r="M1522" i="6"/>
  <c r="T1521" i="6"/>
  <c r="U1521" i="6"/>
  <c r="V1521" i="6" s="1"/>
  <c r="W1521" i="6" s="1"/>
  <c r="X1521" i="6" s="1"/>
  <c r="Y1521" i="6" s="1"/>
  <c r="Z1521" i="6" s="1"/>
  <c r="AA1521" i="6" s="1"/>
  <c r="R1521" i="6" s="1"/>
  <c r="F1521" i="6" s="1"/>
  <c r="E1521" i="6" s="1"/>
  <c r="M1521" i="6"/>
  <c r="T1520" i="6"/>
  <c r="U1520" i="6" s="1"/>
  <c r="V1520" i="6" s="1"/>
  <c r="W1520" i="6" s="1"/>
  <c r="X1520" i="6" s="1"/>
  <c r="Y1520" i="6" s="1"/>
  <c r="Z1520" i="6" s="1"/>
  <c r="AA1520" i="6" s="1"/>
  <c r="R1520" i="6" s="1"/>
  <c r="F1520" i="6" s="1"/>
  <c r="E1520" i="6" s="1"/>
  <c r="M1520" i="6"/>
  <c r="T1519" i="6"/>
  <c r="U1519" i="6"/>
  <c r="V1519" i="6" s="1"/>
  <c r="W1519" i="6" s="1"/>
  <c r="X1519" i="6" s="1"/>
  <c r="Y1519" i="6" s="1"/>
  <c r="Z1519" i="6" s="1"/>
  <c r="AA1519" i="6" s="1"/>
  <c r="R1519" i="6" s="1"/>
  <c r="F1519" i="6" s="1"/>
  <c r="E1519" i="6" s="1"/>
  <c r="M1519" i="6"/>
  <c r="T1518" i="6"/>
  <c r="U1518" i="6" s="1"/>
  <c r="V1518" i="6" s="1"/>
  <c r="W1518" i="6" s="1"/>
  <c r="X1518" i="6" s="1"/>
  <c r="Y1518" i="6" s="1"/>
  <c r="Z1518" i="6" s="1"/>
  <c r="AA1518" i="6" s="1"/>
  <c r="R1518" i="6" s="1"/>
  <c r="F1518" i="6" s="1"/>
  <c r="E1518" i="6" s="1"/>
  <c r="M1518" i="6"/>
  <c r="T1517" i="6"/>
  <c r="U1517" i="6" s="1"/>
  <c r="V1517" i="6" s="1"/>
  <c r="W1517" i="6"/>
  <c r="X1517" i="6" s="1"/>
  <c r="Y1517" i="6" s="1"/>
  <c r="Z1517" i="6" s="1"/>
  <c r="AA1517" i="6" s="1"/>
  <c r="R1517" i="6" s="1"/>
  <c r="F1517" i="6" s="1"/>
  <c r="E1517" i="6" s="1"/>
  <c r="M1517" i="6"/>
  <c r="T1516" i="6"/>
  <c r="U1516" i="6"/>
  <c r="V1516" i="6" s="1"/>
  <c r="W1516" i="6" s="1"/>
  <c r="X1516" i="6" s="1"/>
  <c r="Y1516" i="6" s="1"/>
  <c r="Z1516" i="6" s="1"/>
  <c r="AA1516" i="6" s="1"/>
  <c r="R1516" i="6" s="1"/>
  <c r="F1516" i="6" s="1"/>
  <c r="E1516" i="6" s="1"/>
  <c r="M1516" i="6"/>
  <c r="T1515" i="6"/>
  <c r="U1515" i="6" s="1"/>
  <c r="V1515" i="6" s="1"/>
  <c r="W1515" i="6" s="1"/>
  <c r="X1515" i="6" s="1"/>
  <c r="Y1515" i="6" s="1"/>
  <c r="Z1515" i="6" s="1"/>
  <c r="AA1515" i="6" s="1"/>
  <c r="R1515" i="6" s="1"/>
  <c r="F1515" i="6" s="1"/>
  <c r="E1515" i="6" s="1"/>
  <c r="M1515" i="6"/>
  <c r="T1514" i="6"/>
  <c r="U1514" i="6" s="1"/>
  <c r="V1514" i="6" s="1"/>
  <c r="W1514" i="6" s="1"/>
  <c r="X1514" i="6" s="1"/>
  <c r="Y1514" i="6" s="1"/>
  <c r="Z1514" i="6" s="1"/>
  <c r="AA1514" i="6" s="1"/>
  <c r="R1514" i="6" s="1"/>
  <c r="F1514" i="6"/>
  <c r="E1514" i="6" s="1"/>
  <c r="M1514" i="6"/>
  <c r="T1513" i="6"/>
  <c r="U1513" i="6" s="1"/>
  <c r="V1513" i="6" s="1"/>
  <c r="W1513" i="6" s="1"/>
  <c r="X1513" i="6" s="1"/>
  <c r="Y1513" i="6" s="1"/>
  <c r="Z1513" i="6" s="1"/>
  <c r="AA1513" i="6" s="1"/>
  <c r="R1513" i="6" s="1"/>
  <c r="F1513" i="6" s="1"/>
  <c r="E1513" i="6" s="1"/>
  <c r="M1513" i="6"/>
  <c r="T1512" i="6"/>
  <c r="U1512" i="6" s="1"/>
  <c r="V1512" i="6" s="1"/>
  <c r="W1512" i="6" s="1"/>
  <c r="X1512" i="6" s="1"/>
  <c r="Y1512" i="6" s="1"/>
  <c r="Z1512" i="6" s="1"/>
  <c r="AA1512" i="6" s="1"/>
  <c r="R1512" i="6" s="1"/>
  <c r="F1512" i="6" s="1"/>
  <c r="E1512" i="6" s="1"/>
  <c r="M1512" i="6"/>
  <c r="T1511" i="6"/>
  <c r="U1511" i="6" s="1"/>
  <c r="V1511" i="6" s="1"/>
  <c r="W1511" i="6" s="1"/>
  <c r="X1511" i="6" s="1"/>
  <c r="Y1511" i="6" s="1"/>
  <c r="Z1511" i="6" s="1"/>
  <c r="AA1511" i="6" s="1"/>
  <c r="R1511" i="6" s="1"/>
  <c r="F1511" i="6" s="1"/>
  <c r="E1511" i="6" s="1"/>
  <c r="M1511" i="6"/>
  <c r="T1510" i="6"/>
  <c r="U1510" i="6" s="1"/>
  <c r="V1510" i="6" s="1"/>
  <c r="W1510" i="6" s="1"/>
  <c r="X1510" i="6" s="1"/>
  <c r="Y1510" i="6" s="1"/>
  <c r="Z1510" i="6" s="1"/>
  <c r="AA1510" i="6" s="1"/>
  <c r="R1510" i="6" s="1"/>
  <c r="F1510" i="6" s="1"/>
  <c r="E1510" i="6" s="1"/>
  <c r="M1510" i="6"/>
  <c r="T1509" i="6"/>
  <c r="U1509" i="6" s="1"/>
  <c r="V1509" i="6" s="1"/>
  <c r="W1509" i="6" s="1"/>
  <c r="X1509" i="6" s="1"/>
  <c r="Y1509" i="6" s="1"/>
  <c r="Z1509" i="6" s="1"/>
  <c r="AA1509" i="6" s="1"/>
  <c r="R1509" i="6" s="1"/>
  <c r="F1509" i="6" s="1"/>
  <c r="E1509" i="6" s="1"/>
  <c r="M1509" i="6"/>
  <c r="T1508" i="6"/>
  <c r="U1508" i="6"/>
  <c r="V1508" i="6" s="1"/>
  <c r="W1508" i="6"/>
  <c r="X1508" i="6" s="1"/>
  <c r="Y1508" i="6" s="1"/>
  <c r="Z1508" i="6" s="1"/>
  <c r="AA1508" i="6" s="1"/>
  <c r="R1508" i="6" s="1"/>
  <c r="F1508" i="6" s="1"/>
  <c r="E1508" i="6" s="1"/>
  <c r="M1508" i="6"/>
  <c r="T1507" i="6"/>
  <c r="U1507" i="6"/>
  <c r="V1507" i="6" s="1"/>
  <c r="W1507" i="6" s="1"/>
  <c r="X1507" i="6" s="1"/>
  <c r="Y1507" i="6" s="1"/>
  <c r="Z1507" i="6" s="1"/>
  <c r="AA1507" i="6" s="1"/>
  <c r="R1507" i="6" s="1"/>
  <c r="F1507" i="6" s="1"/>
  <c r="E1507" i="6" s="1"/>
  <c r="M1507" i="6"/>
  <c r="T1506" i="6"/>
  <c r="U1506" i="6"/>
  <c r="V1506" i="6" s="1"/>
  <c r="W1506" i="6" s="1"/>
  <c r="X1506" i="6" s="1"/>
  <c r="Y1506" i="6" s="1"/>
  <c r="Z1506" i="6" s="1"/>
  <c r="AA1506" i="6" s="1"/>
  <c r="R1506" i="6" s="1"/>
  <c r="F1506" i="6" s="1"/>
  <c r="E1506" i="6" s="1"/>
  <c r="M1506" i="6"/>
  <c r="T1505" i="6"/>
  <c r="U1505" i="6"/>
  <c r="V1505" i="6" s="1"/>
  <c r="W1505" i="6" s="1"/>
  <c r="X1505" i="6" s="1"/>
  <c r="Y1505" i="6" s="1"/>
  <c r="Z1505" i="6" s="1"/>
  <c r="AA1505" i="6" s="1"/>
  <c r="R1505" i="6" s="1"/>
  <c r="F1505" i="6" s="1"/>
  <c r="E1505" i="6" s="1"/>
  <c r="M1505" i="6"/>
  <c r="T1504" i="6"/>
  <c r="U1504" i="6"/>
  <c r="V1504" i="6" s="1"/>
  <c r="W1504" i="6" s="1"/>
  <c r="X1504" i="6" s="1"/>
  <c r="Y1504" i="6" s="1"/>
  <c r="Z1504" i="6" s="1"/>
  <c r="AA1504" i="6" s="1"/>
  <c r="R1504" i="6" s="1"/>
  <c r="F1504" i="6" s="1"/>
  <c r="E1504" i="6" s="1"/>
  <c r="M1504" i="6"/>
  <c r="T1503" i="6"/>
  <c r="U1503" i="6"/>
  <c r="V1503" i="6" s="1"/>
  <c r="W1503" i="6" s="1"/>
  <c r="X1503" i="6" s="1"/>
  <c r="Y1503" i="6" s="1"/>
  <c r="Z1503" i="6" s="1"/>
  <c r="AA1503" i="6" s="1"/>
  <c r="R1503" i="6" s="1"/>
  <c r="F1503" i="6" s="1"/>
  <c r="E1503" i="6" s="1"/>
  <c r="M1503" i="6"/>
  <c r="T1502" i="6"/>
  <c r="U1502" i="6" s="1"/>
  <c r="V1502" i="6" s="1"/>
  <c r="W1502" i="6" s="1"/>
  <c r="X1502" i="6" s="1"/>
  <c r="Y1502" i="6" s="1"/>
  <c r="Z1502" i="6" s="1"/>
  <c r="AA1502" i="6" s="1"/>
  <c r="R1502" i="6" s="1"/>
  <c r="F1502" i="6" s="1"/>
  <c r="E1502" i="6" s="1"/>
  <c r="M1502" i="6"/>
  <c r="T1501" i="6"/>
  <c r="U1501" i="6"/>
  <c r="V1501" i="6" s="1"/>
  <c r="W1501" i="6" s="1"/>
  <c r="X1501" i="6" s="1"/>
  <c r="Y1501" i="6" s="1"/>
  <c r="Z1501" i="6" s="1"/>
  <c r="AA1501" i="6" s="1"/>
  <c r="R1501" i="6" s="1"/>
  <c r="F1501" i="6" s="1"/>
  <c r="E1501" i="6" s="1"/>
  <c r="M1501" i="6"/>
  <c r="T1500" i="6"/>
  <c r="U1500" i="6"/>
  <c r="V1500" i="6" s="1"/>
  <c r="W1500" i="6"/>
  <c r="X1500" i="6" s="1"/>
  <c r="Y1500" i="6" s="1"/>
  <c r="Z1500" i="6" s="1"/>
  <c r="AA1500" i="6" s="1"/>
  <c r="R1500" i="6" s="1"/>
  <c r="F1500" i="6" s="1"/>
  <c r="E1500" i="6" s="1"/>
  <c r="M1500" i="6"/>
  <c r="T1499" i="6"/>
  <c r="U1499" i="6"/>
  <c r="V1499" i="6" s="1"/>
  <c r="W1499" i="6" s="1"/>
  <c r="X1499" i="6" s="1"/>
  <c r="Y1499" i="6" s="1"/>
  <c r="Z1499" i="6" s="1"/>
  <c r="AA1499" i="6" s="1"/>
  <c r="R1499" i="6" s="1"/>
  <c r="F1499" i="6" s="1"/>
  <c r="E1499" i="6" s="1"/>
  <c r="M1499" i="6"/>
  <c r="T1498" i="6"/>
  <c r="U1498" i="6" s="1"/>
  <c r="V1498" i="6" s="1"/>
  <c r="W1498" i="6" s="1"/>
  <c r="X1498" i="6" s="1"/>
  <c r="Y1498" i="6" s="1"/>
  <c r="Z1498" i="6" s="1"/>
  <c r="AA1498" i="6" s="1"/>
  <c r="R1498" i="6" s="1"/>
  <c r="F1498" i="6" s="1"/>
  <c r="E1498" i="6" s="1"/>
  <c r="M1498" i="6"/>
  <c r="T1497" i="6"/>
  <c r="U1497" i="6" s="1"/>
  <c r="V1497" i="6" s="1"/>
  <c r="W1497" i="6" s="1"/>
  <c r="X1497" i="6" s="1"/>
  <c r="Y1497" i="6" s="1"/>
  <c r="Z1497" i="6" s="1"/>
  <c r="AA1497" i="6" s="1"/>
  <c r="R1497" i="6" s="1"/>
  <c r="F1497" i="6" s="1"/>
  <c r="E1497" i="6" s="1"/>
  <c r="M1497" i="6"/>
  <c r="T1496" i="6"/>
  <c r="U1496" i="6"/>
  <c r="V1496" i="6" s="1"/>
  <c r="W1496" i="6"/>
  <c r="X1496" i="6" s="1"/>
  <c r="Y1496" i="6" s="1"/>
  <c r="Z1496" i="6" s="1"/>
  <c r="AA1496" i="6" s="1"/>
  <c r="R1496" i="6" s="1"/>
  <c r="F1496" i="6" s="1"/>
  <c r="E1496" i="6" s="1"/>
  <c r="M1496" i="6"/>
  <c r="T1495" i="6"/>
  <c r="U1495" i="6"/>
  <c r="V1495" i="6" s="1"/>
  <c r="W1495" i="6" s="1"/>
  <c r="X1495" i="6" s="1"/>
  <c r="Y1495" i="6" s="1"/>
  <c r="Z1495" i="6" s="1"/>
  <c r="AA1495" i="6" s="1"/>
  <c r="R1495" i="6" s="1"/>
  <c r="F1495" i="6" s="1"/>
  <c r="E1495" i="6" s="1"/>
  <c r="M1495" i="6"/>
  <c r="T1494" i="6"/>
  <c r="U1494" i="6"/>
  <c r="V1494" i="6" s="1"/>
  <c r="W1494" i="6" s="1"/>
  <c r="X1494" i="6" s="1"/>
  <c r="Y1494" i="6" s="1"/>
  <c r="Z1494" i="6" s="1"/>
  <c r="AA1494" i="6" s="1"/>
  <c r="R1494" i="6" s="1"/>
  <c r="F1494" i="6" s="1"/>
  <c r="E1494" i="6" s="1"/>
  <c r="M1494" i="6"/>
  <c r="T1493" i="6"/>
  <c r="U1493" i="6"/>
  <c r="V1493" i="6" s="1"/>
  <c r="W1493" i="6" s="1"/>
  <c r="X1493" i="6" s="1"/>
  <c r="Y1493" i="6" s="1"/>
  <c r="Z1493" i="6" s="1"/>
  <c r="AA1493" i="6" s="1"/>
  <c r="R1493" i="6" s="1"/>
  <c r="F1493" i="6"/>
  <c r="E1493" i="6" s="1"/>
  <c r="M1493" i="6"/>
  <c r="T1492" i="6"/>
  <c r="U1492" i="6" s="1"/>
  <c r="V1492" i="6" s="1"/>
  <c r="W1492" i="6" s="1"/>
  <c r="X1492" i="6" s="1"/>
  <c r="Y1492" i="6" s="1"/>
  <c r="Z1492" i="6" s="1"/>
  <c r="AA1492" i="6" s="1"/>
  <c r="R1492" i="6" s="1"/>
  <c r="F1492" i="6" s="1"/>
  <c r="E1492" i="6" s="1"/>
  <c r="M1492" i="6"/>
  <c r="T1491" i="6"/>
  <c r="U1491" i="6" s="1"/>
  <c r="V1491" i="6" s="1"/>
  <c r="W1491" i="6" s="1"/>
  <c r="X1491" i="6" s="1"/>
  <c r="Y1491" i="6" s="1"/>
  <c r="Z1491" i="6" s="1"/>
  <c r="AA1491" i="6" s="1"/>
  <c r="R1491" i="6" s="1"/>
  <c r="F1491" i="6" s="1"/>
  <c r="E1491" i="6" s="1"/>
  <c r="M1491" i="6"/>
  <c r="T1490" i="6"/>
  <c r="U1490" i="6"/>
  <c r="V1490" i="6" s="1"/>
  <c r="W1490" i="6" s="1"/>
  <c r="X1490" i="6" s="1"/>
  <c r="Y1490" i="6" s="1"/>
  <c r="Z1490" i="6" s="1"/>
  <c r="AA1490" i="6" s="1"/>
  <c r="R1490" i="6" s="1"/>
  <c r="F1490" i="6" s="1"/>
  <c r="E1490" i="6" s="1"/>
  <c r="M1490" i="6"/>
  <c r="T1489" i="6"/>
  <c r="U1489" i="6"/>
  <c r="V1489" i="6" s="1"/>
  <c r="W1489" i="6" s="1"/>
  <c r="X1489" i="6" s="1"/>
  <c r="Y1489" i="6" s="1"/>
  <c r="Z1489" i="6" s="1"/>
  <c r="AA1489" i="6" s="1"/>
  <c r="R1489" i="6" s="1"/>
  <c r="F1489" i="6" s="1"/>
  <c r="E1489" i="6" s="1"/>
  <c r="M1489" i="6"/>
  <c r="T1488" i="6"/>
  <c r="U1488" i="6"/>
  <c r="V1488" i="6" s="1"/>
  <c r="W1488" i="6" s="1"/>
  <c r="X1488" i="6" s="1"/>
  <c r="Y1488" i="6" s="1"/>
  <c r="Z1488" i="6" s="1"/>
  <c r="AA1488" i="6" s="1"/>
  <c r="R1488" i="6" s="1"/>
  <c r="F1488" i="6" s="1"/>
  <c r="E1488" i="6" s="1"/>
  <c r="M1488" i="6"/>
  <c r="T1487" i="6"/>
  <c r="U1487" i="6" s="1"/>
  <c r="V1487" i="6" s="1"/>
  <c r="W1487" i="6" s="1"/>
  <c r="X1487" i="6" s="1"/>
  <c r="Y1487" i="6" s="1"/>
  <c r="Z1487" i="6" s="1"/>
  <c r="AA1487" i="6" s="1"/>
  <c r="R1487" i="6" s="1"/>
  <c r="F1487" i="6" s="1"/>
  <c r="E1487" i="6" s="1"/>
  <c r="M1487" i="6"/>
  <c r="T1486" i="6"/>
  <c r="U1486" i="6" s="1"/>
  <c r="V1486" i="6" s="1"/>
  <c r="W1486" i="6" s="1"/>
  <c r="X1486" i="6" s="1"/>
  <c r="Y1486" i="6" s="1"/>
  <c r="Z1486" i="6" s="1"/>
  <c r="AA1486" i="6"/>
  <c r="R1486" i="6" s="1"/>
  <c r="F1486" i="6" s="1"/>
  <c r="E1486" i="6" s="1"/>
  <c r="M1486" i="6"/>
  <c r="T1485" i="6"/>
  <c r="U1485" i="6" s="1"/>
  <c r="V1485" i="6" s="1"/>
  <c r="W1485" i="6" s="1"/>
  <c r="X1485" i="6" s="1"/>
  <c r="Y1485" i="6" s="1"/>
  <c r="Z1485" i="6" s="1"/>
  <c r="AA1485" i="6" s="1"/>
  <c r="R1485" i="6" s="1"/>
  <c r="F1485" i="6" s="1"/>
  <c r="E1485" i="6" s="1"/>
  <c r="M1485" i="6"/>
  <c r="T1484" i="6"/>
  <c r="U1484" i="6" s="1"/>
  <c r="V1484" i="6" s="1"/>
  <c r="W1484" i="6" s="1"/>
  <c r="X1484" i="6" s="1"/>
  <c r="Y1484" i="6" s="1"/>
  <c r="Z1484" i="6" s="1"/>
  <c r="AA1484" i="6" s="1"/>
  <c r="R1484" i="6" s="1"/>
  <c r="F1484" i="6" s="1"/>
  <c r="E1484" i="6" s="1"/>
  <c r="M1484" i="6"/>
  <c r="T1483" i="6"/>
  <c r="U1483" i="6" s="1"/>
  <c r="V1483" i="6" s="1"/>
  <c r="W1483" i="6" s="1"/>
  <c r="X1483" i="6" s="1"/>
  <c r="Y1483" i="6" s="1"/>
  <c r="Z1483" i="6" s="1"/>
  <c r="AA1483" i="6" s="1"/>
  <c r="R1483" i="6" s="1"/>
  <c r="F1483" i="6" s="1"/>
  <c r="E1483" i="6" s="1"/>
  <c r="M1483" i="6"/>
  <c r="T1482" i="6"/>
  <c r="U1482" i="6"/>
  <c r="V1482" i="6" s="1"/>
  <c r="W1482" i="6" s="1"/>
  <c r="X1482" i="6" s="1"/>
  <c r="Y1482" i="6" s="1"/>
  <c r="Z1482" i="6" s="1"/>
  <c r="AA1482" i="6" s="1"/>
  <c r="R1482" i="6" s="1"/>
  <c r="F1482" i="6" s="1"/>
  <c r="E1482" i="6" s="1"/>
  <c r="M1482" i="6"/>
  <c r="T1481" i="6"/>
  <c r="U1481" i="6"/>
  <c r="V1481" i="6" s="1"/>
  <c r="W1481" i="6" s="1"/>
  <c r="X1481" i="6" s="1"/>
  <c r="Y1481" i="6" s="1"/>
  <c r="Z1481" i="6" s="1"/>
  <c r="AA1481" i="6" s="1"/>
  <c r="R1481" i="6" s="1"/>
  <c r="F1481" i="6" s="1"/>
  <c r="E1481" i="6" s="1"/>
  <c r="M1481" i="6"/>
  <c r="T1480" i="6"/>
  <c r="U1480" i="6"/>
  <c r="V1480" i="6" s="1"/>
  <c r="W1480" i="6" s="1"/>
  <c r="X1480" i="6" s="1"/>
  <c r="Y1480" i="6" s="1"/>
  <c r="Z1480" i="6" s="1"/>
  <c r="AA1480" i="6" s="1"/>
  <c r="R1480" i="6" s="1"/>
  <c r="F1480" i="6" s="1"/>
  <c r="E1480" i="6" s="1"/>
  <c r="M1480" i="6"/>
  <c r="T1479" i="6"/>
  <c r="U1479" i="6" s="1"/>
  <c r="V1479" i="6" s="1"/>
  <c r="W1479" i="6" s="1"/>
  <c r="X1479" i="6" s="1"/>
  <c r="Y1479" i="6" s="1"/>
  <c r="Z1479" i="6" s="1"/>
  <c r="AA1479" i="6" s="1"/>
  <c r="R1479" i="6" s="1"/>
  <c r="F1479" i="6" s="1"/>
  <c r="E1479" i="6" s="1"/>
  <c r="M1479" i="6"/>
  <c r="T1478" i="6"/>
  <c r="U1478" i="6"/>
  <c r="V1478" i="6"/>
  <c r="W1478" i="6" s="1"/>
  <c r="X1478" i="6" s="1"/>
  <c r="Y1478" i="6" s="1"/>
  <c r="Z1478" i="6" s="1"/>
  <c r="AA1478" i="6" s="1"/>
  <c r="R1478" i="6" s="1"/>
  <c r="F1478" i="6" s="1"/>
  <c r="E1478" i="6" s="1"/>
  <c r="M1478" i="6"/>
  <c r="T1477" i="6"/>
  <c r="U1477" i="6" s="1"/>
  <c r="V1477" i="6" s="1"/>
  <c r="W1477" i="6" s="1"/>
  <c r="X1477" i="6" s="1"/>
  <c r="Y1477" i="6" s="1"/>
  <c r="Z1477" i="6" s="1"/>
  <c r="AA1477" i="6" s="1"/>
  <c r="R1477" i="6" s="1"/>
  <c r="F1477" i="6" s="1"/>
  <c r="E1477" i="6" s="1"/>
  <c r="M1477" i="6"/>
  <c r="T1476" i="6"/>
  <c r="U1476" i="6"/>
  <c r="V1476" i="6" s="1"/>
  <c r="W1476" i="6" s="1"/>
  <c r="X1476" i="6" s="1"/>
  <c r="Y1476" i="6" s="1"/>
  <c r="Z1476" i="6" s="1"/>
  <c r="AA1476" i="6" s="1"/>
  <c r="R1476" i="6" s="1"/>
  <c r="F1476" i="6" s="1"/>
  <c r="E1476" i="6" s="1"/>
  <c r="M1476" i="6"/>
  <c r="T1475" i="6"/>
  <c r="U1475" i="6"/>
  <c r="V1475" i="6" s="1"/>
  <c r="W1475" i="6" s="1"/>
  <c r="X1475" i="6" s="1"/>
  <c r="Y1475" i="6" s="1"/>
  <c r="Z1475" i="6" s="1"/>
  <c r="AA1475" i="6" s="1"/>
  <c r="R1475" i="6" s="1"/>
  <c r="F1475" i="6" s="1"/>
  <c r="E1475" i="6" s="1"/>
  <c r="M1475" i="6"/>
  <c r="T1474" i="6"/>
  <c r="U1474" i="6"/>
  <c r="V1474" i="6"/>
  <c r="W1474" i="6" s="1"/>
  <c r="X1474" i="6" s="1"/>
  <c r="Y1474" i="6" s="1"/>
  <c r="Z1474" i="6" s="1"/>
  <c r="AA1474" i="6" s="1"/>
  <c r="R1474" i="6" s="1"/>
  <c r="F1474" i="6" s="1"/>
  <c r="E1474" i="6" s="1"/>
  <c r="M1474" i="6"/>
  <c r="T1473" i="6"/>
  <c r="U1473" i="6" s="1"/>
  <c r="V1473" i="6" s="1"/>
  <c r="W1473" i="6" s="1"/>
  <c r="X1473" i="6" s="1"/>
  <c r="Y1473" i="6" s="1"/>
  <c r="Z1473" i="6" s="1"/>
  <c r="AA1473" i="6" s="1"/>
  <c r="R1473" i="6" s="1"/>
  <c r="F1473" i="6" s="1"/>
  <c r="E1473" i="6" s="1"/>
  <c r="M1473" i="6"/>
  <c r="T1472" i="6"/>
  <c r="U1472" i="6"/>
  <c r="V1472" i="6"/>
  <c r="W1472" i="6" s="1"/>
  <c r="X1472" i="6" s="1"/>
  <c r="Y1472" i="6" s="1"/>
  <c r="Z1472" i="6" s="1"/>
  <c r="AA1472" i="6" s="1"/>
  <c r="R1472" i="6" s="1"/>
  <c r="F1472" i="6" s="1"/>
  <c r="E1472" i="6" s="1"/>
  <c r="M1472" i="6"/>
  <c r="T1471" i="6"/>
  <c r="U1471" i="6"/>
  <c r="V1471" i="6" s="1"/>
  <c r="W1471" i="6" s="1"/>
  <c r="X1471" i="6" s="1"/>
  <c r="Y1471" i="6" s="1"/>
  <c r="Z1471" i="6" s="1"/>
  <c r="AA1471" i="6" s="1"/>
  <c r="R1471" i="6" s="1"/>
  <c r="F1471" i="6" s="1"/>
  <c r="E1471" i="6" s="1"/>
  <c r="M1471" i="6"/>
  <c r="T1470" i="6"/>
  <c r="U1470" i="6"/>
  <c r="V1470" i="6" s="1"/>
  <c r="W1470" i="6" s="1"/>
  <c r="X1470" i="6" s="1"/>
  <c r="Y1470" i="6" s="1"/>
  <c r="Z1470" i="6" s="1"/>
  <c r="AA1470" i="6" s="1"/>
  <c r="R1470" i="6" s="1"/>
  <c r="F1470" i="6" s="1"/>
  <c r="E1470" i="6" s="1"/>
  <c r="M1470" i="6"/>
  <c r="T1469" i="6"/>
  <c r="U1469" i="6"/>
  <c r="V1469" i="6" s="1"/>
  <c r="W1469" i="6" s="1"/>
  <c r="X1469" i="6" s="1"/>
  <c r="Y1469" i="6" s="1"/>
  <c r="Z1469" i="6" s="1"/>
  <c r="AA1469" i="6" s="1"/>
  <c r="R1469" i="6" s="1"/>
  <c r="F1469" i="6" s="1"/>
  <c r="E1469" i="6" s="1"/>
  <c r="M1469" i="6"/>
  <c r="T1468" i="6"/>
  <c r="U1468" i="6"/>
  <c r="V1468" i="6" s="1"/>
  <c r="W1468" i="6" s="1"/>
  <c r="X1468" i="6" s="1"/>
  <c r="Y1468" i="6" s="1"/>
  <c r="Z1468" i="6" s="1"/>
  <c r="AA1468" i="6" s="1"/>
  <c r="R1468" i="6" s="1"/>
  <c r="F1468" i="6" s="1"/>
  <c r="E1468" i="6" s="1"/>
  <c r="M1468" i="6"/>
  <c r="T1467" i="6"/>
  <c r="U1467" i="6" s="1"/>
  <c r="V1467" i="6" s="1"/>
  <c r="W1467" i="6" s="1"/>
  <c r="X1467" i="6" s="1"/>
  <c r="Y1467" i="6" s="1"/>
  <c r="Z1467" i="6" s="1"/>
  <c r="AA1467" i="6" s="1"/>
  <c r="R1467" i="6" s="1"/>
  <c r="F1467" i="6" s="1"/>
  <c r="E1467" i="6" s="1"/>
  <c r="M1467" i="6"/>
  <c r="T1466" i="6"/>
  <c r="U1466" i="6"/>
  <c r="V1466" i="6" s="1"/>
  <c r="W1466" i="6" s="1"/>
  <c r="X1466" i="6" s="1"/>
  <c r="Y1466" i="6" s="1"/>
  <c r="Z1466" i="6" s="1"/>
  <c r="AA1466" i="6" s="1"/>
  <c r="R1466" i="6" s="1"/>
  <c r="F1466" i="6" s="1"/>
  <c r="E1466" i="6" s="1"/>
  <c r="M1466" i="6"/>
  <c r="T1465" i="6"/>
  <c r="U1465" i="6"/>
  <c r="V1465" i="6" s="1"/>
  <c r="W1465" i="6" s="1"/>
  <c r="X1465" i="6" s="1"/>
  <c r="Y1465" i="6" s="1"/>
  <c r="Z1465" i="6" s="1"/>
  <c r="AA1465" i="6" s="1"/>
  <c r="R1465" i="6" s="1"/>
  <c r="F1465" i="6" s="1"/>
  <c r="E1465" i="6" s="1"/>
  <c r="M1465" i="6"/>
  <c r="T1464" i="6"/>
  <c r="U1464" i="6"/>
  <c r="V1464" i="6" s="1"/>
  <c r="W1464" i="6" s="1"/>
  <c r="X1464" i="6" s="1"/>
  <c r="Y1464" i="6" s="1"/>
  <c r="Z1464" i="6" s="1"/>
  <c r="AA1464" i="6" s="1"/>
  <c r="R1464" i="6" s="1"/>
  <c r="F1464" i="6" s="1"/>
  <c r="E1464" i="6" s="1"/>
  <c r="M1464" i="6"/>
  <c r="T1463" i="6"/>
  <c r="U1463" i="6" s="1"/>
  <c r="V1463" i="6" s="1"/>
  <c r="W1463" i="6" s="1"/>
  <c r="X1463" i="6" s="1"/>
  <c r="Y1463" i="6" s="1"/>
  <c r="Z1463" i="6" s="1"/>
  <c r="AA1463" i="6" s="1"/>
  <c r="R1463" i="6" s="1"/>
  <c r="F1463" i="6" s="1"/>
  <c r="E1463" i="6" s="1"/>
  <c r="M1463" i="6"/>
  <c r="T1462" i="6"/>
  <c r="U1462" i="6"/>
  <c r="V1462" i="6" s="1"/>
  <c r="W1462" i="6" s="1"/>
  <c r="X1462" i="6" s="1"/>
  <c r="Y1462" i="6" s="1"/>
  <c r="Z1462" i="6" s="1"/>
  <c r="AA1462" i="6" s="1"/>
  <c r="R1462" i="6" s="1"/>
  <c r="F1462" i="6" s="1"/>
  <c r="E1462" i="6" s="1"/>
  <c r="M1462" i="6"/>
  <c r="T1461" i="6"/>
  <c r="U1461" i="6" s="1"/>
  <c r="V1461" i="6" s="1"/>
  <c r="W1461" i="6" s="1"/>
  <c r="X1461" i="6" s="1"/>
  <c r="Y1461" i="6" s="1"/>
  <c r="Z1461" i="6" s="1"/>
  <c r="AA1461" i="6" s="1"/>
  <c r="R1461" i="6" s="1"/>
  <c r="F1461" i="6" s="1"/>
  <c r="E1461" i="6" s="1"/>
  <c r="M1461" i="6"/>
  <c r="T1460" i="6"/>
  <c r="U1460" i="6"/>
  <c r="V1460" i="6" s="1"/>
  <c r="W1460" i="6" s="1"/>
  <c r="X1460" i="6" s="1"/>
  <c r="Y1460" i="6" s="1"/>
  <c r="Z1460" i="6" s="1"/>
  <c r="AA1460" i="6" s="1"/>
  <c r="R1460" i="6" s="1"/>
  <c r="F1460" i="6" s="1"/>
  <c r="E1460" i="6" s="1"/>
  <c r="M1460" i="6"/>
  <c r="T1459" i="6"/>
  <c r="U1459" i="6"/>
  <c r="V1459" i="6" s="1"/>
  <c r="W1459" i="6" s="1"/>
  <c r="X1459" i="6" s="1"/>
  <c r="Y1459" i="6" s="1"/>
  <c r="Z1459" i="6" s="1"/>
  <c r="AA1459" i="6" s="1"/>
  <c r="R1459" i="6" s="1"/>
  <c r="F1459" i="6" s="1"/>
  <c r="E1459" i="6" s="1"/>
  <c r="M1459" i="6"/>
  <c r="T1458" i="6"/>
  <c r="U1458" i="6"/>
  <c r="V1458" i="6" s="1"/>
  <c r="W1458" i="6" s="1"/>
  <c r="X1458" i="6" s="1"/>
  <c r="Y1458" i="6" s="1"/>
  <c r="Z1458" i="6" s="1"/>
  <c r="AA1458" i="6" s="1"/>
  <c r="R1458" i="6" s="1"/>
  <c r="F1458" i="6" s="1"/>
  <c r="E1458" i="6" s="1"/>
  <c r="M1458" i="6"/>
  <c r="T1457" i="6"/>
  <c r="U1457" i="6" s="1"/>
  <c r="V1457" i="6" s="1"/>
  <c r="W1457" i="6" s="1"/>
  <c r="X1457" i="6" s="1"/>
  <c r="Y1457" i="6" s="1"/>
  <c r="Z1457" i="6" s="1"/>
  <c r="AA1457" i="6" s="1"/>
  <c r="R1457" i="6" s="1"/>
  <c r="F1457" i="6" s="1"/>
  <c r="E1457" i="6" s="1"/>
  <c r="M1457" i="6"/>
  <c r="T1456" i="6"/>
  <c r="U1456" i="6"/>
  <c r="V1456" i="6" s="1"/>
  <c r="W1456" i="6" s="1"/>
  <c r="X1456" i="6" s="1"/>
  <c r="Y1456" i="6" s="1"/>
  <c r="Z1456" i="6" s="1"/>
  <c r="AA1456" i="6" s="1"/>
  <c r="R1456" i="6" s="1"/>
  <c r="F1456" i="6" s="1"/>
  <c r="E1456" i="6" s="1"/>
  <c r="M1456" i="6"/>
  <c r="T1455" i="6"/>
  <c r="U1455" i="6"/>
  <c r="V1455" i="6" s="1"/>
  <c r="W1455" i="6" s="1"/>
  <c r="X1455" i="6" s="1"/>
  <c r="Y1455" i="6" s="1"/>
  <c r="Z1455" i="6" s="1"/>
  <c r="AA1455" i="6" s="1"/>
  <c r="R1455" i="6" s="1"/>
  <c r="F1455" i="6" s="1"/>
  <c r="E1455" i="6" s="1"/>
  <c r="M1455" i="6"/>
  <c r="T1454" i="6"/>
  <c r="U1454" i="6"/>
  <c r="V1454" i="6" s="1"/>
  <c r="W1454" i="6" s="1"/>
  <c r="X1454" i="6" s="1"/>
  <c r="Y1454" i="6" s="1"/>
  <c r="Z1454" i="6" s="1"/>
  <c r="AA1454" i="6" s="1"/>
  <c r="R1454" i="6" s="1"/>
  <c r="F1454" i="6" s="1"/>
  <c r="E1454" i="6" s="1"/>
  <c r="M1454" i="6"/>
  <c r="T1453" i="6"/>
  <c r="U1453" i="6" s="1"/>
  <c r="V1453" i="6" s="1"/>
  <c r="W1453" i="6" s="1"/>
  <c r="X1453" i="6" s="1"/>
  <c r="Y1453" i="6" s="1"/>
  <c r="Z1453" i="6" s="1"/>
  <c r="AA1453" i="6" s="1"/>
  <c r="R1453" i="6" s="1"/>
  <c r="F1453" i="6" s="1"/>
  <c r="E1453" i="6" s="1"/>
  <c r="M1453" i="6"/>
  <c r="T1452" i="6"/>
  <c r="U1452" i="6"/>
  <c r="V1452" i="6" s="1"/>
  <c r="W1452" i="6" s="1"/>
  <c r="X1452" i="6" s="1"/>
  <c r="Y1452" i="6" s="1"/>
  <c r="Z1452" i="6" s="1"/>
  <c r="AA1452" i="6" s="1"/>
  <c r="R1452" i="6" s="1"/>
  <c r="F1452" i="6" s="1"/>
  <c r="E1452" i="6" s="1"/>
  <c r="M1452" i="6"/>
  <c r="T1451" i="6"/>
  <c r="U1451" i="6"/>
  <c r="V1451" i="6" s="1"/>
  <c r="W1451" i="6" s="1"/>
  <c r="X1451" i="6" s="1"/>
  <c r="Y1451" i="6" s="1"/>
  <c r="Z1451" i="6" s="1"/>
  <c r="AA1451" i="6" s="1"/>
  <c r="R1451" i="6" s="1"/>
  <c r="F1451" i="6" s="1"/>
  <c r="E1451" i="6" s="1"/>
  <c r="M1451" i="6"/>
  <c r="T1450" i="6"/>
  <c r="U1450" i="6"/>
  <c r="V1450" i="6" s="1"/>
  <c r="W1450" i="6" s="1"/>
  <c r="X1450" i="6" s="1"/>
  <c r="Y1450" i="6"/>
  <c r="Z1450" i="6" s="1"/>
  <c r="AA1450" i="6" s="1"/>
  <c r="R1450" i="6" s="1"/>
  <c r="F1450" i="6" s="1"/>
  <c r="E1450" i="6" s="1"/>
  <c r="M1450" i="6"/>
  <c r="T1449" i="6"/>
  <c r="U1449" i="6" s="1"/>
  <c r="V1449" i="6" s="1"/>
  <c r="W1449" i="6" s="1"/>
  <c r="X1449" i="6" s="1"/>
  <c r="Y1449" i="6" s="1"/>
  <c r="Z1449" i="6" s="1"/>
  <c r="AA1449" i="6" s="1"/>
  <c r="R1449" i="6" s="1"/>
  <c r="F1449" i="6" s="1"/>
  <c r="E1449" i="6" s="1"/>
  <c r="M1449" i="6"/>
  <c r="T1448" i="6"/>
  <c r="U1448" i="6"/>
  <c r="V1448" i="6" s="1"/>
  <c r="W1448" i="6" s="1"/>
  <c r="X1448" i="6" s="1"/>
  <c r="Y1448" i="6" s="1"/>
  <c r="Z1448" i="6" s="1"/>
  <c r="AA1448" i="6" s="1"/>
  <c r="R1448" i="6" s="1"/>
  <c r="F1448" i="6" s="1"/>
  <c r="E1448" i="6" s="1"/>
  <c r="M1448" i="6"/>
  <c r="T1447" i="6"/>
  <c r="U1447" i="6" s="1"/>
  <c r="V1447" i="6" s="1"/>
  <c r="W1447" i="6" s="1"/>
  <c r="X1447" i="6" s="1"/>
  <c r="Y1447" i="6" s="1"/>
  <c r="Z1447" i="6" s="1"/>
  <c r="AA1447" i="6" s="1"/>
  <c r="R1447" i="6" s="1"/>
  <c r="F1447" i="6" s="1"/>
  <c r="E1447" i="6" s="1"/>
  <c r="M1447" i="6"/>
  <c r="T1446" i="6"/>
  <c r="U1446" i="6"/>
  <c r="V1446" i="6" s="1"/>
  <c r="W1446" i="6" s="1"/>
  <c r="X1446" i="6" s="1"/>
  <c r="Y1446" i="6" s="1"/>
  <c r="Z1446" i="6" s="1"/>
  <c r="AA1446" i="6" s="1"/>
  <c r="R1446" i="6" s="1"/>
  <c r="F1446" i="6" s="1"/>
  <c r="E1446" i="6" s="1"/>
  <c r="M1446" i="6"/>
  <c r="T1445" i="6"/>
  <c r="U1445" i="6"/>
  <c r="V1445" i="6" s="1"/>
  <c r="W1445" i="6" s="1"/>
  <c r="X1445" i="6" s="1"/>
  <c r="Y1445" i="6" s="1"/>
  <c r="Z1445" i="6" s="1"/>
  <c r="AA1445" i="6" s="1"/>
  <c r="R1445" i="6" s="1"/>
  <c r="F1445" i="6" s="1"/>
  <c r="E1445" i="6" s="1"/>
  <c r="M1445" i="6"/>
  <c r="T1444" i="6"/>
  <c r="U1444" i="6" s="1"/>
  <c r="V1444" i="6" s="1"/>
  <c r="W1444" i="6" s="1"/>
  <c r="X1444" i="6" s="1"/>
  <c r="Y1444" i="6" s="1"/>
  <c r="Z1444" i="6" s="1"/>
  <c r="AA1444" i="6" s="1"/>
  <c r="R1444" i="6" s="1"/>
  <c r="F1444" i="6" s="1"/>
  <c r="E1444" i="6" s="1"/>
  <c r="M1444" i="6"/>
  <c r="T1443" i="6"/>
  <c r="U1443" i="6"/>
  <c r="V1443" i="6" s="1"/>
  <c r="W1443" i="6" s="1"/>
  <c r="X1443" i="6" s="1"/>
  <c r="Y1443" i="6" s="1"/>
  <c r="Z1443" i="6" s="1"/>
  <c r="AA1443" i="6" s="1"/>
  <c r="R1443" i="6" s="1"/>
  <c r="F1443" i="6" s="1"/>
  <c r="E1443" i="6" s="1"/>
  <c r="M1443" i="6"/>
  <c r="T1442" i="6"/>
  <c r="U1442" i="6" s="1"/>
  <c r="V1442" i="6" s="1"/>
  <c r="W1442" i="6" s="1"/>
  <c r="X1442" i="6" s="1"/>
  <c r="Y1442" i="6" s="1"/>
  <c r="Z1442" i="6" s="1"/>
  <c r="AA1442" i="6" s="1"/>
  <c r="R1442" i="6" s="1"/>
  <c r="F1442" i="6" s="1"/>
  <c r="E1442" i="6" s="1"/>
  <c r="M1442" i="6"/>
  <c r="T1441" i="6"/>
  <c r="U1441" i="6" s="1"/>
  <c r="V1441" i="6" s="1"/>
  <c r="W1441" i="6" s="1"/>
  <c r="X1441" i="6" s="1"/>
  <c r="Y1441" i="6" s="1"/>
  <c r="Z1441" i="6" s="1"/>
  <c r="AA1441" i="6" s="1"/>
  <c r="R1441" i="6" s="1"/>
  <c r="F1441" i="6" s="1"/>
  <c r="E1441" i="6" s="1"/>
  <c r="M1441" i="6"/>
  <c r="T1440" i="6"/>
  <c r="U1440" i="6"/>
  <c r="V1440" i="6"/>
  <c r="W1440" i="6" s="1"/>
  <c r="X1440" i="6" s="1"/>
  <c r="Y1440" i="6" s="1"/>
  <c r="Z1440" i="6" s="1"/>
  <c r="AA1440" i="6" s="1"/>
  <c r="R1440" i="6" s="1"/>
  <c r="F1440" i="6" s="1"/>
  <c r="E1440" i="6" s="1"/>
  <c r="M1440" i="6"/>
  <c r="T1439" i="6"/>
  <c r="U1439" i="6"/>
  <c r="V1439" i="6" s="1"/>
  <c r="W1439" i="6" s="1"/>
  <c r="X1439" i="6" s="1"/>
  <c r="Y1439" i="6" s="1"/>
  <c r="Z1439" i="6" s="1"/>
  <c r="AA1439" i="6" s="1"/>
  <c r="R1439" i="6" s="1"/>
  <c r="F1439" i="6" s="1"/>
  <c r="E1439" i="6" s="1"/>
  <c r="M1439" i="6"/>
  <c r="T1438" i="6"/>
  <c r="U1438" i="6"/>
  <c r="V1438" i="6" s="1"/>
  <c r="W1438" i="6" s="1"/>
  <c r="X1438" i="6" s="1"/>
  <c r="Y1438" i="6" s="1"/>
  <c r="Z1438" i="6" s="1"/>
  <c r="AA1438" i="6" s="1"/>
  <c r="R1438" i="6" s="1"/>
  <c r="F1438" i="6" s="1"/>
  <c r="E1438" i="6" s="1"/>
  <c r="M1438" i="6"/>
  <c r="T1437" i="6"/>
  <c r="U1437" i="6"/>
  <c r="V1437" i="6" s="1"/>
  <c r="W1437" i="6"/>
  <c r="X1437" i="6" s="1"/>
  <c r="Y1437" i="6" s="1"/>
  <c r="Z1437" i="6" s="1"/>
  <c r="AA1437" i="6" s="1"/>
  <c r="R1437" i="6" s="1"/>
  <c r="F1437" i="6" s="1"/>
  <c r="E1437" i="6" s="1"/>
  <c r="M1437" i="6"/>
  <c r="T1436" i="6"/>
  <c r="U1436" i="6" s="1"/>
  <c r="V1436" i="6" s="1"/>
  <c r="W1436" i="6" s="1"/>
  <c r="X1436" i="6" s="1"/>
  <c r="Y1436" i="6" s="1"/>
  <c r="Z1436" i="6" s="1"/>
  <c r="AA1436" i="6" s="1"/>
  <c r="R1436" i="6" s="1"/>
  <c r="F1436" i="6" s="1"/>
  <c r="E1436" i="6" s="1"/>
  <c r="M1436" i="6"/>
  <c r="T1435" i="6"/>
  <c r="U1435" i="6" s="1"/>
  <c r="V1435" i="6" s="1"/>
  <c r="W1435" i="6" s="1"/>
  <c r="X1435" i="6" s="1"/>
  <c r="Y1435" i="6" s="1"/>
  <c r="Z1435" i="6" s="1"/>
  <c r="AA1435" i="6" s="1"/>
  <c r="R1435" i="6" s="1"/>
  <c r="F1435" i="6" s="1"/>
  <c r="E1435" i="6" s="1"/>
  <c r="M1435" i="6"/>
  <c r="T1434" i="6"/>
  <c r="U1434" i="6" s="1"/>
  <c r="V1434" i="6" s="1"/>
  <c r="W1434" i="6" s="1"/>
  <c r="X1434" i="6" s="1"/>
  <c r="Y1434" i="6" s="1"/>
  <c r="Z1434" i="6" s="1"/>
  <c r="AA1434" i="6" s="1"/>
  <c r="R1434" i="6" s="1"/>
  <c r="F1434" i="6" s="1"/>
  <c r="E1434" i="6" s="1"/>
  <c r="M1434" i="6"/>
  <c r="T1433" i="6"/>
  <c r="U1433" i="6"/>
  <c r="V1433" i="6" s="1"/>
  <c r="W1433" i="6" s="1"/>
  <c r="X1433" i="6" s="1"/>
  <c r="Y1433" i="6" s="1"/>
  <c r="Z1433" i="6" s="1"/>
  <c r="AA1433" i="6" s="1"/>
  <c r="R1433" i="6" s="1"/>
  <c r="F1433" i="6" s="1"/>
  <c r="E1433" i="6" s="1"/>
  <c r="M1433" i="6"/>
  <c r="T1432" i="6"/>
  <c r="U1432" i="6"/>
  <c r="V1432" i="6" s="1"/>
  <c r="W1432" i="6" s="1"/>
  <c r="X1432" i="6" s="1"/>
  <c r="Y1432" i="6" s="1"/>
  <c r="Z1432" i="6" s="1"/>
  <c r="AA1432" i="6" s="1"/>
  <c r="R1432" i="6" s="1"/>
  <c r="F1432" i="6" s="1"/>
  <c r="E1432" i="6" s="1"/>
  <c r="M1432" i="6"/>
  <c r="T1431" i="6"/>
  <c r="U1431" i="6" s="1"/>
  <c r="V1431" i="6" s="1"/>
  <c r="W1431" i="6"/>
  <c r="X1431" i="6" s="1"/>
  <c r="Y1431" i="6" s="1"/>
  <c r="Z1431" i="6" s="1"/>
  <c r="AA1431" i="6" s="1"/>
  <c r="R1431" i="6" s="1"/>
  <c r="F1431" i="6" s="1"/>
  <c r="E1431" i="6" s="1"/>
  <c r="M1431" i="6"/>
  <c r="T1430" i="6"/>
  <c r="U1430" i="6" s="1"/>
  <c r="V1430" i="6" s="1"/>
  <c r="W1430" i="6" s="1"/>
  <c r="X1430" i="6" s="1"/>
  <c r="Y1430" i="6" s="1"/>
  <c r="Z1430" i="6" s="1"/>
  <c r="AA1430" i="6" s="1"/>
  <c r="R1430" i="6" s="1"/>
  <c r="F1430" i="6" s="1"/>
  <c r="E1430" i="6" s="1"/>
  <c r="M1430" i="6"/>
  <c r="T1429" i="6"/>
  <c r="U1429" i="6" s="1"/>
  <c r="V1429" i="6" s="1"/>
  <c r="W1429" i="6" s="1"/>
  <c r="X1429" i="6" s="1"/>
  <c r="Y1429" i="6" s="1"/>
  <c r="Z1429" i="6" s="1"/>
  <c r="AA1429" i="6" s="1"/>
  <c r="R1429" i="6" s="1"/>
  <c r="F1429" i="6" s="1"/>
  <c r="E1429" i="6" s="1"/>
  <c r="M1429" i="6"/>
  <c r="T1428" i="6"/>
  <c r="U1428" i="6"/>
  <c r="V1428" i="6" s="1"/>
  <c r="W1428" i="6" s="1"/>
  <c r="X1428" i="6" s="1"/>
  <c r="Y1428" i="6" s="1"/>
  <c r="Z1428" i="6" s="1"/>
  <c r="AA1428" i="6" s="1"/>
  <c r="R1428" i="6" s="1"/>
  <c r="F1428" i="6" s="1"/>
  <c r="E1428" i="6" s="1"/>
  <c r="M1428" i="6"/>
  <c r="T1427" i="6"/>
  <c r="U1427" i="6"/>
  <c r="V1427" i="6" s="1"/>
  <c r="W1427" i="6" s="1"/>
  <c r="X1427" i="6" s="1"/>
  <c r="Y1427" i="6"/>
  <c r="Z1427" i="6" s="1"/>
  <c r="AA1427" i="6" s="1"/>
  <c r="R1427" i="6" s="1"/>
  <c r="F1427" i="6" s="1"/>
  <c r="E1427" i="6" s="1"/>
  <c r="M1427" i="6"/>
  <c r="T1426" i="6"/>
  <c r="U1426" i="6"/>
  <c r="V1426" i="6" s="1"/>
  <c r="W1426" i="6" s="1"/>
  <c r="X1426" i="6" s="1"/>
  <c r="Y1426" i="6" s="1"/>
  <c r="Z1426" i="6" s="1"/>
  <c r="AA1426" i="6" s="1"/>
  <c r="R1426" i="6" s="1"/>
  <c r="F1426" i="6" s="1"/>
  <c r="E1426" i="6" s="1"/>
  <c r="M1426" i="6"/>
  <c r="T1425" i="6"/>
  <c r="U1425" i="6" s="1"/>
  <c r="V1425" i="6" s="1"/>
  <c r="W1425" i="6" s="1"/>
  <c r="X1425" i="6" s="1"/>
  <c r="Y1425" i="6" s="1"/>
  <c r="Z1425" i="6" s="1"/>
  <c r="AA1425" i="6" s="1"/>
  <c r="R1425" i="6" s="1"/>
  <c r="F1425" i="6" s="1"/>
  <c r="E1425" i="6" s="1"/>
  <c r="M1425" i="6"/>
  <c r="T1424" i="6"/>
  <c r="U1424" i="6" s="1"/>
  <c r="V1424" i="6" s="1"/>
  <c r="W1424" i="6" s="1"/>
  <c r="X1424" i="6" s="1"/>
  <c r="Y1424" i="6" s="1"/>
  <c r="Z1424" i="6" s="1"/>
  <c r="AA1424" i="6" s="1"/>
  <c r="R1424" i="6" s="1"/>
  <c r="F1424" i="6" s="1"/>
  <c r="E1424" i="6" s="1"/>
  <c r="M1424" i="6"/>
  <c r="T1423" i="6"/>
  <c r="U1423" i="6" s="1"/>
  <c r="V1423" i="6" s="1"/>
  <c r="W1423" i="6" s="1"/>
  <c r="X1423" i="6" s="1"/>
  <c r="Y1423" i="6"/>
  <c r="Z1423" i="6" s="1"/>
  <c r="AA1423" i="6" s="1"/>
  <c r="R1423" i="6" s="1"/>
  <c r="F1423" i="6" s="1"/>
  <c r="E1423" i="6" s="1"/>
  <c r="M1423" i="6"/>
  <c r="T1422" i="6"/>
  <c r="U1422" i="6"/>
  <c r="V1422" i="6" s="1"/>
  <c r="W1422" i="6" s="1"/>
  <c r="X1422" i="6" s="1"/>
  <c r="Y1422" i="6" s="1"/>
  <c r="Z1422" i="6" s="1"/>
  <c r="AA1422" i="6" s="1"/>
  <c r="R1422" i="6" s="1"/>
  <c r="F1422" i="6" s="1"/>
  <c r="E1422" i="6" s="1"/>
  <c r="M1422" i="6"/>
  <c r="T1421" i="6"/>
  <c r="U1421" i="6" s="1"/>
  <c r="V1421" i="6" s="1"/>
  <c r="W1421" i="6" s="1"/>
  <c r="X1421" i="6" s="1"/>
  <c r="Y1421" i="6" s="1"/>
  <c r="Z1421" i="6" s="1"/>
  <c r="AA1421" i="6" s="1"/>
  <c r="R1421" i="6" s="1"/>
  <c r="F1421" i="6" s="1"/>
  <c r="E1421" i="6" s="1"/>
  <c r="M1421" i="6"/>
  <c r="T1420" i="6"/>
  <c r="U1420" i="6"/>
  <c r="V1420" i="6" s="1"/>
  <c r="W1420" i="6" s="1"/>
  <c r="X1420" i="6" s="1"/>
  <c r="Y1420" i="6" s="1"/>
  <c r="Z1420" i="6" s="1"/>
  <c r="AA1420" i="6" s="1"/>
  <c r="R1420" i="6" s="1"/>
  <c r="F1420" i="6" s="1"/>
  <c r="E1420" i="6" s="1"/>
  <c r="M1420" i="6"/>
  <c r="T1419" i="6"/>
  <c r="U1419" i="6" s="1"/>
  <c r="V1419" i="6" s="1"/>
  <c r="W1419" i="6" s="1"/>
  <c r="X1419" i="6" s="1"/>
  <c r="Y1419" i="6" s="1"/>
  <c r="Z1419" i="6" s="1"/>
  <c r="AA1419" i="6" s="1"/>
  <c r="R1419" i="6" s="1"/>
  <c r="F1419" i="6" s="1"/>
  <c r="E1419" i="6" s="1"/>
  <c r="M1419" i="6"/>
  <c r="T1418" i="6"/>
  <c r="U1418" i="6" s="1"/>
  <c r="V1418" i="6" s="1"/>
  <c r="W1418" i="6" s="1"/>
  <c r="X1418" i="6" s="1"/>
  <c r="Y1418" i="6" s="1"/>
  <c r="Z1418" i="6" s="1"/>
  <c r="AA1418" i="6" s="1"/>
  <c r="R1418" i="6" s="1"/>
  <c r="F1418" i="6" s="1"/>
  <c r="E1418" i="6" s="1"/>
  <c r="M1418" i="6"/>
  <c r="T1417" i="6"/>
  <c r="U1417" i="6" s="1"/>
  <c r="V1417" i="6" s="1"/>
  <c r="W1417" i="6" s="1"/>
  <c r="X1417" i="6" s="1"/>
  <c r="Y1417" i="6" s="1"/>
  <c r="Z1417" i="6" s="1"/>
  <c r="AA1417" i="6" s="1"/>
  <c r="R1417" i="6" s="1"/>
  <c r="F1417" i="6" s="1"/>
  <c r="E1417" i="6" s="1"/>
  <c r="M1417" i="6"/>
  <c r="T1416" i="6"/>
  <c r="U1416" i="6"/>
  <c r="V1416" i="6" s="1"/>
  <c r="W1416" i="6" s="1"/>
  <c r="X1416" i="6" s="1"/>
  <c r="Y1416" i="6" s="1"/>
  <c r="Z1416" i="6" s="1"/>
  <c r="AA1416" i="6" s="1"/>
  <c r="R1416" i="6" s="1"/>
  <c r="F1416" i="6" s="1"/>
  <c r="E1416" i="6" s="1"/>
  <c r="M1416" i="6"/>
  <c r="T1415" i="6"/>
  <c r="U1415" i="6"/>
  <c r="V1415" i="6" s="1"/>
  <c r="W1415" i="6"/>
  <c r="X1415" i="6" s="1"/>
  <c r="Y1415" i="6" s="1"/>
  <c r="Z1415" i="6" s="1"/>
  <c r="AA1415" i="6" s="1"/>
  <c r="R1415" i="6" s="1"/>
  <c r="F1415" i="6" s="1"/>
  <c r="E1415" i="6" s="1"/>
  <c r="M1415" i="6"/>
  <c r="T1414" i="6"/>
  <c r="U1414" i="6" s="1"/>
  <c r="V1414" i="6" s="1"/>
  <c r="W1414" i="6" s="1"/>
  <c r="X1414" i="6" s="1"/>
  <c r="Y1414" i="6" s="1"/>
  <c r="Z1414" i="6" s="1"/>
  <c r="AA1414" i="6" s="1"/>
  <c r="R1414" i="6" s="1"/>
  <c r="F1414" i="6" s="1"/>
  <c r="E1414" i="6" s="1"/>
  <c r="M1414" i="6"/>
  <c r="T1413" i="6"/>
  <c r="U1413" i="6"/>
  <c r="V1413" i="6" s="1"/>
  <c r="W1413" i="6" s="1"/>
  <c r="X1413" i="6" s="1"/>
  <c r="Y1413" i="6" s="1"/>
  <c r="Z1413" i="6" s="1"/>
  <c r="AA1413" i="6" s="1"/>
  <c r="R1413" i="6" s="1"/>
  <c r="F1413" i="6" s="1"/>
  <c r="E1413" i="6" s="1"/>
  <c r="M1413" i="6"/>
  <c r="T1412" i="6"/>
  <c r="U1412" i="6"/>
  <c r="V1412" i="6" s="1"/>
  <c r="W1412" i="6" s="1"/>
  <c r="X1412" i="6" s="1"/>
  <c r="Y1412" i="6" s="1"/>
  <c r="Z1412" i="6" s="1"/>
  <c r="AA1412" i="6" s="1"/>
  <c r="R1412" i="6" s="1"/>
  <c r="F1412" i="6" s="1"/>
  <c r="E1412" i="6" s="1"/>
  <c r="M1412" i="6"/>
  <c r="T1411" i="6"/>
  <c r="U1411" i="6" s="1"/>
  <c r="V1411" i="6" s="1"/>
  <c r="W1411" i="6" s="1"/>
  <c r="X1411" i="6" s="1"/>
  <c r="Y1411" i="6" s="1"/>
  <c r="Z1411" i="6" s="1"/>
  <c r="AA1411" i="6" s="1"/>
  <c r="R1411" i="6" s="1"/>
  <c r="F1411" i="6" s="1"/>
  <c r="E1411" i="6" s="1"/>
  <c r="M1411" i="6"/>
  <c r="T1410" i="6"/>
  <c r="U1410" i="6" s="1"/>
  <c r="V1410" i="6" s="1"/>
  <c r="W1410" i="6" s="1"/>
  <c r="X1410" i="6" s="1"/>
  <c r="Y1410" i="6" s="1"/>
  <c r="Z1410" i="6" s="1"/>
  <c r="AA1410" i="6" s="1"/>
  <c r="R1410" i="6" s="1"/>
  <c r="F1410" i="6" s="1"/>
  <c r="E1410" i="6" s="1"/>
  <c r="M1410" i="6"/>
  <c r="T1409" i="6"/>
  <c r="U1409" i="6"/>
  <c r="V1409" i="6" s="1"/>
  <c r="W1409" i="6" s="1"/>
  <c r="X1409" i="6" s="1"/>
  <c r="Y1409" i="6" s="1"/>
  <c r="Z1409" i="6" s="1"/>
  <c r="AA1409" i="6" s="1"/>
  <c r="R1409" i="6" s="1"/>
  <c r="F1409" i="6" s="1"/>
  <c r="E1409" i="6" s="1"/>
  <c r="M1409" i="6"/>
  <c r="T1408" i="6"/>
  <c r="U1408" i="6" s="1"/>
  <c r="V1408" i="6" s="1"/>
  <c r="W1408" i="6" s="1"/>
  <c r="X1408" i="6" s="1"/>
  <c r="Y1408" i="6" s="1"/>
  <c r="Z1408" i="6" s="1"/>
  <c r="AA1408" i="6" s="1"/>
  <c r="R1408" i="6" s="1"/>
  <c r="F1408" i="6" s="1"/>
  <c r="E1408" i="6" s="1"/>
  <c r="M1408" i="6"/>
  <c r="T1407" i="6"/>
  <c r="U1407" i="6"/>
  <c r="V1407" i="6" s="1"/>
  <c r="W1407" i="6" s="1"/>
  <c r="X1407" i="6" s="1"/>
  <c r="Y1407" i="6" s="1"/>
  <c r="Z1407" i="6" s="1"/>
  <c r="AA1407" i="6" s="1"/>
  <c r="R1407" i="6" s="1"/>
  <c r="F1407" i="6" s="1"/>
  <c r="E1407" i="6" s="1"/>
  <c r="M1407" i="6"/>
  <c r="T1406" i="6"/>
  <c r="U1406" i="6"/>
  <c r="V1406" i="6" s="1"/>
  <c r="W1406" i="6" s="1"/>
  <c r="X1406" i="6" s="1"/>
  <c r="Y1406" i="6" s="1"/>
  <c r="Z1406" i="6" s="1"/>
  <c r="AA1406" i="6" s="1"/>
  <c r="R1406" i="6" s="1"/>
  <c r="F1406" i="6" s="1"/>
  <c r="E1406" i="6" s="1"/>
  <c r="M1406" i="6"/>
  <c r="T1405" i="6"/>
  <c r="U1405" i="6" s="1"/>
  <c r="V1405" i="6" s="1"/>
  <c r="W1405" i="6" s="1"/>
  <c r="X1405" i="6" s="1"/>
  <c r="Y1405" i="6" s="1"/>
  <c r="Z1405" i="6" s="1"/>
  <c r="AA1405" i="6" s="1"/>
  <c r="R1405" i="6" s="1"/>
  <c r="F1405" i="6" s="1"/>
  <c r="E1405" i="6" s="1"/>
  <c r="M1405" i="6"/>
  <c r="T1404" i="6"/>
  <c r="U1404" i="6" s="1"/>
  <c r="V1404" i="6" s="1"/>
  <c r="W1404" i="6" s="1"/>
  <c r="X1404" i="6" s="1"/>
  <c r="Y1404" i="6" s="1"/>
  <c r="Z1404" i="6" s="1"/>
  <c r="AA1404" i="6" s="1"/>
  <c r="R1404" i="6" s="1"/>
  <c r="F1404" i="6" s="1"/>
  <c r="E1404" i="6" s="1"/>
  <c r="M1404" i="6"/>
  <c r="T1403" i="6"/>
  <c r="U1403" i="6" s="1"/>
  <c r="V1403" i="6" s="1"/>
  <c r="W1403" i="6" s="1"/>
  <c r="X1403" i="6" s="1"/>
  <c r="Y1403" i="6" s="1"/>
  <c r="Z1403" i="6" s="1"/>
  <c r="AA1403" i="6" s="1"/>
  <c r="R1403" i="6" s="1"/>
  <c r="F1403" i="6" s="1"/>
  <c r="E1403" i="6" s="1"/>
  <c r="M1403" i="6"/>
  <c r="T1402" i="6"/>
  <c r="U1402" i="6"/>
  <c r="V1402" i="6" s="1"/>
  <c r="W1402" i="6" s="1"/>
  <c r="X1402" i="6" s="1"/>
  <c r="Y1402" i="6" s="1"/>
  <c r="Z1402" i="6" s="1"/>
  <c r="AA1402" i="6" s="1"/>
  <c r="R1402" i="6" s="1"/>
  <c r="F1402" i="6" s="1"/>
  <c r="E1402" i="6" s="1"/>
  <c r="M1402" i="6"/>
  <c r="T1401" i="6"/>
  <c r="U1401" i="6"/>
  <c r="V1401" i="6" s="1"/>
  <c r="W1401" i="6" s="1"/>
  <c r="X1401" i="6" s="1"/>
  <c r="Y1401" i="6" s="1"/>
  <c r="Z1401" i="6" s="1"/>
  <c r="AA1401" i="6" s="1"/>
  <c r="R1401" i="6" s="1"/>
  <c r="F1401" i="6" s="1"/>
  <c r="E1401" i="6" s="1"/>
  <c r="M1401" i="6"/>
  <c r="T1400" i="6"/>
  <c r="U1400" i="6" s="1"/>
  <c r="V1400" i="6" s="1"/>
  <c r="W1400" i="6" s="1"/>
  <c r="X1400" i="6" s="1"/>
  <c r="Y1400" i="6" s="1"/>
  <c r="Z1400" i="6" s="1"/>
  <c r="AA1400" i="6" s="1"/>
  <c r="R1400" i="6"/>
  <c r="F1400" i="6" s="1"/>
  <c r="E1400" i="6" s="1"/>
  <c r="M1400" i="6"/>
  <c r="T1399" i="6"/>
  <c r="U1399" i="6"/>
  <c r="V1399" i="6" s="1"/>
  <c r="W1399" i="6" s="1"/>
  <c r="X1399" i="6" s="1"/>
  <c r="Y1399" i="6" s="1"/>
  <c r="Z1399" i="6" s="1"/>
  <c r="AA1399" i="6" s="1"/>
  <c r="R1399" i="6" s="1"/>
  <c r="F1399" i="6" s="1"/>
  <c r="E1399" i="6" s="1"/>
  <c r="M1399" i="6"/>
  <c r="T1398" i="6"/>
  <c r="U1398" i="6"/>
  <c r="V1398" i="6" s="1"/>
  <c r="W1398" i="6"/>
  <c r="X1398" i="6" s="1"/>
  <c r="Y1398" i="6" s="1"/>
  <c r="Z1398" i="6" s="1"/>
  <c r="AA1398" i="6" s="1"/>
  <c r="R1398" i="6" s="1"/>
  <c r="F1398" i="6" s="1"/>
  <c r="E1398" i="6" s="1"/>
  <c r="M1398" i="6"/>
  <c r="T1397" i="6"/>
  <c r="U1397" i="6"/>
  <c r="V1397" i="6" s="1"/>
  <c r="W1397" i="6" s="1"/>
  <c r="X1397" i="6" s="1"/>
  <c r="Y1397" i="6" s="1"/>
  <c r="Z1397" i="6" s="1"/>
  <c r="AA1397" i="6" s="1"/>
  <c r="R1397" i="6" s="1"/>
  <c r="F1397" i="6" s="1"/>
  <c r="E1397" i="6" s="1"/>
  <c r="M1397" i="6"/>
  <c r="T1396" i="6"/>
  <c r="U1396" i="6" s="1"/>
  <c r="V1396" i="6" s="1"/>
  <c r="W1396" i="6" s="1"/>
  <c r="X1396" i="6" s="1"/>
  <c r="Y1396" i="6" s="1"/>
  <c r="Z1396" i="6" s="1"/>
  <c r="AA1396" i="6" s="1"/>
  <c r="R1396" i="6"/>
  <c r="F1396" i="6" s="1"/>
  <c r="E1396" i="6" s="1"/>
  <c r="M1396" i="6"/>
  <c r="T1395" i="6"/>
  <c r="U1395" i="6" s="1"/>
  <c r="V1395" i="6" s="1"/>
  <c r="W1395" i="6" s="1"/>
  <c r="X1395" i="6" s="1"/>
  <c r="Y1395" i="6" s="1"/>
  <c r="Z1395" i="6" s="1"/>
  <c r="AA1395" i="6" s="1"/>
  <c r="R1395" i="6" s="1"/>
  <c r="F1395" i="6" s="1"/>
  <c r="E1395" i="6" s="1"/>
  <c r="M1395" i="6"/>
  <c r="T1394" i="6"/>
  <c r="U1394" i="6" s="1"/>
  <c r="V1394" i="6" s="1"/>
  <c r="W1394" i="6"/>
  <c r="X1394" i="6" s="1"/>
  <c r="Y1394" i="6" s="1"/>
  <c r="Z1394" i="6" s="1"/>
  <c r="AA1394" i="6" s="1"/>
  <c r="R1394" i="6" s="1"/>
  <c r="F1394" i="6" s="1"/>
  <c r="E1394" i="6" s="1"/>
  <c r="M1394" i="6"/>
  <c r="T1393" i="6"/>
  <c r="U1393" i="6"/>
  <c r="V1393" i="6" s="1"/>
  <c r="W1393" i="6" s="1"/>
  <c r="X1393" i="6" s="1"/>
  <c r="Y1393" i="6" s="1"/>
  <c r="Z1393" i="6" s="1"/>
  <c r="AA1393" i="6" s="1"/>
  <c r="R1393" i="6" s="1"/>
  <c r="F1393" i="6" s="1"/>
  <c r="E1393" i="6" s="1"/>
  <c r="M1393" i="6"/>
  <c r="T1392" i="6"/>
  <c r="U1392" i="6" s="1"/>
  <c r="V1392" i="6" s="1"/>
  <c r="W1392" i="6" s="1"/>
  <c r="X1392" i="6" s="1"/>
  <c r="Y1392" i="6" s="1"/>
  <c r="Z1392" i="6" s="1"/>
  <c r="AA1392" i="6" s="1"/>
  <c r="R1392" i="6" s="1"/>
  <c r="F1392" i="6" s="1"/>
  <c r="E1392" i="6" s="1"/>
  <c r="M1392" i="6"/>
  <c r="T1391" i="6"/>
  <c r="U1391" i="6"/>
  <c r="V1391" i="6" s="1"/>
  <c r="W1391" i="6" s="1"/>
  <c r="X1391" i="6" s="1"/>
  <c r="Y1391" i="6" s="1"/>
  <c r="Z1391" i="6" s="1"/>
  <c r="AA1391" i="6" s="1"/>
  <c r="R1391" i="6" s="1"/>
  <c r="F1391" i="6" s="1"/>
  <c r="E1391" i="6" s="1"/>
  <c r="M1391" i="6"/>
  <c r="T1390" i="6"/>
  <c r="U1390" i="6" s="1"/>
  <c r="V1390" i="6" s="1"/>
  <c r="W1390" i="6" s="1"/>
  <c r="X1390" i="6" s="1"/>
  <c r="Y1390" i="6"/>
  <c r="Z1390" i="6" s="1"/>
  <c r="AA1390" i="6" s="1"/>
  <c r="R1390" i="6" s="1"/>
  <c r="F1390" i="6" s="1"/>
  <c r="E1390" i="6" s="1"/>
  <c r="M1390" i="6"/>
  <c r="T1389" i="6"/>
  <c r="U1389" i="6"/>
  <c r="V1389" i="6" s="1"/>
  <c r="W1389" i="6" s="1"/>
  <c r="X1389" i="6" s="1"/>
  <c r="Y1389" i="6" s="1"/>
  <c r="Z1389" i="6" s="1"/>
  <c r="AA1389" i="6" s="1"/>
  <c r="R1389" i="6" s="1"/>
  <c r="F1389" i="6" s="1"/>
  <c r="E1389" i="6" s="1"/>
  <c r="M1389" i="6"/>
  <c r="T1388" i="6"/>
  <c r="U1388" i="6" s="1"/>
  <c r="V1388" i="6"/>
  <c r="W1388" i="6" s="1"/>
  <c r="X1388" i="6" s="1"/>
  <c r="Y1388" i="6"/>
  <c r="Z1388" i="6" s="1"/>
  <c r="AA1388" i="6" s="1"/>
  <c r="R1388" i="6" s="1"/>
  <c r="F1388" i="6" s="1"/>
  <c r="E1388" i="6" s="1"/>
  <c r="M1388" i="6"/>
  <c r="T1387" i="6"/>
  <c r="U1387" i="6" s="1"/>
  <c r="V1387" i="6" s="1"/>
  <c r="W1387" i="6" s="1"/>
  <c r="X1387" i="6" s="1"/>
  <c r="Y1387" i="6" s="1"/>
  <c r="Z1387" i="6" s="1"/>
  <c r="AA1387" i="6" s="1"/>
  <c r="R1387" i="6" s="1"/>
  <c r="F1387" i="6" s="1"/>
  <c r="E1387" i="6" s="1"/>
  <c r="M1387" i="6"/>
  <c r="T1386" i="6"/>
  <c r="U1386" i="6" s="1"/>
  <c r="V1386" i="6" s="1"/>
  <c r="W1386" i="6" s="1"/>
  <c r="X1386" i="6" s="1"/>
  <c r="Y1386" i="6" s="1"/>
  <c r="Z1386" i="6" s="1"/>
  <c r="AA1386" i="6" s="1"/>
  <c r="R1386" i="6" s="1"/>
  <c r="F1386" i="6" s="1"/>
  <c r="E1386" i="6" s="1"/>
  <c r="M1386" i="6"/>
  <c r="T1385" i="6"/>
  <c r="U1385" i="6" s="1"/>
  <c r="V1385" i="6" s="1"/>
  <c r="W1385" i="6" s="1"/>
  <c r="X1385" i="6" s="1"/>
  <c r="Y1385" i="6" s="1"/>
  <c r="Z1385" i="6" s="1"/>
  <c r="AA1385" i="6" s="1"/>
  <c r="R1385" i="6" s="1"/>
  <c r="F1385" i="6" s="1"/>
  <c r="E1385" i="6" s="1"/>
  <c r="M1385" i="6"/>
  <c r="T1384" i="6"/>
  <c r="U1384" i="6" s="1"/>
  <c r="V1384" i="6"/>
  <c r="W1384" i="6" s="1"/>
  <c r="X1384" i="6" s="1"/>
  <c r="Y1384" i="6"/>
  <c r="Z1384" i="6" s="1"/>
  <c r="AA1384" i="6" s="1"/>
  <c r="R1384" i="6" s="1"/>
  <c r="F1384" i="6" s="1"/>
  <c r="E1384" i="6" s="1"/>
  <c r="M1384" i="6"/>
  <c r="T1383" i="6"/>
  <c r="U1383" i="6"/>
  <c r="V1383" i="6" s="1"/>
  <c r="W1383" i="6" s="1"/>
  <c r="X1383" i="6" s="1"/>
  <c r="Y1383" i="6" s="1"/>
  <c r="Z1383" i="6" s="1"/>
  <c r="AA1383" i="6" s="1"/>
  <c r="R1383" i="6" s="1"/>
  <c r="F1383" i="6" s="1"/>
  <c r="E1383" i="6" s="1"/>
  <c r="M1383" i="6"/>
  <c r="T1382" i="6"/>
  <c r="U1382" i="6" s="1"/>
  <c r="V1382" i="6" s="1"/>
  <c r="W1382" i="6" s="1"/>
  <c r="X1382" i="6" s="1"/>
  <c r="Y1382" i="6" s="1"/>
  <c r="Z1382" i="6" s="1"/>
  <c r="AA1382" i="6" s="1"/>
  <c r="R1382" i="6" s="1"/>
  <c r="F1382" i="6" s="1"/>
  <c r="E1382" i="6" s="1"/>
  <c r="M1382" i="6"/>
  <c r="T1381" i="6"/>
  <c r="U1381" i="6"/>
  <c r="V1381" i="6" s="1"/>
  <c r="W1381" i="6" s="1"/>
  <c r="X1381" i="6" s="1"/>
  <c r="Y1381" i="6" s="1"/>
  <c r="Z1381" i="6" s="1"/>
  <c r="AA1381" i="6" s="1"/>
  <c r="R1381" i="6" s="1"/>
  <c r="F1381" i="6" s="1"/>
  <c r="E1381" i="6" s="1"/>
  <c r="M1381" i="6"/>
  <c r="T1380" i="6"/>
  <c r="U1380" i="6" s="1"/>
  <c r="V1380" i="6"/>
  <c r="W1380" i="6" s="1"/>
  <c r="X1380" i="6" s="1"/>
  <c r="Y1380" i="6" s="1"/>
  <c r="Z1380" i="6" s="1"/>
  <c r="AA1380" i="6" s="1"/>
  <c r="R1380" i="6" s="1"/>
  <c r="F1380" i="6" s="1"/>
  <c r="E1380" i="6" s="1"/>
  <c r="M1380" i="6"/>
  <c r="T1379" i="6"/>
  <c r="U1379" i="6" s="1"/>
  <c r="V1379" i="6" s="1"/>
  <c r="W1379" i="6" s="1"/>
  <c r="X1379" i="6" s="1"/>
  <c r="Y1379" i="6" s="1"/>
  <c r="Z1379" i="6" s="1"/>
  <c r="AA1379" i="6" s="1"/>
  <c r="R1379" i="6" s="1"/>
  <c r="F1379" i="6" s="1"/>
  <c r="E1379" i="6" s="1"/>
  <c r="M1379" i="6"/>
  <c r="T1378" i="6"/>
  <c r="U1378" i="6" s="1"/>
  <c r="V1378" i="6" s="1"/>
  <c r="W1378" i="6" s="1"/>
  <c r="X1378" i="6" s="1"/>
  <c r="Y1378" i="6" s="1"/>
  <c r="Z1378" i="6" s="1"/>
  <c r="AA1378" i="6" s="1"/>
  <c r="R1378" i="6" s="1"/>
  <c r="F1378" i="6" s="1"/>
  <c r="E1378" i="6" s="1"/>
  <c r="M1378" i="6"/>
  <c r="T1377" i="6"/>
  <c r="U1377" i="6"/>
  <c r="V1377" i="6" s="1"/>
  <c r="W1377" i="6" s="1"/>
  <c r="X1377" i="6" s="1"/>
  <c r="Y1377" i="6" s="1"/>
  <c r="Z1377" i="6" s="1"/>
  <c r="AA1377" i="6" s="1"/>
  <c r="R1377" i="6" s="1"/>
  <c r="F1377" i="6" s="1"/>
  <c r="E1377" i="6" s="1"/>
  <c r="M1377" i="6"/>
  <c r="T1376" i="6"/>
  <c r="U1376" i="6" s="1"/>
  <c r="V1376" i="6" s="1"/>
  <c r="W1376" i="6" s="1"/>
  <c r="X1376" i="6" s="1"/>
  <c r="Y1376" i="6" s="1"/>
  <c r="Z1376" i="6" s="1"/>
  <c r="AA1376" i="6" s="1"/>
  <c r="R1376" i="6" s="1"/>
  <c r="F1376" i="6" s="1"/>
  <c r="E1376" i="6" s="1"/>
  <c r="M1376" i="6"/>
  <c r="T1375" i="6"/>
  <c r="U1375" i="6" s="1"/>
  <c r="V1375" i="6" s="1"/>
  <c r="W1375" i="6" s="1"/>
  <c r="X1375" i="6" s="1"/>
  <c r="Y1375" i="6" s="1"/>
  <c r="Z1375" i="6" s="1"/>
  <c r="AA1375" i="6" s="1"/>
  <c r="R1375" i="6" s="1"/>
  <c r="F1375" i="6" s="1"/>
  <c r="E1375" i="6" s="1"/>
  <c r="M1375" i="6"/>
  <c r="T1374" i="6"/>
  <c r="U1374" i="6" s="1"/>
  <c r="V1374" i="6" s="1"/>
  <c r="W1374" i="6" s="1"/>
  <c r="X1374" i="6" s="1"/>
  <c r="Y1374" i="6" s="1"/>
  <c r="Z1374" i="6" s="1"/>
  <c r="AA1374" i="6" s="1"/>
  <c r="R1374" i="6" s="1"/>
  <c r="F1374" i="6" s="1"/>
  <c r="E1374" i="6" s="1"/>
  <c r="M1374" i="6"/>
  <c r="T1373" i="6"/>
  <c r="U1373" i="6" s="1"/>
  <c r="V1373" i="6" s="1"/>
  <c r="W1373" i="6" s="1"/>
  <c r="X1373" i="6" s="1"/>
  <c r="Y1373" i="6" s="1"/>
  <c r="Z1373" i="6" s="1"/>
  <c r="AA1373" i="6" s="1"/>
  <c r="R1373" i="6" s="1"/>
  <c r="F1373" i="6" s="1"/>
  <c r="E1373" i="6" s="1"/>
  <c r="M1373" i="6"/>
  <c r="T1372" i="6"/>
  <c r="U1372" i="6" s="1"/>
  <c r="V1372" i="6"/>
  <c r="W1372" i="6" s="1"/>
  <c r="X1372" i="6" s="1"/>
  <c r="Y1372" i="6" s="1"/>
  <c r="Z1372" i="6" s="1"/>
  <c r="AA1372" i="6" s="1"/>
  <c r="R1372" i="6" s="1"/>
  <c r="F1372" i="6" s="1"/>
  <c r="E1372" i="6" s="1"/>
  <c r="M1372" i="6"/>
  <c r="T1371" i="6"/>
  <c r="U1371" i="6"/>
  <c r="V1371" i="6" s="1"/>
  <c r="W1371" i="6"/>
  <c r="X1371" i="6" s="1"/>
  <c r="Y1371" i="6" s="1"/>
  <c r="Z1371" i="6" s="1"/>
  <c r="AA1371" i="6" s="1"/>
  <c r="R1371" i="6" s="1"/>
  <c r="F1371" i="6" s="1"/>
  <c r="E1371" i="6" s="1"/>
  <c r="M1371" i="6"/>
  <c r="T1370" i="6"/>
  <c r="U1370" i="6" s="1"/>
  <c r="V1370" i="6" s="1"/>
  <c r="W1370" i="6" s="1"/>
  <c r="X1370" i="6" s="1"/>
  <c r="Y1370" i="6" s="1"/>
  <c r="Z1370" i="6" s="1"/>
  <c r="AA1370" i="6"/>
  <c r="R1370" i="6" s="1"/>
  <c r="F1370" i="6" s="1"/>
  <c r="E1370" i="6" s="1"/>
  <c r="M1370" i="6"/>
  <c r="T1369" i="6"/>
  <c r="U1369" i="6"/>
  <c r="V1369" i="6" s="1"/>
  <c r="W1369" i="6" s="1"/>
  <c r="X1369" i="6" s="1"/>
  <c r="Y1369" i="6" s="1"/>
  <c r="Z1369" i="6" s="1"/>
  <c r="AA1369" i="6" s="1"/>
  <c r="R1369" i="6" s="1"/>
  <c r="F1369" i="6" s="1"/>
  <c r="E1369" i="6" s="1"/>
  <c r="M1369" i="6"/>
  <c r="T1368" i="6"/>
  <c r="U1368" i="6" s="1"/>
  <c r="V1368" i="6" s="1"/>
  <c r="W1368" i="6" s="1"/>
  <c r="X1368" i="6" s="1"/>
  <c r="Y1368" i="6" s="1"/>
  <c r="Z1368" i="6" s="1"/>
  <c r="AA1368" i="6" s="1"/>
  <c r="R1368" i="6" s="1"/>
  <c r="F1368" i="6" s="1"/>
  <c r="E1368" i="6" s="1"/>
  <c r="M1368" i="6"/>
  <c r="T1367" i="6"/>
  <c r="U1367" i="6"/>
  <c r="V1367" i="6" s="1"/>
  <c r="W1367" i="6"/>
  <c r="X1367" i="6" s="1"/>
  <c r="Y1367" i="6" s="1"/>
  <c r="Z1367" i="6" s="1"/>
  <c r="AA1367" i="6" s="1"/>
  <c r="R1367" i="6" s="1"/>
  <c r="F1367" i="6" s="1"/>
  <c r="E1367" i="6" s="1"/>
  <c r="M1367" i="6"/>
  <c r="T1366" i="6"/>
  <c r="U1366" i="6" s="1"/>
  <c r="V1366" i="6" s="1"/>
  <c r="W1366" i="6" s="1"/>
  <c r="X1366" i="6" s="1"/>
  <c r="Y1366" i="6" s="1"/>
  <c r="Z1366" i="6" s="1"/>
  <c r="AA1366" i="6" s="1"/>
  <c r="R1366" i="6" s="1"/>
  <c r="F1366" i="6" s="1"/>
  <c r="E1366" i="6" s="1"/>
  <c r="M1366" i="6"/>
  <c r="T1365" i="6"/>
  <c r="U1365" i="6"/>
  <c r="V1365" i="6" s="1"/>
  <c r="W1365" i="6" s="1"/>
  <c r="X1365" i="6" s="1"/>
  <c r="Y1365" i="6" s="1"/>
  <c r="Z1365" i="6" s="1"/>
  <c r="AA1365" i="6" s="1"/>
  <c r="R1365" i="6" s="1"/>
  <c r="F1365" i="6" s="1"/>
  <c r="E1365" i="6" s="1"/>
  <c r="M1365" i="6"/>
  <c r="T1364" i="6"/>
  <c r="U1364" i="6" s="1"/>
  <c r="V1364" i="6"/>
  <c r="W1364" i="6" s="1"/>
  <c r="X1364" i="6" s="1"/>
  <c r="Y1364" i="6" s="1"/>
  <c r="Z1364" i="6" s="1"/>
  <c r="AA1364" i="6" s="1"/>
  <c r="R1364" i="6" s="1"/>
  <c r="F1364" i="6" s="1"/>
  <c r="E1364" i="6" s="1"/>
  <c r="M1364" i="6"/>
  <c r="T1363" i="6"/>
  <c r="U1363" i="6" s="1"/>
  <c r="V1363" i="6" s="1"/>
  <c r="W1363" i="6" s="1"/>
  <c r="X1363" i="6" s="1"/>
  <c r="Y1363" i="6" s="1"/>
  <c r="Z1363" i="6" s="1"/>
  <c r="AA1363" i="6" s="1"/>
  <c r="R1363" i="6" s="1"/>
  <c r="F1363" i="6" s="1"/>
  <c r="E1363" i="6" s="1"/>
  <c r="M1363" i="6"/>
  <c r="T1362" i="6"/>
  <c r="U1362" i="6" s="1"/>
  <c r="V1362" i="6"/>
  <c r="W1362" i="6" s="1"/>
  <c r="X1362" i="6" s="1"/>
  <c r="Y1362" i="6" s="1"/>
  <c r="Z1362" i="6" s="1"/>
  <c r="AA1362" i="6" s="1"/>
  <c r="R1362" i="6" s="1"/>
  <c r="F1362" i="6" s="1"/>
  <c r="E1362" i="6" s="1"/>
  <c r="M1362" i="6"/>
  <c r="T1361" i="6"/>
  <c r="U1361" i="6"/>
  <c r="V1361" i="6" s="1"/>
  <c r="W1361" i="6" s="1"/>
  <c r="X1361" i="6" s="1"/>
  <c r="Y1361" i="6" s="1"/>
  <c r="Z1361" i="6" s="1"/>
  <c r="AA1361" i="6" s="1"/>
  <c r="R1361" i="6" s="1"/>
  <c r="F1361" i="6" s="1"/>
  <c r="E1361" i="6" s="1"/>
  <c r="M1361" i="6"/>
  <c r="T1360" i="6"/>
  <c r="U1360" i="6" s="1"/>
  <c r="V1360" i="6" s="1"/>
  <c r="W1360" i="6" s="1"/>
  <c r="X1360" i="6" s="1"/>
  <c r="Y1360" i="6" s="1"/>
  <c r="Z1360" i="6" s="1"/>
  <c r="AA1360" i="6" s="1"/>
  <c r="R1360" i="6" s="1"/>
  <c r="F1360" i="6" s="1"/>
  <c r="E1360" i="6" s="1"/>
  <c r="M1360" i="6"/>
  <c r="T1359" i="6"/>
  <c r="U1359" i="6"/>
  <c r="V1359" i="6" s="1"/>
  <c r="W1359" i="6" s="1"/>
  <c r="X1359" i="6" s="1"/>
  <c r="Y1359" i="6" s="1"/>
  <c r="Z1359" i="6" s="1"/>
  <c r="AA1359" i="6" s="1"/>
  <c r="R1359" i="6" s="1"/>
  <c r="F1359" i="6" s="1"/>
  <c r="E1359" i="6" s="1"/>
  <c r="M1359" i="6"/>
  <c r="T1358" i="6"/>
  <c r="U1358" i="6" s="1"/>
  <c r="V1358" i="6" s="1"/>
  <c r="W1358" i="6" s="1"/>
  <c r="X1358" i="6" s="1"/>
  <c r="Y1358" i="6" s="1"/>
  <c r="Z1358" i="6" s="1"/>
  <c r="AA1358" i="6" s="1"/>
  <c r="R1358" i="6" s="1"/>
  <c r="F1358" i="6" s="1"/>
  <c r="E1358" i="6" s="1"/>
  <c r="M1358" i="6"/>
  <c r="T1357" i="6"/>
  <c r="U1357" i="6" s="1"/>
  <c r="V1357" i="6" s="1"/>
  <c r="W1357" i="6" s="1"/>
  <c r="X1357" i="6" s="1"/>
  <c r="Y1357" i="6" s="1"/>
  <c r="Z1357" i="6" s="1"/>
  <c r="AA1357" i="6" s="1"/>
  <c r="R1357" i="6" s="1"/>
  <c r="F1357" i="6" s="1"/>
  <c r="E1357" i="6" s="1"/>
  <c r="M1357" i="6"/>
  <c r="T1356" i="6"/>
  <c r="U1356" i="6" s="1"/>
  <c r="V1356" i="6" s="1"/>
  <c r="W1356" i="6" s="1"/>
  <c r="X1356" i="6" s="1"/>
  <c r="Y1356" i="6" s="1"/>
  <c r="Z1356" i="6" s="1"/>
  <c r="AA1356" i="6" s="1"/>
  <c r="R1356" i="6" s="1"/>
  <c r="F1356" i="6" s="1"/>
  <c r="E1356" i="6" s="1"/>
  <c r="M1356" i="6"/>
  <c r="T1355" i="6"/>
  <c r="U1355" i="6" s="1"/>
  <c r="V1355" i="6" s="1"/>
  <c r="W1355" i="6" s="1"/>
  <c r="X1355" i="6" s="1"/>
  <c r="Y1355" i="6" s="1"/>
  <c r="Z1355" i="6" s="1"/>
  <c r="AA1355" i="6" s="1"/>
  <c r="R1355" i="6" s="1"/>
  <c r="F1355" i="6" s="1"/>
  <c r="E1355" i="6" s="1"/>
  <c r="M1355" i="6"/>
  <c r="T1354" i="6"/>
  <c r="U1354" i="6" s="1"/>
  <c r="V1354" i="6"/>
  <c r="W1354" i="6" s="1"/>
  <c r="X1354" i="6" s="1"/>
  <c r="Y1354" i="6" s="1"/>
  <c r="Z1354" i="6" s="1"/>
  <c r="AA1354" i="6" s="1"/>
  <c r="R1354" i="6" s="1"/>
  <c r="F1354" i="6" s="1"/>
  <c r="E1354" i="6" s="1"/>
  <c r="M1354" i="6"/>
  <c r="T1353" i="6"/>
  <c r="U1353" i="6" s="1"/>
  <c r="V1353" i="6" s="1"/>
  <c r="W1353" i="6" s="1"/>
  <c r="X1353" i="6" s="1"/>
  <c r="Y1353" i="6" s="1"/>
  <c r="Z1353" i="6" s="1"/>
  <c r="AA1353" i="6" s="1"/>
  <c r="R1353" i="6" s="1"/>
  <c r="F1353" i="6" s="1"/>
  <c r="E1353" i="6" s="1"/>
  <c r="M1353" i="6"/>
  <c r="T1352" i="6"/>
  <c r="U1352" i="6" s="1"/>
  <c r="V1352" i="6" s="1"/>
  <c r="W1352" i="6" s="1"/>
  <c r="X1352" i="6" s="1"/>
  <c r="Y1352" i="6" s="1"/>
  <c r="Z1352" i="6" s="1"/>
  <c r="AA1352" i="6" s="1"/>
  <c r="R1352" i="6" s="1"/>
  <c r="F1352" i="6" s="1"/>
  <c r="E1352" i="6"/>
  <c r="M1352" i="6"/>
  <c r="T1351" i="6"/>
  <c r="U1351" i="6"/>
  <c r="V1351" i="6" s="1"/>
  <c r="W1351" i="6" s="1"/>
  <c r="X1351" i="6" s="1"/>
  <c r="Y1351" i="6" s="1"/>
  <c r="Z1351" i="6" s="1"/>
  <c r="AA1351" i="6" s="1"/>
  <c r="R1351" i="6" s="1"/>
  <c r="F1351" i="6" s="1"/>
  <c r="E1351" i="6" s="1"/>
  <c r="M1351" i="6"/>
  <c r="T1350" i="6"/>
  <c r="U1350" i="6" s="1"/>
  <c r="V1350" i="6" s="1"/>
  <c r="W1350" i="6" s="1"/>
  <c r="X1350" i="6" s="1"/>
  <c r="Y1350" i="6" s="1"/>
  <c r="Z1350" i="6" s="1"/>
  <c r="AA1350" i="6" s="1"/>
  <c r="R1350" i="6" s="1"/>
  <c r="F1350" i="6" s="1"/>
  <c r="E1350" i="6" s="1"/>
  <c r="M1350" i="6"/>
  <c r="T1349" i="6"/>
  <c r="U1349" i="6" s="1"/>
  <c r="V1349" i="6" s="1"/>
  <c r="W1349" i="6" s="1"/>
  <c r="X1349" i="6" s="1"/>
  <c r="Y1349" i="6" s="1"/>
  <c r="Z1349" i="6" s="1"/>
  <c r="AA1349" i="6" s="1"/>
  <c r="R1349" i="6" s="1"/>
  <c r="F1349" i="6" s="1"/>
  <c r="E1349" i="6" s="1"/>
  <c r="M1349" i="6"/>
  <c r="T1348" i="6"/>
  <c r="U1348" i="6" s="1"/>
  <c r="V1348" i="6" s="1"/>
  <c r="W1348" i="6" s="1"/>
  <c r="X1348" i="6" s="1"/>
  <c r="Y1348" i="6" s="1"/>
  <c r="Z1348" i="6" s="1"/>
  <c r="AA1348" i="6" s="1"/>
  <c r="R1348" i="6" s="1"/>
  <c r="F1348" i="6" s="1"/>
  <c r="E1348" i="6" s="1"/>
  <c r="M1348" i="6"/>
  <c r="T1347" i="6"/>
  <c r="U1347" i="6" s="1"/>
  <c r="V1347" i="6" s="1"/>
  <c r="W1347" i="6" s="1"/>
  <c r="X1347" i="6" s="1"/>
  <c r="Y1347" i="6" s="1"/>
  <c r="Z1347" i="6" s="1"/>
  <c r="AA1347" i="6" s="1"/>
  <c r="R1347" i="6" s="1"/>
  <c r="F1347" i="6" s="1"/>
  <c r="E1347" i="6" s="1"/>
  <c r="M1347" i="6"/>
  <c r="T1346" i="6"/>
  <c r="U1346" i="6" s="1"/>
  <c r="V1346" i="6" s="1"/>
  <c r="W1346" i="6" s="1"/>
  <c r="X1346" i="6" s="1"/>
  <c r="Y1346" i="6" s="1"/>
  <c r="Z1346" i="6" s="1"/>
  <c r="AA1346" i="6" s="1"/>
  <c r="R1346" i="6" s="1"/>
  <c r="F1346" i="6" s="1"/>
  <c r="E1346" i="6" s="1"/>
  <c r="M1346" i="6"/>
  <c r="T1345" i="6"/>
  <c r="U1345" i="6" s="1"/>
  <c r="V1345" i="6" s="1"/>
  <c r="W1345" i="6" s="1"/>
  <c r="X1345" i="6" s="1"/>
  <c r="Y1345" i="6" s="1"/>
  <c r="Z1345" i="6" s="1"/>
  <c r="AA1345" i="6" s="1"/>
  <c r="R1345" i="6" s="1"/>
  <c r="F1345" i="6" s="1"/>
  <c r="E1345" i="6" s="1"/>
  <c r="M1345" i="6"/>
  <c r="T1344" i="6"/>
  <c r="U1344" i="6" s="1"/>
  <c r="V1344" i="6"/>
  <c r="W1344" i="6" s="1"/>
  <c r="X1344" i="6" s="1"/>
  <c r="Y1344" i="6" s="1"/>
  <c r="Z1344" i="6" s="1"/>
  <c r="AA1344" i="6" s="1"/>
  <c r="R1344" i="6" s="1"/>
  <c r="F1344" i="6" s="1"/>
  <c r="E1344" i="6" s="1"/>
  <c r="M1344" i="6"/>
  <c r="T1343" i="6"/>
  <c r="U1343" i="6"/>
  <c r="V1343" i="6" s="1"/>
  <c r="W1343" i="6" s="1"/>
  <c r="X1343" i="6" s="1"/>
  <c r="Y1343" i="6" s="1"/>
  <c r="Z1343" i="6" s="1"/>
  <c r="AA1343" i="6" s="1"/>
  <c r="R1343" i="6" s="1"/>
  <c r="F1343" i="6" s="1"/>
  <c r="E1343" i="6" s="1"/>
  <c r="M1343" i="6"/>
  <c r="T1342" i="6"/>
  <c r="U1342" i="6" s="1"/>
  <c r="V1342" i="6" s="1"/>
  <c r="W1342" i="6" s="1"/>
  <c r="X1342" i="6" s="1"/>
  <c r="Y1342" i="6" s="1"/>
  <c r="Z1342" i="6" s="1"/>
  <c r="AA1342" i="6" s="1"/>
  <c r="R1342" i="6" s="1"/>
  <c r="F1342" i="6" s="1"/>
  <c r="E1342" i="6" s="1"/>
  <c r="M1342" i="6"/>
  <c r="T1341" i="6"/>
  <c r="U1341" i="6"/>
  <c r="V1341" i="6" s="1"/>
  <c r="W1341" i="6" s="1"/>
  <c r="X1341" i="6" s="1"/>
  <c r="Y1341" i="6" s="1"/>
  <c r="Z1341" i="6" s="1"/>
  <c r="AA1341" i="6" s="1"/>
  <c r="R1341" i="6" s="1"/>
  <c r="F1341" i="6" s="1"/>
  <c r="E1341" i="6" s="1"/>
  <c r="M1341" i="6"/>
  <c r="T1340" i="6"/>
  <c r="U1340" i="6" s="1"/>
  <c r="V1340" i="6" s="1"/>
  <c r="W1340" i="6" s="1"/>
  <c r="X1340" i="6" s="1"/>
  <c r="Y1340" i="6" s="1"/>
  <c r="Z1340" i="6" s="1"/>
  <c r="AA1340" i="6" s="1"/>
  <c r="R1340" i="6" s="1"/>
  <c r="F1340" i="6" s="1"/>
  <c r="E1340" i="6" s="1"/>
  <c r="M1340" i="6"/>
  <c r="T1339" i="6"/>
  <c r="U1339" i="6" s="1"/>
  <c r="V1339" i="6" s="1"/>
  <c r="W1339" i="6" s="1"/>
  <c r="X1339" i="6" s="1"/>
  <c r="Y1339" i="6" s="1"/>
  <c r="Z1339" i="6" s="1"/>
  <c r="AA1339" i="6" s="1"/>
  <c r="R1339" i="6" s="1"/>
  <c r="F1339" i="6" s="1"/>
  <c r="E1339" i="6" s="1"/>
  <c r="M1339" i="6"/>
  <c r="T1338" i="6"/>
  <c r="U1338" i="6" s="1"/>
  <c r="V1338" i="6"/>
  <c r="W1338" i="6" s="1"/>
  <c r="X1338" i="6" s="1"/>
  <c r="Y1338" i="6" s="1"/>
  <c r="Z1338" i="6" s="1"/>
  <c r="AA1338" i="6" s="1"/>
  <c r="R1338" i="6" s="1"/>
  <c r="F1338" i="6" s="1"/>
  <c r="E1338" i="6" s="1"/>
  <c r="M1338" i="6"/>
  <c r="T1337" i="6"/>
  <c r="U1337" i="6"/>
  <c r="V1337" i="6" s="1"/>
  <c r="W1337" i="6" s="1"/>
  <c r="X1337" i="6" s="1"/>
  <c r="Y1337" i="6" s="1"/>
  <c r="Z1337" i="6"/>
  <c r="AA1337" i="6" s="1"/>
  <c r="R1337" i="6" s="1"/>
  <c r="F1337" i="6" s="1"/>
  <c r="E1337" i="6" s="1"/>
  <c r="M1337" i="6"/>
  <c r="T1336" i="6"/>
  <c r="U1336" i="6" s="1"/>
  <c r="V1336" i="6"/>
  <c r="W1336" i="6" s="1"/>
  <c r="X1336" i="6" s="1"/>
  <c r="Y1336" i="6" s="1"/>
  <c r="Z1336" i="6" s="1"/>
  <c r="AA1336" i="6" s="1"/>
  <c r="R1336" i="6" s="1"/>
  <c r="F1336" i="6" s="1"/>
  <c r="E1336" i="6" s="1"/>
  <c r="M1336" i="6"/>
  <c r="T1335" i="6"/>
  <c r="U1335" i="6"/>
  <c r="V1335" i="6" s="1"/>
  <c r="W1335" i="6" s="1"/>
  <c r="X1335" i="6" s="1"/>
  <c r="Y1335" i="6" s="1"/>
  <c r="Z1335" i="6" s="1"/>
  <c r="AA1335" i="6" s="1"/>
  <c r="R1335" i="6" s="1"/>
  <c r="F1335" i="6" s="1"/>
  <c r="E1335" i="6" s="1"/>
  <c r="M1335" i="6"/>
  <c r="T1334" i="6"/>
  <c r="U1334" i="6" s="1"/>
  <c r="V1334" i="6" s="1"/>
  <c r="W1334" i="6" s="1"/>
  <c r="X1334" i="6" s="1"/>
  <c r="Y1334" i="6" s="1"/>
  <c r="Z1334" i="6" s="1"/>
  <c r="AA1334" i="6" s="1"/>
  <c r="R1334" i="6" s="1"/>
  <c r="F1334" i="6" s="1"/>
  <c r="E1334" i="6" s="1"/>
  <c r="M1334" i="6"/>
  <c r="T1333" i="6"/>
  <c r="U1333" i="6"/>
  <c r="V1333" i="6" s="1"/>
  <c r="W1333" i="6" s="1"/>
  <c r="X1333" i="6" s="1"/>
  <c r="Y1333" i="6" s="1"/>
  <c r="Z1333" i="6" s="1"/>
  <c r="AA1333" i="6" s="1"/>
  <c r="R1333" i="6" s="1"/>
  <c r="F1333" i="6" s="1"/>
  <c r="E1333" i="6" s="1"/>
  <c r="M1333" i="6"/>
  <c r="T1332" i="6"/>
  <c r="U1332" i="6" s="1"/>
  <c r="V1332" i="6" s="1"/>
  <c r="W1332" i="6" s="1"/>
  <c r="X1332" i="6" s="1"/>
  <c r="Y1332" i="6" s="1"/>
  <c r="Z1332" i="6" s="1"/>
  <c r="AA1332" i="6" s="1"/>
  <c r="R1332" i="6" s="1"/>
  <c r="F1332" i="6" s="1"/>
  <c r="E1332" i="6" s="1"/>
  <c r="M1332" i="6"/>
  <c r="T1331" i="6"/>
  <c r="U1331" i="6" s="1"/>
  <c r="V1331" i="6" s="1"/>
  <c r="W1331" i="6"/>
  <c r="X1331" i="6" s="1"/>
  <c r="Y1331" i="6" s="1"/>
  <c r="Z1331" i="6" s="1"/>
  <c r="AA1331" i="6" s="1"/>
  <c r="R1331" i="6" s="1"/>
  <c r="F1331" i="6" s="1"/>
  <c r="E1331" i="6" s="1"/>
  <c r="M1331" i="6"/>
  <c r="T1330" i="6"/>
  <c r="U1330" i="6" s="1"/>
  <c r="V1330" i="6"/>
  <c r="W1330" i="6" s="1"/>
  <c r="X1330" i="6" s="1"/>
  <c r="Y1330" i="6" s="1"/>
  <c r="Z1330" i="6" s="1"/>
  <c r="AA1330" i="6" s="1"/>
  <c r="R1330" i="6" s="1"/>
  <c r="F1330" i="6" s="1"/>
  <c r="E1330" i="6" s="1"/>
  <c r="M1330" i="6"/>
  <c r="T1329" i="6"/>
  <c r="U1329" i="6" s="1"/>
  <c r="V1329" i="6" s="1"/>
  <c r="W1329" i="6" s="1"/>
  <c r="X1329" i="6" s="1"/>
  <c r="Y1329" i="6" s="1"/>
  <c r="Z1329" i="6" s="1"/>
  <c r="AA1329" i="6" s="1"/>
  <c r="R1329" i="6" s="1"/>
  <c r="F1329" i="6" s="1"/>
  <c r="E1329" i="6" s="1"/>
  <c r="M1329" i="6"/>
  <c r="T1328" i="6"/>
  <c r="U1328" i="6" s="1"/>
  <c r="V1328" i="6" s="1"/>
  <c r="W1328" i="6" s="1"/>
  <c r="X1328" i="6" s="1"/>
  <c r="Y1328" i="6" s="1"/>
  <c r="Z1328" i="6" s="1"/>
  <c r="AA1328" i="6" s="1"/>
  <c r="R1328" i="6" s="1"/>
  <c r="F1328" i="6" s="1"/>
  <c r="E1328" i="6" s="1"/>
  <c r="M1328" i="6"/>
  <c r="T1327" i="6"/>
  <c r="U1327" i="6" s="1"/>
  <c r="V1327" i="6" s="1"/>
  <c r="W1327" i="6" s="1"/>
  <c r="X1327" i="6" s="1"/>
  <c r="Y1327" i="6" s="1"/>
  <c r="Z1327" i="6" s="1"/>
  <c r="AA1327" i="6" s="1"/>
  <c r="R1327" i="6" s="1"/>
  <c r="F1327" i="6" s="1"/>
  <c r="E1327" i="6" s="1"/>
  <c r="M1327" i="6"/>
  <c r="T1326" i="6"/>
  <c r="U1326" i="6" s="1"/>
  <c r="V1326" i="6" s="1"/>
  <c r="W1326" i="6" s="1"/>
  <c r="X1326" i="6" s="1"/>
  <c r="Y1326" i="6" s="1"/>
  <c r="Z1326" i="6" s="1"/>
  <c r="AA1326" i="6" s="1"/>
  <c r="R1326" i="6" s="1"/>
  <c r="F1326" i="6" s="1"/>
  <c r="E1326" i="6" s="1"/>
  <c r="M1326" i="6"/>
  <c r="T1325" i="6"/>
  <c r="U1325" i="6"/>
  <c r="V1325" i="6" s="1"/>
  <c r="W1325" i="6" s="1"/>
  <c r="X1325" i="6" s="1"/>
  <c r="Y1325" i="6" s="1"/>
  <c r="Z1325" i="6" s="1"/>
  <c r="AA1325" i="6" s="1"/>
  <c r="R1325" i="6" s="1"/>
  <c r="F1325" i="6" s="1"/>
  <c r="E1325" i="6" s="1"/>
  <c r="M1325" i="6"/>
  <c r="T1324" i="6"/>
  <c r="U1324" i="6" s="1"/>
  <c r="V1324" i="6"/>
  <c r="W1324" i="6" s="1"/>
  <c r="X1324" i="6" s="1"/>
  <c r="Y1324" i="6" s="1"/>
  <c r="Z1324" i="6" s="1"/>
  <c r="AA1324" i="6" s="1"/>
  <c r="R1324" i="6" s="1"/>
  <c r="F1324" i="6" s="1"/>
  <c r="E1324" i="6" s="1"/>
  <c r="M1324" i="6"/>
  <c r="T1323" i="6"/>
  <c r="U1323" i="6"/>
  <c r="V1323" i="6" s="1"/>
  <c r="W1323" i="6" s="1"/>
  <c r="X1323" i="6" s="1"/>
  <c r="Y1323" i="6" s="1"/>
  <c r="Z1323" i="6" s="1"/>
  <c r="AA1323" i="6" s="1"/>
  <c r="R1323" i="6" s="1"/>
  <c r="F1323" i="6" s="1"/>
  <c r="E1323" i="6" s="1"/>
  <c r="M1323" i="6"/>
  <c r="T1322" i="6"/>
  <c r="U1322" i="6" s="1"/>
  <c r="V1322" i="6" s="1"/>
  <c r="W1322" i="6" s="1"/>
  <c r="X1322" i="6" s="1"/>
  <c r="Y1322" i="6" s="1"/>
  <c r="Z1322" i="6" s="1"/>
  <c r="AA1322" i="6" s="1"/>
  <c r="R1322" i="6" s="1"/>
  <c r="F1322" i="6" s="1"/>
  <c r="E1322" i="6" s="1"/>
  <c r="M1322" i="6"/>
  <c r="T1321" i="6"/>
  <c r="U1321" i="6" s="1"/>
  <c r="V1321" i="6" s="1"/>
  <c r="W1321" i="6" s="1"/>
  <c r="X1321" i="6" s="1"/>
  <c r="Y1321" i="6" s="1"/>
  <c r="Z1321" i="6" s="1"/>
  <c r="AA1321" i="6" s="1"/>
  <c r="R1321" i="6" s="1"/>
  <c r="F1321" i="6" s="1"/>
  <c r="E1321" i="6" s="1"/>
  <c r="M1321" i="6"/>
  <c r="T1320" i="6"/>
  <c r="U1320" i="6" s="1"/>
  <c r="V1320" i="6" s="1"/>
  <c r="W1320" i="6" s="1"/>
  <c r="X1320" i="6" s="1"/>
  <c r="Y1320" i="6" s="1"/>
  <c r="Z1320" i="6" s="1"/>
  <c r="AA1320" i="6" s="1"/>
  <c r="R1320" i="6" s="1"/>
  <c r="F1320" i="6" s="1"/>
  <c r="E1320" i="6" s="1"/>
  <c r="M1320" i="6"/>
  <c r="T1319" i="6"/>
  <c r="U1319" i="6" s="1"/>
  <c r="V1319" i="6" s="1"/>
  <c r="W1319" i="6" s="1"/>
  <c r="X1319" i="6" s="1"/>
  <c r="Y1319" i="6" s="1"/>
  <c r="Z1319" i="6" s="1"/>
  <c r="AA1319" i="6" s="1"/>
  <c r="R1319" i="6" s="1"/>
  <c r="F1319" i="6" s="1"/>
  <c r="E1319" i="6" s="1"/>
  <c r="M1319" i="6"/>
  <c r="T1318" i="6"/>
  <c r="U1318" i="6" s="1"/>
  <c r="V1318" i="6" s="1"/>
  <c r="W1318" i="6" s="1"/>
  <c r="X1318" i="6" s="1"/>
  <c r="Y1318" i="6" s="1"/>
  <c r="Z1318" i="6" s="1"/>
  <c r="AA1318" i="6" s="1"/>
  <c r="R1318" i="6" s="1"/>
  <c r="F1318" i="6" s="1"/>
  <c r="E1318" i="6" s="1"/>
  <c r="M1318" i="6"/>
  <c r="T1317" i="6"/>
  <c r="U1317" i="6"/>
  <c r="V1317" i="6" s="1"/>
  <c r="W1317" i="6" s="1"/>
  <c r="X1317" i="6" s="1"/>
  <c r="Y1317" i="6" s="1"/>
  <c r="Z1317" i="6" s="1"/>
  <c r="AA1317" i="6" s="1"/>
  <c r="R1317" i="6" s="1"/>
  <c r="F1317" i="6" s="1"/>
  <c r="E1317" i="6" s="1"/>
  <c r="M1317" i="6"/>
  <c r="T1316" i="6"/>
  <c r="U1316" i="6" s="1"/>
  <c r="V1316" i="6"/>
  <c r="W1316" i="6" s="1"/>
  <c r="X1316" i="6" s="1"/>
  <c r="Y1316" i="6" s="1"/>
  <c r="Z1316" i="6" s="1"/>
  <c r="AA1316" i="6" s="1"/>
  <c r="R1316" i="6" s="1"/>
  <c r="F1316" i="6" s="1"/>
  <c r="E1316" i="6" s="1"/>
  <c r="M1316" i="6"/>
  <c r="T1315" i="6"/>
  <c r="U1315" i="6"/>
  <c r="V1315" i="6" s="1"/>
  <c r="W1315" i="6" s="1"/>
  <c r="X1315" i="6" s="1"/>
  <c r="Y1315" i="6" s="1"/>
  <c r="Z1315" i="6" s="1"/>
  <c r="AA1315" i="6" s="1"/>
  <c r="R1315" i="6" s="1"/>
  <c r="F1315" i="6" s="1"/>
  <c r="E1315" i="6" s="1"/>
  <c r="M1315" i="6"/>
  <c r="T1314" i="6"/>
  <c r="U1314" i="6" s="1"/>
  <c r="V1314" i="6" s="1"/>
  <c r="W1314" i="6" s="1"/>
  <c r="X1314" i="6" s="1"/>
  <c r="Y1314" i="6" s="1"/>
  <c r="Z1314" i="6" s="1"/>
  <c r="AA1314" i="6" s="1"/>
  <c r="R1314" i="6" s="1"/>
  <c r="F1314" i="6" s="1"/>
  <c r="E1314" i="6" s="1"/>
  <c r="M1314" i="6"/>
  <c r="T1313" i="6"/>
  <c r="U1313" i="6"/>
  <c r="V1313" i="6" s="1"/>
  <c r="W1313" i="6"/>
  <c r="X1313" i="6" s="1"/>
  <c r="Y1313" i="6" s="1"/>
  <c r="Z1313" i="6" s="1"/>
  <c r="AA1313" i="6" s="1"/>
  <c r="R1313" i="6" s="1"/>
  <c r="F1313" i="6" s="1"/>
  <c r="E1313" i="6" s="1"/>
  <c r="M1313" i="6"/>
  <c r="T1312" i="6"/>
  <c r="U1312" i="6" s="1"/>
  <c r="V1312" i="6" s="1"/>
  <c r="W1312" i="6" s="1"/>
  <c r="X1312" i="6" s="1"/>
  <c r="Y1312" i="6" s="1"/>
  <c r="Z1312" i="6" s="1"/>
  <c r="AA1312" i="6" s="1"/>
  <c r="R1312" i="6" s="1"/>
  <c r="F1312" i="6" s="1"/>
  <c r="E1312" i="6" s="1"/>
  <c r="M1312" i="6"/>
  <c r="T1311" i="6"/>
  <c r="U1311" i="6"/>
  <c r="V1311" i="6" s="1"/>
  <c r="W1311" i="6" s="1"/>
  <c r="X1311" i="6" s="1"/>
  <c r="Y1311" i="6" s="1"/>
  <c r="Z1311" i="6" s="1"/>
  <c r="AA1311" i="6" s="1"/>
  <c r="R1311" i="6" s="1"/>
  <c r="F1311" i="6" s="1"/>
  <c r="E1311" i="6" s="1"/>
  <c r="M1311" i="6"/>
  <c r="T1310" i="6"/>
  <c r="U1310" i="6" s="1"/>
  <c r="V1310" i="6" s="1"/>
  <c r="W1310" i="6" s="1"/>
  <c r="X1310" i="6" s="1"/>
  <c r="Y1310" i="6" s="1"/>
  <c r="Z1310" i="6" s="1"/>
  <c r="AA1310" i="6" s="1"/>
  <c r="R1310" i="6" s="1"/>
  <c r="F1310" i="6" s="1"/>
  <c r="E1310" i="6" s="1"/>
  <c r="M1310" i="6"/>
  <c r="T1309" i="6"/>
  <c r="U1309" i="6" s="1"/>
  <c r="V1309" i="6" s="1"/>
  <c r="W1309" i="6" s="1"/>
  <c r="X1309" i="6" s="1"/>
  <c r="Y1309" i="6" s="1"/>
  <c r="Z1309" i="6" s="1"/>
  <c r="AA1309" i="6" s="1"/>
  <c r="R1309" i="6" s="1"/>
  <c r="F1309" i="6" s="1"/>
  <c r="E1309" i="6" s="1"/>
  <c r="M1309" i="6"/>
  <c r="T1308" i="6"/>
  <c r="U1308" i="6" s="1"/>
  <c r="V1308" i="6" s="1"/>
  <c r="W1308" i="6" s="1"/>
  <c r="X1308" i="6" s="1"/>
  <c r="Y1308" i="6" s="1"/>
  <c r="Z1308" i="6" s="1"/>
  <c r="AA1308" i="6" s="1"/>
  <c r="R1308" i="6" s="1"/>
  <c r="F1308" i="6" s="1"/>
  <c r="E1308" i="6" s="1"/>
  <c r="M1308" i="6"/>
  <c r="T1307" i="6"/>
  <c r="U1307" i="6"/>
  <c r="V1307" i="6" s="1"/>
  <c r="W1307" i="6" s="1"/>
  <c r="X1307" i="6" s="1"/>
  <c r="Y1307" i="6" s="1"/>
  <c r="Z1307" i="6" s="1"/>
  <c r="AA1307" i="6" s="1"/>
  <c r="R1307" i="6" s="1"/>
  <c r="F1307" i="6" s="1"/>
  <c r="E1307" i="6" s="1"/>
  <c r="M1307" i="6"/>
  <c r="T1306" i="6"/>
  <c r="U1306" i="6" s="1"/>
  <c r="V1306" i="6" s="1"/>
  <c r="W1306" i="6" s="1"/>
  <c r="X1306" i="6" s="1"/>
  <c r="Y1306" i="6" s="1"/>
  <c r="Z1306" i="6" s="1"/>
  <c r="AA1306" i="6" s="1"/>
  <c r="R1306" i="6" s="1"/>
  <c r="F1306" i="6" s="1"/>
  <c r="E1306" i="6" s="1"/>
  <c r="M1306" i="6"/>
  <c r="T1305" i="6"/>
  <c r="U1305" i="6" s="1"/>
  <c r="V1305" i="6" s="1"/>
  <c r="W1305" i="6" s="1"/>
  <c r="X1305" i="6" s="1"/>
  <c r="Y1305" i="6" s="1"/>
  <c r="Z1305" i="6" s="1"/>
  <c r="AA1305" i="6" s="1"/>
  <c r="R1305" i="6" s="1"/>
  <c r="F1305" i="6" s="1"/>
  <c r="E1305" i="6" s="1"/>
  <c r="M1305" i="6"/>
  <c r="T1304" i="6"/>
  <c r="U1304" i="6" s="1"/>
  <c r="V1304" i="6"/>
  <c r="W1304" i="6" s="1"/>
  <c r="X1304" i="6" s="1"/>
  <c r="Y1304" i="6" s="1"/>
  <c r="Z1304" i="6" s="1"/>
  <c r="AA1304" i="6" s="1"/>
  <c r="R1304" i="6" s="1"/>
  <c r="F1304" i="6" s="1"/>
  <c r="E1304" i="6" s="1"/>
  <c r="M1304" i="6"/>
  <c r="T1303" i="6"/>
  <c r="U1303" i="6"/>
  <c r="V1303" i="6" s="1"/>
  <c r="W1303" i="6" s="1"/>
  <c r="X1303" i="6" s="1"/>
  <c r="Y1303" i="6" s="1"/>
  <c r="Z1303" i="6" s="1"/>
  <c r="AA1303" i="6" s="1"/>
  <c r="R1303" i="6" s="1"/>
  <c r="F1303" i="6" s="1"/>
  <c r="E1303" i="6" s="1"/>
  <c r="M1303" i="6"/>
  <c r="T1302" i="6"/>
  <c r="U1302" i="6" s="1"/>
  <c r="V1302" i="6" s="1"/>
  <c r="W1302" i="6" s="1"/>
  <c r="X1302" i="6" s="1"/>
  <c r="Y1302" i="6" s="1"/>
  <c r="Z1302" i="6" s="1"/>
  <c r="AA1302" i="6" s="1"/>
  <c r="R1302" i="6" s="1"/>
  <c r="F1302" i="6" s="1"/>
  <c r="E1302" i="6" s="1"/>
  <c r="M1302" i="6"/>
  <c r="T1301" i="6"/>
  <c r="U1301" i="6" s="1"/>
  <c r="V1301" i="6" s="1"/>
  <c r="W1301" i="6" s="1"/>
  <c r="X1301" i="6" s="1"/>
  <c r="Y1301" i="6" s="1"/>
  <c r="Z1301" i="6" s="1"/>
  <c r="AA1301" i="6" s="1"/>
  <c r="R1301" i="6" s="1"/>
  <c r="F1301" i="6" s="1"/>
  <c r="E1301" i="6" s="1"/>
  <c r="M1301" i="6"/>
  <c r="T1300" i="6"/>
  <c r="U1300" i="6" s="1"/>
  <c r="V1300" i="6" s="1"/>
  <c r="W1300" i="6" s="1"/>
  <c r="X1300" i="6" s="1"/>
  <c r="Y1300" i="6" s="1"/>
  <c r="Z1300" i="6" s="1"/>
  <c r="AA1300" i="6" s="1"/>
  <c r="R1300" i="6" s="1"/>
  <c r="F1300" i="6" s="1"/>
  <c r="E1300" i="6" s="1"/>
  <c r="M1300" i="6"/>
  <c r="T1299" i="6"/>
  <c r="U1299" i="6" s="1"/>
  <c r="V1299" i="6" s="1"/>
  <c r="W1299" i="6" s="1"/>
  <c r="X1299" i="6" s="1"/>
  <c r="Y1299" i="6" s="1"/>
  <c r="Z1299" i="6" s="1"/>
  <c r="AA1299" i="6" s="1"/>
  <c r="R1299" i="6" s="1"/>
  <c r="F1299" i="6" s="1"/>
  <c r="E1299" i="6" s="1"/>
  <c r="M1299" i="6"/>
  <c r="T1298" i="6"/>
  <c r="U1298" i="6" s="1"/>
  <c r="V1298" i="6"/>
  <c r="W1298" i="6" s="1"/>
  <c r="X1298" i="6" s="1"/>
  <c r="Y1298" i="6" s="1"/>
  <c r="Z1298" i="6" s="1"/>
  <c r="AA1298" i="6" s="1"/>
  <c r="R1298" i="6" s="1"/>
  <c r="F1298" i="6" s="1"/>
  <c r="E1298" i="6" s="1"/>
  <c r="M1298" i="6"/>
  <c r="T1297" i="6"/>
  <c r="U1297" i="6" s="1"/>
  <c r="V1297" i="6" s="1"/>
  <c r="W1297" i="6" s="1"/>
  <c r="X1297" i="6" s="1"/>
  <c r="Y1297" i="6" s="1"/>
  <c r="Z1297" i="6" s="1"/>
  <c r="AA1297" i="6" s="1"/>
  <c r="R1297" i="6" s="1"/>
  <c r="F1297" i="6" s="1"/>
  <c r="E1297" i="6" s="1"/>
  <c r="M1297" i="6"/>
  <c r="T1296" i="6"/>
  <c r="U1296" i="6" s="1"/>
  <c r="V1296" i="6"/>
  <c r="W1296" i="6" s="1"/>
  <c r="X1296" i="6" s="1"/>
  <c r="Y1296" i="6" s="1"/>
  <c r="Z1296" i="6" s="1"/>
  <c r="AA1296" i="6" s="1"/>
  <c r="R1296" i="6" s="1"/>
  <c r="F1296" i="6" s="1"/>
  <c r="E1296" i="6" s="1"/>
  <c r="M1296" i="6"/>
  <c r="T1295" i="6"/>
  <c r="U1295" i="6" s="1"/>
  <c r="V1295" i="6" s="1"/>
  <c r="W1295" i="6" s="1"/>
  <c r="X1295" i="6" s="1"/>
  <c r="Y1295" i="6" s="1"/>
  <c r="Z1295" i="6" s="1"/>
  <c r="AA1295" i="6" s="1"/>
  <c r="R1295" i="6" s="1"/>
  <c r="F1295" i="6" s="1"/>
  <c r="E1295" i="6" s="1"/>
  <c r="M1295" i="6"/>
  <c r="T1294" i="6"/>
  <c r="U1294" i="6" s="1"/>
  <c r="V1294" i="6" s="1"/>
  <c r="W1294" i="6" s="1"/>
  <c r="X1294" i="6" s="1"/>
  <c r="Y1294" i="6" s="1"/>
  <c r="Z1294" i="6" s="1"/>
  <c r="AA1294" i="6" s="1"/>
  <c r="R1294" i="6" s="1"/>
  <c r="F1294" i="6" s="1"/>
  <c r="E1294" i="6" s="1"/>
  <c r="M1294" i="6"/>
  <c r="T1293" i="6"/>
  <c r="U1293" i="6" s="1"/>
  <c r="V1293" i="6" s="1"/>
  <c r="W1293" i="6" s="1"/>
  <c r="X1293" i="6" s="1"/>
  <c r="Y1293" i="6" s="1"/>
  <c r="Z1293" i="6" s="1"/>
  <c r="AA1293" i="6" s="1"/>
  <c r="R1293" i="6" s="1"/>
  <c r="F1293" i="6" s="1"/>
  <c r="E1293" i="6" s="1"/>
  <c r="M1293" i="6"/>
  <c r="T1292" i="6"/>
  <c r="U1292" i="6" s="1"/>
  <c r="V1292" i="6" s="1"/>
  <c r="W1292" i="6" s="1"/>
  <c r="X1292" i="6" s="1"/>
  <c r="Y1292" i="6" s="1"/>
  <c r="Z1292" i="6" s="1"/>
  <c r="AA1292" i="6" s="1"/>
  <c r="R1292" i="6" s="1"/>
  <c r="F1292" i="6" s="1"/>
  <c r="E1292" i="6" s="1"/>
  <c r="M1292" i="6"/>
  <c r="T1291" i="6"/>
  <c r="U1291" i="6" s="1"/>
  <c r="V1291" i="6" s="1"/>
  <c r="W1291" i="6" s="1"/>
  <c r="X1291" i="6" s="1"/>
  <c r="Y1291" i="6" s="1"/>
  <c r="Z1291" i="6" s="1"/>
  <c r="AA1291" i="6" s="1"/>
  <c r="R1291" i="6" s="1"/>
  <c r="F1291" i="6" s="1"/>
  <c r="E1291" i="6" s="1"/>
  <c r="M1291" i="6"/>
  <c r="T1290" i="6"/>
  <c r="U1290" i="6" s="1"/>
  <c r="V1290" i="6" s="1"/>
  <c r="W1290" i="6" s="1"/>
  <c r="X1290" i="6" s="1"/>
  <c r="Y1290" i="6" s="1"/>
  <c r="Z1290" i="6" s="1"/>
  <c r="AA1290" i="6" s="1"/>
  <c r="R1290" i="6" s="1"/>
  <c r="F1290" i="6" s="1"/>
  <c r="E1290" i="6" s="1"/>
  <c r="M1290" i="6"/>
  <c r="T1289" i="6"/>
  <c r="U1289" i="6" s="1"/>
  <c r="V1289" i="6" s="1"/>
  <c r="W1289" i="6" s="1"/>
  <c r="X1289" i="6" s="1"/>
  <c r="Y1289" i="6" s="1"/>
  <c r="Z1289" i="6" s="1"/>
  <c r="AA1289" i="6" s="1"/>
  <c r="R1289" i="6" s="1"/>
  <c r="F1289" i="6" s="1"/>
  <c r="E1289" i="6" s="1"/>
  <c r="M1289" i="6"/>
  <c r="T1288" i="6"/>
  <c r="U1288" i="6" s="1"/>
  <c r="V1288" i="6" s="1"/>
  <c r="W1288" i="6" s="1"/>
  <c r="X1288" i="6" s="1"/>
  <c r="Y1288" i="6" s="1"/>
  <c r="Z1288" i="6" s="1"/>
  <c r="AA1288" i="6" s="1"/>
  <c r="R1288" i="6" s="1"/>
  <c r="F1288" i="6" s="1"/>
  <c r="E1288" i="6" s="1"/>
  <c r="M1288" i="6"/>
  <c r="T1287" i="6"/>
  <c r="U1287" i="6" s="1"/>
  <c r="V1287" i="6" s="1"/>
  <c r="W1287" i="6" s="1"/>
  <c r="X1287" i="6" s="1"/>
  <c r="Y1287" i="6" s="1"/>
  <c r="Z1287" i="6" s="1"/>
  <c r="AA1287" i="6" s="1"/>
  <c r="R1287" i="6" s="1"/>
  <c r="F1287" i="6" s="1"/>
  <c r="E1287" i="6" s="1"/>
  <c r="M1287" i="6"/>
  <c r="T1286" i="6"/>
  <c r="U1286" i="6" s="1"/>
  <c r="V1286" i="6" s="1"/>
  <c r="W1286" i="6" s="1"/>
  <c r="X1286" i="6" s="1"/>
  <c r="Y1286" i="6" s="1"/>
  <c r="Z1286" i="6" s="1"/>
  <c r="AA1286" i="6" s="1"/>
  <c r="R1286" i="6" s="1"/>
  <c r="F1286" i="6" s="1"/>
  <c r="E1286" i="6" s="1"/>
  <c r="M1286" i="6"/>
  <c r="T1285" i="6"/>
  <c r="U1285" i="6"/>
  <c r="V1285" i="6" s="1"/>
  <c r="W1285" i="6" s="1"/>
  <c r="X1285" i="6" s="1"/>
  <c r="Y1285" i="6" s="1"/>
  <c r="Z1285" i="6" s="1"/>
  <c r="AA1285" i="6" s="1"/>
  <c r="R1285" i="6" s="1"/>
  <c r="F1285" i="6" s="1"/>
  <c r="E1285" i="6" s="1"/>
  <c r="M1285" i="6"/>
  <c r="T1284" i="6"/>
  <c r="U1284" i="6" s="1"/>
  <c r="V1284" i="6"/>
  <c r="W1284" i="6" s="1"/>
  <c r="X1284" i="6" s="1"/>
  <c r="Y1284" i="6" s="1"/>
  <c r="Z1284" i="6" s="1"/>
  <c r="AA1284" i="6" s="1"/>
  <c r="R1284" i="6" s="1"/>
  <c r="F1284" i="6" s="1"/>
  <c r="E1284" i="6" s="1"/>
  <c r="M1284" i="6"/>
  <c r="T1283" i="6"/>
  <c r="U1283" i="6" s="1"/>
  <c r="V1283" i="6" s="1"/>
  <c r="W1283" i="6" s="1"/>
  <c r="X1283" i="6" s="1"/>
  <c r="Y1283" i="6" s="1"/>
  <c r="Z1283" i="6" s="1"/>
  <c r="AA1283" i="6" s="1"/>
  <c r="R1283" i="6" s="1"/>
  <c r="F1283" i="6" s="1"/>
  <c r="E1283" i="6" s="1"/>
  <c r="M1283" i="6"/>
  <c r="T1282" i="6"/>
  <c r="U1282" i="6" s="1"/>
  <c r="V1282" i="6" s="1"/>
  <c r="W1282" i="6" s="1"/>
  <c r="X1282" i="6" s="1"/>
  <c r="Y1282" i="6" s="1"/>
  <c r="Z1282" i="6" s="1"/>
  <c r="AA1282" i="6" s="1"/>
  <c r="R1282" i="6" s="1"/>
  <c r="F1282" i="6" s="1"/>
  <c r="E1282" i="6" s="1"/>
  <c r="M1282" i="6"/>
  <c r="T1281" i="6"/>
  <c r="U1281" i="6" s="1"/>
  <c r="V1281" i="6" s="1"/>
  <c r="W1281" i="6" s="1"/>
  <c r="X1281" i="6" s="1"/>
  <c r="Y1281" i="6" s="1"/>
  <c r="Z1281" i="6" s="1"/>
  <c r="AA1281" i="6" s="1"/>
  <c r="R1281" i="6" s="1"/>
  <c r="F1281" i="6" s="1"/>
  <c r="E1281" i="6" s="1"/>
  <c r="M1281" i="6"/>
  <c r="T1280" i="6"/>
  <c r="U1280" i="6" s="1"/>
  <c r="V1280" i="6" s="1"/>
  <c r="W1280" i="6" s="1"/>
  <c r="X1280" i="6" s="1"/>
  <c r="Y1280" i="6" s="1"/>
  <c r="Z1280" i="6" s="1"/>
  <c r="AA1280" i="6" s="1"/>
  <c r="R1280" i="6" s="1"/>
  <c r="F1280" i="6" s="1"/>
  <c r="E1280" i="6" s="1"/>
  <c r="M1280" i="6"/>
  <c r="T1279" i="6"/>
  <c r="U1279" i="6" s="1"/>
  <c r="V1279" i="6" s="1"/>
  <c r="W1279" i="6" s="1"/>
  <c r="X1279" i="6" s="1"/>
  <c r="Y1279" i="6" s="1"/>
  <c r="Z1279" i="6" s="1"/>
  <c r="AA1279" i="6" s="1"/>
  <c r="R1279" i="6" s="1"/>
  <c r="F1279" i="6" s="1"/>
  <c r="E1279" i="6" s="1"/>
  <c r="M1279" i="6"/>
  <c r="T1278" i="6"/>
  <c r="U1278" i="6" s="1"/>
  <c r="V1278" i="6"/>
  <c r="W1278" i="6" s="1"/>
  <c r="X1278" i="6" s="1"/>
  <c r="Y1278" i="6" s="1"/>
  <c r="Z1278" i="6" s="1"/>
  <c r="AA1278" i="6" s="1"/>
  <c r="R1278" i="6" s="1"/>
  <c r="F1278" i="6" s="1"/>
  <c r="E1278" i="6" s="1"/>
  <c r="M1278" i="6"/>
  <c r="T1277" i="6"/>
  <c r="U1277" i="6"/>
  <c r="V1277" i="6" s="1"/>
  <c r="W1277" i="6" s="1"/>
  <c r="X1277" i="6" s="1"/>
  <c r="Y1277" i="6" s="1"/>
  <c r="Z1277" i="6" s="1"/>
  <c r="AA1277" i="6" s="1"/>
  <c r="R1277" i="6" s="1"/>
  <c r="F1277" i="6" s="1"/>
  <c r="E1277" i="6" s="1"/>
  <c r="M1277" i="6"/>
  <c r="T1276" i="6"/>
  <c r="U1276" i="6" s="1"/>
  <c r="V1276" i="6"/>
  <c r="W1276" i="6" s="1"/>
  <c r="X1276" i="6" s="1"/>
  <c r="Y1276" i="6" s="1"/>
  <c r="Z1276" i="6" s="1"/>
  <c r="AA1276" i="6" s="1"/>
  <c r="R1276" i="6" s="1"/>
  <c r="F1276" i="6" s="1"/>
  <c r="E1276" i="6" s="1"/>
  <c r="M1276" i="6"/>
  <c r="T1275" i="6"/>
  <c r="U1275" i="6" s="1"/>
  <c r="V1275" i="6" s="1"/>
  <c r="W1275" i="6" s="1"/>
  <c r="X1275" i="6" s="1"/>
  <c r="Y1275" i="6" s="1"/>
  <c r="Z1275" i="6" s="1"/>
  <c r="AA1275" i="6" s="1"/>
  <c r="R1275" i="6" s="1"/>
  <c r="F1275" i="6" s="1"/>
  <c r="E1275" i="6" s="1"/>
  <c r="M1275" i="6"/>
  <c r="T1274" i="6"/>
  <c r="U1274" i="6" s="1"/>
  <c r="V1274" i="6" s="1"/>
  <c r="W1274" i="6" s="1"/>
  <c r="X1274" i="6" s="1"/>
  <c r="Y1274" i="6" s="1"/>
  <c r="Z1274" i="6" s="1"/>
  <c r="AA1274" i="6" s="1"/>
  <c r="R1274" i="6" s="1"/>
  <c r="F1274" i="6" s="1"/>
  <c r="E1274" i="6" s="1"/>
  <c r="M1274" i="6"/>
  <c r="T1273" i="6"/>
  <c r="U1273" i="6" s="1"/>
  <c r="V1273" i="6" s="1"/>
  <c r="W1273" i="6" s="1"/>
  <c r="X1273" i="6" s="1"/>
  <c r="Y1273" i="6" s="1"/>
  <c r="Z1273" i="6" s="1"/>
  <c r="AA1273" i="6" s="1"/>
  <c r="R1273" i="6" s="1"/>
  <c r="F1273" i="6" s="1"/>
  <c r="E1273" i="6" s="1"/>
  <c r="M1273" i="6"/>
  <c r="T1272" i="6"/>
  <c r="U1272" i="6" s="1"/>
  <c r="V1272" i="6" s="1"/>
  <c r="W1272" i="6" s="1"/>
  <c r="X1272" i="6" s="1"/>
  <c r="Y1272" i="6" s="1"/>
  <c r="Z1272" i="6" s="1"/>
  <c r="AA1272" i="6" s="1"/>
  <c r="R1272" i="6" s="1"/>
  <c r="F1272" i="6" s="1"/>
  <c r="E1272" i="6" s="1"/>
  <c r="M1272" i="6"/>
  <c r="T1271" i="6"/>
  <c r="U1271" i="6" s="1"/>
  <c r="V1271" i="6" s="1"/>
  <c r="W1271" i="6" s="1"/>
  <c r="X1271" i="6" s="1"/>
  <c r="Y1271" i="6" s="1"/>
  <c r="Z1271" i="6" s="1"/>
  <c r="AA1271" i="6" s="1"/>
  <c r="R1271" i="6" s="1"/>
  <c r="F1271" i="6" s="1"/>
  <c r="E1271" i="6" s="1"/>
  <c r="M1271" i="6"/>
  <c r="T1270" i="6"/>
  <c r="U1270" i="6" s="1"/>
  <c r="V1270" i="6"/>
  <c r="W1270" i="6" s="1"/>
  <c r="X1270" i="6" s="1"/>
  <c r="Y1270" i="6" s="1"/>
  <c r="Z1270" i="6" s="1"/>
  <c r="AA1270" i="6" s="1"/>
  <c r="R1270" i="6" s="1"/>
  <c r="F1270" i="6" s="1"/>
  <c r="E1270" i="6" s="1"/>
  <c r="M1270" i="6"/>
  <c r="T1269" i="6"/>
  <c r="U1269" i="6"/>
  <c r="V1269" i="6" s="1"/>
  <c r="W1269" i="6" s="1"/>
  <c r="X1269" i="6" s="1"/>
  <c r="Y1269" i="6" s="1"/>
  <c r="Z1269" i="6" s="1"/>
  <c r="AA1269" i="6" s="1"/>
  <c r="R1269" i="6" s="1"/>
  <c r="F1269" i="6" s="1"/>
  <c r="E1269" i="6" s="1"/>
  <c r="M1269" i="6"/>
  <c r="T1268" i="6"/>
  <c r="U1268" i="6" s="1"/>
  <c r="V1268" i="6"/>
  <c r="W1268" i="6" s="1"/>
  <c r="X1268" i="6" s="1"/>
  <c r="Y1268" i="6" s="1"/>
  <c r="Z1268" i="6" s="1"/>
  <c r="AA1268" i="6" s="1"/>
  <c r="R1268" i="6" s="1"/>
  <c r="F1268" i="6" s="1"/>
  <c r="E1268" i="6" s="1"/>
  <c r="M1268" i="6"/>
  <c r="T1267" i="6"/>
  <c r="U1267" i="6" s="1"/>
  <c r="V1267" i="6" s="1"/>
  <c r="W1267" i="6" s="1"/>
  <c r="X1267" i="6" s="1"/>
  <c r="Y1267" i="6" s="1"/>
  <c r="Z1267" i="6" s="1"/>
  <c r="AA1267" i="6" s="1"/>
  <c r="R1267" i="6" s="1"/>
  <c r="F1267" i="6" s="1"/>
  <c r="E1267" i="6" s="1"/>
  <c r="M1267" i="6"/>
  <c r="T1266" i="6"/>
  <c r="U1266" i="6" s="1"/>
  <c r="V1266" i="6" s="1"/>
  <c r="W1266" i="6" s="1"/>
  <c r="X1266" i="6" s="1"/>
  <c r="Y1266" i="6" s="1"/>
  <c r="Z1266" i="6" s="1"/>
  <c r="AA1266" i="6" s="1"/>
  <c r="R1266" i="6" s="1"/>
  <c r="F1266" i="6" s="1"/>
  <c r="E1266" i="6" s="1"/>
  <c r="M1266" i="6"/>
  <c r="T1265" i="6"/>
  <c r="U1265" i="6" s="1"/>
  <c r="V1265" i="6" s="1"/>
  <c r="W1265" i="6" s="1"/>
  <c r="X1265" i="6" s="1"/>
  <c r="Y1265" i="6" s="1"/>
  <c r="Z1265" i="6" s="1"/>
  <c r="AA1265" i="6" s="1"/>
  <c r="R1265" i="6" s="1"/>
  <c r="F1265" i="6" s="1"/>
  <c r="E1265" i="6" s="1"/>
  <c r="M1265" i="6"/>
  <c r="T1264" i="6"/>
  <c r="U1264" i="6" s="1"/>
  <c r="V1264" i="6" s="1"/>
  <c r="W1264" i="6" s="1"/>
  <c r="X1264" i="6" s="1"/>
  <c r="Y1264" i="6" s="1"/>
  <c r="Z1264" i="6" s="1"/>
  <c r="AA1264" i="6" s="1"/>
  <c r="R1264" i="6" s="1"/>
  <c r="F1264" i="6" s="1"/>
  <c r="E1264" i="6" s="1"/>
  <c r="M1264" i="6"/>
  <c r="T1263" i="6"/>
  <c r="U1263" i="6" s="1"/>
  <c r="V1263" i="6" s="1"/>
  <c r="W1263" i="6" s="1"/>
  <c r="X1263" i="6" s="1"/>
  <c r="Y1263" i="6" s="1"/>
  <c r="Z1263" i="6" s="1"/>
  <c r="AA1263" i="6" s="1"/>
  <c r="R1263" i="6" s="1"/>
  <c r="F1263" i="6" s="1"/>
  <c r="E1263" i="6" s="1"/>
  <c r="M1263" i="6"/>
  <c r="T1262" i="6"/>
  <c r="U1262" i="6" s="1"/>
  <c r="V1262" i="6"/>
  <c r="W1262" i="6" s="1"/>
  <c r="X1262" i="6" s="1"/>
  <c r="Y1262" i="6" s="1"/>
  <c r="Z1262" i="6" s="1"/>
  <c r="AA1262" i="6" s="1"/>
  <c r="R1262" i="6" s="1"/>
  <c r="F1262" i="6" s="1"/>
  <c r="E1262" i="6" s="1"/>
  <c r="M1262" i="6"/>
  <c r="T1261" i="6"/>
  <c r="U1261" i="6"/>
  <c r="V1261" i="6" s="1"/>
  <c r="W1261" i="6" s="1"/>
  <c r="X1261" i="6" s="1"/>
  <c r="Y1261" i="6" s="1"/>
  <c r="Z1261" i="6" s="1"/>
  <c r="AA1261" i="6" s="1"/>
  <c r="R1261" i="6" s="1"/>
  <c r="F1261" i="6" s="1"/>
  <c r="E1261" i="6" s="1"/>
  <c r="M1261" i="6"/>
  <c r="T1260" i="6"/>
  <c r="U1260" i="6" s="1"/>
  <c r="V1260" i="6"/>
  <c r="W1260" i="6" s="1"/>
  <c r="X1260" i="6" s="1"/>
  <c r="Y1260" i="6" s="1"/>
  <c r="Z1260" i="6" s="1"/>
  <c r="AA1260" i="6" s="1"/>
  <c r="R1260" i="6" s="1"/>
  <c r="F1260" i="6" s="1"/>
  <c r="E1260" i="6" s="1"/>
  <c r="M1260" i="6"/>
  <c r="T1259" i="6"/>
  <c r="U1259" i="6" s="1"/>
  <c r="V1259" i="6" s="1"/>
  <c r="W1259" i="6" s="1"/>
  <c r="X1259" i="6" s="1"/>
  <c r="Y1259" i="6" s="1"/>
  <c r="Z1259" i="6" s="1"/>
  <c r="AA1259" i="6" s="1"/>
  <c r="R1259" i="6" s="1"/>
  <c r="F1259" i="6" s="1"/>
  <c r="E1259" i="6" s="1"/>
  <c r="M1259" i="6"/>
  <c r="T1258" i="6"/>
  <c r="U1258" i="6" s="1"/>
  <c r="V1258" i="6" s="1"/>
  <c r="W1258" i="6" s="1"/>
  <c r="X1258" i="6" s="1"/>
  <c r="Y1258" i="6" s="1"/>
  <c r="Z1258" i="6" s="1"/>
  <c r="AA1258" i="6" s="1"/>
  <c r="R1258" i="6" s="1"/>
  <c r="F1258" i="6" s="1"/>
  <c r="E1258" i="6" s="1"/>
  <c r="M1258" i="6"/>
  <c r="T1257" i="6"/>
  <c r="U1257" i="6" s="1"/>
  <c r="V1257" i="6" s="1"/>
  <c r="W1257" i="6" s="1"/>
  <c r="X1257" i="6" s="1"/>
  <c r="Y1257" i="6" s="1"/>
  <c r="Z1257" i="6" s="1"/>
  <c r="AA1257" i="6" s="1"/>
  <c r="R1257" i="6" s="1"/>
  <c r="F1257" i="6" s="1"/>
  <c r="E1257" i="6" s="1"/>
  <c r="M1257" i="6"/>
  <c r="T1256" i="6"/>
  <c r="U1256" i="6" s="1"/>
  <c r="V1256" i="6" s="1"/>
  <c r="W1256" i="6" s="1"/>
  <c r="X1256" i="6" s="1"/>
  <c r="Y1256" i="6" s="1"/>
  <c r="Z1256" i="6" s="1"/>
  <c r="AA1256" i="6" s="1"/>
  <c r="R1256" i="6" s="1"/>
  <c r="F1256" i="6" s="1"/>
  <c r="E1256" i="6" s="1"/>
  <c r="M1256" i="6"/>
  <c r="T1255" i="6"/>
  <c r="U1255" i="6" s="1"/>
  <c r="V1255" i="6" s="1"/>
  <c r="W1255" i="6" s="1"/>
  <c r="X1255" i="6" s="1"/>
  <c r="Y1255" i="6" s="1"/>
  <c r="Z1255" i="6" s="1"/>
  <c r="AA1255" i="6" s="1"/>
  <c r="R1255" i="6" s="1"/>
  <c r="F1255" i="6" s="1"/>
  <c r="E1255" i="6" s="1"/>
  <c r="M1255" i="6"/>
  <c r="T1254" i="6"/>
  <c r="U1254" i="6" s="1"/>
  <c r="V1254" i="6" s="1"/>
  <c r="W1254" i="6" s="1"/>
  <c r="X1254" i="6" s="1"/>
  <c r="Y1254" i="6" s="1"/>
  <c r="Z1254" i="6" s="1"/>
  <c r="AA1254" i="6" s="1"/>
  <c r="R1254" i="6" s="1"/>
  <c r="F1254" i="6" s="1"/>
  <c r="E1254" i="6" s="1"/>
  <c r="M1254" i="6"/>
  <c r="T1253" i="6"/>
  <c r="U1253" i="6" s="1"/>
  <c r="V1253" i="6" s="1"/>
  <c r="W1253" i="6" s="1"/>
  <c r="X1253" i="6" s="1"/>
  <c r="Y1253" i="6" s="1"/>
  <c r="Z1253" i="6" s="1"/>
  <c r="AA1253" i="6" s="1"/>
  <c r="R1253" i="6" s="1"/>
  <c r="F1253" i="6" s="1"/>
  <c r="E1253" i="6" s="1"/>
  <c r="M1253" i="6"/>
  <c r="T1252" i="6"/>
  <c r="U1252" i="6" s="1"/>
  <c r="V1252" i="6" s="1"/>
  <c r="W1252" i="6" s="1"/>
  <c r="X1252" i="6" s="1"/>
  <c r="Y1252" i="6" s="1"/>
  <c r="Z1252" i="6" s="1"/>
  <c r="AA1252" i="6" s="1"/>
  <c r="R1252" i="6" s="1"/>
  <c r="F1252" i="6" s="1"/>
  <c r="E1252" i="6" s="1"/>
  <c r="M1252" i="6"/>
  <c r="T1251" i="6"/>
  <c r="U1251" i="6" s="1"/>
  <c r="V1251" i="6" s="1"/>
  <c r="W1251" i="6" s="1"/>
  <c r="X1251" i="6" s="1"/>
  <c r="Y1251" i="6" s="1"/>
  <c r="Z1251" i="6"/>
  <c r="AA1251" i="6" s="1"/>
  <c r="R1251" i="6" s="1"/>
  <c r="F1251" i="6" s="1"/>
  <c r="E1251" i="6" s="1"/>
  <c r="M1251" i="6"/>
  <c r="T1250" i="6"/>
  <c r="U1250" i="6" s="1"/>
  <c r="V1250" i="6"/>
  <c r="W1250" i="6" s="1"/>
  <c r="X1250" i="6" s="1"/>
  <c r="Y1250" i="6" s="1"/>
  <c r="Z1250" i="6" s="1"/>
  <c r="AA1250" i="6" s="1"/>
  <c r="R1250" i="6" s="1"/>
  <c r="F1250" i="6" s="1"/>
  <c r="E1250" i="6" s="1"/>
  <c r="M1250" i="6"/>
  <c r="T1249" i="6"/>
  <c r="U1249" i="6" s="1"/>
  <c r="V1249" i="6" s="1"/>
  <c r="W1249" i="6" s="1"/>
  <c r="X1249" i="6" s="1"/>
  <c r="Y1249" i="6" s="1"/>
  <c r="Z1249" i="6" s="1"/>
  <c r="AA1249" i="6" s="1"/>
  <c r="R1249" i="6" s="1"/>
  <c r="F1249" i="6" s="1"/>
  <c r="E1249" i="6" s="1"/>
  <c r="T1248" i="6"/>
  <c r="U1248" i="6" s="1"/>
  <c r="V1248" i="6" s="1"/>
  <c r="W1248" i="6" s="1"/>
  <c r="X1248" i="6" s="1"/>
  <c r="Y1248" i="6" s="1"/>
  <c r="Z1248" i="6" s="1"/>
  <c r="AA1248" i="6" s="1"/>
  <c r="R1248" i="6" s="1"/>
  <c r="F1248" i="6" s="1"/>
  <c r="E1248" i="6" s="1"/>
  <c r="M1248" i="6"/>
  <c r="T1247" i="6"/>
  <c r="U1247" i="6" s="1"/>
  <c r="V1247" i="6" s="1"/>
  <c r="W1247" i="6" s="1"/>
  <c r="X1247" i="6" s="1"/>
  <c r="Y1247" i="6" s="1"/>
  <c r="Z1247" i="6" s="1"/>
  <c r="AA1247" i="6" s="1"/>
  <c r="R1247" i="6" s="1"/>
  <c r="F1247" i="6" s="1"/>
  <c r="E1247" i="6" s="1"/>
  <c r="M1247" i="6"/>
  <c r="T1246" i="6"/>
  <c r="U1246" i="6" s="1"/>
  <c r="V1246" i="6" s="1"/>
  <c r="W1246" i="6" s="1"/>
  <c r="X1246" i="6" s="1"/>
  <c r="Y1246" i="6" s="1"/>
  <c r="Z1246" i="6" s="1"/>
  <c r="AA1246" i="6" s="1"/>
  <c r="R1246" i="6" s="1"/>
  <c r="F1246" i="6" s="1"/>
  <c r="E1246" i="6" s="1"/>
  <c r="M1246" i="6"/>
  <c r="T1245" i="6"/>
  <c r="U1245" i="6"/>
  <c r="V1245" i="6" s="1"/>
  <c r="W1245" i="6" s="1"/>
  <c r="X1245" i="6" s="1"/>
  <c r="Y1245" i="6" s="1"/>
  <c r="Z1245" i="6" s="1"/>
  <c r="AA1245" i="6" s="1"/>
  <c r="R1245" i="6" s="1"/>
  <c r="F1245" i="6" s="1"/>
  <c r="E1245" i="6" s="1"/>
  <c r="M1245" i="6"/>
  <c r="T1244" i="6"/>
  <c r="U1244" i="6" s="1"/>
  <c r="V1244" i="6" s="1"/>
  <c r="W1244" i="6" s="1"/>
  <c r="X1244" i="6" s="1"/>
  <c r="Y1244" i="6" s="1"/>
  <c r="Z1244" i="6" s="1"/>
  <c r="AA1244" i="6" s="1"/>
  <c r="R1244" i="6" s="1"/>
  <c r="F1244" i="6" s="1"/>
  <c r="E1244" i="6" s="1"/>
  <c r="M1244" i="6"/>
  <c r="T1243" i="6"/>
  <c r="U1243" i="6" s="1"/>
  <c r="V1243" i="6" s="1"/>
  <c r="W1243" i="6" s="1"/>
  <c r="X1243" i="6" s="1"/>
  <c r="Y1243" i="6" s="1"/>
  <c r="Z1243" i="6" s="1"/>
  <c r="AA1243" i="6" s="1"/>
  <c r="R1243" i="6" s="1"/>
  <c r="F1243" i="6" s="1"/>
  <c r="E1243" i="6" s="1"/>
  <c r="M1243" i="6"/>
  <c r="T1242" i="6"/>
  <c r="U1242" i="6"/>
  <c r="V1242" i="6" s="1"/>
  <c r="W1242" i="6" s="1"/>
  <c r="X1242" i="6" s="1"/>
  <c r="Y1242" i="6" s="1"/>
  <c r="Z1242" i="6" s="1"/>
  <c r="AA1242" i="6" s="1"/>
  <c r="R1242" i="6" s="1"/>
  <c r="F1242" i="6" s="1"/>
  <c r="E1242" i="6" s="1"/>
  <c r="M1242" i="6"/>
  <c r="T1241" i="6"/>
  <c r="U1241" i="6" s="1"/>
  <c r="V1241" i="6" s="1"/>
  <c r="W1241" i="6" s="1"/>
  <c r="X1241" i="6" s="1"/>
  <c r="Y1241" i="6" s="1"/>
  <c r="Z1241" i="6" s="1"/>
  <c r="AA1241" i="6" s="1"/>
  <c r="R1241" i="6" s="1"/>
  <c r="F1241" i="6" s="1"/>
  <c r="E1241" i="6" s="1"/>
  <c r="T1240" i="6"/>
  <c r="U1240" i="6" s="1"/>
  <c r="V1240" i="6" s="1"/>
  <c r="W1240" i="6" s="1"/>
  <c r="X1240" i="6" s="1"/>
  <c r="Y1240" i="6" s="1"/>
  <c r="Z1240" i="6" s="1"/>
  <c r="AA1240" i="6" s="1"/>
  <c r="R1240" i="6" s="1"/>
  <c r="F1240" i="6" s="1"/>
  <c r="E1240" i="6" s="1"/>
  <c r="M1240" i="6"/>
  <c r="T1239" i="6"/>
  <c r="U1239" i="6" s="1"/>
  <c r="V1239" i="6" s="1"/>
  <c r="W1239" i="6" s="1"/>
  <c r="X1239" i="6" s="1"/>
  <c r="Y1239" i="6" s="1"/>
  <c r="Z1239" i="6" s="1"/>
  <c r="AA1239" i="6" s="1"/>
  <c r="R1239" i="6" s="1"/>
  <c r="F1239" i="6" s="1"/>
  <c r="E1239" i="6" s="1"/>
  <c r="M1239" i="6"/>
  <c r="T1238" i="6"/>
  <c r="U1238" i="6" s="1"/>
  <c r="V1238" i="6" s="1"/>
  <c r="W1238" i="6" s="1"/>
  <c r="X1238" i="6" s="1"/>
  <c r="Y1238" i="6" s="1"/>
  <c r="Z1238" i="6" s="1"/>
  <c r="AA1238" i="6" s="1"/>
  <c r="R1238" i="6" s="1"/>
  <c r="F1238" i="6" s="1"/>
  <c r="E1238" i="6" s="1"/>
  <c r="M1238" i="6"/>
  <c r="T1237" i="6"/>
  <c r="U1237" i="6" s="1"/>
  <c r="V1237" i="6"/>
  <c r="W1237" i="6" s="1"/>
  <c r="X1237" i="6" s="1"/>
  <c r="Y1237" i="6" s="1"/>
  <c r="Z1237" i="6" s="1"/>
  <c r="AA1237" i="6" s="1"/>
  <c r="R1237" i="6" s="1"/>
  <c r="F1237" i="6" s="1"/>
  <c r="E1237" i="6" s="1"/>
  <c r="M1237" i="6"/>
  <c r="T1236" i="6"/>
  <c r="U1236" i="6" s="1"/>
  <c r="V1236" i="6" s="1"/>
  <c r="W1236" i="6" s="1"/>
  <c r="X1236" i="6" s="1"/>
  <c r="Y1236" i="6" s="1"/>
  <c r="Z1236" i="6" s="1"/>
  <c r="AA1236" i="6" s="1"/>
  <c r="R1236" i="6" s="1"/>
  <c r="F1236" i="6" s="1"/>
  <c r="E1236" i="6" s="1"/>
  <c r="M1236" i="6"/>
  <c r="T1235" i="6"/>
  <c r="U1235" i="6" s="1"/>
  <c r="V1235" i="6" s="1"/>
  <c r="W1235" i="6" s="1"/>
  <c r="X1235" i="6" s="1"/>
  <c r="Y1235" i="6" s="1"/>
  <c r="Z1235" i="6" s="1"/>
  <c r="AA1235" i="6" s="1"/>
  <c r="R1235" i="6" s="1"/>
  <c r="F1235" i="6" s="1"/>
  <c r="E1235" i="6" s="1"/>
  <c r="M1235" i="6"/>
  <c r="T1234" i="6"/>
  <c r="U1234" i="6"/>
  <c r="V1234" i="6" s="1"/>
  <c r="W1234" i="6" s="1"/>
  <c r="X1234" i="6" s="1"/>
  <c r="Y1234" i="6" s="1"/>
  <c r="Z1234" i="6" s="1"/>
  <c r="AA1234" i="6" s="1"/>
  <c r="R1234" i="6" s="1"/>
  <c r="F1234" i="6" s="1"/>
  <c r="E1234" i="6" s="1"/>
  <c r="M1234" i="6"/>
  <c r="T1233" i="6"/>
  <c r="U1233" i="6" s="1"/>
  <c r="V1233" i="6" s="1"/>
  <c r="W1233" i="6" s="1"/>
  <c r="X1233" i="6" s="1"/>
  <c r="Y1233" i="6" s="1"/>
  <c r="Z1233" i="6" s="1"/>
  <c r="AA1233" i="6" s="1"/>
  <c r="R1233" i="6" s="1"/>
  <c r="F1233" i="6" s="1"/>
  <c r="E1233" i="6" s="1"/>
  <c r="M1233" i="6"/>
  <c r="T1232" i="6"/>
  <c r="U1232" i="6"/>
  <c r="V1232" i="6" s="1"/>
  <c r="W1232" i="6" s="1"/>
  <c r="X1232" i="6" s="1"/>
  <c r="Y1232" i="6" s="1"/>
  <c r="Z1232" i="6" s="1"/>
  <c r="AA1232" i="6" s="1"/>
  <c r="R1232" i="6" s="1"/>
  <c r="F1232" i="6" s="1"/>
  <c r="E1232" i="6" s="1"/>
  <c r="M1232" i="6"/>
  <c r="T1231" i="6"/>
  <c r="U1231" i="6" s="1"/>
  <c r="V1231" i="6"/>
  <c r="W1231" i="6" s="1"/>
  <c r="X1231" i="6" s="1"/>
  <c r="Y1231" i="6" s="1"/>
  <c r="Z1231" i="6" s="1"/>
  <c r="AA1231" i="6" s="1"/>
  <c r="R1231" i="6" s="1"/>
  <c r="F1231" i="6" s="1"/>
  <c r="E1231" i="6" s="1"/>
  <c r="M1231" i="6"/>
  <c r="T1230" i="6"/>
  <c r="U1230" i="6"/>
  <c r="V1230" i="6" s="1"/>
  <c r="W1230" i="6" s="1"/>
  <c r="X1230" i="6" s="1"/>
  <c r="Y1230" i="6" s="1"/>
  <c r="Z1230" i="6" s="1"/>
  <c r="AA1230" i="6" s="1"/>
  <c r="R1230" i="6" s="1"/>
  <c r="F1230" i="6" s="1"/>
  <c r="E1230" i="6" s="1"/>
  <c r="M1230" i="6"/>
  <c r="T1229" i="6"/>
  <c r="U1229" i="6" s="1"/>
  <c r="V1229" i="6" s="1"/>
  <c r="W1229" i="6" s="1"/>
  <c r="X1229" i="6" s="1"/>
  <c r="Y1229" i="6" s="1"/>
  <c r="Z1229" i="6" s="1"/>
  <c r="AA1229" i="6" s="1"/>
  <c r="R1229" i="6" s="1"/>
  <c r="F1229" i="6" s="1"/>
  <c r="E1229" i="6" s="1"/>
  <c r="M1229" i="6"/>
  <c r="T1228" i="6"/>
  <c r="U1228" i="6" s="1"/>
  <c r="V1228" i="6" s="1"/>
  <c r="W1228" i="6" s="1"/>
  <c r="X1228" i="6" s="1"/>
  <c r="Y1228" i="6" s="1"/>
  <c r="Z1228" i="6" s="1"/>
  <c r="AA1228" i="6" s="1"/>
  <c r="R1228" i="6" s="1"/>
  <c r="F1228" i="6" s="1"/>
  <c r="E1228" i="6" s="1"/>
  <c r="M1228" i="6"/>
  <c r="T1227" i="6"/>
  <c r="U1227" i="6" s="1"/>
  <c r="V1227" i="6" s="1"/>
  <c r="W1227" i="6" s="1"/>
  <c r="X1227" i="6" s="1"/>
  <c r="Y1227" i="6" s="1"/>
  <c r="Z1227" i="6" s="1"/>
  <c r="AA1227" i="6" s="1"/>
  <c r="R1227" i="6" s="1"/>
  <c r="F1227" i="6" s="1"/>
  <c r="E1227" i="6" s="1"/>
  <c r="M1227" i="6"/>
  <c r="T1226" i="6"/>
  <c r="U1226" i="6" s="1"/>
  <c r="V1226" i="6" s="1"/>
  <c r="W1226" i="6" s="1"/>
  <c r="X1226" i="6" s="1"/>
  <c r="Y1226" i="6" s="1"/>
  <c r="Z1226" i="6" s="1"/>
  <c r="AA1226" i="6" s="1"/>
  <c r="R1226" i="6" s="1"/>
  <c r="F1226" i="6" s="1"/>
  <c r="E1226" i="6" s="1"/>
  <c r="M1226" i="6"/>
  <c r="T1225" i="6"/>
  <c r="U1225" i="6" s="1"/>
  <c r="V1225" i="6" s="1"/>
  <c r="W1225" i="6" s="1"/>
  <c r="X1225" i="6" s="1"/>
  <c r="Y1225" i="6" s="1"/>
  <c r="Z1225" i="6" s="1"/>
  <c r="AA1225" i="6" s="1"/>
  <c r="R1225" i="6" s="1"/>
  <c r="F1225" i="6" s="1"/>
  <c r="E1225" i="6" s="1"/>
  <c r="M1225" i="6"/>
  <c r="T1224" i="6"/>
  <c r="U1224" i="6" s="1"/>
  <c r="V1224" i="6" s="1"/>
  <c r="W1224" i="6" s="1"/>
  <c r="X1224" i="6" s="1"/>
  <c r="Y1224" i="6" s="1"/>
  <c r="Z1224" i="6" s="1"/>
  <c r="AA1224" i="6" s="1"/>
  <c r="R1224" i="6" s="1"/>
  <c r="F1224" i="6" s="1"/>
  <c r="E1224" i="6" s="1"/>
  <c r="M1224" i="6"/>
  <c r="T1223" i="6"/>
  <c r="U1223" i="6" s="1"/>
  <c r="V1223" i="6" s="1"/>
  <c r="W1223" i="6" s="1"/>
  <c r="X1223" i="6" s="1"/>
  <c r="Y1223" i="6" s="1"/>
  <c r="Z1223" i="6" s="1"/>
  <c r="AA1223" i="6" s="1"/>
  <c r="R1223" i="6" s="1"/>
  <c r="F1223" i="6" s="1"/>
  <c r="E1223" i="6" s="1"/>
  <c r="M1223" i="6"/>
  <c r="T1222" i="6"/>
  <c r="U1222" i="6"/>
  <c r="V1222" i="6" s="1"/>
  <c r="W1222" i="6" s="1"/>
  <c r="X1222" i="6" s="1"/>
  <c r="Y1222" i="6" s="1"/>
  <c r="Z1222" i="6" s="1"/>
  <c r="AA1222" i="6" s="1"/>
  <c r="R1222" i="6" s="1"/>
  <c r="F1222" i="6" s="1"/>
  <c r="E1222" i="6" s="1"/>
  <c r="M1222" i="6"/>
  <c r="T1221" i="6"/>
  <c r="U1221" i="6" s="1"/>
  <c r="V1221" i="6" s="1"/>
  <c r="W1221" i="6" s="1"/>
  <c r="X1221" i="6" s="1"/>
  <c r="Y1221" i="6" s="1"/>
  <c r="Z1221" i="6" s="1"/>
  <c r="AA1221" i="6" s="1"/>
  <c r="R1221" i="6" s="1"/>
  <c r="F1221" i="6" s="1"/>
  <c r="E1221" i="6" s="1"/>
  <c r="M1221" i="6"/>
  <c r="T1220" i="6"/>
  <c r="U1220" i="6" s="1"/>
  <c r="V1220" i="6" s="1"/>
  <c r="W1220" i="6" s="1"/>
  <c r="X1220" i="6" s="1"/>
  <c r="Y1220" i="6" s="1"/>
  <c r="Z1220" i="6" s="1"/>
  <c r="AA1220" i="6" s="1"/>
  <c r="R1220" i="6" s="1"/>
  <c r="F1220" i="6" s="1"/>
  <c r="E1220" i="6" s="1"/>
  <c r="M1220" i="6"/>
  <c r="T1219" i="6"/>
  <c r="U1219" i="6" s="1"/>
  <c r="V1219" i="6" s="1"/>
  <c r="W1219" i="6" s="1"/>
  <c r="X1219" i="6" s="1"/>
  <c r="Y1219" i="6" s="1"/>
  <c r="Z1219" i="6" s="1"/>
  <c r="AA1219" i="6" s="1"/>
  <c r="R1219" i="6" s="1"/>
  <c r="F1219" i="6" s="1"/>
  <c r="E1219" i="6" s="1"/>
  <c r="M1219" i="6"/>
  <c r="T1218" i="6"/>
  <c r="U1218" i="6"/>
  <c r="V1218" i="6" s="1"/>
  <c r="W1218" i="6" s="1"/>
  <c r="X1218" i="6" s="1"/>
  <c r="Y1218" i="6" s="1"/>
  <c r="Z1218" i="6" s="1"/>
  <c r="AA1218" i="6" s="1"/>
  <c r="R1218" i="6" s="1"/>
  <c r="F1218" i="6" s="1"/>
  <c r="E1218" i="6" s="1"/>
  <c r="M1218" i="6"/>
  <c r="T1217" i="6"/>
  <c r="U1217" i="6" s="1"/>
  <c r="V1217" i="6" s="1"/>
  <c r="W1217" i="6" s="1"/>
  <c r="X1217" i="6" s="1"/>
  <c r="Y1217" i="6" s="1"/>
  <c r="Z1217" i="6" s="1"/>
  <c r="AA1217" i="6" s="1"/>
  <c r="R1217" i="6" s="1"/>
  <c r="F1217" i="6" s="1"/>
  <c r="E1217" i="6" s="1"/>
  <c r="M1217" i="6"/>
  <c r="T1216" i="6"/>
  <c r="U1216" i="6" s="1"/>
  <c r="V1216" i="6" s="1"/>
  <c r="W1216" i="6" s="1"/>
  <c r="X1216" i="6" s="1"/>
  <c r="Y1216" i="6" s="1"/>
  <c r="Z1216" i="6" s="1"/>
  <c r="AA1216" i="6" s="1"/>
  <c r="R1216" i="6" s="1"/>
  <c r="F1216" i="6" s="1"/>
  <c r="E1216" i="6" s="1"/>
  <c r="M1216" i="6"/>
  <c r="T1215" i="6"/>
  <c r="U1215" i="6" s="1"/>
  <c r="V1215" i="6" s="1"/>
  <c r="W1215" i="6" s="1"/>
  <c r="X1215" i="6" s="1"/>
  <c r="Y1215" i="6" s="1"/>
  <c r="Z1215" i="6" s="1"/>
  <c r="AA1215" i="6" s="1"/>
  <c r="R1215" i="6" s="1"/>
  <c r="F1215" i="6" s="1"/>
  <c r="E1215" i="6" s="1"/>
  <c r="M1215" i="6"/>
  <c r="T1214" i="6"/>
  <c r="U1214" i="6" s="1"/>
  <c r="V1214" i="6" s="1"/>
  <c r="W1214" i="6" s="1"/>
  <c r="X1214" i="6" s="1"/>
  <c r="Y1214" i="6" s="1"/>
  <c r="Z1214" i="6" s="1"/>
  <c r="AA1214" i="6" s="1"/>
  <c r="R1214" i="6" s="1"/>
  <c r="F1214" i="6" s="1"/>
  <c r="E1214" i="6" s="1"/>
  <c r="M1214" i="6"/>
  <c r="T1213" i="6"/>
  <c r="U1213" i="6" s="1"/>
  <c r="V1213" i="6" s="1"/>
  <c r="W1213" i="6" s="1"/>
  <c r="X1213" i="6" s="1"/>
  <c r="Y1213" i="6" s="1"/>
  <c r="Z1213" i="6" s="1"/>
  <c r="AA1213" i="6" s="1"/>
  <c r="R1213" i="6" s="1"/>
  <c r="F1213" i="6" s="1"/>
  <c r="E1213" i="6" s="1"/>
  <c r="M1213" i="6"/>
  <c r="T1212" i="6"/>
  <c r="U1212" i="6" s="1"/>
  <c r="V1212" i="6" s="1"/>
  <c r="W1212" i="6" s="1"/>
  <c r="X1212" i="6" s="1"/>
  <c r="Y1212" i="6" s="1"/>
  <c r="Z1212" i="6" s="1"/>
  <c r="AA1212" i="6" s="1"/>
  <c r="R1212" i="6" s="1"/>
  <c r="F1212" i="6" s="1"/>
  <c r="E1212" i="6" s="1"/>
  <c r="M1212" i="6"/>
  <c r="T1211" i="6"/>
  <c r="U1211" i="6" s="1"/>
  <c r="V1211" i="6" s="1"/>
  <c r="W1211" i="6" s="1"/>
  <c r="X1211" i="6" s="1"/>
  <c r="Y1211" i="6" s="1"/>
  <c r="Z1211" i="6" s="1"/>
  <c r="AA1211" i="6" s="1"/>
  <c r="R1211" i="6" s="1"/>
  <c r="F1211" i="6" s="1"/>
  <c r="E1211" i="6" s="1"/>
  <c r="M1211" i="6"/>
  <c r="T1210" i="6"/>
  <c r="U1210" i="6"/>
  <c r="V1210" i="6" s="1"/>
  <c r="W1210" i="6" s="1"/>
  <c r="X1210" i="6" s="1"/>
  <c r="Y1210" i="6" s="1"/>
  <c r="Z1210" i="6" s="1"/>
  <c r="AA1210" i="6" s="1"/>
  <c r="R1210" i="6" s="1"/>
  <c r="F1210" i="6" s="1"/>
  <c r="E1210" i="6" s="1"/>
  <c r="M1210" i="6"/>
  <c r="T1209" i="6"/>
  <c r="U1209" i="6" s="1"/>
  <c r="V1209" i="6" s="1"/>
  <c r="W1209" i="6" s="1"/>
  <c r="X1209" i="6" s="1"/>
  <c r="Y1209" i="6" s="1"/>
  <c r="Z1209" i="6" s="1"/>
  <c r="AA1209" i="6" s="1"/>
  <c r="R1209" i="6" s="1"/>
  <c r="F1209" i="6" s="1"/>
  <c r="E1209" i="6" s="1"/>
  <c r="M1209" i="6"/>
  <c r="T1208" i="6"/>
  <c r="U1208" i="6"/>
  <c r="V1208" i="6" s="1"/>
  <c r="W1208" i="6" s="1"/>
  <c r="X1208" i="6" s="1"/>
  <c r="Y1208" i="6" s="1"/>
  <c r="Z1208" i="6" s="1"/>
  <c r="AA1208" i="6" s="1"/>
  <c r="R1208" i="6" s="1"/>
  <c r="F1208" i="6" s="1"/>
  <c r="E1208" i="6" s="1"/>
  <c r="M1208" i="6"/>
  <c r="T1207" i="6"/>
  <c r="U1207" i="6" s="1"/>
  <c r="V1207" i="6" s="1"/>
  <c r="W1207" i="6" s="1"/>
  <c r="X1207" i="6" s="1"/>
  <c r="Y1207" i="6" s="1"/>
  <c r="Z1207" i="6" s="1"/>
  <c r="AA1207" i="6" s="1"/>
  <c r="R1207" i="6" s="1"/>
  <c r="F1207" i="6" s="1"/>
  <c r="E1207" i="6" s="1"/>
  <c r="M1207" i="6"/>
  <c r="T1206" i="6"/>
  <c r="U1206" i="6"/>
  <c r="V1206" i="6" s="1"/>
  <c r="W1206" i="6" s="1"/>
  <c r="X1206" i="6" s="1"/>
  <c r="Y1206" i="6" s="1"/>
  <c r="Z1206" i="6" s="1"/>
  <c r="AA1206" i="6" s="1"/>
  <c r="R1206" i="6" s="1"/>
  <c r="F1206" i="6" s="1"/>
  <c r="E1206" i="6" s="1"/>
  <c r="M1206" i="6"/>
  <c r="T1205" i="6"/>
  <c r="U1205" i="6" s="1"/>
  <c r="V1205" i="6" s="1"/>
  <c r="W1205" i="6" s="1"/>
  <c r="X1205" i="6" s="1"/>
  <c r="Y1205" i="6" s="1"/>
  <c r="Z1205" i="6" s="1"/>
  <c r="AA1205" i="6" s="1"/>
  <c r="R1205" i="6" s="1"/>
  <c r="F1205" i="6" s="1"/>
  <c r="E1205" i="6" s="1"/>
  <c r="M1205" i="6"/>
  <c r="T1204" i="6"/>
  <c r="U1204" i="6" s="1"/>
  <c r="V1204" i="6" s="1"/>
  <c r="W1204" i="6" s="1"/>
  <c r="X1204" i="6" s="1"/>
  <c r="Y1204" i="6" s="1"/>
  <c r="Z1204" i="6" s="1"/>
  <c r="AA1204" i="6" s="1"/>
  <c r="R1204" i="6" s="1"/>
  <c r="F1204" i="6" s="1"/>
  <c r="E1204" i="6" s="1"/>
  <c r="M1204" i="6"/>
  <c r="T1203" i="6"/>
  <c r="U1203" i="6" s="1"/>
  <c r="V1203" i="6" s="1"/>
  <c r="W1203" i="6" s="1"/>
  <c r="X1203" i="6" s="1"/>
  <c r="Y1203" i="6" s="1"/>
  <c r="Z1203" i="6" s="1"/>
  <c r="AA1203" i="6" s="1"/>
  <c r="R1203" i="6" s="1"/>
  <c r="F1203" i="6" s="1"/>
  <c r="E1203" i="6" s="1"/>
  <c r="M1203" i="6"/>
  <c r="T1202" i="6"/>
  <c r="U1202" i="6" s="1"/>
  <c r="V1202" i="6" s="1"/>
  <c r="W1202" i="6" s="1"/>
  <c r="X1202" i="6" s="1"/>
  <c r="Y1202" i="6" s="1"/>
  <c r="Z1202" i="6" s="1"/>
  <c r="AA1202" i="6" s="1"/>
  <c r="R1202" i="6" s="1"/>
  <c r="F1202" i="6" s="1"/>
  <c r="E1202" i="6" s="1"/>
  <c r="M1202" i="6"/>
  <c r="T1201" i="6"/>
  <c r="U1201" i="6" s="1"/>
  <c r="V1201" i="6" s="1"/>
  <c r="W1201" i="6" s="1"/>
  <c r="X1201" i="6" s="1"/>
  <c r="Y1201" i="6" s="1"/>
  <c r="Z1201" i="6" s="1"/>
  <c r="AA1201" i="6" s="1"/>
  <c r="R1201" i="6" s="1"/>
  <c r="F1201" i="6" s="1"/>
  <c r="E1201" i="6" s="1"/>
  <c r="M1201" i="6"/>
  <c r="T1200" i="6"/>
  <c r="U1200" i="6" s="1"/>
  <c r="V1200" i="6" s="1"/>
  <c r="W1200" i="6" s="1"/>
  <c r="X1200" i="6" s="1"/>
  <c r="Y1200" i="6" s="1"/>
  <c r="Z1200" i="6" s="1"/>
  <c r="AA1200" i="6" s="1"/>
  <c r="R1200" i="6" s="1"/>
  <c r="F1200" i="6" s="1"/>
  <c r="E1200" i="6" s="1"/>
  <c r="M1200" i="6"/>
  <c r="T1199" i="6"/>
  <c r="U1199" i="6" s="1"/>
  <c r="V1199" i="6"/>
  <c r="W1199" i="6" s="1"/>
  <c r="X1199" i="6" s="1"/>
  <c r="Y1199" i="6" s="1"/>
  <c r="Z1199" i="6" s="1"/>
  <c r="AA1199" i="6" s="1"/>
  <c r="R1199" i="6" s="1"/>
  <c r="F1199" i="6" s="1"/>
  <c r="E1199" i="6" s="1"/>
  <c r="M1199" i="6"/>
  <c r="T1198" i="6"/>
  <c r="U1198" i="6" s="1"/>
  <c r="V1198" i="6" s="1"/>
  <c r="W1198" i="6" s="1"/>
  <c r="X1198" i="6" s="1"/>
  <c r="Y1198" i="6" s="1"/>
  <c r="Z1198" i="6" s="1"/>
  <c r="AA1198" i="6" s="1"/>
  <c r="R1198" i="6" s="1"/>
  <c r="F1198" i="6" s="1"/>
  <c r="E1198" i="6" s="1"/>
  <c r="M1198" i="6"/>
  <c r="T1197" i="6"/>
  <c r="U1197" i="6" s="1"/>
  <c r="V1197" i="6" s="1"/>
  <c r="W1197" i="6" s="1"/>
  <c r="X1197" i="6" s="1"/>
  <c r="Y1197" i="6" s="1"/>
  <c r="Z1197" i="6" s="1"/>
  <c r="AA1197" i="6" s="1"/>
  <c r="R1197" i="6" s="1"/>
  <c r="F1197" i="6" s="1"/>
  <c r="E1197" i="6" s="1"/>
  <c r="M1197" i="6"/>
  <c r="T1196" i="6"/>
  <c r="U1196" i="6"/>
  <c r="V1196" i="6" s="1"/>
  <c r="W1196" i="6" s="1"/>
  <c r="X1196" i="6" s="1"/>
  <c r="Y1196" i="6" s="1"/>
  <c r="Z1196" i="6" s="1"/>
  <c r="AA1196" i="6" s="1"/>
  <c r="R1196" i="6" s="1"/>
  <c r="F1196" i="6" s="1"/>
  <c r="E1196" i="6" s="1"/>
  <c r="M1196" i="6"/>
  <c r="T1195" i="6"/>
  <c r="U1195" i="6" s="1"/>
  <c r="V1195" i="6" s="1"/>
  <c r="W1195" i="6" s="1"/>
  <c r="X1195" i="6" s="1"/>
  <c r="Y1195" i="6" s="1"/>
  <c r="Z1195" i="6" s="1"/>
  <c r="AA1195" i="6" s="1"/>
  <c r="R1195" i="6" s="1"/>
  <c r="F1195" i="6" s="1"/>
  <c r="E1195" i="6" s="1"/>
  <c r="M1195" i="6"/>
  <c r="T1194" i="6"/>
  <c r="U1194" i="6" s="1"/>
  <c r="V1194" i="6" s="1"/>
  <c r="W1194" i="6" s="1"/>
  <c r="X1194" i="6" s="1"/>
  <c r="Y1194" i="6" s="1"/>
  <c r="Z1194" i="6" s="1"/>
  <c r="AA1194" i="6" s="1"/>
  <c r="R1194" i="6" s="1"/>
  <c r="F1194" i="6" s="1"/>
  <c r="E1194" i="6" s="1"/>
  <c r="M1194" i="6"/>
  <c r="T1193" i="6"/>
  <c r="U1193" i="6" s="1"/>
  <c r="V1193" i="6" s="1"/>
  <c r="W1193" i="6" s="1"/>
  <c r="X1193" i="6" s="1"/>
  <c r="Y1193" i="6" s="1"/>
  <c r="Z1193" i="6" s="1"/>
  <c r="AA1193" i="6" s="1"/>
  <c r="R1193" i="6" s="1"/>
  <c r="F1193" i="6" s="1"/>
  <c r="E1193" i="6" s="1"/>
  <c r="M1193" i="6"/>
  <c r="T1192" i="6"/>
  <c r="U1192" i="6" s="1"/>
  <c r="V1192" i="6" s="1"/>
  <c r="W1192" i="6" s="1"/>
  <c r="X1192" i="6" s="1"/>
  <c r="Y1192" i="6" s="1"/>
  <c r="Z1192" i="6" s="1"/>
  <c r="AA1192" i="6" s="1"/>
  <c r="R1192" i="6" s="1"/>
  <c r="F1192" i="6" s="1"/>
  <c r="E1192" i="6" s="1"/>
  <c r="M1192" i="6"/>
  <c r="T1191" i="6"/>
  <c r="U1191" i="6" s="1"/>
  <c r="V1191" i="6" s="1"/>
  <c r="W1191" i="6" s="1"/>
  <c r="X1191" i="6" s="1"/>
  <c r="Y1191" i="6" s="1"/>
  <c r="Z1191" i="6" s="1"/>
  <c r="AA1191" i="6" s="1"/>
  <c r="R1191" i="6" s="1"/>
  <c r="F1191" i="6" s="1"/>
  <c r="E1191" i="6" s="1"/>
  <c r="M1191" i="6"/>
  <c r="T1190" i="6"/>
  <c r="U1190" i="6" s="1"/>
  <c r="V1190" i="6" s="1"/>
  <c r="W1190" i="6" s="1"/>
  <c r="X1190" i="6" s="1"/>
  <c r="Y1190" i="6" s="1"/>
  <c r="Z1190" i="6" s="1"/>
  <c r="AA1190" i="6" s="1"/>
  <c r="R1190" i="6" s="1"/>
  <c r="F1190" i="6" s="1"/>
  <c r="E1190" i="6" s="1"/>
  <c r="M1190" i="6"/>
  <c r="T1189" i="6"/>
  <c r="U1189" i="6" s="1"/>
  <c r="V1189" i="6" s="1"/>
  <c r="W1189" i="6" s="1"/>
  <c r="X1189" i="6" s="1"/>
  <c r="Y1189" i="6" s="1"/>
  <c r="Z1189" i="6" s="1"/>
  <c r="AA1189" i="6" s="1"/>
  <c r="R1189" i="6" s="1"/>
  <c r="F1189" i="6" s="1"/>
  <c r="E1189" i="6" s="1"/>
  <c r="M1189" i="6"/>
  <c r="T1188" i="6"/>
  <c r="U1188" i="6"/>
  <c r="V1188" i="6" s="1"/>
  <c r="W1188" i="6" s="1"/>
  <c r="X1188" i="6" s="1"/>
  <c r="Y1188" i="6" s="1"/>
  <c r="Z1188" i="6" s="1"/>
  <c r="AA1188" i="6" s="1"/>
  <c r="R1188" i="6" s="1"/>
  <c r="F1188" i="6" s="1"/>
  <c r="E1188" i="6" s="1"/>
  <c r="M1188" i="6"/>
  <c r="T1187" i="6"/>
  <c r="U1187" i="6" s="1"/>
  <c r="V1187" i="6" s="1"/>
  <c r="W1187" i="6" s="1"/>
  <c r="X1187" i="6" s="1"/>
  <c r="Y1187" i="6" s="1"/>
  <c r="Z1187" i="6" s="1"/>
  <c r="AA1187" i="6" s="1"/>
  <c r="R1187" i="6" s="1"/>
  <c r="F1187" i="6" s="1"/>
  <c r="E1187" i="6" s="1"/>
  <c r="M1187" i="6"/>
  <c r="T1186" i="6"/>
  <c r="U1186" i="6" s="1"/>
  <c r="V1186" i="6" s="1"/>
  <c r="W1186" i="6" s="1"/>
  <c r="X1186" i="6" s="1"/>
  <c r="Y1186" i="6" s="1"/>
  <c r="Z1186" i="6" s="1"/>
  <c r="AA1186" i="6" s="1"/>
  <c r="R1186" i="6" s="1"/>
  <c r="F1186" i="6" s="1"/>
  <c r="E1186" i="6" s="1"/>
  <c r="M1186" i="6"/>
  <c r="T1185" i="6"/>
  <c r="U1185" i="6" s="1"/>
  <c r="V1185" i="6" s="1"/>
  <c r="W1185" i="6" s="1"/>
  <c r="X1185" i="6" s="1"/>
  <c r="Y1185" i="6" s="1"/>
  <c r="Z1185" i="6" s="1"/>
  <c r="AA1185" i="6" s="1"/>
  <c r="R1185" i="6" s="1"/>
  <c r="F1185" i="6" s="1"/>
  <c r="E1185" i="6" s="1"/>
  <c r="T1184" i="6"/>
  <c r="U1184" i="6" s="1"/>
  <c r="V1184" i="6" s="1"/>
  <c r="W1184" i="6" s="1"/>
  <c r="X1184" i="6" s="1"/>
  <c r="Y1184" i="6" s="1"/>
  <c r="Z1184" i="6" s="1"/>
  <c r="AA1184" i="6" s="1"/>
  <c r="R1184" i="6" s="1"/>
  <c r="F1184" i="6" s="1"/>
  <c r="E1184" i="6" s="1"/>
  <c r="M1184" i="6"/>
  <c r="T1183" i="6"/>
  <c r="U1183" i="6" s="1"/>
  <c r="V1183" i="6" s="1"/>
  <c r="W1183" i="6" s="1"/>
  <c r="X1183" i="6" s="1"/>
  <c r="Y1183" i="6" s="1"/>
  <c r="Z1183" i="6" s="1"/>
  <c r="AA1183" i="6" s="1"/>
  <c r="R1183" i="6" s="1"/>
  <c r="F1183" i="6" s="1"/>
  <c r="E1183" i="6" s="1"/>
  <c r="M1183" i="6"/>
  <c r="T1182" i="6"/>
  <c r="U1182" i="6" s="1"/>
  <c r="V1182" i="6" s="1"/>
  <c r="W1182" i="6" s="1"/>
  <c r="X1182" i="6" s="1"/>
  <c r="Y1182" i="6" s="1"/>
  <c r="Z1182" i="6" s="1"/>
  <c r="AA1182" i="6" s="1"/>
  <c r="R1182" i="6" s="1"/>
  <c r="F1182" i="6" s="1"/>
  <c r="E1182" i="6" s="1"/>
  <c r="M1182" i="6"/>
  <c r="T1181" i="6"/>
  <c r="U1181" i="6" s="1"/>
  <c r="V1181" i="6" s="1"/>
  <c r="W1181" i="6" s="1"/>
  <c r="X1181" i="6" s="1"/>
  <c r="Y1181" i="6" s="1"/>
  <c r="Z1181" i="6" s="1"/>
  <c r="AA1181" i="6" s="1"/>
  <c r="R1181" i="6" s="1"/>
  <c r="F1181" i="6" s="1"/>
  <c r="E1181" i="6" s="1"/>
  <c r="M1181" i="6"/>
  <c r="T1180" i="6"/>
  <c r="U1180" i="6" s="1"/>
  <c r="V1180" i="6" s="1"/>
  <c r="W1180" i="6" s="1"/>
  <c r="X1180" i="6" s="1"/>
  <c r="Y1180" i="6" s="1"/>
  <c r="Z1180" i="6" s="1"/>
  <c r="AA1180" i="6" s="1"/>
  <c r="R1180" i="6" s="1"/>
  <c r="F1180" i="6" s="1"/>
  <c r="E1180" i="6" s="1"/>
  <c r="M1180" i="6"/>
  <c r="T1179" i="6"/>
  <c r="U1179" i="6" s="1"/>
  <c r="V1179" i="6" s="1"/>
  <c r="W1179" i="6" s="1"/>
  <c r="X1179" i="6" s="1"/>
  <c r="Y1179" i="6" s="1"/>
  <c r="Z1179" i="6" s="1"/>
  <c r="AA1179" i="6" s="1"/>
  <c r="R1179" i="6" s="1"/>
  <c r="F1179" i="6" s="1"/>
  <c r="E1179" i="6" s="1"/>
  <c r="M1179" i="6"/>
  <c r="T1178" i="6"/>
  <c r="U1178" i="6" s="1"/>
  <c r="V1178" i="6" s="1"/>
  <c r="W1178" i="6" s="1"/>
  <c r="X1178" i="6" s="1"/>
  <c r="Y1178" i="6" s="1"/>
  <c r="Z1178" i="6" s="1"/>
  <c r="AA1178" i="6" s="1"/>
  <c r="R1178" i="6" s="1"/>
  <c r="F1178" i="6" s="1"/>
  <c r="E1178" i="6" s="1"/>
  <c r="M1178" i="6"/>
  <c r="T1177" i="6"/>
  <c r="U1177" i="6"/>
  <c r="V1177" i="6" s="1"/>
  <c r="W1177" i="6" s="1"/>
  <c r="X1177" i="6" s="1"/>
  <c r="Y1177" i="6" s="1"/>
  <c r="Z1177" i="6" s="1"/>
  <c r="AA1177" i="6" s="1"/>
  <c r="R1177" i="6" s="1"/>
  <c r="F1177" i="6" s="1"/>
  <c r="E1177" i="6" s="1"/>
  <c r="M1177" i="6"/>
  <c r="T1176" i="6"/>
  <c r="U1176" i="6" s="1"/>
  <c r="V1176" i="6" s="1"/>
  <c r="W1176" i="6" s="1"/>
  <c r="X1176" i="6" s="1"/>
  <c r="Y1176" i="6" s="1"/>
  <c r="Z1176" i="6" s="1"/>
  <c r="AA1176" i="6" s="1"/>
  <c r="R1176" i="6" s="1"/>
  <c r="F1176" i="6" s="1"/>
  <c r="E1176" i="6" s="1"/>
  <c r="M1176" i="6"/>
  <c r="T1175" i="6"/>
  <c r="U1175" i="6" s="1"/>
  <c r="V1175" i="6" s="1"/>
  <c r="W1175" i="6" s="1"/>
  <c r="X1175" i="6" s="1"/>
  <c r="Y1175" i="6" s="1"/>
  <c r="Z1175" i="6" s="1"/>
  <c r="AA1175" i="6" s="1"/>
  <c r="R1175" i="6" s="1"/>
  <c r="F1175" i="6" s="1"/>
  <c r="E1175" i="6" s="1"/>
  <c r="M1175" i="6"/>
  <c r="T1174" i="6"/>
  <c r="U1174" i="6" s="1"/>
  <c r="V1174" i="6" s="1"/>
  <c r="W1174" i="6" s="1"/>
  <c r="X1174" i="6" s="1"/>
  <c r="Y1174" i="6" s="1"/>
  <c r="Z1174" i="6" s="1"/>
  <c r="AA1174" i="6" s="1"/>
  <c r="R1174" i="6" s="1"/>
  <c r="F1174" i="6" s="1"/>
  <c r="E1174" i="6" s="1"/>
  <c r="M1174" i="6"/>
  <c r="T1173" i="6"/>
  <c r="U1173" i="6" s="1"/>
  <c r="V1173" i="6" s="1"/>
  <c r="W1173" i="6" s="1"/>
  <c r="X1173" i="6" s="1"/>
  <c r="Y1173" i="6" s="1"/>
  <c r="Z1173" i="6" s="1"/>
  <c r="AA1173" i="6" s="1"/>
  <c r="R1173" i="6" s="1"/>
  <c r="F1173" i="6" s="1"/>
  <c r="E1173" i="6" s="1"/>
  <c r="M1173" i="6"/>
  <c r="T1172" i="6"/>
  <c r="U1172" i="6" s="1"/>
  <c r="V1172" i="6" s="1"/>
  <c r="W1172" i="6" s="1"/>
  <c r="X1172" i="6" s="1"/>
  <c r="Y1172" i="6" s="1"/>
  <c r="Z1172" i="6" s="1"/>
  <c r="AA1172" i="6" s="1"/>
  <c r="R1172" i="6" s="1"/>
  <c r="F1172" i="6" s="1"/>
  <c r="E1172" i="6" s="1"/>
  <c r="M1172" i="6"/>
  <c r="T1171" i="6"/>
  <c r="U1171" i="6"/>
  <c r="V1171" i="6" s="1"/>
  <c r="W1171" i="6" s="1"/>
  <c r="X1171" i="6" s="1"/>
  <c r="Y1171" i="6" s="1"/>
  <c r="Z1171" i="6" s="1"/>
  <c r="AA1171" i="6" s="1"/>
  <c r="R1171" i="6" s="1"/>
  <c r="F1171" i="6" s="1"/>
  <c r="E1171" i="6" s="1"/>
  <c r="M1171" i="6"/>
  <c r="T1170" i="6"/>
  <c r="U1170" i="6" s="1"/>
  <c r="V1170" i="6" s="1"/>
  <c r="W1170" i="6" s="1"/>
  <c r="X1170" i="6" s="1"/>
  <c r="Y1170" i="6" s="1"/>
  <c r="Z1170" i="6" s="1"/>
  <c r="AA1170" i="6" s="1"/>
  <c r="R1170" i="6" s="1"/>
  <c r="F1170" i="6" s="1"/>
  <c r="E1170" i="6" s="1"/>
  <c r="M1170" i="6"/>
  <c r="T1169" i="6"/>
  <c r="U1169" i="6" s="1"/>
  <c r="V1169" i="6" s="1"/>
  <c r="W1169" i="6" s="1"/>
  <c r="X1169" i="6" s="1"/>
  <c r="Y1169" i="6" s="1"/>
  <c r="Z1169" i="6" s="1"/>
  <c r="AA1169" i="6" s="1"/>
  <c r="R1169" i="6" s="1"/>
  <c r="F1169" i="6" s="1"/>
  <c r="E1169" i="6" s="1"/>
  <c r="M1169" i="6"/>
  <c r="T1168" i="6"/>
  <c r="U1168" i="6" s="1"/>
  <c r="V1168" i="6" s="1"/>
  <c r="W1168" i="6" s="1"/>
  <c r="X1168" i="6" s="1"/>
  <c r="Y1168" i="6" s="1"/>
  <c r="Z1168" i="6" s="1"/>
  <c r="AA1168" i="6" s="1"/>
  <c r="R1168" i="6" s="1"/>
  <c r="F1168" i="6" s="1"/>
  <c r="E1168" i="6" s="1"/>
  <c r="M1168" i="6"/>
  <c r="T1167" i="6"/>
  <c r="U1167" i="6" s="1"/>
  <c r="V1167" i="6" s="1"/>
  <c r="W1167" i="6" s="1"/>
  <c r="X1167" i="6" s="1"/>
  <c r="Y1167" i="6" s="1"/>
  <c r="Z1167" i="6" s="1"/>
  <c r="AA1167" i="6" s="1"/>
  <c r="R1167" i="6" s="1"/>
  <c r="F1167" i="6" s="1"/>
  <c r="E1167" i="6" s="1"/>
  <c r="M1167" i="6"/>
  <c r="T1166" i="6"/>
  <c r="U1166" i="6" s="1"/>
  <c r="V1166" i="6" s="1"/>
  <c r="W1166" i="6" s="1"/>
  <c r="X1166" i="6" s="1"/>
  <c r="Y1166" i="6"/>
  <c r="Z1166" i="6" s="1"/>
  <c r="AA1166" i="6" s="1"/>
  <c r="R1166" i="6" s="1"/>
  <c r="F1166" i="6" s="1"/>
  <c r="E1166" i="6" s="1"/>
  <c r="M1166" i="6"/>
  <c r="T1165" i="6"/>
  <c r="U1165" i="6"/>
  <c r="V1165" i="6" s="1"/>
  <c r="W1165" i="6" s="1"/>
  <c r="X1165" i="6" s="1"/>
  <c r="Y1165" i="6" s="1"/>
  <c r="Z1165" i="6" s="1"/>
  <c r="AA1165" i="6" s="1"/>
  <c r="R1165" i="6" s="1"/>
  <c r="F1165" i="6" s="1"/>
  <c r="E1165" i="6" s="1"/>
  <c r="M1165" i="6"/>
  <c r="T1164" i="6"/>
  <c r="U1164" i="6" s="1"/>
  <c r="V1164" i="6" s="1"/>
  <c r="W1164" i="6" s="1"/>
  <c r="X1164" i="6" s="1"/>
  <c r="Y1164" i="6" s="1"/>
  <c r="Z1164" i="6" s="1"/>
  <c r="AA1164" i="6" s="1"/>
  <c r="R1164" i="6" s="1"/>
  <c r="F1164" i="6" s="1"/>
  <c r="E1164" i="6" s="1"/>
  <c r="M1164" i="6"/>
  <c r="T1163" i="6"/>
  <c r="U1163" i="6" s="1"/>
  <c r="V1163" i="6" s="1"/>
  <c r="W1163" i="6" s="1"/>
  <c r="X1163" i="6" s="1"/>
  <c r="Y1163" i="6" s="1"/>
  <c r="Z1163" i="6" s="1"/>
  <c r="AA1163" i="6" s="1"/>
  <c r="R1163" i="6" s="1"/>
  <c r="F1163" i="6" s="1"/>
  <c r="E1163" i="6" s="1"/>
  <c r="M1163" i="6"/>
  <c r="T1162" i="6"/>
  <c r="U1162" i="6" s="1"/>
  <c r="V1162" i="6" s="1"/>
  <c r="W1162" i="6" s="1"/>
  <c r="X1162" i="6" s="1"/>
  <c r="Y1162" i="6" s="1"/>
  <c r="Z1162" i="6" s="1"/>
  <c r="AA1162" i="6" s="1"/>
  <c r="R1162" i="6" s="1"/>
  <c r="F1162" i="6" s="1"/>
  <c r="E1162" i="6" s="1"/>
  <c r="M1162" i="6"/>
  <c r="T1161" i="6"/>
  <c r="U1161" i="6"/>
  <c r="V1161" i="6" s="1"/>
  <c r="W1161" i="6" s="1"/>
  <c r="X1161" i="6" s="1"/>
  <c r="Y1161" i="6" s="1"/>
  <c r="Z1161" i="6" s="1"/>
  <c r="AA1161" i="6" s="1"/>
  <c r="R1161" i="6" s="1"/>
  <c r="F1161" i="6" s="1"/>
  <c r="E1161" i="6" s="1"/>
  <c r="M1161" i="6"/>
  <c r="T1160" i="6"/>
  <c r="U1160" i="6" s="1"/>
  <c r="V1160" i="6" s="1"/>
  <c r="W1160" i="6" s="1"/>
  <c r="X1160" i="6" s="1"/>
  <c r="Y1160" i="6" s="1"/>
  <c r="Z1160" i="6" s="1"/>
  <c r="AA1160" i="6" s="1"/>
  <c r="R1160" i="6" s="1"/>
  <c r="F1160" i="6" s="1"/>
  <c r="E1160" i="6" s="1"/>
  <c r="M1160" i="6"/>
  <c r="T1159" i="6"/>
  <c r="U1159" i="6" s="1"/>
  <c r="V1159" i="6" s="1"/>
  <c r="W1159" i="6" s="1"/>
  <c r="X1159" i="6" s="1"/>
  <c r="Y1159" i="6" s="1"/>
  <c r="Z1159" i="6" s="1"/>
  <c r="AA1159" i="6" s="1"/>
  <c r="R1159" i="6" s="1"/>
  <c r="F1159" i="6" s="1"/>
  <c r="E1159" i="6" s="1"/>
  <c r="M1159" i="6"/>
  <c r="T1158" i="6"/>
  <c r="U1158" i="6" s="1"/>
  <c r="V1158" i="6" s="1"/>
  <c r="W1158" i="6" s="1"/>
  <c r="X1158" i="6" s="1"/>
  <c r="Y1158" i="6" s="1"/>
  <c r="Z1158" i="6" s="1"/>
  <c r="AA1158" i="6" s="1"/>
  <c r="R1158" i="6" s="1"/>
  <c r="F1158" i="6" s="1"/>
  <c r="E1158" i="6" s="1"/>
  <c r="M1158" i="6"/>
  <c r="T1157" i="6"/>
  <c r="U1157" i="6" s="1"/>
  <c r="V1157" i="6" s="1"/>
  <c r="W1157" i="6" s="1"/>
  <c r="X1157" i="6" s="1"/>
  <c r="Y1157" i="6" s="1"/>
  <c r="Z1157" i="6" s="1"/>
  <c r="AA1157" i="6" s="1"/>
  <c r="R1157" i="6" s="1"/>
  <c r="F1157" i="6" s="1"/>
  <c r="E1157" i="6" s="1"/>
  <c r="M1157" i="6"/>
  <c r="T1156" i="6"/>
  <c r="U1156" i="6" s="1"/>
  <c r="V1156" i="6" s="1"/>
  <c r="W1156" i="6"/>
  <c r="X1156" i="6" s="1"/>
  <c r="Y1156" i="6" s="1"/>
  <c r="Z1156" i="6" s="1"/>
  <c r="AA1156" i="6" s="1"/>
  <c r="R1156" i="6" s="1"/>
  <c r="F1156" i="6" s="1"/>
  <c r="E1156" i="6" s="1"/>
  <c r="M1156" i="6"/>
  <c r="T1155" i="6"/>
  <c r="U1155" i="6" s="1"/>
  <c r="V1155" i="6" s="1"/>
  <c r="W1155" i="6" s="1"/>
  <c r="X1155" i="6" s="1"/>
  <c r="Y1155" i="6" s="1"/>
  <c r="Z1155" i="6" s="1"/>
  <c r="AA1155" i="6" s="1"/>
  <c r="R1155" i="6" s="1"/>
  <c r="F1155" i="6" s="1"/>
  <c r="E1155" i="6" s="1"/>
  <c r="M1155" i="6"/>
  <c r="T1154" i="6"/>
  <c r="U1154" i="6" s="1"/>
  <c r="V1154" i="6" s="1"/>
  <c r="W1154" i="6" s="1"/>
  <c r="X1154" i="6" s="1"/>
  <c r="Y1154" i="6" s="1"/>
  <c r="Z1154" i="6" s="1"/>
  <c r="AA1154" i="6" s="1"/>
  <c r="R1154" i="6" s="1"/>
  <c r="F1154" i="6" s="1"/>
  <c r="E1154" i="6" s="1"/>
  <c r="M1154" i="6"/>
  <c r="T1153" i="6"/>
  <c r="U1153" i="6" s="1"/>
  <c r="V1153" i="6" s="1"/>
  <c r="W1153" i="6" s="1"/>
  <c r="X1153" i="6" s="1"/>
  <c r="Y1153" i="6" s="1"/>
  <c r="Z1153" i="6" s="1"/>
  <c r="AA1153" i="6" s="1"/>
  <c r="R1153" i="6" s="1"/>
  <c r="F1153" i="6" s="1"/>
  <c r="E1153" i="6" s="1"/>
  <c r="M1153" i="6"/>
  <c r="T1152" i="6"/>
  <c r="U1152" i="6" s="1"/>
  <c r="V1152" i="6" s="1"/>
  <c r="W1152" i="6" s="1"/>
  <c r="X1152" i="6" s="1"/>
  <c r="Y1152" i="6" s="1"/>
  <c r="Z1152" i="6" s="1"/>
  <c r="AA1152" i="6" s="1"/>
  <c r="R1152" i="6" s="1"/>
  <c r="F1152" i="6" s="1"/>
  <c r="E1152" i="6" s="1"/>
  <c r="M1152" i="6"/>
  <c r="T1151" i="6"/>
  <c r="U1151" i="6" s="1"/>
  <c r="V1151" i="6" s="1"/>
  <c r="W1151" i="6" s="1"/>
  <c r="X1151" i="6" s="1"/>
  <c r="Y1151" i="6" s="1"/>
  <c r="Z1151" i="6" s="1"/>
  <c r="AA1151" i="6" s="1"/>
  <c r="R1151" i="6" s="1"/>
  <c r="F1151" i="6" s="1"/>
  <c r="E1151" i="6" s="1"/>
  <c r="M1151" i="6"/>
  <c r="T1150" i="6"/>
  <c r="U1150" i="6" s="1"/>
  <c r="V1150" i="6" s="1"/>
  <c r="W1150" i="6" s="1"/>
  <c r="X1150" i="6" s="1"/>
  <c r="Y1150" i="6" s="1"/>
  <c r="Z1150" i="6" s="1"/>
  <c r="AA1150" i="6" s="1"/>
  <c r="R1150" i="6" s="1"/>
  <c r="F1150" i="6" s="1"/>
  <c r="E1150" i="6" s="1"/>
  <c r="M1150" i="6"/>
  <c r="T1149" i="6"/>
  <c r="U1149" i="6" s="1"/>
  <c r="V1149" i="6" s="1"/>
  <c r="W1149" i="6" s="1"/>
  <c r="X1149" i="6" s="1"/>
  <c r="Y1149" i="6" s="1"/>
  <c r="Z1149" i="6" s="1"/>
  <c r="AA1149" i="6" s="1"/>
  <c r="R1149" i="6" s="1"/>
  <c r="F1149" i="6" s="1"/>
  <c r="E1149" i="6" s="1"/>
  <c r="M1149" i="6"/>
  <c r="T1148" i="6"/>
  <c r="U1148" i="6" s="1"/>
  <c r="V1148" i="6" s="1"/>
  <c r="W1148" i="6" s="1"/>
  <c r="X1148" i="6" s="1"/>
  <c r="Y1148" i="6" s="1"/>
  <c r="Z1148" i="6" s="1"/>
  <c r="AA1148" i="6" s="1"/>
  <c r="R1148" i="6" s="1"/>
  <c r="F1148" i="6" s="1"/>
  <c r="E1148" i="6" s="1"/>
  <c r="M1148" i="6"/>
  <c r="T1147" i="6"/>
  <c r="U1147" i="6" s="1"/>
  <c r="V1147" i="6" s="1"/>
  <c r="W1147" i="6" s="1"/>
  <c r="X1147" i="6" s="1"/>
  <c r="Y1147" i="6" s="1"/>
  <c r="Z1147" i="6" s="1"/>
  <c r="AA1147" i="6" s="1"/>
  <c r="R1147" i="6" s="1"/>
  <c r="F1147" i="6" s="1"/>
  <c r="E1147" i="6" s="1"/>
  <c r="M1147" i="6"/>
  <c r="T1146" i="6"/>
  <c r="U1146" i="6" s="1"/>
  <c r="V1146" i="6" s="1"/>
  <c r="W1146" i="6" s="1"/>
  <c r="X1146" i="6" s="1"/>
  <c r="Y1146" i="6" s="1"/>
  <c r="Z1146" i="6" s="1"/>
  <c r="AA1146" i="6" s="1"/>
  <c r="R1146" i="6" s="1"/>
  <c r="F1146" i="6" s="1"/>
  <c r="E1146" i="6" s="1"/>
  <c r="M1146" i="6"/>
  <c r="T1145" i="6"/>
  <c r="U1145" i="6"/>
  <c r="V1145" i="6" s="1"/>
  <c r="W1145" i="6" s="1"/>
  <c r="X1145" i="6" s="1"/>
  <c r="Y1145" i="6" s="1"/>
  <c r="Z1145" i="6" s="1"/>
  <c r="AA1145" i="6" s="1"/>
  <c r="R1145" i="6" s="1"/>
  <c r="F1145" i="6" s="1"/>
  <c r="E1145" i="6" s="1"/>
  <c r="T1144" i="6"/>
  <c r="U1144" i="6" s="1"/>
  <c r="V1144" i="6" s="1"/>
  <c r="W1144" i="6" s="1"/>
  <c r="X1144" i="6" s="1"/>
  <c r="Y1144" i="6" s="1"/>
  <c r="Z1144" i="6" s="1"/>
  <c r="AA1144" i="6" s="1"/>
  <c r="R1144" i="6" s="1"/>
  <c r="F1144" i="6" s="1"/>
  <c r="E1144" i="6" s="1"/>
  <c r="M1144" i="6"/>
  <c r="T1143" i="6"/>
  <c r="U1143" i="6" s="1"/>
  <c r="V1143" i="6" s="1"/>
  <c r="W1143" i="6" s="1"/>
  <c r="X1143" i="6" s="1"/>
  <c r="Y1143" i="6" s="1"/>
  <c r="Z1143" i="6" s="1"/>
  <c r="AA1143" i="6" s="1"/>
  <c r="R1143" i="6" s="1"/>
  <c r="F1143" i="6" s="1"/>
  <c r="E1143" i="6" s="1"/>
  <c r="M1143" i="6"/>
  <c r="T1142" i="6"/>
  <c r="U1142" i="6"/>
  <c r="V1142" i="6" s="1"/>
  <c r="W1142" i="6" s="1"/>
  <c r="X1142" i="6" s="1"/>
  <c r="Y1142" i="6" s="1"/>
  <c r="Z1142" i="6" s="1"/>
  <c r="AA1142" i="6" s="1"/>
  <c r="R1142" i="6" s="1"/>
  <c r="F1142" i="6" s="1"/>
  <c r="E1142" i="6" s="1"/>
  <c r="M1142" i="6"/>
  <c r="T1141" i="6"/>
  <c r="U1141" i="6" s="1"/>
  <c r="V1141" i="6" s="1"/>
  <c r="W1141" i="6" s="1"/>
  <c r="X1141" i="6" s="1"/>
  <c r="Y1141" i="6" s="1"/>
  <c r="Z1141" i="6" s="1"/>
  <c r="AA1141" i="6" s="1"/>
  <c r="R1141" i="6" s="1"/>
  <c r="F1141" i="6" s="1"/>
  <c r="E1141" i="6" s="1"/>
  <c r="M1141" i="6"/>
  <c r="T1140" i="6"/>
  <c r="U1140" i="6" s="1"/>
  <c r="V1140" i="6" s="1"/>
  <c r="W1140" i="6" s="1"/>
  <c r="X1140" i="6" s="1"/>
  <c r="Y1140" i="6" s="1"/>
  <c r="Z1140" i="6" s="1"/>
  <c r="AA1140" i="6" s="1"/>
  <c r="R1140" i="6" s="1"/>
  <c r="F1140" i="6" s="1"/>
  <c r="E1140" i="6" s="1"/>
  <c r="M1140" i="6"/>
  <c r="T1139" i="6"/>
  <c r="U1139" i="6" s="1"/>
  <c r="V1139" i="6" s="1"/>
  <c r="W1139" i="6" s="1"/>
  <c r="X1139" i="6" s="1"/>
  <c r="Y1139" i="6" s="1"/>
  <c r="Z1139" i="6" s="1"/>
  <c r="AA1139" i="6" s="1"/>
  <c r="R1139" i="6" s="1"/>
  <c r="F1139" i="6" s="1"/>
  <c r="E1139" i="6" s="1"/>
  <c r="M1139" i="6"/>
  <c r="T1138" i="6"/>
  <c r="U1138" i="6" s="1"/>
  <c r="V1138" i="6" s="1"/>
  <c r="W1138" i="6" s="1"/>
  <c r="X1138" i="6" s="1"/>
  <c r="Y1138" i="6" s="1"/>
  <c r="Z1138" i="6" s="1"/>
  <c r="AA1138" i="6" s="1"/>
  <c r="R1138" i="6" s="1"/>
  <c r="F1138" i="6" s="1"/>
  <c r="E1138" i="6" s="1"/>
  <c r="M1138" i="6"/>
  <c r="T1137" i="6"/>
  <c r="U1137" i="6" s="1"/>
  <c r="V1137" i="6" s="1"/>
  <c r="W1137" i="6" s="1"/>
  <c r="X1137" i="6" s="1"/>
  <c r="Y1137" i="6" s="1"/>
  <c r="Z1137" i="6" s="1"/>
  <c r="AA1137" i="6" s="1"/>
  <c r="R1137" i="6" s="1"/>
  <c r="F1137" i="6" s="1"/>
  <c r="E1137" i="6" s="1"/>
  <c r="M1137" i="6"/>
  <c r="T1136" i="6"/>
  <c r="U1136" i="6" s="1"/>
  <c r="V1136" i="6" s="1"/>
  <c r="W1136" i="6" s="1"/>
  <c r="X1136" i="6" s="1"/>
  <c r="Y1136" i="6" s="1"/>
  <c r="Z1136" i="6" s="1"/>
  <c r="AA1136" i="6" s="1"/>
  <c r="R1136" i="6" s="1"/>
  <c r="F1136" i="6" s="1"/>
  <c r="E1136" i="6" s="1"/>
  <c r="M1136" i="6"/>
  <c r="T1135" i="6"/>
  <c r="U1135" i="6" s="1"/>
  <c r="V1135" i="6" s="1"/>
  <c r="W1135" i="6" s="1"/>
  <c r="X1135" i="6" s="1"/>
  <c r="Y1135" i="6" s="1"/>
  <c r="Z1135" i="6" s="1"/>
  <c r="AA1135" i="6" s="1"/>
  <c r="R1135" i="6" s="1"/>
  <c r="F1135" i="6" s="1"/>
  <c r="E1135" i="6" s="1"/>
  <c r="M1135" i="6"/>
  <c r="T1134" i="6"/>
  <c r="U1134" i="6" s="1"/>
  <c r="V1134" i="6" s="1"/>
  <c r="W1134" i="6" s="1"/>
  <c r="X1134" i="6" s="1"/>
  <c r="Y1134" i="6" s="1"/>
  <c r="Z1134" i="6" s="1"/>
  <c r="AA1134" i="6" s="1"/>
  <c r="R1134" i="6" s="1"/>
  <c r="F1134" i="6" s="1"/>
  <c r="E1134" i="6" s="1"/>
  <c r="M1134" i="6"/>
  <c r="T1133" i="6"/>
  <c r="U1133" i="6" s="1"/>
  <c r="V1133" i="6" s="1"/>
  <c r="W1133" i="6" s="1"/>
  <c r="X1133" i="6" s="1"/>
  <c r="Y1133" i="6" s="1"/>
  <c r="Z1133" i="6" s="1"/>
  <c r="AA1133" i="6" s="1"/>
  <c r="R1133" i="6" s="1"/>
  <c r="F1133" i="6" s="1"/>
  <c r="E1133" i="6" s="1"/>
  <c r="M1133" i="6"/>
  <c r="T1132" i="6"/>
  <c r="U1132" i="6" s="1"/>
  <c r="V1132" i="6" s="1"/>
  <c r="W1132" i="6" s="1"/>
  <c r="X1132" i="6" s="1"/>
  <c r="Y1132" i="6" s="1"/>
  <c r="Z1132" i="6" s="1"/>
  <c r="AA1132" i="6" s="1"/>
  <c r="R1132" i="6" s="1"/>
  <c r="F1132" i="6" s="1"/>
  <c r="E1132" i="6" s="1"/>
  <c r="M1132" i="6"/>
  <c r="T1131" i="6"/>
  <c r="U1131" i="6" s="1"/>
  <c r="V1131" i="6" s="1"/>
  <c r="W1131" i="6" s="1"/>
  <c r="X1131" i="6" s="1"/>
  <c r="Y1131" i="6" s="1"/>
  <c r="Z1131" i="6" s="1"/>
  <c r="AA1131" i="6" s="1"/>
  <c r="R1131" i="6" s="1"/>
  <c r="F1131" i="6" s="1"/>
  <c r="E1131" i="6" s="1"/>
  <c r="M1131" i="6"/>
  <c r="T1130" i="6"/>
  <c r="U1130" i="6" s="1"/>
  <c r="V1130" i="6" s="1"/>
  <c r="W1130" i="6" s="1"/>
  <c r="X1130" i="6" s="1"/>
  <c r="Y1130" i="6" s="1"/>
  <c r="Z1130" i="6" s="1"/>
  <c r="AA1130" i="6" s="1"/>
  <c r="R1130" i="6" s="1"/>
  <c r="F1130" i="6" s="1"/>
  <c r="E1130" i="6" s="1"/>
  <c r="M1130" i="6"/>
  <c r="T1129" i="6"/>
  <c r="U1129" i="6" s="1"/>
  <c r="V1129" i="6"/>
  <c r="W1129" i="6" s="1"/>
  <c r="X1129" i="6" s="1"/>
  <c r="Y1129" i="6" s="1"/>
  <c r="Z1129" i="6" s="1"/>
  <c r="AA1129" i="6" s="1"/>
  <c r="R1129" i="6" s="1"/>
  <c r="F1129" i="6" s="1"/>
  <c r="E1129" i="6" s="1"/>
  <c r="M1129" i="6"/>
  <c r="T1128" i="6"/>
  <c r="U1128" i="6"/>
  <c r="V1128" i="6" s="1"/>
  <c r="W1128" i="6" s="1"/>
  <c r="X1128" i="6" s="1"/>
  <c r="Y1128" i="6" s="1"/>
  <c r="Z1128" i="6" s="1"/>
  <c r="AA1128" i="6" s="1"/>
  <c r="R1128" i="6" s="1"/>
  <c r="F1128" i="6" s="1"/>
  <c r="E1128" i="6" s="1"/>
  <c r="M1128" i="6"/>
  <c r="T1127" i="6"/>
  <c r="U1127" i="6" s="1"/>
  <c r="V1127" i="6" s="1"/>
  <c r="W1127" i="6" s="1"/>
  <c r="X1127" i="6" s="1"/>
  <c r="Y1127" i="6" s="1"/>
  <c r="Z1127" i="6" s="1"/>
  <c r="AA1127" i="6" s="1"/>
  <c r="R1127" i="6" s="1"/>
  <c r="F1127" i="6" s="1"/>
  <c r="E1127" i="6" s="1"/>
  <c r="M1127" i="6"/>
  <c r="T1126" i="6"/>
  <c r="U1126" i="6"/>
  <c r="V1126" i="6" s="1"/>
  <c r="W1126" i="6" s="1"/>
  <c r="X1126" i="6" s="1"/>
  <c r="Y1126" i="6" s="1"/>
  <c r="Z1126" i="6" s="1"/>
  <c r="AA1126" i="6" s="1"/>
  <c r="R1126" i="6" s="1"/>
  <c r="F1126" i="6" s="1"/>
  <c r="E1126" i="6" s="1"/>
  <c r="M1126" i="6"/>
  <c r="T1125" i="6"/>
  <c r="U1125" i="6" s="1"/>
  <c r="V1125" i="6" s="1"/>
  <c r="W1125" i="6" s="1"/>
  <c r="X1125" i="6" s="1"/>
  <c r="Y1125" i="6"/>
  <c r="Z1125" i="6" s="1"/>
  <c r="AA1125" i="6" s="1"/>
  <c r="R1125" i="6" s="1"/>
  <c r="F1125" i="6" s="1"/>
  <c r="E1125" i="6" s="1"/>
  <c r="M1125" i="6"/>
  <c r="T1124" i="6"/>
  <c r="U1124" i="6"/>
  <c r="V1124" i="6" s="1"/>
  <c r="W1124" i="6" s="1"/>
  <c r="X1124" i="6" s="1"/>
  <c r="Y1124" i="6" s="1"/>
  <c r="Z1124" i="6" s="1"/>
  <c r="AA1124" i="6" s="1"/>
  <c r="R1124" i="6" s="1"/>
  <c r="F1124" i="6" s="1"/>
  <c r="E1124" i="6" s="1"/>
  <c r="M1124" i="6"/>
  <c r="T1123" i="6"/>
  <c r="U1123" i="6" s="1"/>
  <c r="V1123" i="6" s="1"/>
  <c r="W1123" i="6" s="1"/>
  <c r="X1123" i="6" s="1"/>
  <c r="Y1123" i="6" s="1"/>
  <c r="Z1123" i="6" s="1"/>
  <c r="AA1123" i="6" s="1"/>
  <c r="R1123" i="6" s="1"/>
  <c r="F1123" i="6" s="1"/>
  <c r="E1123" i="6" s="1"/>
  <c r="M1123" i="6"/>
  <c r="T1122" i="6"/>
  <c r="U1122" i="6" s="1"/>
  <c r="V1122" i="6" s="1"/>
  <c r="W1122" i="6" s="1"/>
  <c r="X1122" i="6" s="1"/>
  <c r="Y1122" i="6" s="1"/>
  <c r="Z1122" i="6" s="1"/>
  <c r="AA1122" i="6" s="1"/>
  <c r="R1122" i="6" s="1"/>
  <c r="F1122" i="6"/>
  <c r="E1122" i="6" s="1"/>
  <c r="M1122" i="6"/>
  <c r="T1121" i="6"/>
  <c r="U1121" i="6" s="1"/>
  <c r="V1121" i="6" s="1"/>
  <c r="W1121" i="6" s="1"/>
  <c r="X1121" i="6" s="1"/>
  <c r="Y1121" i="6" s="1"/>
  <c r="Z1121" i="6" s="1"/>
  <c r="AA1121" i="6" s="1"/>
  <c r="R1121" i="6" s="1"/>
  <c r="F1121" i="6" s="1"/>
  <c r="E1121" i="6" s="1"/>
  <c r="M1121" i="6"/>
  <c r="T1120" i="6"/>
  <c r="U1120" i="6" s="1"/>
  <c r="V1120" i="6" s="1"/>
  <c r="W1120" i="6" s="1"/>
  <c r="X1120" i="6" s="1"/>
  <c r="Y1120" i="6" s="1"/>
  <c r="Z1120" i="6" s="1"/>
  <c r="AA1120" i="6" s="1"/>
  <c r="R1120" i="6" s="1"/>
  <c r="F1120" i="6" s="1"/>
  <c r="E1120" i="6" s="1"/>
  <c r="M1120" i="6"/>
  <c r="T1119" i="6"/>
  <c r="U1119" i="6" s="1"/>
  <c r="V1119" i="6" s="1"/>
  <c r="W1119" i="6" s="1"/>
  <c r="X1119" i="6" s="1"/>
  <c r="Y1119" i="6" s="1"/>
  <c r="Z1119" i="6" s="1"/>
  <c r="AA1119" i="6" s="1"/>
  <c r="R1119" i="6" s="1"/>
  <c r="F1119" i="6" s="1"/>
  <c r="E1119" i="6" s="1"/>
  <c r="M1119" i="6"/>
  <c r="T1118" i="6"/>
  <c r="U1118" i="6" s="1"/>
  <c r="V1118" i="6" s="1"/>
  <c r="W1118" i="6" s="1"/>
  <c r="X1118" i="6" s="1"/>
  <c r="Y1118" i="6" s="1"/>
  <c r="Z1118" i="6" s="1"/>
  <c r="AA1118" i="6" s="1"/>
  <c r="R1118" i="6" s="1"/>
  <c r="F1118" i="6" s="1"/>
  <c r="E1118" i="6" s="1"/>
  <c r="M1118" i="6"/>
  <c r="T1117" i="6"/>
  <c r="U1117" i="6" s="1"/>
  <c r="V1117" i="6" s="1"/>
  <c r="W1117" i="6"/>
  <c r="X1117" i="6" s="1"/>
  <c r="Y1117" i="6" s="1"/>
  <c r="Z1117" i="6" s="1"/>
  <c r="AA1117" i="6" s="1"/>
  <c r="R1117" i="6" s="1"/>
  <c r="F1117" i="6" s="1"/>
  <c r="E1117" i="6" s="1"/>
  <c r="M1117" i="6"/>
  <c r="T1116" i="6"/>
  <c r="U1116" i="6" s="1"/>
  <c r="V1116" i="6" s="1"/>
  <c r="W1116" i="6" s="1"/>
  <c r="X1116" i="6" s="1"/>
  <c r="Y1116" i="6" s="1"/>
  <c r="Z1116" i="6" s="1"/>
  <c r="AA1116" i="6" s="1"/>
  <c r="R1116" i="6" s="1"/>
  <c r="F1116" i="6" s="1"/>
  <c r="E1116" i="6" s="1"/>
  <c r="M1116" i="6"/>
  <c r="T1115" i="6"/>
  <c r="U1115" i="6" s="1"/>
  <c r="V1115" i="6" s="1"/>
  <c r="W1115" i="6" s="1"/>
  <c r="X1115" i="6" s="1"/>
  <c r="Y1115" i="6" s="1"/>
  <c r="Z1115" i="6" s="1"/>
  <c r="AA1115" i="6" s="1"/>
  <c r="R1115" i="6" s="1"/>
  <c r="F1115" i="6" s="1"/>
  <c r="E1115" i="6" s="1"/>
  <c r="M1115" i="6"/>
  <c r="T1114" i="6"/>
  <c r="U1114" i="6" s="1"/>
  <c r="V1114" i="6" s="1"/>
  <c r="W1114" i="6" s="1"/>
  <c r="X1114" i="6" s="1"/>
  <c r="Y1114" i="6" s="1"/>
  <c r="Z1114" i="6" s="1"/>
  <c r="AA1114" i="6" s="1"/>
  <c r="R1114" i="6" s="1"/>
  <c r="F1114" i="6" s="1"/>
  <c r="E1114" i="6" s="1"/>
  <c r="M1114" i="6"/>
  <c r="T1113" i="6"/>
  <c r="U1113" i="6" s="1"/>
  <c r="V1113" i="6" s="1"/>
  <c r="W1113" i="6" s="1"/>
  <c r="X1113" i="6" s="1"/>
  <c r="Y1113" i="6" s="1"/>
  <c r="Z1113" i="6" s="1"/>
  <c r="AA1113" i="6" s="1"/>
  <c r="R1113" i="6" s="1"/>
  <c r="F1113" i="6" s="1"/>
  <c r="E1113" i="6" s="1"/>
  <c r="M1113" i="6"/>
  <c r="T1112" i="6"/>
  <c r="U1112" i="6" s="1"/>
  <c r="V1112" i="6" s="1"/>
  <c r="W1112" i="6" s="1"/>
  <c r="X1112" i="6" s="1"/>
  <c r="Y1112" i="6" s="1"/>
  <c r="Z1112" i="6" s="1"/>
  <c r="AA1112" i="6" s="1"/>
  <c r="R1112" i="6" s="1"/>
  <c r="F1112" i="6" s="1"/>
  <c r="E1112" i="6" s="1"/>
  <c r="M1112" i="6"/>
  <c r="M1111" i="6"/>
  <c r="T1110" i="6"/>
  <c r="U1110" i="6" s="1"/>
  <c r="V1110" i="6" s="1"/>
  <c r="W1110" i="6" s="1"/>
  <c r="X1110" i="6" s="1"/>
  <c r="Y1110" i="6" s="1"/>
  <c r="Z1110" i="6" s="1"/>
  <c r="AA1110" i="6" s="1"/>
  <c r="R1110" i="6" s="1"/>
  <c r="F1110" i="6" s="1"/>
  <c r="E1110" i="6" s="1"/>
  <c r="M1110" i="6"/>
  <c r="T1109" i="6"/>
  <c r="U1109" i="6" s="1"/>
  <c r="V1109" i="6"/>
  <c r="W1109" i="6" s="1"/>
  <c r="X1109" i="6" s="1"/>
  <c r="Y1109" i="6" s="1"/>
  <c r="Z1109" i="6" s="1"/>
  <c r="AA1109" i="6" s="1"/>
  <c r="R1109" i="6" s="1"/>
  <c r="F1109" i="6" s="1"/>
  <c r="E1109" i="6" s="1"/>
  <c r="M1109" i="6"/>
  <c r="T1108" i="6"/>
  <c r="U1108" i="6" s="1"/>
  <c r="V1108" i="6" s="1"/>
  <c r="W1108" i="6" s="1"/>
  <c r="X1108" i="6" s="1"/>
  <c r="Y1108" i="6" s="1"/>
  <c r="Z1108" i="6" s="1"/>
  <c r="AA1108" i="6" s="1"/>
  <c r="R1108" i="6" s="1"/>
  <c r="F1108" i="6" s="1"/>
  <c r="E1108" i="6" s="1"/>
  <c r="M1108" i="6"/>
  <c r="T1107" i="6"/>
  <c r="U1107" i="6" s="1"/>
  <c r="V1107" i="6"/>
  <c r="W1107" i="6" s="1"/>
  <c r="X1107" i="6" s="1"/>
  <c r="Y1107" i="6" s="1"/>
  <c r="Z1107" i="6" s="1"/>
  <c r="AA1107" i="6" s="1"/>
  <c r="R1107" i="6" s="1"/>
  <c r="F1107" i="6" s="1"/>
  <c r="E1107" i="6" s="1"/>
  <c r="M1107" i="6"/>
  <c r="T1106" i="6"/>
  <c r="U1106" i="6"/>
  <c r="V1106" i="6" s="1"/>
  <c r="W1106" i="6" s="1"/>
  <c r="X1106" i="6" s="1"/>
  <c r="Y1106" i="6" s="1"/>
  <c r="Z1106" i="6" s="1"/>
  <c r="AA1106" i="6" s="1"/>
  <c r="R1106" i="6" s="1"/>
  <c r="F1106" i="6" s="1"/>
  <c r="E1106" i="6" s="1"/>
  <c r="M1106" i="6"/>
  <c r="T1105" i="6"/>
  <c r="U1105" i="6" s="1"/>
  <c r="V1105" i="6" s="1"/>
  <c r="W1105" i="6" s="1"/>
  <c r="X1105" i="6" s="1"/>
  <c r="Y1105" i="6" s="1"/>
  <c r="Z1105" i="6" s="1"/>
  <c r="AA1105" i="6" s="1"/>
  <c r="R1105" i="6" s="1"/>
  <c r="F1105" i="6" s="1"/>
  <c r="E1105" i="6" s="1"/>
  <c r="M1105" i="6"/>
  <c r="T1104" i="6"/>
  <c r="U1104" i="6" s="1"/>
  <c r="V1104" i="6" s="1"/>
  <c r="W1104" i="6" s="1"/>
  <c r="X1104" i="6" s="1"/>
  <c r="Y1104" i="6" s="1"/>
  <c r="Z1104" i="6" s="1"/>
  <c r="AA1104" i="6" s="1"/>
  <c r="R1104" i="6" s="1"/>
  <c r="F1104" i="6" s="1"/>
  <c r="E1104" i="6" s="1"/>
  <c r="M1104" i="6"/>
  <c r="T1103" i="6"/>
  <c r="U1103" i="6" s="1"/>
  <c r="V1103" i="6" s="1"/>
  <c r="W1103" i="6" s="1"/>
  <c r="X1103" i="6" s="1"/>
  <c r="Y1103" i="6" s="1"/>
  <c r="Z1103" i="6" s="1"/>
  <c r="AA1103" i="6" s="1"/>
  <c r="R1103" i="6" s="1"/>
  <c r="F1103" i="6" s="1"/>
  <c r="E1103" i="6" s="1"/>
  <c r="M1103" i="6"/>
  <c r="T1102" i="6"/>
  <c r="U1102" i="6" s="1"/>
  <c r="V1102" i="6" s="1"/>
  <c r="W1102" i="6" s="1"/>
  <c r="X1102" i="6" s="1"/>
  <c r="Y1102" i="6" s="1"/>
  <c r="Z1102" i="6" s="1"/>
  <c r="AA1102" i="6" s="1"/>
  <c r="R1102" i="6" s="1"/>
  <c r="F1102" i="6" s="1"/>
  <c r="E1102" i="6" s="1"/>
  <c r="M1102" i="6"/>
  <c r="T1101" i="6"/>
  <c r="U1101" i="6" s="1"/>
  <c r="V1101" i="6" s="1"/>
  <c r="W1101" i="6" s="1"/>
  <c r="X1101" i="6" s="1"/>
  <c r="Y1101" i="6" s="1"/>
  <c r="Z1101" i="6" s="1"/>
  <c r="AA1101" i="6" s="1"/>
  <c r="R1101" i="6" s="1"/>
  <c r="F1101" i="6" s="1"/>
  <c r="E1101" i="6" s="1"/>
  <c r="M1101" i="6"/>
  <c r="T1100" i="6"/>
  <c r="U1100" i="6" s="1"/>
  <c r="V1100" i="6" s="1"/>
  <c r="W1100" i="6" s="1"/>
  <c r="X1100" i="6" s="1"/>
  <c r="Y1100" i="6" s="1"/>
  <c r="Z1100" i="6" s="1"/>
  <c r="AA1100" i="6" s="1"/>
  <c r="R1100" i="6" s="1"/>
  <c r="F1100" i="6" s="1"/>
  <c r="E1100" i="6" s="1"/>
  <c r="M1100" i="6"/>
  <c r="T1099" i="6"/>
  <c r="U1099" i="6" s="1"/>
  <c r="V1099" i="6" s="1"/>
  <c r="W1099" i="6" s="1"/>
  <c r="X1099" i="6" s="1"/>
  <c r="Y1099" i="6" s="1"/>
  <c r="Z1099" i="6" s="1"/>
  <c r="AA1099" i="6" s="1"/>
  <c r="R1099" i="6" s="1"/>
  <c r="F1099" i="6" s="1"/>
  <c r="E1099" i="6" s="1"/>
  <c r="M1099" i="6"/>
  <c r="T1098" i="6"/>
  <c r="U1098" i="6" s="1"/>
  <c r="V1098" i="6" s="1"/>
  <c r="W1098" i="6" s="1"/>
  <c r="X1098" i="6" s="1"/>
  <c r="Y1098" i="6" s="1"/>
  <c r="Z1098" i="6"/>
  <c r="AA1098" i="6" s="1"/>
  <c r="R1098" i="6" s="1"/>
  <c r="F1098" i="6" s="1"/>
  <c r="E1098" i="6" s="1"/>
  <c r="M1098" i="6"/>
  <c r="T1097" i="6"/>
  <c r="U1097" i="6" s="1"/>
  <c r="V1097" i="6" s="1"/>
  <c r="W1097" i="6" s="1"/>
  <c r="X1097" i="6" s="1"/>
  <c r="Y1097" i="6" s="1"/>
  <c r="Z1097" i="6" s="1"/>
  <c r="AA1097" i="6" s="1"/>
  <c r="R1097" i="6" s="1"/>
  <c r="F1097" i="6" s="1"/>
  <c r="E1097" i="6" s="1"/>
  <c r="T1096" i="6"/>
  <c r="U1096" i="6" s="1"/>
  <c r="V1096" i="6" s="1"/>
  <c r="W1096" i="6" s="1"/>
  <c r="X1096" i="6" s="1"/>
  <c r="Y1096" i="6" s="1"/>
  <c r="Z1096" i="6" s="1"/>
  <c r="AA1096" i="6" s="1"/>
  <c r="R1096" i="6" s="1"/>
  <c r="F1096" i="6" s="1"/>
  <c r="E1096" i="6" s="1"/>
  <c r="M1096" i="6"/>
  <c r="T1095" i="6"/>
  <c r="U1095" i="6"/>
  <c r="V1095" i="6" s="1"/>
  <c r="W1095" i="6" s="1"/>
  <c r="X1095" i="6" s="1"/>
  <c r="Y1095" i="6" s="1"/>
  <c r="Z1095" i="6" s="1"/>
  <c r="AA1095" i="6" s="1"/>
  <c r="R1095" i="6" s="1"/>
  <c r="F1095" i="6" s="1"/>
  <c r="E1095" i="6" s="1"/>
  <c r="M1095" i="6"/>
  <c r="T1094" i="6"/>
  <c r="U1094" i="6" s="1"/>
  <c r="V1094" i="6" s="1"/>
  <c r="W1094" i="6" s="1"/>
  <c r="X1094" i="6" s="1"/>
  <c r="Y1094" i="6" s="1"/>
  <c r="Z1094" i="6" s="1"/>
  <c r="AA1094" i="6" s="1"/>
  <c r="R1094" i="6" s="1"/>
  <c r="F1094" i="6" s="1"/>
  <c r="E1094" i="6" s="1"/>
  <c r="M1094" i="6"/>
  <c r="T1093" i="6"/>
  <c r="U1093" i="6" s="1"/>
  <c r="V1093" i="6" s="1"/>
  <c r="W1093" i="6" s="1"/>
  <c r="X1093" i="6" s="1"/>
  <c r="Y1093" i="6" s="1"/>
  <c r="Z1093" i="6" s="1"/>
  <c r="AA1093" i="6" s="1"/>
  <c r="R1093" i="6" s="1"/>
  <c r="F1093" i="6" s="1"/>
  <c r="E1093" i="6" s="1"/>
  <c r="M1093" i="6"/>
  <c r="T1092" i="6"/>
  <c r="U1092" i="6" s="1"/>
  <c r="V1092" i="6" s="1"/>
  <c r="W1092" i="6" s="1"/>
  <c r="X1092" i="6" s="1"/>
  <c r="Y1092" i="6" s="1"/>
  <c r="Z1092" i="6" s="1"/>
  <c r="AA1092" i="6" s="1"/>
  <c r="R1092" i="6" s="1"/>
  <c r="F1092" i="6" s="1"/>
  <c r="E1092" i="6" s="1"/>
  <c r="M1092" i="6"/>
  <c r="T1091" i="6"/>
  <c r="U1091" i="6" s="1"/>
  <c r="V1091" i="6" s="1"/>
  <c r="W1091" i="6" s="1"/>
  <c r="X1091" i="6" s="1"/>
  <c r="Y1091" i="6" s="1"/>
  <c r="Z1091" i="6" s="1"/>
  <c r="AA1091" i="6" s="1"/>
  <c r="R1091" i="6" s="1"/>
  <c r="F1091" i="6" s="1"/>
  <c r="E1091" i="6" s="1"/>
  <c r="M1091" i="6"/>
  <c r="T1090" i="6"/>
  <c r="U1090" i="6" s="1"/>
  <c r="V1090" i="6"/>
  <c r="W1090" i="6" s="1"/>
  <c r="X1090" i="6" s="1"/>
  <c r="Y1090" i="6" s="1"/>
  <c r="Z1090" i="6" s="1"/>
  <c r="AA1090" i="6" s="1"/>
  <c r="R1090" i="6" s="1"/>
  <c r="F1090" i="6" s="1"/>
  <c r="E1090" i="6" s="1"/>
  <c r="M1090" i="6"/>
  <c r="T1089" i="6"/>
  <c r="U1089" i="6" s="1"/>
  <c r="V1089" i="6" s="1"/>
  <c r="W1089" i="6"/>
  <c r="X1089" i="6" s="1"/>
  <c r="Y1089" i="6" s="1"/>
  <c r="Z1089" i="6" s="1"/>
  <c r="AA1089" i="6" s="1"/>
  <c r="R1089" i="6" s="1"/>
  <c r="F1089" i="6" s="1"/>
  <c r="E1089" i="6" s="1"/>
  <c r="M1089" i="6"/>
  <c r="T1088" i="6"/>
  <c r="U1088" i="6" s="1"/>
  <c r="V1088" i="6" s="1"/>
  <c r="W1088" i="6" s="1"/>
  <c r="X1088" i="6" s="1"/>
  <c r="Y1088" i="6" s="1"/>
  <c r="Z1088" i="6" s="1"/>
  <c r="AA1088" i="6" s="1"/>
  <c r="R1088" i="6" s="1"/>
  <c r="F1088" i="6" s="1"/>
  <c r="E1088" i="6" s="1"/>
  <c r="M1088" i="6"/>
  <c r="T1087" i="6"/>
  <c r="U1087" i="6" s="1"/>
  <c r="V1087" i="6" s="1"/>
  <c r="W1087" i="6" s="1"/>
  <c r="X1087" i="6" s="1"/>
  <c r="Y1087" i="6" s="1"/>
  <c r="Z1087" i="6" s="1"/>
  <c r="AA1087" i="6" s="1"/>
  <c r="R1087" i="6" s="1"/>
  <c r="F1087" i="6" s="1"/>
  <c r="E1087" i="6" s="1"/>
  <c r="M1087" i="6"/>
  <c r="T1086" i="6"/>
  <c r="U1086" i="6" s="1"/>
  <c r="V1086" i="6" s="1"/>
  <c r="W1086" i="6" s="1"/>
  <c r="X1086" i="6" s="1"/>
  <c r="Y1086" i="6" s="1"/>
  <c r="Z1086" i="6" s="1"/>
  <c r="AA1086" i="6" s="1"/>
  <c r="R1086" i="6" s="1"/>
  <c r="F1086" i="6" s="1"/>
  <c r="E1086" i="6" s="1"/>
  <c r="M1086" i="6"/>
  <c r="T1085" i="6"/>
  <c r="U1085" i="6" s="1"/>
  <c r="V1085" i="6" s="1"/>
  <c r="W1085" i="6" s="1"/>
  <c r="X1085" i="6" s="1"/>
  <c r="Y1085" i="6" s="1"/>
  <c r="Z1085" i="6" s="1"/>
  <c r="AA1085" i="6" s="1"/>
  <c r="R1085" i="6" s="1"/>
  <c r="F1085" i="6" s="1"/>
  <c r="E1085" i="6" s="1"/>
  <c r="M1085" i="6"/>
  <c r="T1084" i="6"/>
  <c r="U1084" i="6"/>
  <c r="V1084" i="6" s="1"/>
  <c r="W1084" i="6" s="1"/>
  <c r="X1084" i="6" s="1"/>
  <c r="Y1084" i="6" s="1"/>
  <c r="Z1084" i="6" s="1"/>
  <c r="AA1084" i="6" s="1"/>
  <c r="R1084" i="6" s="1"/>
  <c r="F1084" i="6" s="1"/>
  <c r="E1084" i="6" s="1"/>
  <c r="M1084" i="6"/>
  <c r="T1083" i="6"/>
  <c r="U1083" i="6" s="1"/>
  <c r="V1083" i="6" s="1"/>
  <c r="W1083" i="6" s="1"/>
  <c r="X1083" i="6" s="1"/>
  <c r="Y1083" i="6" s="1"/>
  <c r="Z1083" i="6" s="1"/>
  <c r="AA1083" i="6" s="1"/>
  <c r="R1083" i="6" s="1"/>
  <c r="F1083" i="6" s="1"/>
  <c r="E1083" i="6" s="1"/>
  <c r="M1083" i="6"/>
  <c r="T1082" i="6"/>
  <c r="U1082" i="6"/>
  <c r="V1082" i="6" s="1"/>
  <c r="W1082" i="6" s="1"/>
  <c r="X1082" i="6" s="1"/>
  <c r="Y1082" i="6" s="1"/>
  <c r="Z1082" i="6" s="1"/>
  <c r="AA1082" i="6" s="1"/>
  <c r="R1082" i="6" s="1"/>
  <c r="F1082" i="6" s="1"/>
  <c r="E1082" i="6" s="1"/>
  <c r="M1082" i="6"/>
  <c r="T1081" i="6"/>
  <c r="U1081" i="6" s="1"/>
  <c r="V1081" i="6" s="1"/>
  <c r="W1081" i="6" s="1"/>
  <c r="X1081" i="6" s="1"/>
  <c r="Y1081" i="6" s="1"/>
  <c r="Z1081" i="6" s="1"/>
  <c r="AA1081" i="6" s="1"/>
  <c r="R1081" i="6" s="1"/>
  <c r="F1081" i="6" s="1"/>
  <c r="E1081" i="6" s="1"/>
  <c r="M1081" i="6"/>
  <c r="T1080" i="6"/>
  <c r="U1080" i="6" s="1"/>
  <c r="V1080" i="6" s="1"/>
  <c r="W1080" i="6" s="1"/>
  <c r="X1080" i="6" s="1"/>
  <c r="Y1080" i="6" s="1"/>
  <c r="Z1080" i="6" s="1"/>
  <c r="AA1080" i="6" s="1"/>
  <c r="R1080" i="6" s="1"/>
  <c r="F1080" i="6" s="1"/>
  <c r="E1080" i="6" s="1"/>
  <c r="T1079" i="6"/>
  <c r="U1079" i="6" s="1"/>
  <c r="V1079" i="6" s="1"/>
  <c r="W1079" i="6" s="1"/>
  <c r="X1079" i="6" s="1"/>
  <c r="Y1079" i="6" s="1"/>
  <c r="Z1079" i="6" s="1"/>
  <c r="AA1079" i="6" s="1"/>
  <c r="R1079" i="6" s="1"/>
  <c r="F1079" i="6" s="1"/>
  <c r="E1079" i="6" s="1"/>
  <c r="M1079" i="6"/>
  <c r="T1078" i="6"/>
  <c r="U1078" i="6" s="1"/>
  <c r="V1078" i="6" s="1"/>
  <c r="W1078" i="6" s="1"/>
  <c r="X1078" i="6" s="1"/>
  <c r="Y1078" i="6" s="1"/>
  <c r="Z1078" i="6" s="1"/>
  <c r="AA1078" i="6" s="1"/>
  <c r="R1078" i="6" s="1"/>
  <c r="F1078" i="6" s="1"/>
  <c r="E1078" i="6" s="1"/>
  <c r="M1078" i="6"/>
  <c r="T1077" i="6"/>
  <c r="U1077" i="6" s="1"/>
  <c r="V1077" i="6" s="1"/>
  <c r="W1077" i="6" s="1"/>
  <c r="X1077" i="6" s="1"/>
  <c r="Y1077" i="6" s="1"/>
  <c r="Z1077" i="6" s="1"/>
  <c r="AA1077" i="6" s="1"/>
  <c r="R1077" i="6" s="1"/>
  <c r="F1077" i="6" s="1"/>
  <c r="E1077" i="6" s="1"/>
  <c r="M1077" i="6"/>
  <c r="T1076" i="6"/>
  <c r="U1076" i="6" s="1"/>
  <c r="V1076" i="6" s="1"/>
  <c r="W1076" i="6" s="1"/>
  <c r="X1076" i="6" s="1"/>
  <c r="Y1076" i="6" s="1"/>
  <c r="Z1076" i="6" s="1"/>
  <c r="AA1076" i="6" s="1"/>
  <c r="R1076" i="6" s="1"/>
  <c r="F1076" i="6" s="1"/>
  <c r="E1076" i="6" s="1"/>
  <c r="M1076" i="6"/>
  <c r="T1075" i="6"/>
  <c r="U1075" i="6" s="1"/>
  <c r="V1075" i="6" s="1"/>
  <c r="W1075" i="6" s="1"/>
  <c r="X1075" i="6" s="1"/>
  <c r="Y1075" i="6" s="1"/>
  <c r="Z1075" i="6" s="1"/>
  <c r="AA1075" i="6" s="1"/>
  <c r="R1075" i="6" s="1"/>
  <c r="M1075" i="6"/>
  <c r="E1075" i="6"/>
  <c r="W1074" i="6"/>
  <c r="X1074" i="6"/>
  <c r="Y1074" i="6" s="1"/>
  <c r="Z1074" i="6" s="1"/>
  <c r="AA1074" i="6" s="1"/>
  <c r="R1074" i="6" s="1"/>
  <c r="F1074" i="6" s="1"/>
  <c r="E1074" i="6" s="1"/>
  <c r="T1074" i="6"/>
  <c r="U1074" i="6" s="1"/>
  <c r="M1074" i="6"/>
  <c r="T1073" i="6"/>
  <c r="U1073" i="6"/>
  <c r="V1073" i="6" s="1"/>
  <c r="W1073" i="6" s="1"/>
  <c r="X1073" i="6" s="1"/>
  <c r="Y1073" i="6" s="1"/>
  <c r="Z1073" i="6" s="1"/>
  <c r="AA1073" i="6" s="1"/>
  <c r="R1073" i="6" s="1"/>
  <c r="F1073" i="6" s="1"/>
  <c r="E1073" i="6" s="1"/>
  <c r="M1073" i="6"/>
  <c r="T1072" i="6"/>
  <c r="U1072" i="6" s="1"/>
  <c r="V1072" i="6"/>
  <c r="W1072" i="6" s="1"/>
  <c r="X1072" i="6" s="1"/>
  <c r="Y1072" i="6" s="1"/>
  <c r="Z1072" i="6" s="1"/>
  <c r="AA1072" i="6" s="1"/>
  <c r="R1072" i="6" s="1"/>
  <c r="F1072" i="6" s="1"/>
  <c r="E1072" i="6" s="1"/>
  <c r="M1072" i="6"/>
  <c r="T1071" i="6"/>
  <c r="U1071" i="6"/>
  <c r="V1071" i="6" s="1"/>
  <c r="W1071" i="6" s="1"/>
  <c r="X1071" i="6" s="1"/>
  <c r="Y1071" i="6" s="1"/>
  <c r="Z1071" i="6" s="1"/>
  <c r="AA1071" i="6" s="1"/>
  <c r="R1071" i="6" s="1"/>
  <c r="F1071" i="6" s="1"/>
  <c r="E1071" i="6" s="1"/>
  <c r="M1071" i="6"/>
  <c r="T1070" i="6"/>
  <c r="U1070" i="6" s="1"/>
  <c r="V1070" i="6" s="1"/>
  <c r="W1070" i="6" s="1"/>
  <c r="X1070" i="6" s="1"/>
  <c r="Y1070" i="6" s="1"/>
  <c r="Z1070" i="6" s="1"/>
  <c r="AA1070" i="6" s="1"/>
  <c r="R1070" i="6" s="1"/>
  <c r="F1070" i="6" s="1"/>
  <c r="E1070" i="6" s="1"/>
  <c r="M1070" i="6"/>
  <c r="T1069" i="6"/>
  <c r="U1069" i="6" s="1"/>
  <c r="V1069" i="6" s="1"/>
  <c r="W1069" i="6" s="1"/>
  <c r="X1069" i="6"/>
  <c r="Y1069" i="6" s="1"/>
  <c r="Z1069" i="6" s="1"/>
  <c r="AA1069" i="6" s="1"/>
  <c r="R1069" i="6" s="1"/>
  <c r="F1069" i="6" s="1"/>
  <c r="E1069" i="6" s="1"/>
  <c r="M1069" i="6"/>
  <c r="T1068" i="6"/>
  <c r="U1068" i="6" s="1"/>
  <c r="V1068" i="6" s="1"/>
  <c r="W1068" i="6" s="1"/>
  <c r="X1068" i="6" s="1"/>
  <c r="Y1068" i="6" s="1"/>
  <c r="Z1068" i="6" s="1"/>
  <c r="AA1068" i="6" s="1"/>
  <c r="R1068" i="6" s="1"/>
  <c r="F1068" i="6" s="1"/>
  <c r="E1068" i="6" s="1"/>
  <c r="M1068" i="6"/>
  <c r="T1067" i="6"/>
  <c r="U1067" i="6"/>
  <c r="V1067" i="6" s="1"/>
  <c r="W1067" i="6" s="1"/>
  <c r="X1067" i="6" s="1"/>
  <c r="Y1067" i="6" s="1"/>
  <c r="Z1067" i="6" s="1"/>
  <c r="AA1067" i="6" s="1"/>
  <c r="R1067" i="6" s="1"/>
  <c r="F1067" i="6" s="1"/>
  <c r="E1067" i="6" s="1"/>
  <c r="M1067" i="6"/>
  <c r="T1066" i="6"/>
  <c r="U1066" i="6" s="1"/>
  <c r="V1066" i="6" s="1"/>
  <c r="W1066" i="6" s="1"/>
  <c r="X1066" i="6" s="1"/>
  <c r="Y1066" i="6" s="1"/>
  <c r="Z1066" i="6" s="1"/>
  <c r="AA1066" i="6" s="1"/>
  <c r="R1066" i="6" s="1"/>
  <c r="F1066" i="6" s="1"/>
  <c r="E1066" i="6" s="1"/>
  <c r="M1066" i="6"/>
  <c r="T1065" i="6"/>
  <c r="U1065" i="6" s="1"/>
  <c r="V1065" i="6" s="1"/>
  <c r="W1065" i="6" s="1"/>
  <c r="X1065" i="6" s="1"/>
  <c r="Y1065" i="6" s="1"/>
  <c r="Z1065" i="6" s="1"/>
  <c r="AA1065" i="6" s="1"/>
  <c r="R1065" i="6" s="1"/>
  <c r="F1065" i="6" s="1"/>
  <c r="E1065" i="6" s="1"/>
  <c r="M1065" i="6"/>
  <c r="T1064" i="6"/>
  <c r="U1064" i="6" s="1"/>
  <c r="V1064" i="6"/>
  <c r="W1064" i="6" s="1"/>
  <c r="X1064" i="6" s="1"/>
  <c r="Y1064" i="6" s="1"/>
  <c r="Z1064" i="6" s="1"/>
  <c r="AA1064" i="6" s="1"/>
  <c r="R1064" i="6" s="1"/>
  <c r="F1064" i="6" s="1"/>
  <c r="E1064" i="6" s="1"/>
  <c r="M1064" i="6"/>
  <c r="T1063" i="6"/>
  <c r="U1063" i="6"/>
  <c r="V1063" i="6" s="1"/>
  <c r="W1063" i="6" s="1"/>
  <c r="X1063" i="6" s="1"/>
  <c r="Y1063" i="6" s="1"/>
  <c r="Z1063" i="6" s="1"/>
  <c r="AA1063" i="6" s="1"/>
  <c r="R1063" i="6" s="1"/>
  <c r="F1063" i="6" s="1"/>
  <c r="E1063" i="6" s="1"/>
  <c r="M1063" i="6"/>
  <c r="T1062" i="6"/>
  <c r="U1062" i="6" s="1"/>
  <c r="V1062" i="6" s="1"/>
  <c r="W1062" i="6" s="1"/>
  <c r="X1062" i="6" s="1"/>
  <c r="Y1062" i="6" s="1"/>
  <c r="Z1062" i="6" s="1"/>
  <c r="AA1062" i="6" s="1"/>
  <c r="R1062" i="6" s="1"/>
  <c r="F1062" i="6" s="1"/>
  <c r="E1062" i="6" s="1"/>
  <c r="M1062" i="6"/>
  <c r="T1061" i="6"/>
  <c r="U1061" i="6" s="1"/>
  <c r="V1061" i="6" s="1"/>
  <c r="W1061" i="6" s="1"/>
  <c r="X1061" i="6" s="1"/>
  <c r="Y1061" i="6" s="1"/>
  <c r="Z1061" i="6" s="1"/>
  <c r="AA1061" i="6" s="1"/>
  <c r="R1061" i="6" s="1"/>
  <c r="F1061" i="6" s="1"/>
  <c r="E1061" i="6" s="1"/>
  <c r="M1061" i="6"/>
  <c r="T1060" i="6"/>
  <c r="U1060" i="6" s="1"/>
  <c r="V1060" i="6" s="1"/>
  <c r="W1060" i="6" s="1"/>
  <c r="X1060" i="6" s="1"/>
  <c r="Y1060" i="6" s="1"/>
  <c r="Z1060" i="6" s="1"/>
  <c r="AA1060" i="6" s="1"/>
  <c r="R1060" i="6" s="1"/>
  <c r="F1060" i="6" s="1"/>
  <c r="E1060" i="6" s="1"/>
  <c r="M1060" i="6"/>
  <c r="Z1059" i="6"/>
  <c r="AA1059" i="6" s="1"/>
  <c r="R1059" i="6" s="1"/>
  <c r="F1059" i="6" s="1"/>
  <c r="E1059" i="6" s="1"/>
  <c r="T1059" i="6"/>
  <c r="U1059" i="6"/>
  <c r="V1059" i="6" s="1"/>
  <c r="W1059" i="6" s="1"/>
  <c r="X1059" i="6" s="1"/>
  <c r="M1059" i="6"/>
  <c r="T1058" i="6"/>
  <c r="U1058" i="6"/>
  <c r="V1058" i="6" s="1"/>
  <c r="W1058" i="6" s="1"/>
  <c r="X1058" i="6" s="1"/>
  <c r="Y1058" i="6" s="1"/>
  <c r="Z1058" i="6" s="1"/>
  <c r="AA1058" i="6" s="1"/>
  <c r="R1058" i="6" s="1"/>
  <c r="F1058" i="6" s="1"/>
  <c r="E1058" i="6" s="1"/>
  <c r="M1058" i="6"/>
  <c r="U1057" i="6"/>
  <c r="V1057" i="6" s="1"/>
  <c r="W1057" i="6" s="1"/>
  <c r="X1057" i="6" s="1"/>
  <c r="Y1057" i="6" s="1"/>
  <c r="Z1057" i="6" s="1"/>
  <c r="AA1057" i="6" s="1"/>
  <c r="R1057" i="6" s="1"/>
  <c r="F1057" i="6" s="1"/>
  <c r="E1057" i="6" s="1"/>
  <c r="M1057" i="6"/>
  <c r="U1056" i="6"/>
  <c r="V1056" i="6" s="1"/>
  <c r="W1056" i="6"/>
  <c r="X1056" i="6" s="1"/>
  <c r="Y1056" i="6" s="1"/>
  <c r="Z1056" i="6" s="1"/>
  <c r="AA1056" i="6" s="1"/>
  <c r="R1056" i="6" s="1"/>
  <c r="F1056" i="6" s="1"/>
  <c r="E1056" i="6" s="1"/>
  <c r="M1056" i="6"/>
  <c r="U1055" i="6"/>
  <c r="V1055" i="6"/>
  <c r="W1055" i="6" s="1"/>
  <c r="X1055" i="6" s="1"/>
  <c r="Y1055" i="6" s="1"/>
  <c r="Z1055" i="6" s="1"/>
  <c r="AA1055" i="6" s="1"/>
  <c r="R1055" i="6" s="1"/>
  <c r="F1055" i="6" s="1"/>
  <c r="E1055" i="6" s="1"/>
  <c r="M1055" i="6"/>
  <c r="U1054" i="6"/>
  <c r="V1054" i="6"/>
  <c r="W1054" i="6" s="1"/>
  <c r="X1054" i="6" s="1"/>
  <c r="Y1054" i="6" s="1"/>
  <c r="Z1054" i="6" s="1"/>
  <c r="AA1054" i="6" s="1"/>
  <c r="R1054" i="6"/>
  <c r="F1054" i="6" s="1"/>
  <c r="E1054" i="6" s="1"/>
  <c r="M1054" i="6"/>
  <c r="U1053" i="6"/>
  <c r="V1053" i="6"/>
  <c r="W1053" i="6" s="1"/>
  <c r="X1053" i="6" s="1"/>
  <c r="Y1053" i="6" s="1"/>
  <c r="Z1053" i="6" s="1"/>
  <c r="AA1053" i="6" s="1"/>
  <c r="R1053" i="6" s="1"/>
  <c r="F1053" i="6" s="1"/>
  <c r="E1053" i="6" s="1"/>
  <c r="M1053" i="6"/>
  <c r="U1052" i="6"/>
  <c r="V1052" i="6" s="1"/>
  <c r="W1052" i="6" s="1"/>
  <c r="X1052" i="6" s="1"/>
  <c r="Y1052" i="6" s="1"/>
  <c r="Z1052" i="6" s="1"/>
  <c r="AA1052" i="6" s="1"/>
  <c r="R1052" i="6" s="1"/>
  <c r="F1052" i="6" s="1"/>
  <c r="E1052" i="6" s="1"/>
  <c r="M1052" i="6"/>
  <c r="U1051" i="6"/>
  <c r="V1051" i="6" s="1"/>
  <c r="W1051" i="6" s="1"/>
  <c r="X1051" i="6" s="1"/>
  <c r="Y1051" i="6" s="1"/>
  <c r="Z1051" i="6" s="1"/>
  <c r="AA1051" i="6" s="1"/>
  <c r="R1051" i="6" s="1"/>
  <c r="F1051" i="6" s="1"/>
  <c r="E1051" i="6" s="1"/>
  <c r="M1051" i="6"/>
  <c r="U1050" i="6"/>
  <c r="V1050" i="6" s="1"/>
  <c r="W1050" i="6" s="1"/>
  <c r="X1050" i="6" s="1"/>
  <c r="Y1050" i="6" s="1"/>
  <c r="Z1050" i="6" s="1"/>
  <c r="AA1050" i="6" s="1"/>
  <c r="R1050" i="6" s="1"/>
  <c r="F1050" i="6" s="1"/>
  <c r="E1050" i="6" s="1"/>
  <c r="M1050" i="6"/>
  <c r="U1049" i="6"/>
  <c r="V1049" i="6" s="1"/>
  <c r="W1049" i="6" s="1"/>
  <c r="X1049" i="6" s="1"/>
  <c r="Y1049" i="6" s="1"/>
  <c r="Z1049" i="6"/>
  <c r="AA1049" i="6" s="1"/>
  <c r="R1049" i="6" s="1"/>
  <c r="F1049" i="6" s="1"/>
  <c r="E1049" i="6" s="1"/>
  <c r="M1049" i="6"/>
  <c r="AA1048" i="6"/>
  <c r="R1048" i="6" s="1"/>
  <c r="F1048" i="6" s="1"/>
  <c r="E1048" i="6" s="1"/>
  <c r="U1048" i="6"/>
  <c r="V1048" i="6"/>
  <c r="W1048" i="6" s="1"/>
  <c r="X1048" i="6" s="1"/>
  <c r="Y1048" i="6" s="1"/>
  <c r="M1048" i="6"/>
  <c r="U1047" i="6"/>
  <c r="V1047" i="6" s="1"/>
  <c r="W1047" i="6" s="1"/>
  <c r="X1047" i="6" s="1"/>
  <c r="Y1047" i="6" s="1"/>
  <c r="Z1047" i="6" s="1"/>
  <c r="AA1047" i="6" s="1"/>
  <c r="R1047" i="6" s="1"/>
  <c r="F1047" i="6" s="1"/>
  <c r="E1047" i="6" s="1"/>
  <c r="M1047" i="6"/>
  <c r="U1046" i="6"/>
  <c r="V1046" i="6" s="1"/>
  <c r="W1046" i="6"/>
  <c r="X1046" i="6" s="1"/>
  <c r="Y1046" i="6" s="1"/>
  <c r="Z1046" i="6" s="1"/>
  <c r="AA1046" i="6" s="1"/>
  <c r="R1046" i="6" s="1"/>
  <c r="F1046" i="6" s="1"/>
  <c r="E1046" i="6" s="1"/>
  <c r="M1046" i="6"/>
  <c r="AA1045" i="6"/>
  <c r="R1045" i="6" s="1"/>
  <c r="F1045" i="6" s="1"/>
  <c r="E1045" i="6" s="1"/>
  <c r="U1045" i="6"/>
  <c r="V1045" i="6" s="1"/>
  <c r="W1045" i="6" s="1"/>
  <c r="X1045" i="6" s="1"/>
  <c r="Y1045" i="6" s="1"/>
  <c r="M1045" i="6"/>
  <c r="U1044" i="6"/>
  <c r="V1044" i="6" s="1"/>
  <c r="W1044" i="6" s="1"/>
  <c r="X1044" i="6" s="1"/>
  <c r="Y1044" i="6" s="1"/>
  <c r="Z1044" i="6" s="1"/>
  <c r="AA1044" i="6" s="1"/>
  <c r="R1044" i="6" s="1"/>
  <c r="F1044" i="6" s="1"/>
  <c r="E1044" i="6" s="1"/>
  <c r="M1044" i="6"/>
  <c r="U1043" i="6"/>
  <c r="V1043" i="6" s="1"/>
  <c r="W1043" i="6"/>
  <c r="X1043" i="6" s="1"/>
  <c r="Y1043" i="6" s="1"/>
  <c r="Z1043" i="6" s="1"/>
  <c r="AA1043" i="6" s="1"/>
  <c r="R1043" i="6" s="1"/>
  <c r="F1043" i="6" s="1"/>
  <c r="E1043" i="6" s="1"/>
  <c r="M1043" i="6"/>
  <c r="U1042" i="6"/>
  <c r="V1042" i="6"/>
  <c r="W1042" i="6" s="1"/>
  <c r="X1042" i="6" s="1"/>
  <c r="Y1042" i="6" s="1"/>
  <c r="Z1042" i="6" s="1"/>
  <c r="AA1042" i="6" s="1"/>
  <c r="R1042" i="6" s="1"/>
  <c r="F1042" i="6" s="1"/>
  <c r="E1042" i="6" s="1"/>
  <c r="M1042" i="6"/>
  <c r="U1041" i="6"/>
  <c r="V1041" i="6"/>
  <c r="W1041" i="6" s="1"/>
  <c r="X1041" i="6" s="1"/>
  <c r="Y1041" i="6" s="1"/>
  <c r="Z1041" i="6" s="1"/>
  <c r="AA1041" i="6" s="1"/>
  <c r="R1041" i="6" s="1"/>
  <c r="F1041" i="6" s="1"/>
  <c r="E1041" i="6" s="1"/>
  <c r="M1041" i="6"/>
  <c r="U1040" i="6"/>
  <c r="V1040" i="6"/>
  <c r="W1040" i="6" s="1"/>
  <c r="X1040" i="6" s="1"/>
  <c r="Y1040" i="6" s="1"/>
  <c r="Z1040" i="6" s="1"/>
  <c r="AA1040" i="6" s="1"/>
  <c r="R1040" i="6" s="1"/>
  <c r="F1040" i="6" s="1"/>
  <c r="E1040" i="6" s="1"/>
  <c r="M1040" i="6"/>
  <c r="AA1039" i="6"/>
  <c r="R1039" i="6" s="1"/>
  <c r="F1039" i="6" s="1"/>
  <c r="E1039" i="6" s="1"/>
  <c r="U1039" i="6"/>
  <c r="V1039" i="6" s="1"/>
  <c r="W1039" i="6" s="1"/>
  <c r="X1039" i="6" s="1"/>
  <c r="Y1039" i="6" s="1"/>
  <c r="M1039" i="6"/>
  <c r="U1038" i="6"/>
  <c r="V1038" i="6" s="1"/>
  <c r="W1038" i="6" s="1"/>
  <c r="X1038" i="6" s="1"/>
  <c r="Y1038" i="6" s="1"/>
  <c r="Z1038" i="6" s="1"/>
  <c r="AA1038" i="6" s="1"/>
  <c r="R1038" i="6" s="1"/>
  <c r="F1038" i="6" s="1"/>
  <c r="E1038" i="6" s="1"/>
  <c r="M1038" i="6"/>
  <c r="U1037" i="6"/>
  <c r="V1037" i="6" s="1"/>
  <c r="W1037" i="6" s="1"/>
  <c r="X1037" i="6" s="1"/>
  <c r="Y1037" i="6" s="1"/>
  <c r="Z1037" i="6" s="1"/>
  <c r="AA1037" i="6" s="1"/>
  <c r="R1037" i="6" s="1"/>
  <c r="F1037" i="6" s="1"/>
  <c r="E1037" i="6" s="1"/>
  <c r="M1037" i="6"/>
  <c r="U1036" i="6"/>
  <c r="V1036" i="6" s="1"/>
  <c r="W1036" i="6" s="1"/>
  <c r="X1036" i="6" s="1"/>
  <c r="Y1036" i="6" s="1"/>
  <c r="Z1036" i="6" s="1"/>
  <c r="AA1036" i="6" s="1"/>
  <c r="R1036" i="6" s="1"/>
  <c r="F1036" i="6" s="1"/>
  <c r="E1036" i="6" s="1"/>
  <c r="M1036" i="6"/>
  <c r="U1035" i="6"/>
  <c r="V1035" i="6" s="1"/>
  <c r="W1035" i="6" s="1"/>
  <c r="X1035" i="6" s="1"/>
  <c r="Y1035" i="6" s="1"/>
  <c r="Z1035" i="6" s="1"/>
  <c r="AA1035" i="6" s="1"/>
  <c r="R1035" i="6" s="1"/>
  <c r="F1035" i="6" s="1"/>
  <c r="E1035" i="6" s="1"/>
  <c r="M1035" i="6"/>
  <c r="U1034" i="6"/>
  <c r="V1034" i="6" s="1"/>
  <c r="W1034" i="6" s="1"/>
  <c r="X1034" i="6"/>
  <c r="Y1034" i="6" s="1"/>
  <c r="Z1034" i="6" s="1"/>
  <c r="AA1034" i="6" s="1"/>
  <c r="R1034" i="6" s="1"/>
  <c r="F1034" i="6" s="1"/>
  <c r="E1034" i="6" s="1"/>
  <c r="M1034" i="6"/>
  <c r="U1033" i="6"/>
  <c r="V1033" i="6" s="1"/>
  <c r="W1033" i="6"/>
  <c r="X1033" i="6" s="1"/>
  <c r="Y1033" i="6" s="1"/>
  <c r="Z1033" i="6" s="1"/>
  <c r="AA1033" i="6" s="1"/>
  <c r="R1033" i="6" s="1"/>
  <c r="F1033" i="6" s="1"/>
  <c r="E1033" i="6" s="1"/>
  <c r="M1033" i="6"/>
  <c r="U1032" i="6"/>
  <c r="V1032" i="6" s="1"/>
  <c r="W1032" i="6" s="1"/>
  <c r="X1032" i="6" s="1"/>
  <c r="Y1032" i="6" s="1"/>
  <c r="Z1032" i="6" s="1"/>
  <c r="AA1032" i="6" s="1"/>
  <c r="R1032" i="6" s="1"/>
  <c r="F1032" i="6" s="1"/>
  <c r="E1032" i="6" s="1"/>
  <c r="M1032" i="6"/>
  <c r="U1031" i="6"/>
  <c r="V1031" i="6" s="1"/>
  <c r="W1031" i="6" s="1"/>
  <c r="X1031" i="6" s="1"/>
  <c r="Y1031" i="6" s="1"/>
  <c r="Z1031" i="6" s="1"/>
  <c r="AA1031" i="6" s="1"/>
  <c r="R1031" i="6" s="1"/>
  <c r="F1031" i="6" s="1"/>
  <c r="E1031" i="6" s="1"/>
  <c r="M1031" i="6"/>
  <c r="U1030" i="6"/>
  <c r="V1030" i="6" s="1"/>
  <c r="W1030" i="6" s="1"/>
  <c r="X1030" i="6" s="1"/>
  <c r="Y1030" i="6" s="1"/>
  <c r="Z1030" i="6" s="1"/>
  <c r="AA1030" i="6" s="1"/>
  <c r="R1030" i="6" s="1"/>
  <c r="F1030" i="6" s="1"/>
  <c r="E1030" i="6" s="1"/>
  <c r="M1030" i="6"/>
  <c r="U1029" i="6"/>
  <c r="V1029" i="6" s="1"/>
  <c r="W1029" i="6" s="1"/>
  <c r="X1029" i="6" s="1"/>
  <c r="Y1029" i="6" s="1"/>
  <c r="Z1029" i="6" s="1"/>
  <c r="AA1029" i="6" s="1"/>
  <c r="R1029" i="6" s="1"/>
  <c r="F1029" i="6" s="1"/>
  <c r="E1029" i="6" s="1"/>
  <c r="M1029" i="6"/>
  <c r="U1028" i="6"/>
  <c r="V1028" i="6" s="1"/>
  <c r="W1028" i="6" s="1"/>
  <c r="X1028" i="6"/>
  <c r="Y1028" i="6" s="1"/>
  <c r="Z1028" i="6" s="1"/>
  <c r="AA1028" i="6" s="1"/>
  <c r="R1028" i="6" s="1"/>
  <c r="F1028" i="6" s="1"/>
  <c r="E1028" i="6" s="1"/>
  <c r="M1028" i="6"/>
  <c r="T1027" i="6"/>
  <c r="U1027" i="6"/>
  <c r="V1027" i="6" s="1"/>
  <c r="W1027" i="6" s="1"/>
  <c r="X1027" i="6" s="1"/>
  <c r="Y1027" i="6" s="1"/>
  <c r="Z1027" i="6"/>
  <c r="AA1027" i="6" s="1"/>
  <c r="R1027" i="6" s="1"/>
  <c r="F1027" i="6" s="1"/>
  <c r="E1027" i="6" s="1"/>
  <c r="M1027" i="6"/>
  <c r="T1026" i="6"/>
  <c r="U1026" i="6" s="1"/>
  <c r="V1026" i="6" s="1"/>
  <c r="W1026" i="6" s="1"/>
  <c r="X1026" i="6" s="1"/>
  <c r="Y1026" i="6" s="1"/>
  <c r="Z1026" i="6" s="1"/>
  <c r="AA1026" i="6"/>
  <c r="R1026" i="6" s="1"/>
  <c r="F1026" i="6" s="1"/>
  <c r="E1026" i="6" s="1"/>
  <c r="M1026" i="6"/>
  <c r="T1025" i="6"/>
  <c r="U1025" i="6" s="1"/>
  <c r="V1025" i="6" s="1"/>
  <c r="W1025" i="6" s="1"/>
  <c r="X1025" i="6" s="1"/>
  <c r="Y1025" i="6" s="1"/>
  <c r="Z1025" i="6" s="1"/>
  <c r="AA1025" i="6" s="1"/>
  <c r="R1025" i="6" s="1"/>
  <c r="F1025" i="6" s="1"/>
  <c r="E1025" i="6" s="1"/>
  <c r="M1025" i="6"/>
  <c r="T1024" i="6"/>
  <c r="U1024" i="6" s="1"/>
  <c r="V1024" i="6"/>
  <c r="W1024" i="6" s="1"/>
  <c r="X1024" i="6" s="1"/>
  <c r="Y1024" i="6" s="1"/>
  <c r="Z1024" i="6" s="1"/>
  <c r="AA1024" i="6" s="1"/>
  <c r="R1024" i="6" s="1"/>
  <c r="F1024" i="6" s="1"/>
  <c r="E1024" i="6" s="1"/>
  <c r="M1024" i="6"/>
  <c r="T1023" i="6"/>
  <c r="U1023" i="6" s="1"/>
  <c r="V1023" i="6" s="1"/>
  <c r="W1023" i="6" s="1"/>
  <c r="X1023" i="6" s="1"/>
  <c r="Y1023" i="6" s="1"/>
  <c r="Z1023" i="6" s="1"/>
  <c r="AA1023" i="6" s="1"/>
  <c r="R1023" i="6" s="1"/>
  <c r="F1023" i="6" s="1"/>
  <c r="E1023" i="6" s="1"/>
  <c r="M1023" i="6"/>
  <c r="T1022" i="6"/>
  <c r="U1022" i="6" s="1"/>
  <c r="V1022" i="6" s="1"/>
  <c r="W1022" i="6" s="1"/>
  <c r="X1022" i="6" s="1"/>
  <c r="Y1022" i="6" s="1"/>
  <c r="Z1022" i="6" s="1"/>
  <c r="AA1022" i="6" s="1"/>
  <c r="R1022" i="6" s="1"/>
  <c r="F1022" i="6" s="1"/>
  <c r="E1022" i="6" s="1"/>
  <c r="M1022" i="6"/>
  <c r="T1021" i="6"/>
  <c r="U1021" i="6" s="1"/>
  <c r="V1021" i="6" s="1"/>
  <c r="W1021" i="6" s="1"/>
  <c r="X1021" i="6" s="1"/>
  <c r="Y1021" i="6" s="1"/>
  <c r="Z1021" i="6" s="1"/>
  <c r="AA1021" i="6" s="1"/>
  <c r="R1021" i="6" s="1"/>
  <c r="F1021" i="6" s="1"/>
  <c r="E1021" i="6" s="1"/>
  <c r="M1021" i="6"/>
  <c r="T1020" i="6"/>
  <c r="U1020" i="6" s="1"/>
  <c r="V1020" i="6" s="1"/>
  <c r="W1020" i="6" s="1"/>
  <c r="X1020" i="6" s="1"/>
  <c r="Y1020" i="6" s="1"/>
  <c r="Z1020" i="6" s="1"/>
  <c r="AA1020" i="6" s="1"/>
  <c r="R1020" i="6" s="1"/>
  <c r="F1020" i="6" s="1"/>
  <c r="E1020" i="6" s="1"/>
  <c r="M1020" i="6"/>
  <c r="T1019" i="6"/>
  <c r="U1019" i="6"/>
  <c r="V1019" i="6" s="1"/>
  <c r="W1019" i="6" s="1"/>
  <c r="X1019" i="6" s="1"/>
  <c r="Y1019" i="6" s="1"/>
  <c r="Z1019" i="6"/>
  <c r="AA1019" i="6" s="1"/>
  <c r="R1019" i="6" s="1"/>
  <c r="F1019" i="6" s="1"/>
  <c r="E1019" i="6" s="1"/>
  <c r="M1019" i="6"/>
  <c r="T1018" i="6"/>
  <c r="U1018" i="6" s="1"/>
  <c r="V1018" i="6" s="1"/>
  <c r="W1018" i="6" s="1"/>
  <c r="X1018" i="6" s="1"/>
  <c r="Y1018" i="6" s="1"/>
  <c r="Z1018" i="6" s="1"/>
  <c r="AA1018" i="6" s="1"/>
  <c r="R1018" i="6" s="1"/>
  <c r="F1018" i="6" s="1"/>
  <c r="E1018" i="6" s="1"/>
  <c r="M1018" i="6"/>
  <c r="T1017" i="6"/>
  <c r="U1017" i="6" s="1"/>
  <c r="V1017" i="6" s="1"/>
  <c r="W1017" i="6" s="1"/>
  <c r="X1017" i="6" s="1"/>
  <c r="Y1017" i="6" s="1"/>
  <c r="Z1017" i="6" s="1"/>
  <c r="AA1017" i="6" s="1"/>
  <c r="R1017" i="6" s="1"/>
  <c r="F1017" i="6" s="1"/>
  <c r="E1017" i="6" s="1"/>
  <c r="M1017" i="6"/>
  <c r="Z1016" i="6"/>
  <c r="AA1016" i="6" s="1"/>
  <c r="R1016" i="6" s="1"/>
  <c r="F1016" i="6" s="1"/>
  <c r="E1016" i="6" s="1"/>
  <c r="T1016" i="6"/>
  <c r="U1016" i="6" s="1"/>
  <c r="V1016" i="6" s="1"/>
  <c r="W1016" i="6" s="1"/>
  <c r="X1016" i="6" s="1"/>
  <c r="M1016" i="6"/>
  <c r="Z1015" i="6"/>
  <c r="AA1015" i="6" s="1"/>
  <c r="R1015" i="6" s="1"/>
  <c r="F1015" i="6" s="1"/>
  <c r="E1015" i="6" s="1"/>
  <c r="T1015" i="6"/>
  <c r="U1015" i="6" s="1"/>
  <c r="V1015" i="6"/>
  <c r="W1015" i="6" s="1"/>
  <c r="X1015" i="6" s="1"/>
  <c r="M1015" i="6"/>
  <c r="Z1014" i="6"/>
  <c r="AA1014" i="6" s="1"/>
  <c r="R1014" i="6" s="1"/>
  <c r="F1014" i="6" s="1"/>
  <c r="E1014" i="6" s="1"/>
  <c r="T1014" i="6"/>
  <c r="U1014" i="6"/>
  <c r="V1014" i="6" s="1"/>
  <c r="W1014" i="6" s="1"/>
  <c r="X1014" i="6" s="1"/>
  <c r="M1014" i="6"/>
  <c r="Z1013" i="6"/>
  <c r="AA1013" i="6"/>
  <c r="R1013" i="6" s="1"/>
  <c r="F1013" i="6" s="1"/>
  <c r="E1013" i="6" s="1"/>
  <c r="T1013" i="6"/>
  <c r="U1013" i="6" s="1"/>
  <c r="V1013" i="6" s="1"/>
  <c r="W1013" i="6" s="1"/>
  <c r="X1013" i="6" s="1"/>
  <c r="M1013" i="6"/>
  <c r="Z1012" i="6"/>
  <c r="AA1012" i="6" s="1"/>
  <c r="R1012" i="6" s="1"/>
  <c r="F1012" i="6"/>
  <c r="E1012" i="6" s="1"/>
  <c r="T1012" i="6"/>
  <c r="U1012" i="6" s="1"/>
  <c r="V1012" i="6" s="1"/>
  <c r="W1012" i="6" s="1"/>
  <c r="X1012" i="6" s="1"/>
  <c r="M1012" i="6"/>
  <c r="T1011" i="6"/>
  <c r="U1011" i="6" s="1"/>
  <c r="V1011" i="6" s="1"/>
  <c r="W1011" i="6" s="1"/>
  <c r="X1011" i="6" s="1"/>
  <c r="Y1011" i="6" s="1"/>
  <c r="Z1011" i="6" s="1"/>
  <c r="AA1011" i="6" s="1"/>
  <c r="R1011" i="6" s="1"/>
  <c r="F1011" i="6" s="1"/>
  <c r="E1011" i="6" s="1"/>
  <c r="M1011" i="6"/>
  <c r="T1010" i="6"/>
  <c r="U1010" i="6" s="1"/>
  <c r="V1010" i="6" s="1"/>
  <c r="W1010" i="6" s="1"/>
  <c r="X1010" i="6" s="1"/>
  <c r="Y1010" i="6" s="1"/>
  <c r="Z1010" i="6" s="1"/>
  <c r="AA1010" i="6" s="1"/>
  <c r="R1010" i="6" s="1"/>
  <c r="F1010" i="6" s="1"/>
  <c r="E1010" i="6" s="1"/>
  <c r="M1010" i="6"/>
  <c r="Z1009" i="6"/>
  <c r="AA1009" i="6" s="1"/>
  <c r="R1009" i="6" s="1"/>
  <c r="F1009" i="6" s="1"/>
  <c r="E1009" i="6" s="1"/>
  <c r="T1009" i="6"/>
  <c r="U1009" i="6" s="1"/>
  <c r="V1009" i="6" s="1"/>
  <c r="W1009" i="6" s="1"/>
  <c r="X1009" i="6" s="1"/>
  <c r="O1009" i="6"/>
  <c r="M1009" i="6"/>
  <c r="Z1008" i="6"/>
  <c r="AA1008" i="6"/>
  <c r="R1008" i="6" s="1"/>
  <c r="F1008" i="6" s="1"/>
  <c r="E1008" i="6" s="1"/>
  <c r="T1008" i="6"/>
  <c r="U1008" i="6" s="1"/>
  <c r="V1008" i="6" s="1"/>
  <c r="W1008" i="6" s="1"/>
  <c r="X1008" i="6" s="1"/>
  <c r="O1008" i="6"/>
  <c r="M1008" i="6"/>
  <c r="Z1007" i="6"/>
  <c r="AA1007" i="6" s="1"/>
  <c r="R1007" i="6" s="1"/>
  <c r="F1007" i="6" s="1"/>
  <c r="T1007" i="6"/>
  <c r="U1007" i="6"/>
  <c r="V1007" i="6" s="1"/>
  <c r="W1007" i="6" s="1"/>
  <c r="X1007" i="6" s="1"/>
  <c r="E1007" i="6"/>
  <c r="O1007" i="6"/>
  <c r="M1007" i="6"/>
  <c r="Z1006" i="6"/>
  <c r="AA1006" i="6" s="1"/>
  <c r="R1006" i="6" s="1"/>
  <c r="F1006" i="6" s="1"/>
  <c r="E1006" i="6" s="1"/>
  <c r="T1006" i="6"/>
  <c r="U1006" i="6" s="1"/>
  <c r="V1006" i="6" s="1"/>
  <c r="W1006" i="6" s="1"/>
  <c r="X1006" i="6" s="1"/>
  <c r="O1006" i="6"/>
  <c r="M1006" i="6"/>
  <c r="Z1005" i="6"/>
  <c r="AA1005" i="6"/>
  <c r="R1005" i="6" s="1"/>
  <c r="F1005" i="6" s="1"/>
  <c r="E1005" i="6" s="1"/>
  <c r="T1005" i="6"/>
  <c r="U1005" i="6"/>
  <c r="V1005" i="6" s="1"/>
  <c r="W1005" i="6" s="1"/>
  <c r="X1005" i="6" s="1"/>
  <c r="O1005" i="6"/>
  <c r="M1005" i="6"/>
  <c r="Z1004" i="6"/>
  <c r="AA1004" i="6" s="1"/>
  <c r="R1004" i="6" s="1"/>
  <c r="F1004" i="6" s="1"/>
  <c r="E1004" i="6" s="1"/>
  <c r="T1004" i="6"/>
  <c r="U1004" i="6" s="1"/>
  <c r="V1004" i="6"/>
  <c r="W1004" i="6" s="1"/>
  <c r="X1004" i="6" s="1"/>
  <c r="O1004" i="6"/>
  <c r="M1004" i="6"/>
  <c r="AA1003" i="6"/>
  <c r="R1003" i="6" s="1"/>
  <c r="F1003" i="6" s="1"/>
  <c r="E1003" i="6" s="1"/>
  <c r="T1003" i="6"/>
  <c r="U1003" i="6" s="1"/>
  <c r="V1003" i="6"/>
  <c r="W1003" i="6" s="1"/>
  <c r="X1003" i="6" s="1"/>
  <c r="O1003" i="6"/>
  <c r="M1003" i="6"/>
  <c r="AA1002" i="6"/>
  <c r="R1002" i="6" s="1"/>
  <c r="F1002" i="6" s="1"/>
  <c r="E1002" i="6" s="1"/>
  <c r="T1002" i="6"/>
  <c r="U1002" i="6"/>
  <c r="V1002" i="6" s="1"/>
  <c r="W1002" i="6" s="1"/>
  <c r="X1002" i="6" s="1"/>
  <c r="O1002" i="6"/>
  <c r="M1002" i="6"/>
  <c r="AA1001" i="6"/>
  <c r="R1001" i="6" s="1"/>
  <c r="F1001" i="6" s="1"/>
  <c r="E1001" i="6" s="1"/>
  <c r="T1001" i="6"/>
  <c r="U1001" i="6"/>
  <c r="V1001" i="6" s="1"/>
  <c r="W1001" i="6" s="1"/>
  <c r="X1001" i="6" s="1"/>
  <c r="O1001" i="6"/>
  <c r="M1001" i="6"/>
  <c r="AA1000" i="6"/>
  <c r="R1000" i="6" s="1"/>
  <c r="F1000" i="6" s="1"/>
  <c r="E1000" i="6" s="1"/>
  <c r="T1000" i="6"/>
  <c r="U1000" i="6"/>
  <c r="V1000" i="6" s="1"/>
  <c r="W1000" i="6" s="1"/>
  <c r="X1000" i="6" s="1"/>
  <c r="O1000" i="6"/>
  <c r="M1000" i="6"/>
  <c r="Z999" i="6"/>
  <c r="AA999" i="6" s="1"/>
  <c r="R999" i="6"/>
  <c r="F999" i="6" s="1"/>
  <c r="E999" i="6"/>
  <c r="T999" i="6"/>
  <c r="U999" i="6" s="1"/>
  <c r="V999" i="6" s="1"/>
  <c r="W999" i="6" s="1"/>
  <c r="X999" i="6" s="1"/>
  <c r="O999" i="6"/>
  <c r="M999" i="6"/>
  <c r="Z998" i="6"/>
  <c r="AA998" i="6" s="1"/>
  <c r="R998" i="6" s="1"/>
  <c r="F998" i="6" s="1"/>
  <c r="E998" i="6" s="1"/>
  <c r="T998" i="6"/>
  <c r="U998" i="6"/>
  <c r="V998" i="6" s="1"/>
  <c r="W998" i="6" s="1"/>
  <c r="X998" i="6" s="1"/>
  <c r="O998" i="6"/>
  <c r="M998" i="6"/>
  <c r="Z997" i="6"/>
  <c r="AA997" i="6" s="1"/>
  <c r="R997" i="6" s="1"/>
  <c r="F997" i="6" s="1"/>
  <c r="E997" i="6" s="1"/>
  <c r="T997" i="6"/>
  <c r="U997" i="6" s="1"/>
  <c r="V997" i="6" s="1"/>
  <c r="W997" i="6" s="1"/>
  <c r="X997" i="6" s="1"/>
  <c r="O997" i="6"/>
  <c r="M997" i="6"/>
  <c r="Z996" i="6"/>
  <c r="AA996" i="6" s="1"/>
  <c r="R996" i="6" s="1"/>
  <c r="F996" i="6" s="1"/>
  <c r="E996" i="6" s="1"/>
  <c r="T996" i="6"/>
  <c r="U996" i="6" s="1"/>
  <c r="V996" i="6" s="1"/>
  <c r="W996" i="6" s="1"/>
  <c r="X996" i="6" s="1"/>
  <c r="O996" i="6"/>
  <c r="M996" i="6"/>
  <c r="Z995" i="6"/>
  <c r="AA995" i="6" s="1"/>
  <c r="R995" i="6" s="1"/>
  <c r="F995" i="6" s="1"/>
  <c r="E995" i="6" s="1"/>
  <c r="T995" i="6"/>
  <c r="U995" i="6" s="1"/>
  <c r="V995" i="6" s="1"/>
  <c r="W995" i="6" s="1"/>
  <c r="X995" i="6" s="1"/>
  <c r="O995" i="6"/>
  <c r="M995" i="6"/>
  <c r="Z994" i="6"/>
  <c r="AA994" i="6" s="1"/>
  <c r="R994" i="6" s="1"/>
  <c r="F994" i="6" s="1"/>
  <c r="E994" i="6" s="1"/>
  <c r="T994" i="6"/>
  <c r="U994" i="6" s="1"/>
  <c r="V994" i="6" s="1"/>
  <c r="W994" i="6" s="1"/>
  <c r="X994" i="6" s="1"/>
  <c r="O994" i="6"/>
  <c r="M994" i="6"/>
  <c r="Z993" i="6"/>
  <c r="AA993" i="6" s="1"/>
  <c r="R993" i="6" s="1"/>
  <c r="F993" i="6" s="1"/>
  <c r="E993" i="6" s="1"/>
  <c r="T993" i="6"/>
  <c r="U993" i="6" s="1"/>
  <c r="V993" i="6" s="1"/>
  <c r="W993" i="6" s="1"/>
  <c r="X993" i="6" s="1"/>
  <c r="O993" i="6"/>
  <c r="M993" i="6"/>
  <c r="Z992" i="6"/>
  <c r="AA992" i="6" s="1"/>
  <c r="R992" i="6" s="1"/>
  <c r="F992" i="6" s="1"/>
  <c r="E992" i="6" s="1"/>
  <c r="T992" i="6"/>
  <c r="U992" i="6"/>
  <c r="V992" i="6" s="1"/>
  <c r="W992" i="6" s="1"/>
  <c r="X992" i="6" s="1"/>
  <c r="O992" i="6"/>
  <c r="M992" i="6"/>
  <c r="Z991" i="6"/>
  <c r="AA991" i="6" s="1"/>
  <c r="R991" i="6"/>
  <c r="F991" i="6" s="1"/>
  <c r="E991" i="6" s="1"/>
  <c r="T991" i="6"/>
  <c r="U991" i="6" s="1"/>
  <c r="V991" i="6" s="1"/>
  <c r="W991" i="6" s="1"/>
  <c r="X991" i="6" s="1"/>
  <c r="O991" i="6"/>
  <c r="M991" i="6"/>
  <c r="Z990" i="6"/>
  <c r="AA990" i="6" s="1"/>
  <c r="R990" i="6" s="1"/>
  <c r="F990" i="6" s="1"/>
  <c r="E990" i="6" s="1"/>
  <c r="T990" i="6"/>
  <c r="U990" i="6" s="1"/>
  <c r="V990" i="6" s="1"/>
  <c r="W990" i="6" s="1"/>
  <c r="X990" i="6" s="1"/>
  <c r="O990" i="6"/>
  <c r="M990" i="6"/>
  <c r="Z989" i="6"/>
  <c r="AA989" i="6" s="1"/>
  <c r="R989" i="6" s="1"/>
  <c r="F989" i="6" s="1"/>
  <c r="E989" i="6" s="1"/>
  <c r="T989" i="6"/>
  <c r="U989" i="6" s="1"/>
  <c r="V989" i="6"/>
  <c r="W989" i="6" s="1"/>
  <c r="X989" i="6" s="1"/>
  <c r="O989" i="6"/>
  <c r="M989" i="6"/>
  <c r="Z988" i="6"/>
  <c r="AA988" i="6" s="1"/>
  <c r="R988" i="6" s="1"/>
  <c r="F988" i="6" s="1"/>
  <c r="E988" i="6" s="1"/>
  <c r="T988" i="6"/>
  <c r="U988" i="6" s="1"/>
  <c r="V988" i="6" s="1"/>
  <c r="W988" i="6" s="1"/>
  <c r="X988" i="6" s="1"/>
  <c r="O988" i="6"/>
  <c r="M988" i="6"/>
  <c r="U987" i="6"/>
  <c r="V987" i="6"/>
  <c r="W987" i="6" s="1"/>
  <c r="X987" i="6" s="1"/>
  <c r="Y987" i="6" s="1"/>
  <c r="Z987" i="6" s="1"/>
  <c r="AA987" i="6" s="1"/>
  <c r="R987" i="6" s="1"/>
  <c r="F987" i="6" s="1"/>
  <c r="E987" i="6" s="1"/>
  <c r="M987" i="6"/>
  <c r="U986" i="6"/>
  <c r="V986" i="6" s="1"/>
  <c r="W986" i="6" s="1"/>
  <c r="X986" i="6" s="1"/>
  <c r="Y986" i="6" s="1"/>
  <c r="Z986" i="6" s="1"/>
  <c r="AA986" i="6" s="1"/>
  <c r="R986" i="6" s="1"/>
  <c r="F986" i="6" s="1"/>
  <c r="E986" i="6" s="1"/>
  <c r="M986" i="6"/>
  <c r="Z985" i="6"/>
  <c r="AA985" i="6" s="1"/>
  <c r="R985" i="6" s="1"/>
  <c r="F985" i="6" s="1"/>
  <c r="E985" i="6" s="1"/>
  <c r="T985" i="6"/>
  <c r="U985" i="6"/>
  <c r="V985" i="6" s="1"/>
  <c r="W985" i="6" s="1"/>
  <c r="X985" i="6" s="1"/>
  <c r="M985" i="6"/>
  <c r="Z984" i="6"/>
  <c r="AA984" i="6" s="1"/>
  <c r="R984" i="6" s="1"/>
  <c r="F984" i="6" s="1"/>
  <c r="E984" i="6" s="1"/>
  <c r="T984" i="6"/>
  <c r="U984" i="6" s="1"/>
  <c r="V984" i="6" s="1"/>
  <c r="W984" i="6" s="1"/>
  <c r="X984" i="6" s="1"/>
  <c r="M984" i="6"/>
  <c r="Z983" i="6"/>
  <c r="AA983" i="6" s="1"/>
  <c r="R983" i="6" s="1"/>
  <c r="F983" i="6" s="1"/>
  <c r="E983" i="6" s="1"/>
  <c r="T983" i="6"/>
  <c r="U983" i="6" s="1"/>
  <c r="V983" i="6" s="1"/>
  <c r="W983" i="6" s="1"/>
  <c r="X983" i="6" s="1"/>
  <c r="M983" i="6"/>
  <c r="Z982" i="6"/>
  <c r="AA982" i="6" s="1"/>
  <c r="R982" i="6" s="1"/>
  <c r="F982" i="6" s="1"/>
  <c r="E982" i="6" s="1"/>
  <c r="T982" i="6"/>
  <c r="U982" i="6" s="1"/>
  <c r="V982" i="6" s="1"/>
  <c r="W982" i="6" s="1"/>
  <c r="X982" i="6" s="1"/>
  <c r="M982" i="6"/>
  <c r="Z981" i="6"/>
  <c r="AA981" i="6" s="1"/>
  <c r="R981" i="6"/>
  <c r="F981" i="6" s="1"/>
  <c r="E981" i="6" s="1"/>
  <c r="T981" i="6"/>
  <c r="U981" i="6" s="1"/>
  <c r="V981" i="6" s="1"/>
  <c r="W981" i="6" s="1"/>
  <c r="X981" i="6" s="1"/>
  <c r="M981" i="6"/>
  <c r="Z980" i="6"/>
  <c r="AA980" i="6" s="1"/>
  <c r="R980" i="6" s="1"/>
  <c r="F980" i="6" s="1"/>
  <c r="E980" i="6" s="1"/>
  <c r="T980" i="6"/>
  <c r="U980" i="6" s="1"/>
  <c r="V980" i="6"/>
  <c r="W980" i="6" s="1"/>
  <c r="X980" i="6" s="1"/>
  <c r="M980" i="6"/>
  <c r="Z979" i="6"/>
  <c r="AA979" i="6" s="1"/>
  <c r="T979" i="6"/>
  <c r="U979" i="6" s="1"/>
  <c r="V979" i="6" s="1"/>
  <c r="W979" i="6" s="1"/>
  <c r="X979" i="6" s="1"/>
  <c r="R979" i="6"/>
  <c r="F979" i="6" s="1"/>
  <c r="E979" i="6" s="1"/>
  <c r="M979" i="6"/>
  <c r="Z978" i="6"/>
  <c r="AA978" i="6" s="1"/>
  <c r="R978" i="6" s="1"/>
  <c r="F978" i="6" s="1"/>
  <c r="E978" i="6" s="1"/>
  <c r="T978" i="6"/>
  <c r="U978" i="6" s="1"/>
  <c r="V978" i="6" s="1"/>
  <c r="W978" i="6" s="1"/>
  <c r="X978" i="6" s="1"/>
  <c r="M978" i="6"/>
  <c r="Z977" i="6"/>
  <c r="AA977" i="6"/>
  <c r="R977" i="6" s="1"/>
  <c r="F977" i="6" s="1"/>
  <c r="E977" i="6" s="1"/>
  <c r="T977" i="6"/>
  <c r="U977" i="6" s="1"/>
  <c r="V977" i="6" s="1"/>
  <c r="W977" i="6" s="1"/>
  <c r="X977" i="6" s="1"/>
  <c r="M977" i="6"/>
  <c r="Z976" i="6"/>
  <c r="AA976" i="6" s="1"/>
  <c r="R976" i="6" s="1"/>
  <c r="F976" i="6" s="1"/>
  <c r="E976" i="6" s="1"/>
  <c r="T976" i="6"/>
  <c r="U976" i="6" s="1"/>
  <c r="V976" i="6" s="1"/>
  <c r="W976" i="6" s="1"/>
  <c r="X976" i="6" s="1"/>
  <c r="M976" i="6"/>
  <c r="Z975" i="6"/>
  <c r="AA975" i="6" s="1"/>
  <c r="R975" i="6" s="1"/>
  <c r="F975" i="6" s="1"/>
  <c r="E975" i="6" s="1"/>
  <c r="T975" i="6"/>
  <c r="U975" i="6" s="1"/>
  <c r="V975" i="6" s="1"/>
  <c r="W975" i="6" s="1"/>
  <c r="X975" i="6" s="1"/>
  <c r="M975" i="6"/>
  <c r="Z974" i="6"/>
  <c r="AA974" i="6" s="1"/>
  <c r="R974" i="6" s="1"/>
  <c r="F974" i="6" s="1"/>
  <c r="E974" i="6" s="1"/>
  <c r="T974" i="6"/>
  <c r="U974" i="6" s="1"/>
  <c r="V974" i="6" s="1"/>
  <c r="W974" i="6" s="1"/>
  <c r="X974" i="6" s="1"/>
  <c r="M974" i="6"/>
  <c r="U973" i="6"/>
  <c r="V973" i="6" s="1"/>
  <c r="W973" i="6" s="1"/>
  <c r="X973" i="6" s="1"/>
  <c r="Y973" i="6" s="1"/>
  <c r="Z973" i="6" s="1"/>
  <c r="AA973" i="6" s="1"/>
  <c r="R973" i="6" s="1"/>
  <c r="F973" i="6" s="1"/>
  <c r="E973" i="6" s="1"/>
  <c r="M973" i="6"/>
  <c r="U972" i="6"/>
  <c r="V972" i="6" s="1"/>
  <c r="W972" i="6" s="1"/>
  <c r="X972" i="6" s="1"/>
  <c r="Y972" i="6" s="1"/>
  <c r="Z972" i="6" s="1"/>
  <c r="AA972" i="6" s="1"/>
  <c r="R972" i="6" s="1"/>
  <c r="F972" i="6" s="1"/>
  <c r="E972" i="6" s="1"/>
  <c r="M972" i="6"/>
  <c r="Z971" i="6"/>
  <c r="AA971" i="6"/>
  <c r="R971" i="6" s="1"/>
  <c r="F971" i="6" s="1"/>
  <c r="E971" i="6" s="1"/>
  <c r="T971" i="6"/>
  <c r="U971" i="6"/>
  <c r="V971" i="6" s="1"/>
  <c r="W971" i="6" s="1"/>
  <c r="X971" i="6" s="1"/>
  <c r="M971" i="6"/>
  <c r="Z970" i="6"/>
  <c r="AA970" i="6" s="1"/>
  <c r="R970" i="6" s="1"/>
  <c r="F970" i="6" s="1"/>
  <c r="E970" i="6" s="1"/>
  <c r="T970" i="6"/>
  <c r="U970" i="6" s="1"/>
  <c r="V970" i="6" s="1"/>
  <c r="W970" i="6" s="1"/>
  <c r="X970" i="6" s="1"/>
  <c r="M970" i="6"/>
  <c r="Z969" i="6"/>
  <c r="AA969" i="6" s="1"/>
  <c r="R969" i="6" s="1"/>
  <c r="F969" i="6" s="1"/>
  <c r="E969" i="6" s="1"/>
  <c r="T969" i="6"/>
  <c r="U969" i="6" s="1"/>
  <c r="V969" i="6" s="1"/>
  <c r="W969" i="6" s="1"/>
  <c r="X969" i="6" s="1"/>
  <c r="M969" i="6"/>
  <c r="Z968" i="6"/>
  <c r="AA968" i="6"/>
  <c r="R968" i="6" s="1"/>
  <c r="F968" i="6" s="1"/>
  <c r="E968" i="6" s="1"/>
  <c r="T968" i="6"/>
  <c r="U968" i="6" s="1"/>
  <c r="V968" i="6" s="1"/>
  <c r="W968" i="6" s="1"/>
  <c r="X968" i="6" s="1"/>
  <c r="M968" i="6"/>
  <c r="T967" i="6"/>
  <c r="U967" i="6" s="1"/>
  <c r="V967" i="6" s="1"/>
  <c r="W967" i="6" s="1"/>
  <c r="X967" i="6" s="1"/>
  <c r="Y967" i="6" s="1"/>
  <c r="Z967" i="6" s="1"/>
  <c r="AA967" i="6" s="1"/>
  <c r="R967" i="6" s="1"/>
  <c r="F967" i="6" s="1"/>
  <c r="E967" i="6" s="1"/>
  <c r="M967" i="6"/>
  <c r="T966" i="6"/>
  <c r="U966" i="6"/>
  <c r="V966" i="6" s="1"/>
  <c r="W966" i="6" s="1"/>
  <c r="X966" i="6" s="1"/>
  <c r="Y966" i="6" s="1"/>
  <c r="Z966" i="6" s="1"/>
  <c r="AA966" i="6" s="1"/>
  <c r="R966" i="6" s="1"/>
  <c r="F966" i="6" s="1"/>
  <c r="E966" i="6" s="1"/>
  <c r="M966" i="6"/>
  <c r="T965" i="6"/>
  <c r="U965" i="6" s="1"/>
  <c r="V965" i="6" s="1"/>
  <c r="W965" i="6" s="1"/>
  <c r="X965" i="6" s="1"/>
  <c r="Y965" i="6" s="1"/>
  <c r="Z965" i="6" s="1"/>
  <c r="AA965" i="6" s="1"/>
  <c r="R965" i="6" s="1"/>
  <c r="F965" i="6" s="1"/>
  <c r="E965" i="6" s="1"/>
  <c r="M965" i="6"/>
  <c r="T964" i="6"/>
  <c r="U964" i="6" s="1"/>
  <c r="V964" i="6"/>
  <c r="W964" i="6" s="1"/>
  <c r="X964" i="6" s="1"/>
  <c r="Y964" i="6" s="1"/>
  <c r="Z964" i="6" s="1"/>
  <c r="AA964" i="6" s="1"/>
  <c r="R964" i="6" s="1"/>
  <c r="F964" i="6" s="1"/>
  <c r="E964" i="6" s="1"/>
  <c r="M964" i="6"/>
  <c r="T963" i="6"/>
  <c r="U963" i="6"/>
  <c r="V963" i="6" s="1"/>
  <c r="W963" i="6" s="1"/>
  <c r="X963" i="6" s="1"/>
  <c r="Y963" i="6" s="1"/>
  <c r="Z963" i="6" s="1"/>
  <c r="AA963" i="6" s="1"/>
  <c r="R963" i="6" s="1"/>
  <c r="F963" i="6" s="1"/>
  <c r="E963" i="6" s="1"/>
  <c r="M963" i="6"/>
  <c r="T962" i="6"/>
  <c r="U962" i="6" s="1"/>
  <c r="V962" i="6"/>
  <c r="W962" i="6" s="1"/>
  <c r="X962" i="6" s="1"/>
  <c r="Y962" i="6" s="1"/>
  <c r="Z962" i="6" s="1"/>
  <c r="AA962" i="6" s="1"/>
  <c r="R962" i="6" s="1"/>
  <c r="F962" i="6" s="1"/>
  <c r="E962" i="6"/>
  <c r="M962" i="6"/>
  <c r="T961" i="6"/>
  <c r="U961" i="6"/>
  <c r="V961" i="6" s="1"/>
  <c r="W961" i="6" s="1"/>
  <c r="X961" i="6" s="1"/>
  <c r="Y961" i="6" s="1"/>
  <c r="Z961" i="6" s="1"/>
  <c r="AA961" i="6" s="1"/>
  <c r="R961" i="6" s="1"/>
  <c r="F961" i="6" s="1"/>
  <c r="E961" i="6" s="1"/>
  <c r="M961" i="6"/>
  <c r="T960" i="6"/>
  <c r="U960" i="6" s="1"/>
  <c r="V960" i="6" s="1"/>
  <c r="W960" i="6" s="1"/>
  <c r="X960" i="6" s="1"/>
  <c r="Y960" i="6" s="1"/>
  <c r="Z960" i="6" s="1"/>
  <c r="AA960" i="6" s="1"/>
  <c r="R960" i="6" s="1"/>
  <c r="F960" i="6" s="1"/>
  <c r="E960" i="6" s="1"/>
  <c r="M960" i="6"/>
  <c r="T959" i="6"/>
  <c r="U959" i="6" s="1"/>
  <c r="V959" i="6" s="1"/>
  <c r="W959" i="6" s="1"/>
  <c r="X959" i="6" s="1"/>
  <c r="Y959" i="6" s="1"/>
  <c r="Z959" i="6" s="1"/>
  <c r="AA959" i="6" s="1"/>
  <c r="R959" i="6" s="1"/>
  <c r="F959" i="6" s="1"/>
  <c r="E959" i="6" s="1"/>
  <c r="M959" i="6"/>
  <c r="T958" i="6"/>
  <c r="U958" i="6" s="1"/>
  <c r="V958" i="6" s="1"/>
  <c r="W958" i="6" s="1"/>
  <c r="X958" i="6" s="1"/>
  <c r="Y958" i="6" s="1"/>
  <c r="Z958" i="6" s="1"/>
  <c r="AA958" i="6" s="1"/>
  <c r="R958" i="6" s="1"/>
  <c r="F958" i="6" s="1"/>
  <c r="E958" i="6" s="1"/>
  <c r="M958" i="6"/>
  <c r="T957" i="6"/>
  <c r="U957" i="6"/>
  <c r="V957" i="6" s="1"/>
  <c r="W957" i="6" s="1"/>
  <c r="X957" i="6" s="1"/>
  <c r="Y957" i="6" s="1"/>
  <c r="Z957" i="6" s="1"/>
  <c r="AA957" i="6" s="1"/>
  <c r="R957" i="6" s="1"/>
  <c r="F957" i="6" s="1"/>
  <c r="E957" i="6" s="1"/>
  <c r="M957" i="6"/>
  <c r="T956" i="6"/>
  <c r="U956" i="6"/>
  <c r="V956" i="6" s="1"/>
  <c r="W956" i="6" s="1"/>
  <c r="X956" i="6" s="1"/>
  <c r="Y956" i="6" s="1"/>
  <c r="Z956" i="6" s="1"/>
  <c r="AA956" i="6" s="1"/>
  <c r="R956" i="6" s="1"/>
  <c r="F956" i="6" s="1"/>
  <c r="E956" i="6" s="1"/>
  <c r="M956" i="6"/>
  <c r="T955" i="6"/>
  <c r="U955" i="6"/>
  <c r="V955" i="6" s="1"/>
  <c r="W955" i="6" s="1"/>
  <c r="X955" i="6" s="1"/>
  <c r="Y955" i="6" s="1"/>
  <c r="Z955" i="6" s="1"/>
  <c r="AA955" i="6" s="1"/>
  <c r="R955" i="6" s="1"/>
  <c r="F955" i="6" s="1"/>
  <c r="E955" i="6" s="1"/>
  <c r="M955" i="6"/>
  <c r="T954" i="6"/>
  <c r="U954" i="6" s="1"/>
  <c r="V954" i="6" s="1"/>
  <c r="W954" i="6" s="1"/>
  <c r="X954" i="6" s="1"/>
  <c r="Y954" i="6" s="1"/>
  <c r="Z954" i="6" s="1"/>
  <c r="AA954" i="6" s="1"/>
  <c r="R954" i="6" s="1"/>
  <c r="F954" i="6" s="1"/>
  <c r="E954" i="6" s="1"/>
  <c r="M954" i="6"/>
  <c r="T953" i="6"/>
  <c r="U953" i="6" s="1"/>
  <c r="V953" i="6" s="1"/>
  <c r="W953" i="6" s="1"/>
  <c r="X953" i="6" s="1"/>
  <c r="Y953" i="6" s="1"/>
  <c r="Z953" i="6" s="1"/>
  <c r="AA953" i="6" s="1"/>
  <c r="R953" i="6" s="1"/>
  <c r="F953" i="6" s="1"/>
  <c r="E953" i="6" s="1"/>
  <c r="M953" i="6"/>
  <c r="T952" i="6"/>
  <c r="U952" i="6" s="1"/>
  <c r="V952" i="6" s="1"/>
  <c r="W952" i="6" s="1"/>
  <c r="X952" i="6" s="1"/>
  <c r="Y952" i="6" s="1"/>
  <c r="Z952" i="6" s="1"/>
  <c r="AA952" i="6" s="1"/>
  <c r="R952" i="6" s="1"/>
  <c r="F952" i="6" s="1"/>
  <c r="E952" i="6" s="1"/>
  <c r="M952" i="6"/>
  <c r="T951" i="6"/>
  <c r="U951" i="6" s="1"/>
  <c r="V951" i="6" s="1"/>
  <c r="W951" i="6" s="1"/>
  <c r="X951" i="6" s="1"/>
  <c r="Y951" i="6" s="1"/>
  <c r="Z951" i="6" s="1"/>
  <c r="AA951" i="6" s="1"/>
  <c r="R951" i="6" s="1"/>
  <c r="F951" i="6" s="1"/>
  <c r="E951" i="6" s="1"/>
  <c r="M951" i="6"/>
  <c r="T950" i="6"/>
  <c r="U950" i="6"/>
  <c r="V950" i="6" s="1"/>
  <c r="W950" i="6" s="1"/>
  <c r="X950" i="6" s="1"/>
  <c r="Y950" i="6" s="1"/>
  <c r="Z950" i="6" s="1"/>
  <c r="AA950" i="6" s="1"/>
  <c r="R950" i="6" s="1"/>
  <c r="F950" i="6" s="1"/>
  <c r="E950" i="6" s="1"/>
  <c r="M950" i="6"/>
  <c r="T949" i="6"/>
  <c r="U949" i="6"/>
  <c r="V949" i="6" s="1"/>
  <c r="W949" i="6" s="1"/>
  <c r="X949" i="6" s="1"/>
  <c r="Y949" i="6" s="1"/>
  <c r="Z949" i="6" s="1"/>
  <c r="AA949" i="6" s="1"/>
  <c r="R949" i="6" s="1"/>
  <c r="F949" i="6" s="1"/>
  <c r="E949" i="6" s="1"/>
  <c r="M949" i="6"/>
  <c r="T948" i="6"/>
  <c r="U948" i="6" s="1"/>
  <c r="V948" i="6" s="1"/>
  <c r="W948" i="6" s="1"/>
  <c r="X948" i="6" s="1"/>
  <c r="Y948" i="6" s="1"/>
  <c r="Z948" i="6" s="1"/>
  <c r="AA948" i="6" s="1"/>
  <c r="R948" i="6" s="1"/>
  <c r="F948" i="6" s="1"/>
  <c r="E948" i="6" s="1"/>
  <c r="M948" i="6"/>
  <c r="T947" i="6"/>
  <c r="U947" i="6" s="1"/>
  <c r="V947" i="6" s="1"/>
  <c r="W947" i="6" s="1"/>
  <c r="X947" i="6" s="1"/>
  <c r="Y947" i="6" s="1"/>
  <c r="Z947" i="6" s="1"/>
  <c r="AA947" i="6" s="1"/>
  <c r="R947" i="6" s="1"/>
  <c r="F947" i="6" s="1"/>
  <c r="E947" i="6" s="1"/>
  <c r="M947" i="6"/>
  <c r="T946" i="6"/>
  <c r="U946" i="6" s="1"/>
  <c r="V946" i="6" s="1"/>
  <c r="W946" i="6" s="1"/>
  <c r="X946" i="6" s="1"/>
  <c r="Y946" i="6" s="1"/>
  <c r="Z946" i="6" s="1"/>
  <c r="AA946" i="6" s="1"/>
  <c r="R946" i="6" s="1"/>
  <c r="F946" i="6" s="1"/>
  <c r="E946" i="6" s="1"/>
  <c r="M946" i="6"/>
  <c r="T945" i="6"/>
  <c r="U945" i="6"/>
  <c r="V945" i="6" s="1"/>
  <c r="W945" i="6" s="1"/>
  <c r="X945" i="6" s="1"/>
  <c r="Y945" i="6" s="1"/>
  <c r="Z945" i="6" s="1"/>
  <c r="AA945" i="6" s="1"/>
  <c r="R945" i="6" s="1"/>
  <c r="F945" i="6" s="1"/>
  <c r="E945" i="6" s="1"/>
  <c r="M945" i="6"/>
  <c r="T944" i="6"/>
  <c r="U944" i="6" s="1"/>
  <c r="V944" i="6" s="1"/>
  <c r="W944" i="6" s="1"/>
  <c r="X944" i="6" s="1"/>
  <c r="Y944" i="6" s="1"/>
  <c r="Z944" i="6" s="1"/>
  <c r="AA944" i="6" s="1"/>
  <c r="R944" i="6" s="1"/>
  <c r="F944" i="6" s="1"/>
  <c r="E944" i="6" s="1"/>
  <c r="M944" i="6"/>
  <c r="T943" i="6"/>
  <c r="U943" i="6" s="1"/>
  <c r="V943" i="6" s="1"/>
  <c r="W943" i="6" s="1"/>
  <c r="X943" i="6" s="1"/>
  <c r="Y943" i="6" s="1"/>
  <c r="Z943" i="6" s="1"/>
  <c r="AA943" i="6" s="1"/>
  <c r="R943" i="6" s="1"/>
  <c r="F943" i="6" s="1"/>
  <c r="E943" i="6" s="1"/>
  <c r="M943" i="6"/>
  <c r="T942" i="6"/>
  <c r="U942" i="6" s="1"/>
  <c r="V942" i="6" s="1"/>
  <c r="W942" i="6" s="1"/>
  <c r="X942" i="6" s="1"/>
  <c r="Y942" i="6" s="1"/>
  <c r="Z942" i="6" s="1"/>
  <c r="AA942" i="6" s="1"/>
  <c r="R942" i="6" s="1"/>
  <c r="F942" i="6" s="1"/>
  <c r="E942" i="6" s="1"/>
  <c r="M942" i="6"/>
  <c r="T941" i="6"/>
  <c r="U941" i="6" s="1"/>
  <c r="V941" i="6" s="1"/>
  <c r="W941" i="6" s="1"/>
  <c r="X941" i="6" s="1"/>
  <c r="Y941" i="6" s="1"/>
  <c r="Z941" i="6" s="1"/>
  <c r="AA941" i="6" s="1"/>
  <c r="R941" i="6" s="1"/>
  <c r="F941" i="6" s="1"/>
  <c r="E941" i="6" s="1"/>
  <c r="M941" i="6"/>
  <c r="Z940" i="6"/>
  <c r="AA940" i="6" s="1"/>
  <c r="R940" i="6" s="1"/>
  <c r="F940" i="6" s="1"/>
  <c r="E940" i="6" s="1"/>
  <c r="T940" i="6"/>
  <c r="U940" i="6" s="1"/>
  <c r="V940" i="6" s="1"/>
  <c r="W940" i="6" s="1"/>
  <c r="X940" i="6" s="1"/>
  <c r="M940" i="6"/>
  <c r="Z939" i="6"/>
  <c r="AA939" i="6" s="1"/>
  <c r="R939" i="6" s="1"/>
  <c r="F939" i="6" s="1"/>
  <c r="E939" i="6" s="1"/>
  <c r="T939" i="6"/>
  <c r="U939" i="6" s="1"/>
  <c r="V939" i="6" s="1"/>
  <c r="W939" i="6" s="1"/>
  <c r="X939" i="6" s="1"/>
  <c r="M939" i="6"/>
  <c r="Z938" i="6"/>
  <c r="AA938" i="6"/>
  <c r="R938" i="6" s="1"/>
  <c r="F938" i="6" s="1"/>
  <c r="E938" i="6" s="1"/>
  <c r="T938" i="6"/>
  <c r="U938" i="6" s="1"/>
  <c r="V938" i="6" s="1"/>
  <c r="W938" i="6" s="1"/>
  <c r="X938" i="6" s="1"/>
  <c r="M938" i="6"/>
  <c r="Z937" i="6"/>
  <c r="AA937" i="6"/>
  <c r="R937" i="6" s="1"/>
  <c r="F937" i="6" s="1"/>
  <c r="E937" i="6" s="1"/>
  <c r="T937" i="6"/>
  <c r="U937" i="6" s="1"/>
  <c r="V937" i="6" s="1"/>
  <c r="W937" i="6" s="1"/>
  <c r="X937" i="6" s="1"/>
  <c r="M937" i="6"/>
  <c r="T936" i="6"/>
  <c r="U936" i="6"/>
  <c r="V936" i="6" s="1"/>
  <c r="W936" i="6" s="1"/>
  <c r="X936" i="6" s="1"/>
  <c r="M936" i="6"/>
  <c r="T935" i="6"/>
  <c r="U935" i="6" s="1"/>
  <c r="V935" i="6" s="1"/>
  <c r="W935" i="6" s="1"/>
  <c r="X935" i="6" s="1"/>
  <c r="Y935" i="6" s="1"/>
  <c r="Z935" i="6" s="1"/>
  <c r="AA935" i="6" s="1"/>
  <c r="R935" i="6" s="1"/>
  <c r="F935" i="6" s="1"/>
  <c r="E935" i="6" s="1"/>
  <c r="M935" i="6"/>
  <c r="T934" i="6"/>
  <c r="U934" i="6" s="1"/>
  <c r="V934" i="6" s="1"/>
  <c r="W934" i="6" s="1"/>
  <c r="X934" i="6" s="1"/>
  <c r="Y934" i="6" s="1"/>
  <c r="Z934" i="6" s="1"/>
  <c r="AA934" i="6" s="1"/>
  <c r="R934" i="6" s="1"/>
  <c r="F934" i="6" s="1"/>
  <c r="E934" i="6" s="1"/>
  <c r="M934" i="6"/>
  <c r="T933" i="6"/>
  <c r="U933" i="6" s="1"/>
  <c r="V933" i="6" s="1"/>
  <c r="W933" i="6" s="1"/>
  <c r="X933" i="6" s="1"/>
  <c r="Y933" i="6" s="1"/>
  <c r="Z933" i="6" s="1"/>
  <c r="AA933" i="6" s="1"/>
  <c r="R933" i="6" s="1"/>
  <c r="F933" i="6" s="1"/>
  <c r="E933" i="6" s="1"/>
  <c r="M933" i="6"/>
  <c r="T932" i="6"/>
  <c r="U932" i="6" s="1"/>
  <c r="V932" i="6" s="1"/>
  <c r="W932" i="6" s="1"/>
  <c r="X932" i="6" s="1"/>
  <c r="Y932" i="6" s="1"/>
  <c r="Z932" i="6" s="1"/>
  <c r="AA932" i="6" s="1"/>
  <c r="R932" i="6" s="1"/>
  <c r="F932" i="6" s="1"/>
  <c r="E932" i="6" s="1"/>
  <c r="M932" i="6"/>
  <c r="Z931" i="6"/>
  <c r="AA931" i="6" s="1"/>
  <c r="R931" i="6" s="1"/>
  <c r="F931" i="6" s="1"/>
  <c r="E931" i="6" s="1"/>
  <c r="T931" i="6"/>
  <c r="U931" i="6" s="1"/>
  <c r="V931" i="6" s="1"/>
  <c r="W931" i="6" s="1"/>
  <c r="X931" i="6" s="1"/>
  <c r="M931" i="6"/>
  <c r="Z930" i="6"/>
  <c r="AA930" i="6" s="1"/>
  <c r="R930" i="6" s="1"/>
  <c r="F930" i="6" s="1"/>
  <c r="E930" i="6" s="1"/>
  <c r="T930" i="6"/>
  <c r="U930" i="6" s="1"/>
  <c r="V930" i="6" s="1"/>
  <c r="W930" i="6" s="1"/>
  <c r="X930" i="6" s="1"/>
  <c r="M930" i="6"/>
  <c r="Z929" i="6"/>
  <c r="AA929" i="6"/>
  <c r="R929" i="6" s="1"/>
  <c r="F929" i="6" s="1"/>
  <c r="E929" i="6" s="1"/>
  <c r="T929" i="6"/>
  <c r="U929" i="6" s="1"/>
  <c r="V929" i="6" s="1"/>
  <c r="W929" i="6" s="1"/>
  <c r="X929" i="6" s="1"/>
  <c r="M929" i="6"/>
  <c r="Z928" i="6"/>
  <c r="AA928" i="6" s="1"/>
  <c r="R928" i="6" s="1"/>
  <c r="F928" i="6" s="1"/>
  <c r="E928" i="6" s="1"/>
  <c r="T928" i="6"/>
  <c r="U928" i="6" s="1"/>
  <c r="V928" i="6" s="1"/>
  <c r="W928" i="6" s="1"/>
  <c r="X928" i="6" s="1"/>
  <c r="M928" i="6"/>
  <c r="Z927" i="6"/>
  <c r="AA927" i="6" s="1"/>
  <c r="R927" i="6" s="1"/>
  <c r="F927" i="6" s="1"/>
  <c r="E927" i="6" s="1"/>
  <c r="T927" i="6"/>
  <c r="U927" i="6" s="1"/>
  <c r="V927" i="6" s="1"/>
  <c r="W927" i="6" s="1"/>
  <c r="X927" i="6" s="1"/>
  <c r="M927" i="6"/>
  <c r="Z926" i="6"/>
  <c r="AA926" i="6"/>
  <c r="R926" i="6" s="1"/>
  <c r="F926" i="6" s="1"/>
  <c r="E926" i="6" s="1"/>
  <c r="T926" i="6"/>
  <c r="U926" i="6" s="1"/>
  <c r="V926" i="6" s="1"/>
  <c r="W926" i="6" s="1"/>
  <c r="X926" i="6" s="1"/>
  <c r="M926" i="6"/>
  <c r="Z925" i="6"/>
  <c r="AA925" i="6"/>
  <c r="R925" i="6" s="1"/>
  <c r="F925" i="6" s="1"/>
  <c r="E925" i="6" s="1"/>
  <c r="T925" i="6"/>
  <c r="U925" i="6" s="1"/>
  <c r="V925" i="6" s="1"/>
  <c r="W925" i="6" s="1"/>
  <c r="X925" i="6" s="1"/>
  <c r="M925" i="6"/>
  <c r="Z924" i="6"/>
  <c r="AA924" i="6"/>
  <c r="R924" i="6"/>
  <c r="F924" i="6"/>
  <c r="E924" i="6" s="1"/>
  <c r="T924" i="6"/>
  <c r="U924" i="6" s="1"/>
  <c r="V924" i="6" s="1"/>
  <c r="W924" i="6" s="1"/>
  <c r="X924" i="6" s="1"/>
  <c r="M924" i="6"/>
  <c r="Z923" i="6"/>
  <c r="AA923" i="6" s="1"/>
  <c r="R923" i="6" s="1"/>
  <c r="F923" i="6" s="1"/>
  <c r="E923" i="6" s="1"/>
  <c r="T923" i="6"/>
  <c r="U923" i="6"/>
  <c r="V923" i="6"/>
  <c r="W923" i="6"/>
  <c r="X923" i="6" s="1"/>
  <c r="M923" i="6"/>
  <c r="Z922" i="6"/>
  <c r="AA922" i="6" s="1"/>
  <c r="R922" i="6" s="1"/>
  <c r="F922" i="6" s="1"/>
  <c r="E922" i="6" s="1"/>
  <c r="T922" i="6"/>
  <c r="U922" i="6" s="1"/>
  <c r="V922" i="6" s="1"/>
  <c r="W922" i="6" s="1"/>
  <c r="X922" i="6" s="1"/>
  <c r="M922" i="6"/>
  <c r="Z921" i="6"/>
  <c r="AA921" i="6"/>
  <c r="R921" i="6"/>
  <c r="F921" i="6" s="1"/>
  <c r="E921" i="6" s="1"/>
  <c r="T921" i="6"/>
  <c r="U921" i="6" s="1"/>
  <c r="V921" i="6" s="1"/>
  <c r="W921" i="6" s="1"/>
  <c r="X921" i="6" s="1"/>
  <c r="M921" i="6"/>
  <c r="Z920" i="6"/>
  <c r="AA920" i="6" s="1"/>
  <c r="R920" i="6" s="1"/>
  <c r="F920" i="6" s="1"/>
  <c r="E920" i="6" s="1"/>
  <c r="T920" i="6"/>
  <c r="U920" i="6" s="1"/>
  <c r="V920" i="6" s="1"/>
  <c r="W920" i="6" s="1"/>
  <c r="X920" i="6" s="1"/>
  <c r="M920" i="6"/>
  <c r="Z919" i="6"/>
  <c r="AA919" i="6"/>
  <c r="R919" i="6" s="1"/>
  <c r="F919" i="6" s="1"/>
  <c r="E919" i="6" s="1"/>
  <c r="T919" i="6"/>
  <c r="U919" i="6" s="1"/>
  <c r="V919" i="6" s="1"/>
  <c r="W919" i="6" s="1"/>
  <c r="X919" i="6" s="1"/>
  <c r="M919" i="6"/>
  <c r="Z918" i="6"/>
  <c r="AA918" i="6"/>
  <c r="R918" i="6" s="1"/>
  <c r="F918" i="6" s="1"/>
  <c r="E918" i="6" s="1"/>
  <c r="T918" i="6"/>
  <c r="U918" i="6" s="1"/>
  <c r="V918" i="6" s="1"/>
  <c r="W918" i="6" s="1"/>
  <c r="X918" i="6" s="1"/>
  <c r="M918" i="6"/>
  <c r="Z917" i="6"/>
  <c r="AA917" i="6"/>
  <c r="R917" i="6" s="1"/>
  <c r="F917" i="6" s="1"/>
  <c r="E917" i="6" s="1"/>
  <c r="T917" i="6"/>
  <c r="U917" i="6" s="1"/>
  <c r="V917" i="6" s="1"/>
  <c r="W917" i="6" s="1"/>
  <c r="X917" i="6" s="1"/>
  <c r="M917" i="6"/>
  <c r="Z916" i="6"/>
  <c r="AA916" i="6" s="1"/>
  <c r="R916" i="6" s="1"/>
  <c r="F916" i="6" s="1"/>
  <c r="E916" i="6" s="1"/>
  <c r="T916" i="6"/>
  <c r="U916" i="6"/>
  <c r="V916" i="6" s="1"/>
  <c r="W916" i="6" s="1"/>
  <c r="X916" i="6" s="1"/>
  <c r="M916" i="6"/>
  <c r="Z915" i="6"/>
  <c r="AA915" i="6" s="1"/>
  <c r="R915" i="6" s="1"/>
  <c r="F915" i="6"/>
  <c r="E915" i="6" s="1"/>
  <c r="T915" i="6"/>
  <c r="U915" i="6" s="1"/>
  <c r="V915" i="6" s="1"/>
  <c r="W915" i="6" s="1"/>
  <c r="X915" i="6" s="1"/>
  <c r="M915" i="6"/>
  <c r="Z914" i="6"/>
  <c r="AA914" i="6" s="1"/>
  <c r="R914" i="6" s="1"/>
  <c r="F914" i="6" s="1"/>
  <c r="E914" i="6" s="1"/>
  <c r="T914" i="6"/>
  <c r="U914" i="6" s="1"/>
  <c r="V914" i="6" s="1"/>
  <c r="W914" i="6" s="1"/>
  <c r="X914" i="6" s="1"/>
  <c r="M914" i="6"/>
  <c r="Z913" i="6"/>
  <c r="AA913" i="6"/>
  <c r="R913" i="6"/>
  <c r="F913" i="6" s="1"/>
  <c r="E913" i="6" s="1"/>
  <c r="T913" i="6"/>
  <c r="U913" i="6" s="1"/>
  <c r="V913" i="6" s="1"/>
  <c r="W913" i="6" s="1"/>
  <c r="X913" i="6" s="1"/>
  <c r="M913" i="6"/>
  <c r="U912" i="6"/>
  <c r="V912" i="6" s="1"/>
  <c r="W912" i="6" s="1"/>
  <c r="X912" i="6" s="1"/>
  <c r="Y912" i="6" s="1"/>
  <c r="Z912" i="6" s="1"/>
  <c r="AA912" i="6" s="1"/>
  <c r="R912" i="6" s="1"/>
  <c r="F912" i="6" s="1"/>
  <c r="E912" i="6" s="1"/>
  <c r="M912" i="6"/>
  <c r="T911" i="6"/>
  <c r="U911" i="6"/>
  <c r="V911" i="6"/>
  <c r="W911" i="6" s="1"/>
  <c r="X911" i="6" s="1"/>
  <c r="Y911" i="6" s="1"/>
  <c r="Z911" i="6" s="1"/>
  <c r="AA911" i="6" s="1"/>
  <c r="R911" i="6" s="1"/>
  <c r="F911" i="6" s="1"/>
  <c r="E911" i="6" s="1"/>
  <c r="M911" i="6"/>
  <c r="T910" i="6"/>
  <c r="U910" i="6" s="1"/>
  <c r="V910" i="6" s="1"/>
  <c r="W910" i="6" s="1"/>
  <c r="X910" i="6" s="1"/>
  <c r="Y910" i="6" s="1"/>
  <c r="Z910" i="6" s="1"/>
  <c r="AA910" i="6" s="1"/>
  <c r="R910" i="6" s="1"/>
  <c r="F910" i="6" s="1"/>
  <c r="E910" i="6" s="1"/>
  <c r="M910" i="6"/>
  <c r="T909" i="6"/>
  <c r="U909" i="6"/>
  <c r="V909" i="6" s="1"/>
  <c r="W909" i="6" s="1"/>
  <c r="X909" i="6" s="1"/>
  <c r="Y909" i="6" s="1"/>
  <c r="Z909" i="6" s="1"/>
  <c r="AA909" i="6" s="1"/>
  <c r="R909" i="6" s="1"/>
  <c r="F909" i="6" s="1"/>
  <c r="E909" i="6" s="1"/>
  <c r="M909" i="6"/>
  <c r="T908" i="6"/>
  <c r="U908" i="6" s="1"/>
  <c r="V908" i="6" s="1"/>
  <c r="W908" i="6" s="1"/>
  <c r="X908" i="6" s="1"/>
  <c r="Y908" i="6" s="1"/>
  <c r="Z908" i="6" s="1"/>
  <c r="AA908" i="6" s="1"/>
  <c r="R908" i="6" s="1"/>
  <c r="F908" i="6" s="1"/>
  <c r="E908" i="6" s="1"/>
  <c r="M908" i="6"/>
  <c r="T907" i="6"/>
  <c r="U907" i="6" s="1"/>
  <c r="V907" i="6" s="1"/>
  <c r="W907" i="6" s="1"/>
  <c r="X907" i="6" s="1"/>
  <c r="Y907" i="6" s="1"/>
  <c r="Z907" i="6" s="1"/>
  <c r="AA907" i="6" s="1"/>
  <c r="R907" i="6" s="1"/>
  <c r="F907" i="6" s="1"/>
  <c r="E907" i="6" s="1"/>
  <c r="M907" i="6"/>
  <c r="T906" i="6"/>
  <c r="U906" i="6" s="1"/>
  <c r="V906" i="6" s="1"/>
  <c r="W906" i="6" s="1"/>
  <c r="X906" i="6" s="1"/>
  <c r="Y906" i="6" s="1"/>
  <c r="Z906" i="6" s="1"/>
  <c r="AA906" i="6" s="1"/>
  <c r="R906" i="6" s="1"/>
  <c r="F906" i="6" s="1"/>
  <c r="E906" i="6" s="1"/>
  <c r="M906" i="6"/>
  <c r="T905" i="6"/>
  <c r="U905" i="6" s="1"/>
  <c r="V905" i="6" s="1"/>
  <c r="W905" i="6" s="1"/>
  <c r="X905" i="6" s="1"/>
  <c r="Y905" i="6" s="1"/>
  <c r="Z905" i="6" s="1"/>
  <c r="AA905" i="6" s="1"/>
  <c r="R905" i="6" s="1"/>
  <c r="F905" i="6" s="1"/>
  <c r="E905" i="6" s="1"/>
  <c r="M905" i="6"/>
  <c r="T904" i="6"/>
  <c r="U904" i="6"/>
  <c r="V904" i="6" s="1"/>
  <c r="W904" i="6" s="1"/>
  <c r="X904" i="6" s="1"/>
  <c r="Y904" i="6" s="1"/>
  <c r="Z904" i="6" s="1"/>
  <c r="AA904" i="6" s="1"/>
  <c r="R904" i="6" s="1"/>
  <c r="F904" i="6" s="1"/>
  <c r="E904" i="6" s="1"/>
  <c r="M904" i="6"/>
  <c r="Z903" i="6"/>
  <c r="AA903" i="6"/>
  <c r="R903" i="6" s="1"/>
  <c r="F903" i="6" s="1"/>
  <c r="E903" i="6" s="1"/>
  <c r="T903" i="6"/>
  <c r="U903" i="6" s="1"/>
  <c r="V903" i="6"/>
  <c r="W903" i="6" s="1"/>
  <c r="X903" i="6" s="1"/>
  <c r="M903" i="6"/>
  <c r="Z902" i="6"/>
  <c r="AA902" i="6"/>
  <c r="R902" i="6" s="1"/>
  <c r="F902" i="6" s="1"/>
  <c r="E902" i="6" s="1"/>
  <c r="T902" i="6"/>
  <c r="U902" i="6" s="1"/>
  <c r="V902" i="6" s="1"/>
  <c r="W902" i="6" s="1"/>
  <c r="X902" i="6" s="1"/>
  <c r="M902" i="6"/>
  <c r="Z901" i="6"/>
  <c r="AA901" i="6" s="1"/>
  <c r="R901" i="6" s="1"/>
  <c r="F901" i="6" s="1"/>
  <c r="E901" i="6" s="1"/>
  <c r="T901" i="6"/>
  <c r="U901" i="6"/>
  <c r="V901" i="6" s="1"/>
  <c r="W901" i="6" s="1"/>
  <c r="X901" i="6" s="1"/>
  <c r="M901" i="6"/>
  <c r="T900" i="6"/>
  <c r="U900" i="6"/>
  <c r="V900" i="6"/>
  <c r="W900" i="6"/>
  <c r="X900" i="6" s="1"/>
  <c r="Y900" i="6" s="1"/>
  <c r="Z900" i="6" s="1"/>
  <c r="AA900" i="6" s="1"/>
  <c r="R900" i="6" s="1"/>
  <c r="F900" i="6" s="1"/>
  <c r="E900" i="6" s="1"/>
  <c r="M900" i="6"/>
  <c r="T899" i="6"/>
  <c r="U899" i="6" s="1"/>
  <c r="V899" i="6" s="1"/>
  <c r="W899" i="6" s="1"/>
  <c r="X899" i="6" s="1"/>
  <c r="Y899" i="6" s="1"/>
  <c r="Z899" i="6" s="1"/>
  <c r="AA899" i="6" s="1"/>
  <c r="R899" i="6" s="1"/>
  <c r="F899" i="6" s="1"/>
  <c r="E899" i="6" s="1"/>
  <c r="M899" i="6"/>
  <c r="Z898" i="6"/>
  <c r="AA898" i="6"/>
  <c r="R898" i="6"/>
  <c r="F898" i="6"/>
  <c r="E898" i="6" s="1"/>
  <c r="T898" i="6"/>
  <c r="U898" i="6"/>
  <c r="V898" i="6" s="1"/>
  <c r="W898" i="6" s="1"/>
  <c r="X898" i="6" s="1"/>
  <c r="M898" i="6"/>
  <c r="Z897" i="6"/>
  <c r="AA897" i="6"/>
  <c r="R897" i="6" s="1"/>
  <c r="F897" i="6" s="1"/>
  <c r="E897" i="6" s="1"/>
  <c r="T897" i="6"/>
  <c r="U897" i="6"/>
  <c r="V897" i="6" s="1"/>
  <c r="W897" i="6" s="1"/>
  <c r="X897" i="6" s="1"/>
  <c r="M897" i="6"/>
  <c r="Z896" i="6"/>
  <c r="AA896" i="6" s="1"/>
  <c r="R896" i="6" s="1"/>
  <c r="F896" i="6" s="1"/>
  <c r="E896" i="6" s="1"/>
  <c r="T896" i="6"/>
  <c r="U896" i="6" s="1"/>
  <c r="V896" i="6" s="1"/>
  <c r="W896" i="6" s="1"/>
  <c r="X896" i="6" s="1"/>
  <c r="M896" i="6"/>
  <c r="Z895" i="6"/>
  <c r="AA895" i="6" s="1"/>
  <c r="R895" i="6" s="1"/>
  <c r="F895" i="6" s="1"/>
  <c r="E895" i="6" s="1"/>
  <c r="T895" i="6"/>
  <c r="U895" i="6" s="1"/>
  <c r="V895" i="6" s="1"/>
  <c r="W895" i="6" s="1"/>
  <c r="X895" i="6" s="1"/>
  <c r="M895" i="6"/>
  <c r="T894" i="6"/>
  <c r="U894" i="6" s="1"/>
  <c r="V894" i="6"/>
  <c r="W894" i="6" s="1"/>
  <c r="X894" i="6" s="1"/>
  <c r="Y894" i="6" s="1"/>
  <c r="Z894" i="6" s="1"/>
  <c r="AA894" i="6" s="1"/>
  <c r="R894" i="6" s="1"/>
  <c r="F894" i="6" s="1"/>
  <c r="E894" i="6" s="1"/>
  <c r="M894" i="6"/>
  <c r="T893" i="6"/>
  <c r="U893" i="6" s="1"/>
  <c r="V893" i="6" s="1"/>
  <c r="W893" i="6" s="1"/>
  <c r="X893" i="6" s="1"/>
  <c r="Y893" i="6" s="1"/>
  <c r="Z893" i="6" s="1"/>
  <c r="AA893" i="6" s="1"/>
  <c r="R893" i="6" s="1"/>
  <c r="F893" i="6" s="1"/>
  <c r="E893" i="6" s="1"/>
  <c r="M893" i="6"/>
  <c r="T892" i="6"/>
  <c r="U892" i="6" s="1"/>
  <c r="V892" i="6" s="1"/>
  <c r="W892" i="6" s="1"/>
  <c r="X892" i="6" s="1"/>
  <c r="Y892" i="6" s="1"/>
  <c r="Z892" i="6" s="1"/>
  <c r="AA892" i="6" s="1"/>
  <c r="R892" i="6" s="1"/>
  <c r="F892" i="6" s="1"/>
  <c r="E892" i="6" s="1"/>
  <c r="M892" i="6"/>
  <c r="T891" i="6"/>
  <c r="U891" i="6" s="1"/>
  <c r="V891" i="6" s="1"/>
  <c r="W891" i="6" s="1"/>
  <c r="X891" i="6" s="1"/>
  <c r="Y891" i="6" s="1"/>
  <c r="Z891" i="6" s="1"/>
  <c r="AA891" i="6" s="1"/>
  <c r="R891" i="6" s="1"/>
  <c r="F891" i="6" s="1"/>
  <c r="E891" i="6" s="1"/>
  <c r="M891" i="6"/>
  <c r="Z890" i="6"/>
  <c r="AA890" i="6" s="1"/>
  <c r="R890" i="6" s="1"/>
  <c r="F890" i="6" s="1"/>
  <c r="E890" i="6" s="1"/>
  <c r="T890" i="6"/>
  <c r="U890" i="6" s="1"/>
  <c r="V890" i="6" s="1"/>
  <c r="W890" i="6" s="1"/>
  <c r="X890" i="6" s="1"/>
  <c r="M890" i="6"/>
  <c r="Z889" i="6"/>
  <c r="AA889" i="6" s="1"/>
  <c r="R889" i="6" s="1"/>
  <c r="F889" i="6" s="1"/>
  <c r="E889" i="6" s="1"/>
  <c r="U889" i="6"/>
  <c r="V889" i="6" s="1"/>
  <c r="W889" i="6"/>
  <c r="X889" i="6" s="1"/>
  <c r="M889" i="6"/>
  <c r="Z888" i="6"/>
  <c r="AA888" i="6" s="1"/>
  <c r="R888" i="6" s="1"/>
  <c r="F888" i="6" s="1"/>
  <c r="E888" i="6" s="1"/>
  <c r="T888" i="6"/>
  <c r="U888" i="6" s="1"/>
  <c r="V888" i="6" s="1"/>
  <c r="W888" i="6" s="1"/>
  <c r="X888" i="6" s="1"/>
  <c r="M888" i="6"/>
  <c r="Z887" i="6"/>
  <c r="AA887" i="6" s="1"/>
  <c r="R887" i="6"/>
  <c r="F887" i="6" s="1"/>
  <c r="E887" i="6" s="1"/>
  <c r="T887" i="6"/>
  <c r="U887" i="6"/>
  <c r="V887" i="6" s="1"/>
  <c r="W887" i="6" s="1"/>
  <c r="X887" i="6" s="1"/>
  <c r="M887" i="6"/>
  <c r="Z886" i="6"/>
  <c r="AA886" i="6" s="1"/>
  <c r="R886" i="6" s="1"/>
  <c r="F886" i="6" s="1"/>
  <c r="E886" i="6" s="1"/>
  <c r="T886" i="6"/>
  <c r="U886" i="6" s="1"/>
  <c r="V886" i="6" s="1"/>
  <c r="W886" i="6" s="1"/>
  <c r="X886" i="6" s="1"/>
  <c r="M886" i="6"/>
  <c r="Z885" i="6"/>
  <c r="AA885" i="6" s="1"/>
  <c r="R885" i="6" s="1"/>
  <c r="F885" i="6" s="1"/>
  <c r="E885" i="6" s="1"/>
  <c r="T885" i="6"/>
  <c r="U885" i="6"/>
  <c r="V885" i="6" s="1"/>
  <c r="W885" i="6" s="1"/>
  <c r="X885" i="6" s="1"/>
  <c r="M885" i="6"/>
  <c r="Z884" i="6"/>
  <c r="AA884" i="6" s="1"/>
  <c r="R884" i="6" s="1"/>
  <c r="F884" i="6" s="1"/>
  <c r="E884" i="6" s="1"/>
  <c r="T884" i="6"/>
  <c r="U884" i="6"/>
  <c r="V884" i="6" s="1"/>
  <c r="W884" i="6" s="1"/>
  <c r="X884" i="6" s="1"/>
  <c r="M884" i="6"/>
  <c r="Z883" i="6"/>
  <c r="AA883" i="6"/>
  <c r="R883" i="6"/>
  <c r="F883" i="6" s="1"/>
  <c r="E883" i="6" s="1"/>
  <c r="T883" i="6"/>
  <c r="U883" i="6" s="1"/>
  <c r="V883" i="6" s="1"/>
  <c r="W883" i="6" s="1"/>
  <c r="X883" i="6" s="1"/>
  <c r="M883" i="6"/>
  <c r="Z882" i="6"/>
  <c r="AA882" i="6" s="1"/>
  <c r="R882" i="6" s="1"/>
  <c r="F882" i="6" s="1"/>
  <c r="E882" i="6" s="1"/>
  <c r="T882" i="6"/>
  <c r="U882" i="6"/>
  <c r="V882" i="6"/>
  <c r="W882" i="6"/>
  <c r="X882" i="6" s="1"/>
  <c r="M882" i="6"/>
  <c r="T881" i="6"/>
  <c r="U881" i="6" s="1"/>
  <c r="V881" i="6" s="1"/>
  <c r="W881" i="6" s="1"/>
  <c r="X881" i="6" s="1"/>
  <c r="Y881" i="6" s="1"/>
  <c r="Z881" i="6" s="1"/>
  <c r="AA881" i="6" s="1"/>
  <c r="R881" i="6" s="1"/>
  <c r="F881" i="6" s="1"/>
  <c r="E881" i="6" s="1"/>
  <c r="M881" i="6"/>
  <c r="T880" i="6"/>
  <c r="U880" i="6" s="1"/>
  <c r="V880" i="6"/>
  <c r="W880" i="6" s="1"/>
  <c r="X880" i="6" s="1"/>
  <c r="Y880" i="6" s="1"/>
  <c r="Z880" i="6" s="1"/>
  <c r="AA880" i="6" s="1"/>
  <c r="R880" i="6" s="1"/>
  <c r="F880" i="6" s="1"/>
  <c r="E880" i="6" s="1"/>
  <c r="M880" i="6"/>
  <c r="T879" i="6"/>
  <c r="U879" i="6" s="1"/>
  <c r="V879" i="6" s="1"/>
  <c r="W879" i="6" s="1"/>
  <c r="X879" i="6" s="1"/>
  <c r="Y879" i="6" s="1"/>
  <c r="Z879" i="6" s="1"/>
  <c r="AA879" i="6" s="1"/>
  <c r="R879" i="6" s="1"/>
  <c r="F879" i="6" s="1"/>
  <c r="E879" i="6" s="1"/>
  <c r="M879" i="6"/>
  <c r="T878" i="6"/>
  <c r="U878" i="6"/>
  <c r="V878" i="6" s="1"/>
  <c r="W878" i="6" s="1"/>
  <c r="X878" i="6" s="1"/>
  <c r="Y878" i="6" s="1"/>
  <c r="Z878" i="6" s="1"/>
  <c r="AA878" i="6" s="1"/>
  <c r="R878" i="6" s="1"/>
  <c r="F878" i="6" s="1"/>
  <c r="E878" i="6" s="1"/>
  <c r="M878" i="6"/>
  <c r="T877" i="6"/>
  <c r="U877" i="6" s="1"/>
  <c r="V877" i="6" s="1"/>
  <c r="W877" i="6" s="1"/>
  <c r="X877" i="6" s="1"/>
  <c r="Y877" i="6" s="1"/>
  <c r="Z877" i="6" s="1"/>
  <c r="AA877" i="6" s="1"/>
  <c r="R877" i="6" s="1"/>
  <c r="F877" i="6" s="1"/>
  <c r="E877" i="6" s="1"/>
  <c r="M877" i="6"/>
  <c r="Z876" i="6"/>
  <c r="AA876" i="6" s="1"/>
  <c r="R876" i="6" s="1"/>
  <c r="F876" i="6" s="1"/>
  <c r="E876" i="6" s="1"/>
  <c r="T876" i="6"/>
  <c r="U876" i="6" s="1"/>
  <c r="V876" i="6" s="1"/>
  <c r="W876" i="6" s="1"/>
  <c r="X876" i="6" s="1"/>
  <c r="M876" i="6"/>
  <c r="Z875" i="6"/>
  <c r="AA875" i="6"/>
  <c r="R875" i="6" s="1"/>
  <c r="F875" i="6" s="1"/>
  <c r="E875" i="6" s="1"/>
  <c r="T875" i="6"/>
  <c r="U875" i="6" s="1"/>
  <c r="V875" i="6" s="1"/>
  <c r="W875" i="6" s="1"/>
  <c r="X875" i="6" s="1"/>
  <c r="M875" i="6"/>
  <c r="Z874" i="6"/>
  <c r="AA874" i="6"/>
  <c r="R874" i="6" s="1"/>
  <c r="F874" i="6" s="1"/>
  <c r="E874" i="6" s="1"/>
  <c r="T874" i="6"/>
  <c r="U874" i="6" s="1"/>
  <c r="V874" i="6" s="1"/>
  <c r="W874" i="6" s="1"/>
  <c r="X874" i="6" s="1"/>
  <c r="M874" i="6"/>
  <c r="Z873" i="6"/>
  <c r="AA873" i="6" s="1"/>
  <c r="R873" i="6" s="1"/>
  <c r="F873" i="6" s="1"/>
  <c r="E873" i="6" s="1"/>
  <c r="T873" i="6"/>
  <c r="U873" i="6" s="1"/>
  <c r="V873" i="6" s="1"/>
  <c r="W873" i="6" s="1"/>
  <c r="X873" i="6" s="1"/>
  <c r="O873" i="6"/>
  <c r="M873" i="6"/>
  <c r="Z872" i="6"/>
  <c r="AA872" i="6" s="1"/>
  <c r="R872" i="6" s="1"/>
  <c r="F872" i="6" s="1"/>
  <c r="E872" i="6" s="1"/>
  <c r="T872" i="6"/>
  <c r="U872" i="6" s="1"/>
  <c r="V872" i="6" s="1"/>
  <c r="W872" i="6" s="1"/>
  <c r="X872" i="6" s="1"/>
  <c r="O872" i="6"/>
  <c r="M872" i="6"/>
  <c r="Z871" i="6"/>
  <c r="AA871" i="6" s="1"/>
  <c r="R871" i="6" s="1"/>
  <c r="F871" i="6" s="1"/>
  <c r="E871" i="6" s="1"/>
  <c r="T871" i="6"/>
  <c r="U871" i="6"/>
  <c r="V871" i="6"/>
  <c r="W871" i="6"/>
  <c r="X871" i="6" s="1"/>
  <c r="O871" i="6"/>
  <c r="M871" i="6"/>
  <c r="Z870" i="6"/>
  <c r="AA870" i="6" s="1"/>
  <c r="R870" i="6" s="1"/>
  <c r="F870" i="6" s="1"/>
  <c r="E870" i="6" s="1"/>
  <c r="T870" i="6"/>
  <c r="U870" i="6" s="1"/>
  <c r="V870" i="6" s="1"/>
  <c r="W870" i="6" s="1"/>
  <c r="X870" i="6" s="1"/>
  <c r="O870" i="6"/>
  <c r="M870" i="6"/>
  <c r="Z869" i="6"/>
  <c r="AA869" i="6" s="1"/>
  <c r="R869" i="6" s="1"/>
  <c r="F869" i="6" s="1"/>
  <c r="E869" i="6" s="1"/>
  <c r="T869" i="6"/>
  <c r="U869" i="6" s="1"/>
  <c r="V869" i="6" s="1"/>
  <c r="W869" i="6" s="1"/>
  <c r="X869" i="6" s="1"/>
  <c r="O869" i="6"/>
  <c r="M869" i="6"/>
  <c r="T868" i="6"/>
  <c r="U868" i="6" s="1"/>
  <c r="V868" i="6" s="1"/>
  <c r="W868" i="6" s="1"/>
  <c r="X868" i="6" s="1"/>
  <c r="Y868" i="6" s="1"/>
  <c r="Z868" i="6" s="1"/>
  <c r="AA868" i="6" s="1"/>
  <c r="R868" i="6" s="1"/>
  <c r="M868" i="6"/>
  <c r="E868" i="6"/>
  <c r="Z867" i="6"/>
  <c r="AA867" i="6" s="1"/>
  <c r="R867" i="6" s="1"/>
  <c r="T867" i="6"/>
  <c r="U867" i="6" s="1"/>
  <c r="V867" i="6" s="1"/>
  <c r="W867" i="6" s="1"/>
  <c r="X867" i="6" s="1"/>
  <c r="M867" i="6"/>
  <c r="E867" i="6"/>
  <c r="Z866" i="6"/>
  <c r="AA866" i="6" s="1"/>
  <c r="R866" i="6" s="1"/>
  <c r="T866" i="6"/>
  <c r="U866" i="6" s="1"/>
  <c r="V866" i="6" s="1"/>
  <c r="W866" i="6" s="1"/>
  <c r="X866" i="6" s="1"/>
  <c r="M866" i="6"/>
  <c r="E866" i="6"/>
  <c r="Z865" i="6"/>
  <c r="AA865" i="6" s="1"/>
  <c r="R865" i="6" s="1"/>
  <c r="T865" i="6"/>
  <c r="U865" i="6" s="1"/>
  <c r="V865" i="6" s="1"/>
  <c r="W865" i="6" s="1"/>
  <c r="X865" i="6" s="1"/>
  <c r="M865" i="6"/>
  <c r="E865" i="6"/>
  <c r="Z864" i="6"/>
  <c r="AA864" i="6" s="1"/>
  <c r="R864" i="6"/>
  <c r="T864" i="6"/>
  <c r="U864" i="6" s="1"/>
  <c r="V864" i="6" s="1"/>
  <c r="W864" i="6" s="1"/>
  <c r="X864" i="6" s="1"/>
  <c r="M864" i="6"/>
  <c r="E864" i="6"/>
  <c r="Z863" i="6"/>
  <c r="AA863" i="6" s="1"/>
  <c r="R863" i="6" s="1"/>
  <c r="T863" i="6"/>
  <c r="U863" i="6" s="1"/>
  <c r="V863" i="6" s="1"/>
  <c r="W863" i="6" s="1"/>
  <c r="X863" i="6" s="1"/>
  <c r="M863" i="6"/>
  <c r="E863" i="6"/>
  <c r="Z862" i="6"/>
  <c r="AA862" i="6" s="1"/>
  <c r="R862" i="6" s="1"/>
  <c r="T862" i="6"/>
  <c r="U862" i="6" s="1"/>
  <c r="V862" i="6" s="1"/>
  <c r="W862" i="6"/>
  <c r="X862" i="6" s="1"/>
  <c r="M862" i="6"/>
  <c r="E862" i="6"/>
  <c r="Z861" i="6"/>
  <c r="AA861" i="6" s="1"/>
  <c r="R861" i="6" s="1"/>
  <c r="T861" i="6"/>
  <c r="U861" i="6"/>
  <c r="V861" i="6" s="1"/>
  <c r="W861" i="6" s="1"/>
  <c r="X861" i="6" s="1"/>
  <c r="M861" i="6"/>
  <c r="E861" i="6"/>
  <c r="Z860" i="6"/>
  <c r="AA860" i="6" s="1"/>
  <c r="R860" i="6" s="1"/>
  <c r="T860" i="6"/>
  <c r="U860" i="6"/>
  <c r="V860" i="6" s="1"/>
  <c r="W860" i="6" s="1"/>
  <c r="X860" i="6" s="1"/>
  <c r="M860" i="6"/>
  <c r="E860" i="6"/>
  <c r="Z859" i="6"/>
  <c r="AA859" i="6" s="1"/>
  <c r="R859" i="6" s="1"/>
  <c r="T859" i="6"/>
  <c r="U859" i="6" s="1"/>
  <c r="V859" i="6" s="1"/>
  <c r="W859" i="6" s="1"/>
  <c r="X859" i="6" s="1"/>
  <c r="M859" i="6"/>
  <c r="E859" i="6"/>
  <c r="Z858" i="6"/>
  <c r="AA858" i="6" s="1"/>
  <c r="R858" i="6" s="1"/>
  <c r="F858" i="6" s="1"/>
  <c r="E858" i="6" s="1"/>
  <c r="T858" i="6"/>
  <c r="U858" i="6" s="1"/>
  <c r="V858" i="6" s="1"/>
  <c r="W858" i="6" s="1"/>
  <c r="X858" i="6" s="1"/>
  <c r="M858" i="6"/>
  <c r="Z857" i="6"/>
  <c r="AA857" i="6" s="1"/>
  <c r="R857" i="6" s="1"/>
  <c r="F857" i="6" s="1"/>
  <c r="E857" i="6" s="1"/>
  <c r="T857" i="6"/>
  <c r="U857" i="6" s="1"/>
  <c r="V857" i="6"/>
  <c r="W857" i="6" s="1"/>
  <c r="X857" i="6" s="1"/>
  <c r="M857" i="6"/>
  <c r="Z856" i="6"/>
  <c r="AA856" i="6" s="1"/>
  <c r="R856" i="6" s="1"/>
  <c r="F856" i="6" s="1"/>
  <c r="E856" i="6" s="1"/>
  <c r="T856" i="6"/>
  <c r="U856" i="6" s="1"/>
  <c r="V856" i="6" s="1"/>
  <c r="W856" i="6" s="1"/>
  <c r="X856" i="6" s="1"/>
  <c r="M856" i="6"/>
  <c r="Z855" i="6"/>
  <c r="AA855" i="6"/>
  <c r="R855" i="6" s="1"/>
  <c r="T855" i="6"/>
  <c r="U855" i="6"/>
  <c r="V855" i="6" s="1"/>
  <c r="W855" i="6" s="1"/>
  <c r="X855" i="6" s="1"/>
  <c r="M855" i="6"/>
  <c r="E855" i="6"/>
  <c r="AA854" i="6"/>
  <c r="R854" i="6" s="1"/>
  <c r="F854" i="6" s="1"/>
  <c r="E854" i="6" s="1"/>
  <c r="T854" i="6"/>
  <c r="U854" i="6" s="1"/>
  <c r="V854" i="6" s="1"/>
  <c r="W854" i="6" s="1"/>
  <c r="M854" i="6"/>
  <c r="AA853" i="6"/>
  <c r="R853" i="6"/>
  <c r="F853" i="6" s="1"/>
  <c r="E853" i="6" s="1"/>
  <c r="Y853" i="6"/>
  <c r="T853" i="6"/>
  <c r="U853" i="6" s="1"/>
  <c r="V853" i="6" s="1"/>
  <c r="W853" i="6" s="1"/>
  <c r="M853" i="6"/>
  <c r="AA852" i="6"/>
  <c r="R852" i="6" s="1"/>
  <c r="F852" i="6" s="1"/>
  <c r="E852" i="6" s="1"/>
  <c r="Y852" i="6"/>
  <c r="T852" i="6"/>
  <c r="U852" i="6" s="1"/>
  <c r="V852" i="6" s="1"/>
  <c r="W852" i="6" s="1"/>
  <c r="M852" i="6"/>
  <c r="AA851" i="6"/>
  <c r="R851" i="6" s="1"/>
  <c r="F851" i="6" s="1"/>
  <c r="E851" i="6" s="1"/>
  <c r="T851" i="6"/>
  <c r="U851" i="6" s="1"/>
  <c r="V851" i="6" s="1"/>
  <c r="W851" i="6" s="1"/>
  <c r="M851" i="6"/>
  <c r="AA850" i="6"/>
  <c r="R850" i="6" s="1"/>
  <c r="F850" i="6" s="1"/>
  <c r="E850" i="6" s="1"/>
  <c r="T850" i="6"/>
  <c r="U850" i="6"/>
  <c r="V850" i="6" s="1"/>
  <c r="W850" i="6" s="1"/>
  <c r="M850" i="6"/>
  <c r="AA849" i="6"/>
  <c r="R849" i="6" s="1"/>
  <c r="F849" i="6" s="1"/>
  <c r="E849" i="6" s="1"/>
  <c r="T849" i="6"/>
  <c r="U849" i="6"/>
  <c r="V849" i="6" s="1"/>
  <c r="W849" i="6" s="1"/>
  <c r="M849" i="6"/>
  <c r="AA848" i="6"/>
  <c r="R848" i="6" s="1"/>
  <c r="F848" i="6" s="1"/>
  <c r="E848" i="6" s="1"/>
  <c r="T848" i="6"/>
  <c r="U848" i="6" s="1"/>
  <c r="V848" i="6" s="1"/>
  <c r="W848" i="6" s="1"/>
  <c r="M848" i="6"/>
  <c r="AA847" i="6"/>
  <c r="R847" i="6" s="1"/>
  <c r="F847" i="6" s="1"/>
  <c r="E847" i="6" s="1"/>
  <c r="T847" i="6"/>
  <c r="U847" i="6" s="1"/>
  <c r="V847" i="6"/>
  <c r="W847" i="6" s="1"/>
  <c r="M847" i="6"/>
  <c r="AA846" i="6"/>
  <c r="R846" i="6" s="1"/>
  <c r="F846" i="6" s="1"/>
  <c r="E846" i="6" s="1"/>
  <c r="T846" i="6"/>
  <c r="U846" i="6" s="1"/>
  <c r="V846" i="6" s="1"/>
  <c r="W846" i="6" s="1"/>
  <c r="M846" i="6"/>
  <c r="AA845" i="6"/>
  <c r="R845" i="6" s="1"/>
  <c r="F845" i="6" s="1"/>
  <c r="E845" i="6" s="1"/>
  <c r="T845" i="6"/>
  <c r="U845" i="6" s="1"/>
  <c r="V845" i="6" s="1"/>
  <c r="W845" i="6" s="1"/>
  <c r="M845" i="6"/>
  <c r="AA844" i="6"/>
  <c r="R844" i="6" s="1"/>
  <c r="F844" i="6" s="1"/>
  <c r="E844" i="6" s="1"/>
  <c r="T844" i="6"/>
  <c r="U844" i="6" s="1"/>
  <c r="V844" i="6" s="1"/>
  <c r="W844" i="6" s="1"/>
  <c r="M844" i="6"/>
  <c r="AA843" i="6"/>
  <c r="R843" i="6" s="1"/>
  <c r="F843" i="6" s="1"/>
  <c r="E843" i="6" s="1"/>
  <c r="T843" i="6"/>
  <c r="U843" i="6" s="1"/>
  <c r="V843" i="6"/>
  <c r="W843" i="6" s="1"/>
  <c r="M843" i="6"/>
  <c r="AA842" i="6"/>
  <c r="R842" i="6" s="1"/>
  <c r="F842" i="6" s="1"/>
  <c r="E842" i="6" s="1"/>
  <c r="T842" i="6"/>
  <c r="U842" i="6"/>
  <c r="V842" i="6" s="1"/>
  <c r="W842" i="6" s="1"/>
  <c r="M842" i="6"/>
  <c r="AA841" i="6"/>
  <c r="R841" i="6" s="1"/>
  <c r="F841" i="6" s="1"/>
  <c r="E841" i="6" s="1"/>
  <c r="T841" i="6"/>
  <c r="U841" i="6" s="1"/>
  <c r="V841" i="6" s="1"/>
  <c r="W841" i="6" s="1"/>
  <c r="M841" i="6"/>
  <c r="T840" i="6"/>
  <c r="U840" i="6" s="1"/>
  <c r="V840" i="6" s="1"/>
  <c r="W840" i="6" s="1"/>
  <c r="X840" i="6" s="1"/>
  <c r="Y840" i="6" s="1"/>
  <c r="Z840" i="6" s="1"/>
  <c r="AA840" i="6" s="1"/>
  <c r="R840" i="6" s="1"/>
  <c r="F840" i="6" s="1"/>
  <c r="E840" i="6" s="1"/>
  <c r="M840" i="6"/>
  <c r="T839" i="6"/>
  <c r="U839" i="6" s="1"/>
  <c r="V839" i="6" s="1"/>
  <c r="W839" i="6" s="1"/>
  <c r="X839" i="6" s="1"/>
  <c r="Y839" i="6" s="1"/>
  <c r="Z839" i="6" s="1"/>
  <c r="AA839" i="6" s="1"/>
  <c r="R839" i="6" s="1"/>
  <c r="F839" i="6" s="1"/>
  <c r="E839" i="6" s="1"/>
  <c r="M839" i="6"/>
  <c r="T838" i="6"/>
  <c r="U838" i="6" s="1"/>
  <c r="V838" i="6" s="1"/>
  <c r="W838" i="6"/>
  <c r="X838" i="6" s="1"/>
  <c r="Y838" i="6" s="1"/>
  <c r="Z838" i="6" s="1"/>
  <c r="AA838" i="6" s="1"/>
  <c r="R838" i="6" s="1"/>
  <c r="F838" i="6" s="1"/>
  <c r="E838" i="6" s="1"/>
  <c r="M838" i="6"/>
  <c r="T837" i="6"/>
  <c r="U837" i="6" s="1"/>
  <c r="V837" i="6" s="1"/>
  <c r="W837" i="6" s="1"/>
  <c r="X837" i="6" s="1"/>
  <c r="Y837" i="6" s="1"/>
  <c r="Z837" i="6" s="1"/>
  <c r="AA837" i="6" s="1"/>
  <c r="R837" i="6" s="1"/>
  <c r="F837" i="6" s="1"/>
  <c r="E837" i="6" s="1"/>
  <c r="M837" i="6"/>
  <c r="T836" i="6"/>
  <c r="U836" i="6" s="1"/>
  <c r="V836" i="6" s="1"/>
  <c r="W836" i="6" s="1"/>
  <c r="X836" i="6" s="1"/>
  <c r="Y836" i="6" s="1"/>
  <c r="Z836" i="6" s="1"/>
  <c r="AA836" i="6" s="1"/>
  <c r="R836" i="6" s="1"/>
  <c r="F836" i="6" s="1"/>
  <c r="E836" i="6" s="1"/>
  <c r="M836" i="6"/>
  <c r="T835" i="6"/>
  <c r="U835" i="6"/>
  <c r="V835" i="6" s="1"/>
  <c r="W835" i="6" s="1"/>
  <c r="X835" i="6" s="1"/>
  <c r="Y835" i="6" s="1"/>
  <c r="Z835" i="6" s="1"/>
  <c r="AA835" i="6"/>
  <c r="R835" i="6" s="1"/>
  <c r="F835" i="6" s="1"/>
  <c r="E835" i="6" s="1"/>
  <c r="M835" i="6"/>
  <c r="T834" i="6"/>
  <c r="U834" i="6" s="1"/>
  <c r="V834" i="6" s="1"/>
  <c r="W834" i="6" s="1"/>
  <c r="X834" i="6" s="1"/>
  <c r="Y834" i="6" s="1"/>
  <c r="Z834" i="6" s="1"/>
  <c r="AA834" i="6" s="1"/>
  <c r="R834" i="6" s="1"/>
  <c r="F834" i="6" s="1"/>
  <c r="E834" i="6" s="1"/>
  <c r="M834" i="6"/>
  <c r="T833" i="6"/>
  <c r="U833" i="6" s="1"/>
  <c r="V833" i="6" s="1"/>
  <c r="W833" i="6" s="1"/>
  <c r="X833" i="6" s="1"/>
  <c r="Y833" i="6" s="1"/>
  <c r="Z833" i="6" s="1"/>
  <c r="AA833" i="6" s="1"/>
  <c r="R833" i="6" s="1"/>
  <c r="F833" i="6" s="1"/>
  <c r="E833" i="6" s="1"/>
  <c r="M833" i="6"/>
  <c r="T832" i="6"/>
  <c r="U832" i="6" s="1"/>
  <c r="V832" i="6" s="1"/>
  <c r="W832" i="6" s="1"/>
  <c r="X832" i="6" s="1"/>
  <c r="Y832" i="6" s="1"/>
  <c r="Z832" i="6" s="1"/>
  <c r="AA832" i="6" s="1"/>
  <c r="R832" i="6" s="1"/>
  <c r="F832" i="6" s="1"/>
  <c r="E832" i="6" s="1"/>
  <c r="M832" i="6"/>
  <c r="T831" i="6"/>
  <c r="U831" i="6" s="1"/>
  <c r="V831" i="6" s="1"/>
  <c r="W831" i="6" s="1"/>
  <c r="X831" i="6" s="1"/>
  <c r="Y831" i="6" s="1"/>
  <c r="Z831" i="6" s="1"/>
  <c r="AA831" i="6" s="1"/>
  <c r="R831" i="6" s="1"/>
  <c r="F831" i="6" s="1"/>
  <c r="E831" i="6" s="1"/>
  <c r="M831" i="6"/>
  <c r="T830" i="6"/>
  <c r="U830" i="6" s="1"/>
  <c r="V830" i="6" s="1"/>
  <c r="W830" i="6" s="1"/>
  <c r="X830" i="6" s="1"/>
  <c r="Y830" i="6" s="1"/>
  <c r="Z830" i="6" s="1"/>
  <c r="AA830" i="6" s="1"/>
  <c r="R830" i="6" s="1"/>
  <c r="F830" i="6" s="1"/>
  <c r="E830" i="6" s="1"/>
  <c r="M830" i="6"/>
  <c r="T829" i="6"/>
  <c r="U829" i="6" s="1"/>
  <c r="V829" i="6"/>
  <c r="W829" i="6" s="1"/>
  <c r="X829" i="6" s="1"/>
  <c r="Y829" i="6" s="1"/>
  <c r="Z829" i="6" s="1"/>
  <c r="AA829" i="6" s="1"/>
  <c r="R829" i="6" s="1"/>
  <c r="F829" i="6" s="1"/>
  <c r="E829" i="6" s="1"/>
  <c r="M829" i="6"/>
  <c r="T828" i="6"/>
  <c r="U828" i="6" s="1"/>
  <c r="V828" i="6" s="1"/>
  <c r="W828" i="6"/>
  <c r="X828" i="6" s="1"/>
  <c r="Y828" i="6" s="1"/>
  <c r="Z828" i="6" s="1"/>
  <c r="AA828" i="6" s="1"/>
  <c r="R828" i="6" s="1"/>
  <c r="F828" i="6" s="1"/>
  <c r="E828" i="6" s="1"/>
  <c r="M828" i="6"/>
  <c r="T827" i="6"/>
  <c r="U827" i="6"/>
  <c r="V827" i="6" s="1"/>
  <c r="W827" i="6" s="1"/>
  <c r="X827" i="6" s="1"/>
  <c r="Y827" i="6" s="1"/>
  <c r="Z827" i="6" s="1"/>
  <c r="AA827" i="6" s="1"/>
  <c r="R827" i="6" s="1"/>
  <c r="F827" i="6" s="1"/>
  <c r="E827" i="6" s="1"/>
  <c r="M827" i="6"/>
  <c r="T826" i="6"/>
  <c r="U826" i="6" s="1"/>
  <c r="V826" i="6" s="1"/>
  <c r="W826" i="6" s="1"/>
  <c r="X826" i="6" s="1"/>
  <c r="Y826" i="6" s="1"/>
  <c r="Z826" i="6" s="1"/>
  <c r="AA826" i="6" s="1"/>
  <c r="R826" i="6" s="1"/>
  <c r="F826" i="6" s="1"/>
  <c r="E826" i="6" s="1"/>
  <c r="M826" i="6"/>
  <c r="T825" i="6"/>
  <c r="U825" i="6" s="1"/>
  <c r="V825" i="6" s="1"/>
  <c r="W825" i="6" s="1"/>
  <c r="X825" i="6"/>
  <c r="Y825" i="6" s="1"/>
  <c r="Z825" i="6" s="1"/>
  <c r="AA825" i="6" s="1"/>
  <c r="R825" i="6" s="1"/>
  <c r="F825" i="6" s="1"/>
  <c r="E825" i="6" s="1"/>
  <c r="M825" i="6"/>
  <c r="T824" i="6"/>
  <c r="U824" i="6" s="1"/>
  <c r="V824" i="6" s="1"/>
  <c r="W824" i="6" s="1"/>
  <c r="X824" i="6" s="1"/>
  <c r="Y824" i="6" s="1"/>
  <c r="Z824" i="6" s="1"/>
  <c r="AA824" i="6" s="1"/>
  <c r="R824" i="6"/>
  <c r="F824" i="6" s="1"/>
  <c r="E824" i="6" s="1"/>
  <c r="M824" i="6"/>
  <c r="T823" i="6"/>
  <c r="U823" i="6" s="1"/>
  <c r="V823" i="6" s="1"/>
  <c r="W823" i="6" s="1"/>
  <c r="X823" i="6" s="1"/>
  <c r="Y823" i="6" s="1"/>
  <c r="Z823" i="6" s="1"/>
  <c r="AA823" i="6" s="1"/>
  <c r="R823" i="6" s="1"/>
  <c r="F823" i="6" s="1"/>
  <c r="E823" i="6" s="1"/>
  <c r="M823" i="6"/>
  <c r="T822" i="6"/>
  <c r="U822" i="6" s="1"/>
  <c r="V822" i="6" s="1"/>
  <c r="W822" i="6" s="1"/>
  <c r="X822" i="6" s="1"/>
  <c r="Y822" i="6" s="1"/>
  <c r="Z822" i="6" s="1"/>
  <c r="AA822" i="6" s="1"/>
  <c r="R822" i="6" s="1"/>
  <c r="F822" i="6" s="1"/>
  <c r="E822" i="6" s="1"/>
  <c r="M822" i="6"/>
  <c r="T821" i="6"/>
  <c r="U821" i="6" s="1"/>
  <c r="V821" i="6" s="1"/>
  <c r="W821" i="6" s="1"/>
  <c r="X821" i="6" s="1"/>
  <c r="Y821" i="6" s="1"/>
  <c r="Z821" i="6" s="1"/>
  <c r="AA821" i="6" s="1"/>
  <c r="R821" i="6" s="1"/>
  <c r="F821" i="6" s="1"/>
  <c r="E821" i="6" s="1"/>
  <c r="M821" i="6"/>
  <c r="T820" i="6"/>
  <c r="U820" i="6" s="1"/>
  <c r="V820" i="6" s="1"/>
  <c r="W820" i="6" s="1"/>
  <c r="X820" i="6" s="1"/>
  <c r="Y820" i="6" s="1"/>
  <c r="Z820" i="6" s="1"/>
  <c r="AA820" i="6" s="1"/>
  <c r="R820" i="6" s="1"/>
  <c r="F820" i="6" s="1"/>
  <c r="E820" i="6" s="1"/>
  <c r="M820" i="6"/>
  <c r="T819" i="6"/>
  <c r="U819" i="6" s="1"/>
  <c r="V819" i="6" s="1"/>
  <c r="W819" i="6" s="1"/>
  <c r="X819" i="6"/>
  <c r="Y819" i="6" s="1"/>
  <c r="Z819" i="6" s="1"/>
  <c r="AA819" i="6" s="1"/>
  <c r="R819" i="6" s="1"/>
  <c r="F819" i="6" s="1"/>
  <c r="E819" i="6" s="1"/>
  <c r="M819" i="6"/>
  <c r="T818" i="6"/>
  <c r="U818" i="6" s="1"/>
  <c r="V818" i="6" s="1"/>
  <c r="W818" i="6" s="1"/>
  <c r="X818" i="6" s="1"/>
  <c r="Y818" i="6" s="1"/>
  <c r="Z818" i="6" s="1"/>
  <c r="AA818" i="6" s="1"/>
  <c r="R818" i="6" s="1"/>
  <c r="F818" i="6" s="1"/>
  <c r="E818" i="6" s="1"/>
  <c r="M818" i="6"/>
  <c r="Z817" i="6"/>
  <c r="AA817" i="6" s="1"/>
  <c r="R817" i="6" s="1"/>
  <c r="F817" i="6" s="1"/>
  <c r="E817" i="6"/>
  <c r="T817" i="6"/>
  <c r="U817" i="6" s="1"/>
  <c r="V817" i="6" s="1"/>
  <c r="W817" i="6" s="1"/>
  <c r="X817" i="6" s="1"/>
  <c r="M817" i="6"/>
  <c r="Z816" i="6"/>
  <c r="AA816" i="6" s="1"/>
  <c r="R816" i="6" s="1"/>
  <c r="F816" i="6" s="1"/>
  <c r="E816" i="6" s="1"/>
  <c r="T816" i="6"/>
  <c r="U816" i="6" s="1"/>
  <c r="V816" i="6" s="1"/>
  <c r="W816" i="6" s="1"/>
  <c r="X816" i="6" s="1"/>
  <c r="M816" i="6"/>
  <c r="Z815" i="6"/>
  <c r="AA815" i="6"/>
  <c r="R815" i="6" s="1"/>
  <c r="F815" i="6" s="1"/>
  <c r="E815" i="6" s="1"/>
  <c r="T815" i="6"/>
  <c r="U815" i="6" s="1"/>
  <c r="V815" i="6"/>
  <c r="W815" i="6" s="1"/>
  <c r="X815" i="6" s="1"/>
  <c r="M815" i="6"/>
  <c r="Z814" i="6"/>
  <c r="AA814" i="6" s="1"/>
  <c r="R814" i="6" s="1"/>
  <c r="F814" i="6" s="1"/>
  <c r="E814" i="6" s="1"/>
  <c r="T814" i="6"/>
  <c r="U814" i="6"/>
  <c r="V814" i="6" s="1"/>
  <c r="W814" i="6" s="1"/>
  <c r="X814" i="6" s="1"/>
  <c r="M814" i="6"/>
  <c r="Z813" i="6"/>
  <c r="AA813" i="6" s="1"/>
  <c r="R813" i="6" s="1"/>
  <c r="F813" i="6" s="1"/>
  <c r="E813" i="6" s="1"/>
  <c r="T813" i="6"/>
  <c r="U813" i="6"/>
  <c r="V813" i="6" s="1"/>
  <c r="W813" i="6" s="1"/>
  <c r="X813" i="6" s="1"/>
  <c r="M813" i="6"/>
  <c r="T812" i="6"/>
  <c r="U812" i="6" s="1"/>
  <c r="V812" i="6" s="1"/>
  <c r="W812" i="6" s="1"/>
  <c r="X812" i="6" s="1"/>
  <c r="Y812" i="6" s="1"/>
  <c r="Z812" i="6" s="1"/>
  <c r="AA812" i="6" s="1"/>
  <c r="R812" i="6" s="1"/>
  <c r="F812" i="6" s="1"/>
  <c r="E812" i="6" s="1"/>
  <c r="M812" i="6"/>
  <c r="T811" i="6"/>
  <c r="U811" i="6"/>
  <c r="V811" i="6" s="1"/>
  <c r="W811" i="6" s="1"/>
  <c r="X811" i="6" s="1"/>
  <c r="Y811" i="6" s="1"/>
  <c r="Z811" i="6" s="1"/>
  <c r="AA811" i="6" s="1"/>
  <c r="R811" i="6" s="1"/>
  <c r="F811" i="6" s="1"/>
  <c r="E811" i="6" s="1"/>
  <c r="M811" i="6"/>
  <c r="T810" i="6"/>
  <c r="U810" i="6" s="1"/>
  <c r="V810" i="6" s="1"/>
  <c r="W810" i="6" s="1"/>
  <c r="X810" i="6" s="1"/>
  <c r="Y810" i="6" s="1"/>
  <c r="Z810" i="6" s="1"/>
  <c r="AA810" i="6" s="1"/>
  <c r="R810" i="6" s="1"/>
  <c r="F810" i="6" s="1"/>
  <c r="E810" i="6" s="1"/>
  <c r="M810" i="6"/>
  <c r="T809" i="6"/>
  <c r="U809" i="6"/>
  <c r="V809" i="6" s="1"/>
  <c r="W809" i="6" s="1"/>
  <c r="X809" i="6" s="1"/>
  <c r="Y809" i="6" s="1"/>
  <c r="Z809" i="6" s="1"/>
  <c r="AA809" i="6" s="1"/>
  <c r="R809" i="6" s="1"/>
  <c r="F809" i="6"/>
  <c r="E809" i="6" s="1"/>
  <c r="M809" i="6"/>
  <c r="T808" i="6"/>
  <c r="U808" i="6" s="1"/>
  <c r="V808" i="6" s="1"/>
  <c r="W808" i="6" s="1"/>
  <c r="X808" i="6" s="1"/>
  <c r="Y808" i="6" s="1"/>
  <c r="Z808" i="6" s="1"/>
  <c r="AA808" i="6" s="1"/>
  <c r="R808" i="6" s="1"/>
  <c r="F808" i="6" s="1"/>
  <c r="E808" i="6" s="1"/>
  <c r="M808" i="6"/>
  <c r="T807" i="6"/>
  <c r="U807" i="6" s="1"/>
  <c r="V807" i="6" s="1"/>
  <c r="W807" i="6" s="1"/>
  <c r="X807" i="6" s="1"/>
  <c r="Y807" i="6" s="1"/>
  <c r="Z807" i="6" s="1"/>
  <c r="AA807" i="6" s="1"/>
  <c r="R807" i="6" s="1"/>
  <c r="F807" i="6" s="1"/>
  <c r="E807" i="6" s="1"/>
  <c r="M807" i="6"/>
  <c r="T806" i="6"/>
  <c r="U806" i="6" s="1"/>
  <c r="V806" i="6" s="1"/>
  <c r="W806" i="6" s="1"/>
  <c r="X806" i="6" s="1"/>
  <c r="Y806" i="6" s="1"/>
  <c r="Z806" i="6" s="1"/>
  <c r="AA806" i="6" s="1"/>
  <c r="R806" i="6" s="1"/>
  <c r="F806" i="6" s="1"/>
  <c r="E806" i="6" s="1"/>
  <c r="M806" i="6"/>
  <c r="T805" i="6"/>
  <c r="U805" i="6"/>
  <c r="V805" i="6" s="1"/>
  <c r="W805" i="6" s="1"/>
  <c r="X805" i="6" s="1"/>
  <c r="Y805" i="6" s="1"/>
  <c r="Z805" i="6" s="1"/>
  <c r="AA805" i="6" s="1"/>
  <c r="R805" i="6" s="1"/>
  <c r="F805" i="6" s="1"/>
  <c r="E805" i="6" s="1"/>
  <c r="M805" i="6"/>
  <c r="T804" i="6"/>
  <c r="U804" i="6" s="1"/>
  <c r="V804" i="6" s="1"/>
  <c r="W804" i="6" s="1"/>
  <c r="X804" i="6" s="1"/>
  <c r="Y804" i="6"/>
  <c r="Z804" i="6" s="1"/>
  <c r="AA804" i="6" s="1"/>
  <c r="R804" i="6" s="1"/>
  <c r="F804" i="6" s="1"/>
  <c r="E804" i="6" s="1"/>
  <c r="M804" i="6"/>
  <c r="T803" i="6"/>
  <c r="U803" i="6"/>
  <c r="V803" i="6" s="1"/>
  <c r="W803" i="6" s="1"/>
  <c r="X803" i="6" s="1"/>
  <c r="Y803" i="6" s="1"/>
  <c r="Z803" i="6" s="1"/>
  <c r="AA803" i="6" s="1"/>
  <c r="R803" i="6" s="1"/>
  <c r="F803" i="6" s="1"/>
  <c r="E803" i="6" s="1"/>
  <c r="M803" i="6"/>
  <c r="T802" i="6"/>
  <c r="U802" i="6" s="1"/>
  <c r="V802" i="6" s="1"/>
  <c r="W802" i="6" s="1"/>
  <c r="X802" i="6" s="1"/>
  <c r="Y802" i="6" s="1"/>
  <c r="Z802" i="6" s="1"/>
  <c r="AA802" i="6" s="1"/>
  <c r="R802" i="6" s="1"/>
  <c r="F802" i="6" s="1"/>
  <c r="E802" i="6" s="1"/>
  <c r="M802" i="6"/>
  <c r="T801" i="6"/>
  <c r="U801" i="6"/>
  <c r="V801" i="6" s="1"/>
  <c r="W801" i="6" s="1"/>
  <c r="X801" i="6" s="1"/>
  <c r="Y801" i="6" s="1"/>
  <c r="Z801" i="6" s="1"/>
  <c r="AA801" i="6" s="1"/>
  <c r="R801" i="6" s="1"/>
  <c r="F801" i="6" s="1"/>
  <c r="E801" i="6" s="1"/>
  <c r="M801" i="6"/>
  <c r="T800" i="6"/>
  <c r="U800" i="6" s="1"/>
  <c r="V800" i="6" s="1"/>
  <c r="W800" i="6" s="1"/>
  <c r="X800" i="6" s="1"/>
  <c r="Y800" i="6" s="1"/>
  <c r="Z800" i="6" s="1"/>
  <c r="AA800" i="6" s="1"/>
  <c r="R800" i="6" s="1"/>
  <c r="F800" i="6" s="1"/>
  <c r="E800" i="6" s="1"/>
  <c r="M800" i="6"/>
  <c r="T799" i="6"/>
  <c r="U799" i="6"/>
  <c r="V799" i="6" s="1"/>
  <c r="W799" i="6" s="1"/>
  <c r="X799" i="6" s="1"/>
  <c r="Y799" i="6" s="1"/>
  <c r="Z799" i="6" s="1"/>
  <c r="AA799" i="6" s="1"/>
  <c r="R799" i="6" s="1"/>
  <c r="F799" i="6" s="1"/>
  <c r="E799" i="6" s="1"/>
  <c r="M799" i="6"/>
  <c r="T798" i="6"/>
  <c r="U798" i="6" s="1"/>
  <c r="V798" i="6" s="1"/>
  <c r="W798" i="6" s="1"/>
  <c r="X798" i="6" s="1"/>
  <c r="Y798" i="6"/>
  <c r="Z798" i="6" s="1"/>
  <c r="AA798" i="6" s="1"/>
  <c r="R798" i="6" s="1"/>
  <c r="F798" i="6" s="1"/>
  <c r="E798" i="6" s="1"/>
  <c r="M798" i="6"/>
  <c r="T797" i="6"/>
  <c r="U797" i="6" s="1"/>
  <c r="V797" i="6" s="1"/>
  <c r="W797" i="6" s="1"/>
  <c r="X797" i="6" s="1"/>
  <c r="Y797" i="6" s="1"/>
  <c r="Z797" i="6" s="1"/>
  <c r="AA797" i="6" s="1"/>
  <c r="R797" i="6" s="1"/>
  <c r="F797" i="6" s="1"/>
  <c r="E797" i="6" s="1"/>
  <c r="M797" i="6"/>
  <c r="T796" i="6"/>
  <c r="U796" i="6" s="1"/>
  <c r="V796" i="6" s="1"/>
  <c r="W796" i="6" s="1"/>
  <c r="X796" i="6" s="1"/>
  <c r="Y796" i="6" s="1"/>
  <c r="Z796" i="6" s="1"/>
  <c r="AA796" i="6" s="1"/>
  <c r="R796" i="6" s="1"/>
  <c r="F796" i="6" s="1"/>
  <c r="E796" i="6" s="1"/>
  <c r="M796" i="6"/>
  <c r="T795" i="6"/>
  <c r="U795" i="6"/>
  <c r="V795" i="6" s="1"/>
  <c r="W795" i="6" s="1"/>
  <c r="X795" i="6" s="1"/>
  <c r="Y795" i="6" s="1"/>
  <c r="Z795" i="6" s="1"/>
  <c r="AA795" i="6" s="1"/>
  <c r="R795" i="6" s="1"/>
  <c r="F795" i="6" s="1"/>
  <c r="E795" i="6" s="1"/>
  <c r="M795" i="6"/>
  <c r="T794" i="6"/>
  <c r="U794" i="6" s="1"/>
  <c r="V794" i="6" s="1"/>
  <c r="W794" i="6" s="1"/>
  <c r="X794" i="6" s="1"/>
  <c r="Y794" i="6" s="1"/>
  <c r="Z794" i="6" s="1"/>
  <c r="AA794" i="6" s="1"/>
  <c r="R794" i="6" s="1"/>
  <c r="F794" i="6" s="1"/>
  <c r="E794" i="6" s="1"/>
  <c r="M794" i="6"/>
  <c r="T793" i="6"/>
  <c r="U793" i="6" s="1"/>
  <c r="V793" i="6" s="1"/>
  <c r="W793" i="6" s="1"/>
  <c r="X793" i="6" s="1"/>
  <c r="Y793" i="6" s="1"/>
  <c r="Z793" i="6" s="1"/>
  <c r="AA793" i="6" s="1"/>
  <c r="R793" i="6" s="1"/>
  <c r="F793" i="6" s="1"/>
  <c r="E793" i="6" s="1"/>
  <c r="M793" i="6"/>
  <c r="T792" i="6"/>
  <c r="U792" i="6" s="1"/>
  <c r="V792" i="6" s="1"/>
  <c r="W792" i="6" s="1"/>
  <c r="X792" i="6" s="1"/>
  <c r="Y792" i="6" s="1"/>
  <c r="Z792" i="6" s="1"/>
  <c r="AA792" i="6" s="1"/>
  <c r="R792" i="6" s="1"/>
  <c r="F792" i="6" s="1"/>
  <c r="E792" i="6" s="1"/>
  <c r="M792" i="6"/>
  <c r="T791" i="6"/>
  <c r="U791" i="6"/>
  <c r="V791" i="6" s="1"/>
  <c r="W791" i="6" s="1"/>
  <c r="X791" i="6" s="1"/>
  <c r="Y791" i="6" s="1"/>
  <c r="Z791" i="6" s="1"/>
  <c r="AA791" i="6" s="1"/>
  <c r="R791" i="6" s="1"/>
  <c r="F791" i="6"/>
  <c r="E791" i="6" s="1"/>
  <c r="M791" i="6"/>
  <c r="Z790" i="6"/>
  <c r="AA790" i="6" s="1"/>
  <c r="R790" i="6" s="1"/>
  <c r="F790" i="6" s="1"/>
  <c r="E790" i="6" s="1"/>
  <c r="T790" i="6"/>
  <c r="U790" i="6" s="1"/>
  <c r="V790" i="6" s="1"/>
  <c r="W790" i="6" s="1"/>
  <c r="X790" i="6" s="1"/>
  <c r="M790" i="6"/>
  <c r="Z789" i="6"/>
  <c r="AA789" i="6" s="1"/>
  <c r="R789" i="6" s="1"/>
  <c r="F789" i="6" s="1"/>
  <c r="E789" i="6" s="1"/>
  <c r="T789" i="6"/>
  <c r="U789" i="6" s="1"/>
  <c r="V789" i="6" s="1"/>
  <c r="W789" i="6" s="1"/>
  <c r="X789" i="6" s="1"/>
  <c r="M789" i="6"/>
  <c r="Z788" i="6"/>
  <c r="AA788" i="6" s="1"/>
  <c r="R788" i="6" s="1"/>
  <c r="F788" i="6" s="1"/>
  <c r="E788" i="6" s="1"/>
  <c r="T788" i="6"/>
  <c r="U788" i="6" s="1"/>
  <c r="V788" i="6" s="1"/>
  <c r="W788" i="6" s="1"/>
  <c r="X788" i="6" s="1"/>
  <c r="M788" i="6"/>
  <c r="Z787" i="6"/>
  <c r="AA787" i="6"/>
  <c r="R787" i="6" s="1"/>
  <c r="F787" i="6" s="1"/>
  <c r="E787" i="6" s="1"/>
  <c r="T787" i="6"/>
  <c r="U787" i="6" s="1"/>
  <c r="V787" i="6" s="1"/>
  <c r="W787" i="6" s="1"/>
  <c r="X787" i="6" s="1"/>
  <c r="M787" i="6"/>
  <c r="Z786" i="6"/>
  <c r="AA786" i="6" s="1"/>
  <c r="R786" i="6" s="1"/>
  <c r="F786" i="6" s="1"/>
  <c r="E786" i="6" s="1"/>
  <c r="T786" i="6"/>
  <c r="U786" i="6"/>
  <c r="V786" i="6" s="1"/>
  <c r="W786" i="6" s="1"/>
  <c r="X786" i="6" s="1"/>
  <c r="M786" i="6"/>
  <c r="Z785" i="6"/>
  <c r="AA785" i="6"/>
  <c r="R785" i="6" s="1"/>
  <c r="F785" i="6" s="1"/>
  <c r="E785" i="6" s="1"/>
  <c r="T785" i="6"/>
  <c r="U785" i="6"/>
  <c r="V785" i="6" s="1"/>
  <c r="W785" i="6" s="1"/>
  <c r="X785" i="6" s="1"/>
  <c r="M785" i="6"/>
  <c r="T784" i="6"/>
  <c r="U784" i="6" s="1"/>
  <c r="V784" i="6" s="1"/>
  <c r="W784" i="6" s="1"/>
  <c r="X784" i="6" s="1"/>
  <c r="Y784" i="6" s="1"/>
  <c r="Z784" i="6" s="1"/>
  <c r="AA784" i="6" s="1"/>
  <c r="R784" i="6" s="1"/>
  <c r="F784" i="6" s="1"/>
  <c r="E784" i="6" s="1"/>
  <c r="M784" i="6"/>
  <c r="T783" i="6"/>
  <c r="U783" i="6" s="1"/>
  <c r="V783" i="6" s="1"/>
  <c r="W783" i="6" s="1"/>
  <c r="X783" i="6" s="1"/>
  <c r="Y783" i="6" s="1"/>
  <c r="Z783" i="6" s="1"/>
  <c r="AA783" i="6" s="1"/>
  <c r="R783" i="6" s="1"/>
  <c r="F783" i="6" s="1"/>
  <c r="E783" i="6" s="1"/>
  <c r="M783" i="6"/>
  <c r="T782" i="6"/>
  <c r="U782" i="6"/>
  <c r="V782" i="6" s="1"/>
  <c r="W782" i="6" s="1"/>
  <c r="X782" i="6" s="1"/>
  <c r="Y782" i="6" s="1"/>
  <c r="Z782" i="6" s="1"/>
  <c r="AA782" i="6" s="1"/>
  <c r="R782" i="6" s="1"/>
  <c r="F782" i="6" s="1"/>
  <c r="E782" i="6" s="1"/>
  <c r="M782" i="6"/>
  <c r="T781" i="6"/>
  <c r="U781" i="6" s="1"/>
  <c r="V781" i="6" s="1"/>
  <c r="W781" i="6" s="1"/>
  <c r="X781" i="6" s="1"/>
  <c r="Y781" i="6" s="1"/>
  <c r="Z781" i="6" s="1"/>
  <c r="AA781" i="6" s="1"/>
  <c r="R781" i="6" s="1"/>
  <c r="F781" i="6" s="1"/>
  <c r="E781" i="6" s="1"/>
  <c r="M781" i="6"/>
  <c r="T780" i="6"/>
  <c r="U780" i="6" s="1"/>
  <c r="V780" i="6" s="1"/>
  <c r="W780" i="6" s="1"/>
  <c r="X780" i="6" s="1"/>
  <c r="Y780" i="6" s="1"/>
  <c r="Z780" i="6" s="1"/>
  <c r="AA780" i="6" s="1"/>
  <c r="R780" i="6" s="1"/>
  <c r="F780" i="6" s="1"/>
  <c r="E780" i="6" s="1"/>
  <c r="M780" i="6"/>
  <c r="T779" i="6"/>
  <c r="U779" i="6" s="1"/>
  <c r="V779" i="6" s="1"/>
  <c r="W779" i="6" s="1"/>
  <c r="X779" i="6" s="1"/>
  <c r="Y779" i="6" s="1"/>
  <c r="Z779" i="6" s="1"/>
  <c r="AA779" i="6" s="1"/>
  <c r="R779" i="6" s="1"/>
  <c r="F779" i="6" s="1"/>
  <c r="E779" i="6" s="1"/>
  <c r="M779" i="6"/>
  <c r="T778" i="6"/>
  <c r="U778" i="6"/>
  <c r="V778" i="6" s="1"/>
  <c r="W778" i="6" s="1"/>
  <c r="X778" i="6" s="1"/>
  <c r="Y778" i="6" s="1"/>
  <c r="Z778" i="6" s="1"/>
  <c r="AA778" i="6" s="1"/>
  <c r="R778" i="6" s="1"/>
  <c r="F778" i="6" s="1"/>
  <c r="E778" i="6" s="1"/>
  <c r="M778" i="6"/>
  <c r="T777" i="6"/>
  <c r="U777" i="6" s="1"/>
  <c r="V777" i="6" s="1"/>
  <c r="W777" i="6" s="1"/>
  <c r="X777" i="6" s="1"/>
  <c r="Y777" i="6" s="1"/>
  <c r="Z777" i="6" s="1"/>
  <c r="AA777" i="6"/>
  <c r="R777" i="6" s="1"/>
  <c r="F777" i="6" s="1"/>
  <c r="E777" i="6" s="1"/>
  <c r="M777" i="6"/>
  <c r="T776" i="6"/>
  <c r="U776" i="6" s="1"/>
  <c r="V776" i="6" s="1"/>
  <c r="W776" i="6" s="1"/>
  <c r="X776" i="6" s="1"/>
  <c r="Y776" i="6" s="1"/>
  <c r="Z776" i="6" s="1"/>
  <c r="AA776" i="6" s="1"/>
  <c r="R776" i="6" s="1"/>
  <c r="F776" i="6" s="1"/>
  <c r="E776" i="6" s="1"/>
  <c r="M776" i="6"/>
  <c r="T775" i="6"/>
  <c r="U775" i="6" s="1"/>
  <c r="V775" i="6" s="1"/>
  <c r="W775" i="6" s="1"/>
  <c r="X775" i="6" s="1"/>
  <c r="Y775" i="6" s="1"/>
  <c r="Z775" i="6" s="1"/>
  <c r="AA775" i="6" s="1"/>
  <c r="R775" i="6" s="1"/>
  <c r="F775" i="6" s="1"/>
  <c r="E775" i="6" s="1"/>
  <c r="M775" i="6"/>
  <c r="T774" i="6"/>
  <c r="U774" i="6" s="1"/>
  <c r="V774" i="6" s="1"/>
  <c r="W774" i="6" s="1"/>
  <c r="X774" i="6" s="1"/>
  <c r="Y774" i="6" s="1"/>
  <c r="Z774" i="6" s="1"/>
  <c r="AA774" i="6" s="1"/>
  <c r="R774" i="6" s="1"/>
  <c r="F774" i="6" s="1"/>
  <c r="E774" i="6" s="1"/>
  <c r="M774" i="6"/>
  <c r="T773" i="6"/>
  <c r="U773" i="6" s="1"/>
  <c r="V773" i="6" s="1"/>
  <c r="W773" i="6" s="1"/>
  <c r="X773" i="6" s="1"/>
  <c r="Y773" i="6"/>
  <c r="Z773" i="6" s="1"/>
  <c r="AA773" i="6"/>
  <c r="R773" i="6" s="1"/>
  <c r="F773" i="6" s="1"/>
  <c r="E773" i="6" s="1"/>
  <c r="M773" i="6"/>
  <c r="T772" i="6"/>
  <c r="U772" i="6"/>
  <c r="V772" i="6" s="1"/>
  <c r="W772" i="6" s="1"/>
  <c r="X772" i="6" s="1"/>
  <c r="Y772" i="6" s="1"/>
  <c r="Z772" i="6" s="1"/>
  <c r="AA772" i="6" s="1"/>
  <c r="R772" i="6" s="1"/>
  <c r="F772" i="6" s="1"/>
  <c r="E772" i="6" s="1"/>
  <c r="M772" i="6"/>
  <c r="T771" i="6"/>
  <c r="U771" i="6" s="1"/>
  <c r="V771" i="6" s="1"/>
  <c r="W771" i="6" s="1"/>
  <c r="X771" i="6" s="1"/>
  <c r="Y771" i="6"/>
  <c r="Z771" i="6" s="1"/>
  <c r="AA771" i="6" s="1"/>
  <c r="R771" i="6" s="1"/>
  <c r="F771" i="6" s="1"/>
  <c r="E771" i="6" s="1"/>
  <c r="M771" i="6"/>
  <c r="T770" i="6"/>
  <c r="U770" i="6"/>
  <c r="V770" i="6" s="1"/>
  <c r="W770" i="6" s="1"/>
  <c r="X770" i="6" s="1"/>
  <c r="Y770" i="6" s="1"/>
  <c r="Z770" i="6" s="1"/>
  <c r="AA770" i="6" s="1"/>
  <c r="R770" i="6" s="1"/>
  <c r="F770" i="6" s="1"/>
  <c r="E770" i="6" s="1"/>
  <c r="M770" i="6"/>
  <c r="T769" i="6"/>
  <c r="U769" i="6" s="1"/>
  <c r="V769" i="6" s="1"/>
  <c r="W769" i="6" s="1"/>
  <c r="X769" i="6" s="1"/>
  <c r="Y769" i="6" s="1"/>
  <c r="Z769" i="6" s="1"/>
  <c r="AA769" i="6" s="1"/>
  <c r="R769" i="6" s="1"/>
  <c r="F769" i="6" s="1"/>
  <c r="E769" i="6" s="1"/>
  <c r="M769" i="6"/>
  <c r="T768" i="6"/>
  <c r="U768" i="6"/>
  <c r="V768" i="6" s="1"/>
  <c r="W768" i="6" s="1"/>
  <c r="X768" i="6" s="1"/>
  <c r="Y768" i="6" s="1"/>
  <c r="Z768" i="6" s="1"/>
  <c r="AA768" i="6" s="1"/>
  <c r="R768" i="6" s="1"/>
  <c r="F768" i="6" s="1"/>
  <c r="E768" i="6" s="1"/>
  <c r="M768" i="6"/>
  <c r="T767" i="6"/>
  <c r="U767" i="6" s="1"/>
  <c r="V767" i="6" s="1"/>
  <c r="W767" i="6" s="1"/>
  <c r="X767" i="6" s="1"/>
  <c r="Y767" i="6" s="1"/>
  <c r="Z767" i="6" s="1"/>
  <c r="AA767" i="6" s="1"/>
  <c r="R767" i="6" s="1"/>
  <c r="F767" i="6" s="1"/>
  <c r="E767" i="6" s="1"/>
  <c r="M767" i="6"/>
  <c r="T766" i="6"/>
  <c r="U766" i="6"/>
  <c r="V766" i="6" s="1"/>
  <c r="W766" i="6"/>
  <c r="X766" i="6" s="1"/>
  <c r="Y766" i="6" s="1"/>
  <c r="Z766" i="6" s="1"/>
  <c r="AA766" i="6" s="1"/>
  <c r="R766" i="6" s="1"/>
  <c r="F766" i="6" s="1"/>
  <c r="E766" i="6" s="1"/>
  <c r="M766" i="6"/>
  <c r="T765" i="6"/>
  <c r="U765" i="6" s="1"/>
  <c r="V765" i="6" s="1"/>
  <c r="W765" i="6" s="1"/>
  <c r="X765" i="6" s="1"/>
  <c r="Y765" i="6" s="1"/>
  <c r="Z765" i="6" s="1"/>
  <c r="AA765" i="6" s="1"/>
  <c r="R765" i="6" s="1"/>
  <c r="F765" i="6" s="1"/>
  <c r="E765" i="6" s="1"/>
  <c r="M765" i="6"/>
  <c r="T764" i="6"/>
  <c r="U764" i="6" s="1"/>
  <c r="V764" i="6" s="1"/>
  <c r="W764" i="6" s="1"/>
  <c r="X764" i="6" s="1"/>
  <c r="Y764" i="6" s="1"/>
  <c r="Z764" i="6" s="1"/>
  <c r="AA764" i="6" s="1"/>
  <c r="R764" i="6" s="1"/>
  <c r="F764" i="6" s="1"/>
  <c r="E764" i="6" s="1"/>
  <c r="M764" i="6"/>
  <c r="T763" i="6"/>
  <c r="U763" i="6" s="1"/>
  <c r="V763" i="6" s="1"/>
  <c r="W763" i="6" s="1"/>
  <c r="X763" i="6" s="1"/>
  <c r="Y763" i="6" s="1"/>
  <c r="Z763" i="6" s="1"/>
  <c r="AA763" i="6" s="1"/>
  <c r="R763" i="6" s="1"/>
  <c r="F763" i="6" s="1"/>
  <c r="E763" i="6" s="1"/>
  <c r="M763" i="6"/>
  <c r="T762" i="6"/>
  <c r="U762" i="6" s="1"/>
  <c r="V762" i="6" s="1"/>
  <c r="W762" i="6" s="1"/>
  <c r="X762" i="6" s="1"/>
  <c r="Y762" i="6" s="1"/>
  <c r="Z762" i="6" s="1"/>
  <c r="AA762" i="6" s="1"/>
  <c r="R762" i="6" s="1"/>
  <c r="F762" i="6" s="1"/>
  <c r="E762" i="6" s="1"/>
  <c r="M762" i="6"/>
  <c r="W761" i="6"/>
  <c r="X761" i="6" s="1"/>
  <c r="Y761" i="6" s="1"/>
  <c r="Z761" i="6" s="1"/>
  <c r="AA761" i="6" s="1"/>
  <c r="R761" i="6" s="1"/>
  <c r="F761" i="6" s="1"/>
  <c r="E761" i="6" s="1"/>
  <c r="T760" i="6"/>
  <c r="U760" i="6" s="1"/>
  <c r="V760" i="6" s="1"/>
  <c r="W760" i="6" s="1"/>
  <c r="X760" i="6" s="1"/>
  <c r="Y760" i="6" s="1"/>
  <c r="Z760" i="6" s="1"/>
  <c r="AA760" i="6" s="1"/>
  <c r="R760" i="6" s="1"/>
  <c r="F760" i="6" s="1"/>
  <c r="E760" i="6" s="1"/>
  <c r="M760" i="6"/>
  <c r="T759" i="6"/>
  <c r="U759" i="6" s="1"/>
  <c r="V759" i="6" s="1"/>
  <c r="W759" i="6" s="1"/>
  <c r="X759" i="6" s="1"/>
  <c r="Y759" i="6" s="1"/>
  <c r="Z759" i="6" s="1"/>
  <c r="AA759" i="6" s="1"/>
  <c r="R759" i="6" s="1"/>
  <c r="F759" i="6" s="1"/>
  <c r="E759" i="6" s="1"/>
  <c r="M759" i="6"/>
  <c r="T758" i="6"/>
  <c r="U758" i="6" s="1"/>
  <c r="V758" i="6" s="1"/>
  <c r="W758" i="6" s="1"/>
  <c r="X758" i="6" s="1"/>
  <c r="Y758" i="6"/>
  <c r="Z758" i="6" s="1"/>
  <c r="AA758" i="6" s="1"/>
  <c r="R758" i="6" s="1"/>
  <c r="F758" i="6" s="1"/>
  <c r="E758" i="6" s="1"/>
  <c r="M758" i="6"/>
  <c r="T757" i="6"/>
  <c r="U757" i="6"/>
  <c r="V757" i="6" s="1"/>
  <c r="W757" i="6"/>
  <c r="X757" i="6" s="1"/>
  <c r="Y757" i="6" s="1"/>
  <c r="Z757" i="6" s="1"/>
  <c r="AA757" i="6" s="1"/>
  <c r="R757" i="6" s="1"/>
  <c r="F757" i="6" s="1"/>
  <c r="E757" i="6" s="1"/>
  <c r="M757" i="6"/>
  <c r="T756" i="6"/>
  <c r="U756" i="6" s="1"/>
  <c r="V756" i="6" s="1"/>
  <c r="W756" i="6" s="1"/>
  <c r="X756" i="6" s="1"/>
  <c r="Y756" i="6" s="1"/>
  <c r="Z756" i="6" s="1"/>
  <c r="AA756" i="6" s="1"/>
  <c r="R756" i="6" s="1"/>
  <c r="F756" i="6" s="1"/>
  <c r="E756" i="6" s="1"/>
  <c r="M756" i="6"/>
  <c r="W755" i="6"/>
  <c r="X755" i="6" s="1"/>
  <c r="Y755" i="6" s="1"/>
  <c r="Z755" i="6" s="1"/>
  <c r="AA755" i="6" s="1"/>
  <c r="R755" i="6" s="1"/>
  <c r="F755" i="6" s="1"/>
  <c r="E755" i="6" s="1"/>
  <c r="W754" i="6"/>
  <c r="X754" i="6" s="1"/>
  <c r="Y754" i="6" s="1"/>
  <c r="Z754" i="6" s="1"/>
  <c r="AA754" i="6" s="1"/>
  <c r="R754" i="6" s="1"/>
  <c r="F754" i="6" s="1"/>
  <c r="E754" i="6" s="1"/>
  <c r="T753" i="6"/>
  <c r="U753" i="6"/>
  <c r="V753" i="6" s="1"/>
  <c r="W753" i="6" s="1"/>
  <c r="X753" i="6" s="1"/>
  <c r="Y753" i="6" s="1"/>
  <c r="Z753" i="6" s="1"/>
  <c r="AA753" i="6" s="1"/>
  <c r="R753" i="6" s="1"/>
  <c r="F753" i="6" s="1"/>
  <c r="E753" i="6" s="1"/>
  <c r="M753" i="6"/>
  <c r="T752" i="6"/>
  <c r="U752" i="6" s="1"/>
  <c r="V752" i="6" s="1"/>
  <c r="W752" i="6" s="1"/>
  <c r="X752" i="6" s="1"/>
  <c r="Y752" i="6" s="1"/>
  <c r="Z752" i="6" s="1"/>
  <c r="AA752" i="6" s="1"/>
  <c r="R752" i="6" s="1"/>
  <c r="F752" i="6" s="1"/>
  <c r="E752" i="6" s="1"/>
  <c r="M752" i="6"/>
  <c r="T751" i="6"/>
  <c r="U751" i="6" s="1"/>
  <c r="V751" i="6" s="1"/>
  <c r="W751" i="6" s="1"/>
  <c r="X751" i="6" s="1"/>
  <c r="Y751" i="6" s="1"/>
  <c r="Z751" i="6" s="1"/>
  <c r="AA751" i="6" s="1"/>
  <c r="R751" i="6" s="1"/>
  <c r="F751" i="6" s="1"/>
  <c r="E751" i="6" s="1"/>
  <c r="M751" i="6"/>
  <c r="T750" i="6"/>
  <c r="U750" i="6" s="1"/>
  <c r="V750" i="6" s="1"/>
  <c r="W750" i="6" s="1"/>
  <c r="X750" i="6" s="1"/>
  <c r="Y750" i="6" s="1"/>
  <c r="Z750" i="6" s="1"/>
  <c r="AA750" i="6" s="1"/>
  <c r="R750" i="6" s="1"/>
  <c r="F750" i="6" s="1"/>
  <c r="E750" i="6" s="1"/>
  <c r="M750" i="6"/>
  <c r="T749" i="6"/>
  <c r="U749" i="6"/>
  <c r="V749" i="6" s="1"/>
  <c r="W749" i="6" s="1"/>
  <c r="X749" i="6" s="1"/>
  <c r="Y749" i="6" s="1"/>
  <c r="Z749" i="6" s="1"/>
  <c r="AA749" i="6" s="1"/>
  <c r="R749" i="6" s="1"/>
  <c r="F749" i="6" s="1"/>
  <c r="E749" i="6" s="1"/>
  <c r="M749" i="6"/>
  <c r="T748" i="6"/>
  <c r="U748" i="6" s="1"/>
  <c r="V748" i="6" s="1"/>
  <c r="W748" i="6" s="1"/>
  <c r="X748" i="6" s="1"/>
  <c r="Y748" i="6" s="1"/>
  <c r="Z748" i="6" s="1"/>
  <c r="AA748" i="6" s="1"/>
  <c r="R748" i="6" s="1"/>
  <c r="F748" i="6" s="1"/>
  <c r="E748" i="6" s="1"/>
  <c r="M748" i="6"/>
  <c r="Z747" i="6"/>
  <c r="AA747" i="6"/>
  <c r="R747" i="6" s="1"/>
  <c r="F747" i="6"/>
  <c r="E747" i="6" s="1"/>
  <c r="T747" i="6"/>
  <c r="U747" i="6" s="1"/>
  <c r="V747" i="6" s="1"/>
  <c r="W747" i="6" s="1"/>
  <c r="X747" i="6" s="1"/>
  <c r="M747" i="6"/>
  <c r="Z746" i="6"/>
  <c r="AA746" i="6" s="1"/>
  <c r="R746" i="6" s="1"/>
  <c r="F746" i="6" s="1"/>
  <c r="E746" i="6" s="1"/>
  <c r="T746" i="6"/>
  <c r="U746" i="6" s="1"/>
  <c r="V746" i="6" s="1"/>
  <c r="W746" i="6" s="1"/>
  <c r="X746" i="6" s="1"/>
  <c r="M746" i="6"/>
  <c r="Z745" i="6"/>
  <c r="AA745" i="6" s="1"/>
  <c r="R745" i="6" s="1"/>
  <c r="F745" i="6" s="1"/>
  <c r="E745" i="6" s="1"/>
  <c r="T745" i="6"/>
  <c r="U745" i="6" s="1"/>
  <c r="V745" i="6" s="1"/>
  <c r="W745" i="6" s="1"/>
  <c r="X745" i="6" s="1"/>
  <c r="M745" i="6"/>
  <c r="Z744" i="6"/>
  <c r="AA744" i="6" s="1"/>
  <c r="R744" i="6" s="1"/>
  <c r="F744" i="6" s="1"/>
  <c r="E744" i="6" s="1"/>
  <c r="T744" i="6"/>
  <c r="U744" i="6" s="1"/>
  <c r="V744" i="6" s="1"/>
  <c r="W744" i="6" s="1"/>
  <c r="X744" i="6" s="1"/>
  <c r="M744" i="6"/>
  <c r="Z743" i="6"/>
  <c r="AA743" i="6" s="1"/>
  <c r="R743" i="6" s="1"/>
  <c r="F743" i="6" s="1"/>
  <c r="E743" i="6" s="1"/>
  <c r="T743" i="6"/>
  <c r="U743" i="6" s="1"/>
  <c r="V743" i="6" s="1"/>
  <c r="W743" i="6" s="1"/>
  <c r="X743" i="6" s="1"/>
  <c r="M743" i="6"/>
  <c r="Z742" i="6"/>
  <c r="AA742" i="6" s="1"/>
  <c r="R742" i="6"/>
  <c r="F742" i="6" s="1"/>
  <c r="E742" i="6" s="1"/>
  <c r="T742" i="6"/>
  <c r="U742" i="6" s="1"/>
  <c r="V742" i="6" s="1"/>
  <c r="W742" i="6" s="1"/>
  <c r="X742" i="6" s="1"/>
  <c r="M742" i="6"/>
  <c r="Z741" i="6"/>
  <c r="AA741" i="6" s="1"/>
  <c r="R741" i="6" s="1"/>
  <c r="F741" i="6" s="1"/>
  <c r="E741" i="6" s="1"/>
  <c r="T741" i="6"/>
  <c r="U741" i="6"/>
  <c r="V741" i="6" s="1"/>
  <c r="W741" i="6" s="1"/>
  <c r="X741" i="6"/>
  <c r="M741" i="6"/>
  <c r="Z740" i="6"/>
  <c r="AA740" i="6"/>
  <c r="R740" i="6" s="1"/>
  <c r="F740" i="6" s="1"/>
  <c r="E740" i="6" s="1"/>
  <c r="T740" i="6"/>
  <c r="U740" i="6" s="1"/>
  <c r="V740" i="6" s="1"/>
  <c r="W740" i="6" s="1"/>
  <c r="X740" i="6" s="1"/>
  <c r="M740" i="6"/>
  <c r="Z739" i="6"/>
  <c r="AA739" i="6"/>
  <c r="R739" i="6" s="1"/>
  <c r="F739" i="6" s="1"/>
  <c r="E739" i="6" s="1"/>
  <c r="T739" i="6"/>
  <c r="U739" i="6"/>
  <c r="V739" i="6" s="1"/>
  <c r="W739" i="6" s="1"/>
  <c r="X739" i="6" s="1"/>
  <c r="M739" i="6"/>
  <c r="Z738" i="6"/>
  <c r="AA738" i="6" s="1"/>
  <c r="R738" i="6" s="1"/>
  <c r="F738" i="6" s="1"/>
  <c r="E738" i="6" s="1"/>
  <c r="T738" i="6"/>
  <c r="U738" i="6"/>
  <c r="V738" i="6" s="1"/>
  <c r="W738" i="6" s="1"/>
  <c r="X738" i="6" s="1"/>
  <c r="M738" i="6"/>
  <c r="Z737" i="6"/>
  <c r="AA737" i="6" s="1"/>
  <c r="R737" i="6" s="1"/>
  <c r="F737" i="6" s="1"/>
  <c r="E737" i="6" s="1"/>
  <c r="T737" i="6"/>
  <c r="U737" i="6" s="1"/>
  <c r="V737" i="6" s="1"/>
  <c r="W737" i="6"/>
  <c r="X737" i="6" s="1"/>
  <c r="M737" i="6"/>
  <c r="Z736" i="6"/>
  <c r="AA736" i="6" s="1"/>
  <c r="R736" i="6" s="1"/>
  <c r="F736" i="6" s="1"/>
  <c r="E736" i="6" s="1"/>
  <c r="T736" i="6"/>
  <c r="U736" i="6" s="1"/>
  <c r="V736" i="6" s="1"/>
  <c r="W736" i="6"/>
  <c r="X736" i="6" s="1"/>
  <c r="M736" i="6"/>
  <c r="Z735" i="6"/>
  <c r="AA735" i="6" s="1"/>
  <c r="R735" i="6" s="1"/>
  <c r="F735" i="6" s="1"/>
  <c r="E735" i="6" s="1"/>
  <c r="T735" i="6"/>
  <c r="U735" i="6" s="1"/>
  <c r="V735" i="6" s="1"/>
  <c r="W735" i="6" s="1"/>
  <c r="X735" i="6" s="1"/>
  <c r="M735" i="6"/>
  <c r="Z734" i="6"/>
  <c r="AA734" i="6" s="1"/>
  <c r="R734" i="6" s="1"/>
  <c r="F734" i="6" s="1"/>
  <c r="E734" i="6" s="1"/>
  <c r="T734" i="6"/>
  <c r="U734" i="6" s="1"/>
  <c r="V734" i="6"/>
  <c r="W734" i="6" s="1"/>
  <c r="X734" i="6" s="1"/>
  <c r="M734" i="6"/>
  <c r="Z733" i="6"/>
  <c r="AA733" i="6"/>
  <c r="R733" i="6" s="1"/>
  <c r="F733" i="6" s="1"/>
  <c r="E733" i="6" s="1"/>
  <c r="T733" i="6"/>
  <c r="U733" i="6" s="1"/>
  <c r="V733" i="6" s="1"/>
  <c r="W733" i="6" s="1"/>
  <c r="X733" i="6" s="1"/>
  <c r="M733" i="6"/>
  <c r="Z732" i="6"/>
  <c r="AA732" i="6"/>
  <c r="R732" i="6" s="1"/>
  <c r="F732" i="6" s="1"/>
  <c r="E732" i="6" s="1"/>
  <c r="T732" i="6"/>
  <c r="U732" i="6" s="1"/>
  <c r="V732" i="6" s="1"/>
  <c r="W732" i="6" s="1"/>
  <c r="X732" i="6" s="1"/>
  <c r="M732" i="6"/>
  <c r="Z731" i="6"/>
  <c r="AA731" i="6"/>
  <c r="R731" i="6" s="1"/>
  <c r="F731" i="6" s="1"/>
  <c r="E731" i="6" s="1"/>
  <c r="T731" i="6"/>
  <c r="U731" i="6"/>
  <c r="V731" i="6" s="1"/>
  <c r="W731" i="6" s="1"/>
  <c r="X731" i="6"/>
  <c r="M731" i="6"/>
  <c r="T730" i="6"/>
  <c r="U730" i="6" s="1"/>
  <c r="V730" i="6" s="1"/>
  <c r="W730" i="6"/>
  <c r="X730" i="6" s="1"/>
  <c r="Y730" i="6" s="1"/>
  <c r="Z730" i="6"/>
  <c r="AA730" i="6" s="1"/>
  <c r="R730" i="6" s="1"/>
  <c r="F730" i="6" s="1"/>
  <c r="E730" i="6" s="1"/>
  <c r="M730" i="6"/>
  <c r="Z729" i="6"/>
  <c r="AA729" i="6" s="1"/>
  <c r="R729" i="6"/>
  <c r="F729" i="6" s="1"/>
  <c r="E729" i="6" s="1"/>
  <c r="T729" i="6"/>
  <c r="U729" i="6" s="1"/>
  <c r="V729" i="6" s="1"/>
  <c r="W729" i="6" s="1"/>
  <c r="X729" i="6" s="1"/>
  <c r="M729" i="6"/>
  <c r="Z728" i="6"/>
  <c r="AA728" i="6"/>
  <c r="R728" i="6" s="1"/>
  <c r="T728" i="6"/>
  <c r="U728" i="6"/>
  <c r="V728" i="6" s="1"/>
  <c r="W728" i="6" s="1"/>
  <c r="X728" i="6" s="1"/>
  <c r="M728" i="6"/>
  <c r="F728" i="6"/>
  <c r="E728" i="6" s="1"/>
  <c r="Z727" i="6"/>
  <c r="AA727" i="6"/>
  <c r="R727" i="6" s="1"/>
  <c r="F727" i="6" s="1"/>
  <c r="E727" i="6" s="1"/>
  <c r="T727" i="6"/>
  <c r="U727" i="6"/>
  <c r="V727" i="6" s="1"/>
  <c r="W727" i="6" s="1"/>
  <c r="X727" i="6" s="1"/>
  <c r="M727" i="6"/>
  <c r="Z726" i="6"/>
  <c r="AA726" i="6"/>
  <c r="R726" i="6" s="1"/>
  <c r="F726" i="6" s="1"/>
  <c r="E726" i="6" s="1"/>
  <c r="T726" i="6"/>
  <c r="U726" i="6" s="1"/>
  <c r="V726" i="6" s="1"/>
  <c r="W726" i="6" s="1"/>
  <c r="X726" i="6" s="1"/>
  <c r="M726" i="6"/>
  <c r="Z725" i="6"/>
  <c r="AA725" i="6" s="1"/>
  <c r="R725" i="6" s="1"/>
  <c r="F725" i="6" s="1"/>
  <c r="E725" i="6" s="1"/>
  <c r="T725" i="6"/>
  <c r="U725" i="6"/>
  <c r="V725" i="6" s="1"/>
  <c r="W725" i="6" s="1"/>
  <c r="X725" i="6" s="1"/>
  <c r="M725" i="6"/>
  <c r="Z724" i="6"/>
  <c r="AA724" i="6" s="1"/>
  <c r="R724" i="6" s="1"/>
  <c r="F724" i="6" s="1"/>
  <c r="E724" i="6" s="1"/>
  <c r="T724" i="6"/>
  <c r="U724" i="6" s="1"/>
  <c r="V724" i="6" s="1"/>
  <c r="W724" i="6"/>
  <c r="X724" i="6" s="1"/>
  <c r="M724" i="6"/>
  <c r="T723" i="6"/>
  <c r="U723" i="6" s="1"/>
  <c r="V723" i="6" s="1"/>
  <c r="W723" i="6" s="1"/>
  <c r="X723" i="6" s="1"/>
  <c r="Y723" i="6" s="1"/>
  <c r="Z723" i="6" s="1"/>
  <c r="AA723" i="6" s="1"/>
  <c r="R723" i="6" s="1"/>
  <c r="F723" i="6" s="1"/>
  <c r="E723" i="6" s="1"/>
  <c r="M723" i="6"/>
  <c r="T722" i="6"/>
  <c r="U722" i="6" s="1"/>
  <c r="V722" i="6" s="1"/>
  <c r="W722" i="6" s="1"/>
  <c r="X722" i="6" s="1"/>
  <c r="Y722" i="6" s="1"/>
  <c r="Z722" i="6" s="1"/>
  <c r="AA722" i="6" s="1"/>
  <c r="R722" i="6" s="1"/>
  <c r="F722" i="6" s="1"/>
  <c r="E722" i="6" s="1"/>
  <c r="M722" i="6"/>
  <c r="Z721" i="6"/>
  <c r="AA721" i="6" s="1"/>
  <c r="R721" i="6"/>
  <c r="F721" i="6" s="1"/>
  <c r="E721" i="6" s="1"/>
  <c r="T721" i="6"/>
  <c r="U721" i="6" s="1"/>
  <c r="V721" i="6" s="1"/>
  <c r="W721" i="6" s="1"/>
  <c r="X721" i="6" s="1"/>
  <c r="M721" i="6"/>
  <c r="Z720" i="6"/>
  <c r="AA720" i="6" s="1"/>
  <c r="R720" i="6" s="1"/>
  <c r="F720" i="6" s="1"/>
  <c r="E720" i="6" s="1"/>
  <c r="T720" i="6"/>
  <c r="U720" i="6" s="1"/>
  <c r="V720" i="6" s="1"/>
  <c r="W720" i="6" s="1"/>
  <c r="X720" i="6" s="1"/>
  <c r="M720" i="6"/>
  <c r="Z719" i="6"/>
  <c r="AA719" i="6" s="1"/>
  <c r="R719" i="6" s="1"/>
  <c r="F719" i="6" s="1"/>
  <c r="E719" i="6" s="1"/>
  <c r="T719" i="6"/>
  <c r="U719" i="6" s="1"/>
  <c r="V719" i="6" s="1"/>
  <c r="W719" i="6" s="1"/>
  <c r="X719" i="6" s="1"/>
  <c r="M719" i="6"/>
  <c r="Z718" i="6"/>
  <c r="AA718" i="6"/>
  <c r="R718" i="6" s="1"/>
  <c r="F718" i="6" s="1"/>
  <c r="E718" i="6" s="1"/>
  <c r="T718" i="6"/>
  <c r="U718" i="6" s="1"/>
  <c r="V718" i="6" s="1"/>
  <c r="W718" i="6" s="1"/>
  <c r="X718" i="6" s="1"/>
  <c r="M718" i="6"/>
  <c r="Z717" i="6"/>
  <c r="AA717" i="6"/>
  <c r="R717" i="6" s="1"/>
  <c r="F717" i="6" s="1"/>
  <c r="E717" i="6"/>
  <c r="T717" i="6"/>
  <c r="U717" i="6"/>
  <c r="V717" i="6" s="1"/>
  <c r="W717" i="6" s="1"/>
  <c r="X717" i="6" s="1"/>
  <c r="M717" i="6"/>
  <c r="Z716" i="6"/>
  <c r="AA716" i="6" s="1"/>
  <c r="R716" i="6" s="1"/>
  <c r="F716" i="6" s="1"/>
  <c r="E716" i="6" s="1"/>
  <c r="T716" i="6"/>
  <c r="U716" i="6" s="1"/>
  <c r="V716" i="6" s="1"/>
  <c r="W716" i="6" s="1"/>
  <c r="X716" i="6" s="1"/>
  <c r="M716" i="6"/>
  <c r="Z715" i="6"/>
  <c r="AA715" i="6" s="1"/>
  <c r="R715" i="6" s="1"/>
  <c r="F715" i="6" s="1"/>
  <c r="E715" i="6" s="1"/>
  <c r="T715" i="6"/>
  <c r="U715" i="6" s="1"/>
  <c r="V715" i="6" s="1"/>
  <c r="W715" i="6" s="1"/>
  <c r="X715" i="6" s="1"/>
  <c r="M715" i="6"/>
  <c r="Z714" i="6"/>
  <c r="AA714" i="6" s="1"/>
  <c r="R714" i="6" s="1"/>
  <c r="F714" i="6" s="1"/>
  <c r="E714" i="6" s="1"/>
  <c r="T714" i="6"/>
  <c r="U714" i="6" s="1"/>
  <c r="V714" i="6" s="1"/>
  <c r="W714" i="6" s="1"/>
  <c r="X714" i="6" s="1"/>
  <c r="M714" i="6"/>
  <c r="Z713" i="6"/>
  <c r="AA713" i="6" s="1"/>
  <c r="R713" i="6"/>
  <c r="F713" i="6" s="1"/>
  <c r="E713" i="6" s="1"/>
  <c r="T713" i="6"/>
  <c r="U713" i="6" s="1"/>
  <c r="V713" i="6" s="1"/>
  <c r="W713" i="6" s="1"/>
  <c r="X713" i="6" s="1"/>
  <c r="M713" i="6"/>
  <c r="Z712" i="6"/>
  <c r="AA712" i="6" s="1"/>
  <c r="R712" i="6" s="1"/>
  <c r="F712" i="6" s="1"/>
  <c r="E712" i="6" s="1"/>
  <c r="T712" i="6"/>
  <c r="U712" i="6" s="1"/>
  <c r="V712" i="6"/>
  <c r="W712" i="6" s="1"/>
  <c r="X712" i="6" s="1"/>
  <c r="M712" i="6"/>
  <c r="Z711" i="6"/>
  <c r="AA711" i="6" s="1"/>
  <c r="R711" i="6" s="1"/>
  <c r="F711" i="6" s="1"/>
  <c r="E711" i="6" s="1"/>
  <c r="T711" i="6"/>
  <c r="U711" i="6" s="1"/>
  <c r="V711" i="6" s="1"/>
  <c r="W711" i="6" s="1"/>
  <c r="X711" i="6" s="1"/>
  <c r="M711" i="6"/>
  <c r="Z710" i="6"/>
  <c r="AA710" i="6"/>
  <c r="R710" i="6"/>
  <c r="F710" i="6" s="1"/>
  <c r="E710" i="6" s="1"/>
  <c r="T710" i="6"/>
  <c r="U710" i="6" s="1"/>
  <c r="V710" i="6" s="1"/>
  <c r="W710" i="6" s="1"/>
  <c r="X710" i="6" s="1"/>
  <c r="M710" i="6"/>
  <c r="T709" i="6"/>
  <c r="U709" i="6" s="1"/>
  <c r="V709" i="6" s="1"/>
  <c r="W709" i="6" s="1"/>
  <c r="X709" i="6" s="1"/>
  <c r="Y709" i="6" s="1"/>
  <c r="Z709" i="6" s="1"/>
  <c r="AA709" i="6" s="1"/>
  <c r="R709" i="6" s="1"/>
  <c r="F709" i="6" s="1"/>
  <c r="E709" i="6" s="1"/>
  <c r="M709" i="6"/>
  <c r="T708" i="6"/>
  <c r="U708" i="6" s="1"/>
  <c r="V708" i="6" s="1"/>
  <c r="W708" i="6" s="1"/>
  <c r="X708" i="6" s="1"/>
  <c r="Y708" i="6" s="1"/>
  <c r="Z708" i="6" s="1"/>
  <c r="AA708" i="6" s="1"/>
  <c r="R708" i="6" s="1"/>
  <c r="F708" i="6" s="1"/>
  <c r="E708" i="6" s="1"/>
  <c r="M708" i="6"/>
  <c r="T707" i="6"/>
  <c r="U707" i="6"/>
  <c r="V707" i="6" s="1"/>
  <c r="W707" i="6" s="1"/>
  <c r="X707" i="6" s="1"/>
  <c r="Y707" i="6" s="1"/>
  <c r="Z707" i="6" s="1"/>
  <c r="AA707" i="6" s="1"/>
  <c r="R707" i="6" s="1"/>
  <c r="F707" i="6" s="1"/>
  <c r="E707" i="6" s="1"/>
  <c r="M707" i="6"/>
  <c r="T706" i="6"/>
  <c r="U706" i="6" s="1"/>
  <c r="V706" i="6"/>
  <c r="W706" i="6" s="1"/>
  <c r="X706" i="6" s="1"/>
  <c r="Y706" i="6" s="1"/>
  <c r="Z706" i="6" s="1"/>
  <c r="AA706" i="6" s="1"/>
  <c r="R706" i="6" s="1"/>
  <c r="F706" i="6" s="1"/>
  <c r="E706" i="6" s="1"/>
  <c r="M706" i="6"/>
  <c r="T705" i="6"/>
  <c r="U705" i="6" s="1"/>
  <c r="V705" i="6" s="1"/>
  <c r="W705" i="6" s="1"/>
  <c r="X705" i="6" s="1"/>
  <c r="Y705" i="6" s="1"/>
  <c r="Z705" i="6" s="1"/>
  <c r="AA705" i="6" s="1"/>
  <c r="R705" i="6" s="1"/>
  <c r="F705" i="6" s="1"/>
  <c r="E705" i="6" s="1"/>
  <c r="M705" i="6"/>
  <c r="T704" i="6"/>
  <c r="U704" i="6" s="1"/>
  <c r="V704" i="6" s="1"/>
  <c r="W704" i="6" s="1"/>
  <c r="X704" i="6" s="1"/>
  <c r="Y704" i="6" s="1"/>
  <c r="Z704" i="6" s="1"/>
  <c r="AA704" i="6" s="1"/>
  <c r="R704" i="6" s="1"/>
  <c r="F704" i="6" s="1"/>
  <c r="E704" i="6" s="1"/>
  <c r="M704" i="6"/>
  <c r="T703" i="6"/>
  <c r="U703" i="6"/>
  <c r="V703" i="6" s="1"/>
  <c r="W703" i="6" s="1"/>
  <c r="X703" i="6" s="1"/>
  <c r="Y703" i="6" s="1"/>
  <c r="Z703" i="6" s="1"/>
  <c r="AA703" i="6" s="1"/>
  <c r="R703" i="6" s="1"/>
  <c r="F703" i="6" s="1"/>
  <c r="E703" i="6" s="1"/>
  <c r="M703" i="6"/>
  <c r="T702" i="6"/>
  <c r="U702" i="6" s="1"/>
  <c r="V702" i="6" s="1"/>
  <c r="W702" i="6" s="1"/>
  <c r="X702" i="6" s="1"/>
  <c r="Y702" i="6" s="1"/>
  <c r="Z702" i="6" s="1"/>
  <c r="AA702" i="6" s="1"/>
  <c r="R702" i="6" s="1"/>
  <c r="F702" i="6" s="1"/>
  <c r="E702" i="6" s="1"/>
  <c r="M702" i="6"/>
  <c r="T701" i="6"/>
  <c r="U701" i="6"/>
  <c r="V701" i="6" s="1"/>
  <c r="W701" i="6" s="1"/>
  <c r="X701" i="6" s="1"/>
  <c r="Y701" i="6" s="1"/>
  <c r="Z701" i="6" s="1"/>
  <c r="AA701" i="6" s="1"/>
  <c r="R701" i="6" s="1"/>
  <c r="F701" i="6" s="1"/>
  <c r="E701" i="6" s="1"/>
  <c r="M701" i="6"/>
  <c r="T700" i="6"/>
  <c r="U700" i="6" s="1"/>
  <c r="V700" i="6" s="1"/>
  <c r="W700" i="6" s="1"/>
  <c r="X700" i="6" s="1"/>
  <c r="Y700" i="6" s="1"/>
  <c r="Z700" i="6" s="1"/>
  <c r="AA700" i="6" s="1"/>
  <c r="R700" i="6" s="1"/>
  <c r="F700" i="6" s="1"/>
  <c r="E700" i="6" s="1"/>
  <c r="M700" i="6"/>
  <c r="T699" i="6"/>
  <c r="U699" i="6" s="1"/>
  <c r="V699" i="6" s="1"/>
  <c r="W699" i="6" s="1"/>
  <c r="X699" i="6" s="1"/>
  <c r="Y699" i="6" s="1"/>
  <c r="Z699" i="6" s="1"/>
  <c r="AA699" i="6" s="1"/>
  <c r="R699" i="6" s="1"/>
  <c r="F699" i="6" s="1"/>
  <c r="E699" i="6" s="1"/>
  <c r="M699" i="6"/>
  <c r="T698" i="6"/>
  <c r="U698" i="6" s="1"/>
  <c r="V698" i="6" s="1"/>
  <c r="W698" i="6" s="1"/>
  <c r="X698" i="6" s="1"/>
  <c r="Y698" i="6"/>
  <c r="Z698" i="6" s="1"/>
  <c r="AA698" i="6" s="1"/>
  <c r="R698" i="6" s="1"/>
  <c r="F698" i="6" s="1"/>
  <c r="E698" i="6" s="1"/>
  <c r="M698" i="6"/>
  <c r="T697" i="6"/>
  <c r="U697" i="6"/>
  <c r="V697" i="6" s="1"/>
  <c r="W697" i="6" s="1"/>
  <c r="X697" i="6"/>
  <c r="Y697" i="6" s="1"/>
  <c r="Z697" i="6"/>
  <c r="AA697" i="6" s="1"/>
  <c r="R697" i="6" s="1"/>
  <c r="F697" i="6" s="1"/>
  <c r="E697" i="6" s="1"/>
  <c r="M697" i="6"/>
  <c r="T696" i="6"/>
  <c r="U696" i="6" s="1"/>
  <c r="V696" i="6" s="1"/>
  <c r="W696" i="6" s="1"/>
  <c r="X696" i="6" s="1"/>
  <c r="Y696" i="6" s="1"/>
  <c r="Z696" i="6" s="1"/>
  <c r="AA696" i="6" s="1"/>
  <c r="R696" i="6" s="1"/>
  <c r="F696" i="6" s="1"/>
  <c r="E696" i="6" s="1"/>
  <c r="M696" i="6"/>
  <c r="T695" i="6"/>
  <c r="U695" i="6"/>
  <c r="V695" i="6" s="1"/>
  <c r="W695" i="6" s="1"/>
  <c r="X695" i="6" s="1"/>
  <c r="Y695" i="6" s="1"/>
  <c r="Z695" i="6" s="1"/>
  <c r="AA695" i="6" s="1"/>
  <c r="R695" i="6" s="1"/>
  <c r="F695" i="6"/>
  <c r="E695" i="6" s="1"/>
  <c r="M695" i="6"/>
  <c r="W694" i="6"/>
  <c r="X694" i="6" s="1"/>
  <c r="Y694" i="6" s="1"/>
  <c r="Z694" i="6" s="1"/>
  <c r="AA694" i="6" s="1"/>
  <c r="R694" i="6" s="1"/>
  <c r="F694" i="6" s="1"/>
  <c r="E694" i="6" s="1"/>
  <c r="T694" i="6"/>
  <c r="U694" i="6" s="1"/>
  <c r="M694" i="6"/>
  <c r="T693" i="6"/>
  <c r="U693" i="6" s="1"/>
  <c r="V693" i="6" s="1"/>
  <c r="W693" i="6" s="1"/>
  <c r="X693" i="6" s="1"/>
  <c r="Y693" i="6" s="1"/>
  <c r="Z693" i="6" s="1"/>
  <c r="AA693" i="6" s="1"/>
  <c r="R693" i="6" s="1"/>
  <c r="F693" i="6" s="1"/>
  <c r="E693" i="6" s="1"/>
  <c r="M693" i="6"/>
  <c r="T692" i="6"/>
  <c r="U692" i="6" s="1"/>
  <c r="V692" i="6" s="1"/>
  <c r="W692" i="6" s="1"/>
  <c r="X692" i="6" s="1"/>
  <c r="Y692" i="6" s="1"/>
  <c r="Z692" i="6" s="1"/>
  <c r="AA692" i="6" s="1"/>
  <c r="R692" i="6" s="1"/>
  <c r="F692" i="6" s="1"/>
  <c r="E692" i="6" s="1"/>
  <c r="M692" i="6"/>
  <c r="T691" i="6"/>
  <c r="U691" i="6" s="1"/>
  <c r="V691" i="6" s="1"/>
  <c r="W691" i="6" s="1"/>
  <c r="X691" i="6" s="1"/>
  <c r="Y691" i="6" s="1"/>
  <c r="Z691" i="6" s="1"/>
  <c r="AA691" i="6" s="1"/>
  <c r="R691" i="6" s="1"/>
  <c r="F691" i="6" s="1"/>
  <c r="E691" i="6" s="1"/>
  <c r="M691" i="6"/>
  <c r="Z690" i="6"/>
  <c r="AA690" i="6"/>
  <c r="R690" i="6" s="1"/>
  <c r="F690" i="6" s="1"/>
  <c r="E690" i="6" s="1"/>
  <c r="T690" i="6"/>
  <c r="U690" i="6"/>
  <c r="V690" i="6"/>
  <c r="W690" i="6" s="1"/>
  <c r="X690" i="6" s="1"/>
  <c r="M690" i="6"/>
  <c r="Z689" i="6"/>
  <c r="AA689" i="6"/>
  <c r="R689" i="6" s="1"/>
  <c r="F689" i="6"/>
  <c r="E689" i="6" s="1"/>
  <c r="T689" i="6"/>
  <c r="U689" i="6" s="1"/>
  <c r="V689" i="6" s="1"/>
  <c r="W689" i="6" s="1"/>
  <c r="X689" i="6" s="1"/>
  <c r="M689" i="6"/>
  <c r="Z688" i="6"/>
  <c r="AA688" i="6" s="1"/>
  <c r="R688" i="6" s="1"/>
  <c r="F688" i="6"/>
  <c r="E688" i="6" s="1"/>
  <c r="T688" i="6"/>
  <c r="U688" i="6"/>
  <c r="V688" i="6" s="1"/>
  <c r="W688" i="6" s="1"/>
  <c r="X688" i="6" s="1"/>
  <c r="M688" i="6"/>
  <c r="Z687" i="6"/>
  <c r="AA687" i="6" s="1"/>
  <c r="R687" i="6" s="1"/>
  <c r="F687" i="6" s="1"/>
  <c r="E687" i="6" s="1"/>
  <c r="T687" i="6"/>
  <c r="U687" i="6" s="1"/>
  <c r="V687" i="6" s="1"/>
  <c r="W687" i="6"/>
  <c r="X687" i="6" s="1"/>
  <c r="M687" i="6"/>
  <c r="Z686" i="6"/>
  <c r="AA686" i="6" s="1"/>
  <c r="R686" i="6" s="1"/>
  <c r="F686" i="6" s="1"/>
  <c r="E686" i="6" s="1"/>
  <c r="T686" i="6"/>
  <c r="U686" i="6" s="1"/>
  <c r="V686" i="6"/>
  <c r="W686" i="6" s="1"/>
  <c r="X686" i="6" s="1"/>
  <c r="M686" i="6"/>
  <c r="Z685" i="6"/>
  <c r="AA685" i="6" s="1"/>
  <c r="R685" i="6"/>
  <c r="F685" i="6" s="1"/>
  <c r="E685" i="6"/>
  <c r="T685" i="6"/>
  <c r="U685" i="6" s="1"/>
  <c r="V685" i="6" s="1"/>
  <c r="W685" i="6" s="1"/>
  <c r="X685" i="6" s="1"/>
  <c r="M685" i="6"/>
  <c r="Z684" i="6"/>
  <c r="AA684" i="6"/>
  <c r="R684" i="6" s="1"/>
  <c r="F684" i="6" s="1"/>
  <c r="E684" i="6" s="1"/>
  <c r="T684" i="6"/>
  <c r="U684" i="6"/>
  <c r="V684" i="6" s="1"/>
  <c r="W684" i="6" s="1"/>
  <c r="X684" i="6" s="1"/>
  <c r="M684" i="6"/>
  <c r="Z683" i="6"/>
  <c r="AA683" i="6" s="1"/>
  <c r="R683" i="6" s="1"/>
  <c r="F683" i="6" s="1"/>
  <c r="E683" i="6" s="1"/>
  <c r="T683" i="6"/>
  <c r="U683" i="6"/>
  <c r="V683" i="6" s="1"/>
  <c r="W683" i="6" s="1"/>
  <c r="X683" i="6" s="1"/>
  <c r="M683" i="6"/>
  <c r="Z682" i="6"/>
  <c r="AA682" i="6"/>
  <c r="R682" i="6" s="1"/>
  <c r="F682" i="6"/>
  <c r="E682" i="6" s="1"/>
  <c r="T682" i="6"/>
  <c r="U682" i="6"/>
  <c r="V682" i="6" s="1"/>
  <c r="W682" i="6" s="1"/>
  <c r="X682" i="6"/>
  <c r="M682" i="6"/>
  <c r="T681" i="6"/>
  <c r="U681" i="6" s="1"/>
  <c r="V681" i="6" s="1"/>
  <c r="W681" i="6" s="1"/>
  <c r="X681" i="6" s="1"/>
  <c r="Y681" i="6" s="1"/>
  <c r="Z681" i="6" s="1"/>
  <c r="AA681" i="6" s="1"/>
  <c r="R681" i="6" s="1"/>
  <c r="F681" i="6" s="1"/>
  <c r="E681" i="6" s="1"/>
  <c r="M681" i="6"/>
  <c r="T680" i="6"/>
  <c r="U680" i="6" s="1"/>
  <c r="V680" i="6" s="1"/>
  <c r="W680" i="6" s="1"/>
  <c r="X680" i="6" s="1"/>
  <c r="Y680" i="6" s="1"/>
  <c r="Z680" i="6" s="1"/>
  <c r="AA680" i="6" s="1"/>
  <c r="R680" i="6" s="1"/>
  <c r="F680" i="6" s="1"/>
  <c r="E680" i="6" s="1"/>
  <c r="M680" i="6"/>
  <c r="T679" i="6"/>
  <c r="U679" i="6" s="1"/>
  <c r="V679" i="6" s="1"/>
  <c r="W679" i="6" s="1"/>
  <c r="X679" i="6" s="1"/>
  <c r="Y679" i="6" s="1"/>
  <c r="Z679" i="6" s="1"/>
  <c r="AA679" i="6" s="1"/>
  <c r="R679" i="6" s="1"/>
  <c r="F679" i="6" s="1"/>
  <c r="E679" i="6" s="1"/>
  <c r="M679" i="6"/>
  <c r="T678" i="6"/>
  <c r="U678" i="6" s="1"/>
  <c r="V678" i="6" s="1"/>
  <c r="W678" i="6" s="1"/>
  <c r="X678" i="6" s="1"/>
  <c r="Y678" i="6" s="1"/>
  <c r="Z678" i="6" s="1"/>
  <c r="AA678" i="6" s="1"/>
  <c r="R678" i="6" s="1"/>
  <c r="F678" i="6" s="1"/>
  <c r="E678" i="6" s="1"/>
  <c r="M678" i="6"/>
  <c r="T677" i="6"/>
  <c r="U677" i="6" s="1"/>
  <c r="V677" i="6" s="1"/>
  <c r="W677" i="6" s="1"/>
  <c r="X677" i="6" s="1"/>
  <c r="Y677" i="6" s="1"/>
  <c r="Z677" i="6" s="1"/>
  <c r="AA677" i="6" s="1"/>
  <c r="R677" i="6" s="1"/>
  <c r="F677" i="6" s="1"/>
  <c r="E677" i="6" s="1"/>
  <c r="M677" i="6"/>
  <c r="T676" i="6"/>
  <c r="U676" i="6" s="1"/>
  <c r="V676" i="6" s="1"/>
  <c r="W676" i="6" s="1"/>
  <c r="X676" i="6" s="1"/>
  <c r="Y676" i="6" s="1"/>
  <c r="Z676" i="6" s="1"/>
  <c r="AA676" i="6" s="1"/>
  <c r="R676" i="6" s="1"/>
  <c r="F676" i="6" s="1"/>
  <c r="E676" i="6" s="1"/>
  <c r="M676" i="6"/>
  <c r="T675" i="6"/>
  <c r="U675" i="6"/>
  <c r="V675" i="6" s="1"/>
  <c r="W675" i="6" s="1"/>
  <c r="X675" i="6" s="1"/>
  <c r="Y675" i="6" s="1"/>
  <c r="Z675" i="6" s="1"/>
  <c r="AA675" i="6" s="1"/>
  <c r="R675" i="6" s="1"/>
  <c r="F675" i="6" s="1"/>
  <c r="E675" i="6" s="1"/>
  <c r="M675" i="6"/>
  <c r="T674" i="6"/>
  <c r="U674" i="6" s="1"/>
  <c r="V674" i="6"/>
  <c r="W674" i="6" s="1"/>
  <c r="X674" i="6" s="1"/>
  <c r="Y674" i="6" s="1"/>
  <c r="Z674" i="6" s="1"/>
  <c r="AA674" i="6" s="1"/>
  <c r="R674" i="6" s="1"/>
  <c r="F674" i="6" s="1"/>
  <c r="E674" i="6" s="1"/>
  <c r="M674" i="6"/>
  <c r="T673" i="6"/>
  <c r="U673" i="6"/>
  <c r="V673" i="6" s="1"/>
  <c r="W673" i="6"/>
  <c r="X673" i="6" s="1"/>
  <c r="Y673" i="6" s="1"/>
  <c r="Z673" i="6"/>
  <c r="AA673" i="6" s="1"/>
  <c r="R673" i="6" s="1"/>
  <c r="F673" i="6" s="1"/>
  <c r="E673" i="6" s="1"/>
  <c r="M673" i="6"/>
  <c r="T672" i="6"/>
  <c r="U672" i="6" s="1"/>
  <c r="V672" i="6"/>
  <c r="W672" i="6" s="1"/>
  <c r="X672" i="6"/>
  <c r="Y672" i="6" s="1"/>
  <c r="Z672" i="6" s="1"/>
  <c r="AA672" i="6" s="1"/>
  <c r="R672" i="6" s="1"/>
  <c r="F672" i="6" s="1"/>
  <c r="E672" i="6" s="1"/>
  <c r="M672" i="6"/>
  <c r="T671" i="6"/>
  <c r="U671" i="6" s="1"/>
  <c r="V671" i="6" s="1"/>
  <c r="W671" i="6" s="1"/>
  <c r="X671" i="6" s="1"/>
  <c r="Y671" i="6" s="1"/>
  <c r="Z671" i="6" s="1"/>
  <c r="AA671" i="6" s="1"/>
  <c r="R671" i="6" s="1"/>
  <c r="F671" i="6" s="1"/>
  <c r="E671" i="6" s="1"/>
  <c r="M671" i="6"/>
  <c r="T670" i="6"/>
  <c r="U670" i="6" s="1"/>
  <c r="V670" i="6"/>
  <c r="W670" i="6" s="1"/>
  <c r="X670" i="6" s="1"/>
  <c r="Y670" i="6" s="1"/>
  <c r="Z670" i="6" s="1"/>
  <c r="AA670" i="6" s="1"/>
  <c r="R670" i="6" s="1"/>
  <c r="F670" i="6" s="1"/>
  <c r="E670" i="6" s="1"/>
  <c r="M670" i="6"/>
  <c r="T669" i="6"/>
  <c r="U669" i="6" s="1"/>
  <c r="V669" i="6" s="1"/>
  <c r="W669" i="6" s="1"/>
  <c r="X669" i="6" s="1"/>
  <c r="Y669" i="6" s="1"/>
  <c r="Z669" i="6" s="1"/>
  <c r="AA669" i="6" s="1"/>
  <c r="R669" i="6" s="1"/>
  <c r="F669" i="6" s="1"/>
  <c r="E669" i="6" s="1"/>
  <c r="M669" i="6"/>
  <c r="T668" i="6"/>
  <c r="U668" i="6" s="1"/>
  <c r="V668" i="6" s="1"/>
  <c r="W668" i="6" s="1"/>
  <c r="X668" i="6" s="1"/>
  <c r="Y668" i="6" s="1"/>
  <c r="Z668" i="6" s="1"/>
  <c r="AA668" i="6" s="1"/>
  <c r="R668" i="6" s="1"/>
  <c r="F668" i="6" s="1"/>
  <c r="E668" i="6" s="1"/>
  <c r="M668" i="6"/>
  <c r="T667" i="6"/>
  <c r="U667" i="6" s="1"/>
  <c r="V667" i="6" s="1"/>
  <c r="W667" i="6" s="1"/>
  <c r="X667" i="6" s="1"/>
  <c r="Y667" i="6" s="1"/>
  <c r="Z667" i="6" s="1"/>
  <c r="AA667" i="6" s="1"/>
  <c r="R667" i="6" s="1"/>
  <c r="F667" i="6" s="1"/>
  <c r="E667" i="6" s="1"/>
  <c r="M667" i="6"/>
  <c r="T666" i="6"/>
  <c r="U666" i="6" s="1"/>
  <c r="V666" i="6" s="1"/>
  <c r="W666" i="6" s="1"/>
  <c r="X666" i="6" s="1"/>
  <c r="Y666" i="6" s="1"/>
  <c r="Z666" i="6" s="1"/>
  <c r="AA666" i="6" s="1"/>
  <c r="R666" i="6" s="1"/>
  <c r="F666" i="6" s="1"/>
  <c r="E666" i="6" s="1"/>
  <c r="M666" i="6"/>
  <c r="T665" i="6"/>
  <c r="U665" i="6"/>
  <c r="V665" i="6" s="1"/>
  <c r="W665" i="6" s="1"/>
  <c r="X665" i="6" s="1"/>
  <c r="Y665" i="6" s="1"/>
  <c r="Z665" i="6" s="1"/>
  <c r="AA665" i="6" s="1"/>
  <c r="R665" i="6" s="1"/>
  <c r="F665" i="6" s="1"/>
  <c r="E665" i="6" s="1"/>
  <c r="M665" i="6"/>
  <c r="T664" i="6"/>
  <c r="U664" i="6" s="1"/>
  <c r="V664" i="6"/>
  <c r="W664" i="6" s="1"/>
  <c r="X664" i="6" s="1"/>
  <c r="Y664" i="6" s="1"/>
  <c r="Z664" i="6" s="1"/>
  <c r="AA664" i="6" s="1"/>
  <c r="R664" i="6" s="1"/>
  <c r="F664" i="6" s="1"/>
  <c r="E664" i="6" s="1"/>
  <c r="M664" i="6"/>
  <c r="T663" i="6"/>
  <c r="U663" i="6" s="1"/>
  <c r="V663" i="6" s="1"/>
  <c r="W663" i="6" s="1"/>
  <c r="X663" i="6" s="1"/>
  <c r="Y663" i="6" s="1"/>
  <c r="Z663" i="6" s="1"/>
  <c r="AA663" i="6" s="1"/>
  <c r="R663" i="6" s="1"/>
  <c r="F663" i="6" s="1"/>
  <c r="E663" i="6" s="1"/>
  <c r="M663" i="6"/>
  <c r="T662" i="6"/>
  <c r="U662" i="6" s="1"/>
  <c r="V662" i="6" s="1"/>
  <c r="W662" i="6" s="1"/>
  <c r="X662" i="6" s="1"/>
  <c r="Y662" i="6" s="1"/>
  <c r="Z662" i="6" s="1"/>
  <c r="AA662" i="6" s="1"/>
  <c r="R662" i="6" s="1"/>
  <c r="F662" i="6" s="1"/>
  <c r="E662" i="6" s="1"/>
  <c r="M662" i="6"/>
  <c r="T661" i="6"/>
  <c r="U661" i="6" s="1"/>
  <c r="V661" i="6" s="1"/>
  <c r="W661" i="6" s="1"/>
  <c r="X661" i="6" s="1"/>
  <c r="Y661" i="6" s="1"/>
  <c r="Z661" i="6" s="1"/>
  <c r="AA661" i="6" s="1"/>
  <c r="R661" i="6" s="1"/>
  <c r="F661" i="6" s="1"/>
  <c r="E661" i="6" s="1"/>
  <c r="M661" i="6"/>
  <c r="T660" i="6"/>
  <c r="U660" i="6" s="1"/>
  <c r="V660" i="6" s="1"/>
  <c r="W660" i="6" s="1"/>
  <c r="X660" i="6" s="1"/>
  <c r="Y660" i="6" s="1"/>
  <c r="Z660" i="6" s="1"/>
  <c r="AA660" i="6" s="1"/>
  <c r="R660" i="6" s="1"/>
  <c r="F660" i="6" s="1"/>
  <c r="E660" i="6" s="1"/>
  <c r="T659" i="6"/>
  <c r="U659" i="6"/>
  <c r="V659" i="6" s="1"/>
  <c r="W659" i="6" s="1"/>
  <c r="X659" i="6" s="1"/>
  <c r="Y659" i="6" s="1"/>
  <c r="Z659" i="6" s="1"/>
  <c r="AA659" i="6" s="1"/>
  <c r="R659" i="6" s="1"/>
  <c r="F659" i="6" s="1"/>
  <c r="E659" i="6" s="1"/>
  <c r="M659" i="6"/>
  <c r="T658" i="6"/>
  <c r="U658" i="6" s="1"/>
  <c r="V658" i="6" s="1"/>
  <c r="W658" i="6"/>
  <c r="X658" i="6" s="1"/>
  <c r="Y658" i="6"/>
  <c r="Z658" i="6" s="1"/>
  <c r="AA658" i="6" s="1"/>
  <c r="R658" i="6" s="1"/>
  <c r="F658" i="6" s="1"/>
  <c r="E658" i="6" s="1"/>
  <c r="M658" i="6"/>
  <c r="T657" i="6"/>
  <c r="U657" i="6"/>
  <c r="V657" i="6"/>
  <c r="W657" i="6" s="1"/>
  <c r="X657" i="6"/>
  <c r="Y657" i="6" s="1"/>
  <c r="Z657" i="6" s="1"/>
  <c r="AA657" i="6" s="1"/>
  <c r="R657" i="6" s="1"/>
  <c r="F657" i="6" s="1"/>
  <c r="E657" i="6" s="1"/>
  <c r="M657" i="6"/>
  <c r="T656" i="6"/>
  <c r="U656" i="6" s="1"/>
  <c r="V656" i="6" s="1"/>
  <c r="W656" i="6"/>
  <c r="X656" i="6" s="1"/>
  <c r="Y656" i="6" s="1"/>
  <c r="Z656" i="6" s="1"/>
  <c r="AA656" i="6" s="1"/>
  <c r="R656" i="6" s="1"/>
  <c r="F656" i="6" s="1"/>
  <c r="E656" i="6" s="1"/>
  <c r="M656" i="6"/>
  <c r="T655" i="6"/>
  <c r="U655" i="6"/>
  <c r="V655" i="6" s="1"/>
  <c r="W655" i="6" s="1"/>
  <c r="X655" i="6" s="1"/>
  <c r="Y655" i="6" s="1"/>
  <c r="Z655" i="6" s="1"/>
  <c r="AA655" i="6" s="1"/>
  <c r="R655" i="6" s="1"/>
  <c r="F655" i="6" s="1"/>
  <c r="E655" i="6"/>
  <c r="T654" i="6"/>
  <c r="U654" i="6" s="1"/>
  <c r="V654" i="6" s="1"/>
  <c r="W654" i="6" s="1"/>
  <c r="X654" i="6" s="1"/>
  <c r="Y654" i="6" s="1"/>
  <c r="Z654" i="6" s="1"/>
  <c r="AA654" i="6" s="1"/>
  <c r="R654" i="6" s="1"/>
  <c r="F654" i="6" s="1"/>
  <c r="E654" i="6" s="1"/>
  <c r="M654" i="6"/>
  <c r="T653" i="6"/>
  <c r="U653" i="6" s="1"/>
  <c r="V653" i="6" s="1"/>
  <c r="W653" i="6" s="1"/>
  <c r="X653" i="6" s="1"/>
  <c r="Y653" i="6" s="1"/>
  <c r="Z653" i="6" s="1"/>
  <c r="AA653" i="6" s="1"/>
  <c r="R653" i="6" s="1"/>
  <c r="F653" i="6" s="1"/>
  <c r="E653" i="6" s="1"/>
  <c r="M653" i="6"/>
  <c r="T652" i="6"/>
  <c r="U652" i="6"/>
  <c r="V652" i="6" s="1"/>
  <c r="W652" i="6" s="1"/>
  <c r="X652" i="6" s="1"/>
  <c r="Y652" i="6" s="1"/>
  <c r="Z652" i="6" s="1"/>
  <c r="AA652" i="6" s="1"/>
  <c r="R652" i="6" s="1"/>
  <c r="F652" i="6" s="1"/>
  <c r="E652" i="6" s="1"/>
  <c r="M652" i="6"/>
  <c r="T651" i="6"/>
  <c r="U651" i="6" s="1"/>
  <c r="V651" i="6" s="1"/>
  <c r="W651" i="6" s="1"/>
  <c r="X651" i="6" s="1"/>
  <c r="Y651" i="6" s="1"/>
  <c r="Z651" i="6" s="1"/>
  <c r="AA651" i="6" s="1"/>
  <c r="R651" i="6" s="1"/>
  <c r="F651" i="6" s="1"/>
  <c r="E651" i="6" s="1"/>
  <c r="M651" i="6"/>
  <c r="T650" i="6"/>
  <c r="U650" i="6" s="1"/>
  <c r="V650" i="6" s="1"/>
  <c r="W650" i="6" s="1"/>
  <c r="X650" i="6" s="1"/>
  <c r="Y650" i="6" s="1"/>
  <c r="Z650" i="6" s="1"/>
  <c r="AA650" i="6" s="1"/>
  <c r="R650" i="6" s="1"/>
  <c r="F650" i="6" s="1"/>
  <c r="E650" i="6" s="1"/>
  <c r="M650" i="6"/>
  <c r="T649" i="6"/>
  <c r="U649" i="6" s="1"/>
  <c r="V649" i="6"/>
  <c r="W649" i="6" s="1"/>
  <c r="X649" i="6" s="1"/>
  <c r="Y649" i="6" s="1"/>
  <c r="Z649" i="6" s="1"/>
  <c r="AA649" i="6" s="1"/>
  <c r="R649" i="6" s="1"/>
  <c r="F649" i="6" s="1"/>
  <c r="E649" i="6" s="1"/>
  <c r="M649" i="6"/>
  <c r="T648" i="6"/>
  <c r="U648" i="6"/>
  <c r="V648" i="6" s="1"/>
  <c r="W648" i="6" s="1"/>
  <c r="X648" i="6" s="1"/>
  <c r="Y648" i="6" s="1"/>
  <c r="Z648" i="6" s="1"/>
  <c r="AA648" i="6" s="1"/>
  <c r="R648" i="6" s="1"/>
  <c r="F648" i="6" s="1"/>
  <c r="E648" i="6" s="1"/>
  <c r="M648" i="6"/>
  <c r="T647" i="6"/>
  <c r="U647" i="6" s="1"/>
  <c r="V647" i="6" s="1"/>
  <c r="W647" i="6" s="1"/>
  <c r="X647" i="6" s="1"/>
  <c r="Y647" i="6" s="1"/>
  <c r="Z647" i="6" s="1"/>
  <c r="AA647" i="6" s="1"/>
  <c r="R647" i="6" s="1"/>
  <c r="F647" i="6" s="1"/>
  <c r="E647" i="6" s="1"/>
  <c r="M647" i="6"/>
  <c r="T646" i="6"/>
  <c r="U646" i="6"/>
  <c r="V646" i="6" s="1"/>
  <c r="W646" i="6" s="1"/>
  <c r="X646" i="6" s="1"/>
  <c r="Y646" i="6" s="1"/>
  <c r="Z646" i="6" s="1"/>
  <c r="AA646" i="6" s="1"/>
  <c r="R646" i="6" s="1"/>
  <c r="F646" i="6" s="1"/>
  <c r="E646" i="6" s="1"/>
  <c r="M646" i="6"/>
  <c r="T645" i="6"/>
  <c r="U645" i="6" s="1"/>
  <c r="V645" i="6" s="1"/>
  <c r="W645" i="6" s="1"/>
  <c r="X645" i="6" s="1"/>
  <c r="Y645" i="6" s="1"/>
  <c r="Z645" i="6" s="1"/>
  <c r="AA645" i="6" s="1"/>
  <c r="R645" i="6" s="1"/>
  <c r="F645" i="6" s="1"/>
  <c r="E645" i="6" s="1"/>
  <c r="M645" i="6"/>
  <c r="T644" i="6"/>
  <c r="U644" i="6" s="1"/>
  <c r="V644" i="6" s="1"/>
  <c r="W644" i="6" s="1"/>
  <c r="X644" i="6" s="1"/>
  <c r="Y644" i="6" s="1"/>
  <c r="Z644" i="6" s="1"/>
  <c r="AA644" i="6" s="1"/>
  <c r="R644" i="6" s="1"/>
  <c r="F644" i="6" s="1"/>
  <c r="E644" i="6" s="1"/>
  <c r="T643" i="6"/>
  <c r="U643" i="6"/>
  <c r="V643" i="6" s="1"/>
  <c r="W643" i="6" s="1"/>
  <c r="X643" i="6" s="1"/>
  <c r="Y643" i="6" s="1"/>
  <c r="Z643" i="6" s="1"/>
  <c r="AA643" i="6" s="1"/>
  <c r="R643" i="6" s="1"/>
  <c r="F643" i="6" s="1"/>
  <c r="E643" i="6" s="1"/>
  <c r="T642" i="6"/>
  <c r="U642" i="6" s="1"/>
  <c r="V642" i="6" s="1"/>
  <c r="W642" i="6" s="1"/>
  <c r="X642" i="6" s="1"/>
  <c r="Y642" i="6" s="1"/>
  <c r="Z642" i="6" s="1"/>
  <c r="AA642" i="6" s="1"/>
  <c r="R642" i="6" s="1"/>
  <c r="F642" i="6" s="1"/>
  <c r="E642" i="6" s="1"/>
  <c r="M642" i="6"/>
  <c r="T641" i="6"/>
  <c r="U641" i="6"/>
  <c r="V641" i="6" s="1"/>
  <c r="W641" i="6" s="1"/>
  <c r="X641" i="6" s="1"/>
  <c r="Y641" i="6" s="1"/>
  <c r="Z641" i="6" s="1"/>
  <c r="AA641" i="6" s="1"/>
  <c r="R641" i="6" s="1"/>
  <c r="F641" i="6" s="1"/>
  <c r="E641" i="6" s="1"/>
  <c r="M641" i="6"/>
  <c r="T640" i="6"/>
  <c r="U640" i="6" s="1"/>
  <c r="V640" i="6" s="1"/>
  <c r="W640" i="6" s="1"/>
  <c r="X640" i="6" s="1"/>
  <c r="Y640" i="6" s="1"/>
  <c r="Z640" i="6" s="1"/>
  <c r="AA640" i="6" s="1"/>
  <c r="R640" i="6" s="1"/>
  <c r="F640" i="6" s="1"/>
  <c r="E640" i="6" s="1"/>
  <c r="M640" i="6"/>
  <c r="T639" i="6"/>
  <c r="U639" i="6" s="1"/>
  <c r="V639" i="6" s="1"/>
  <c r="W639" i="6" s="1"/>
  <c r="X639" i="6" s="1"/>
  <c r="Y639" i="6" s="1"/>
  <c r="Z639" i="6" s="1"/>
  <c r="AA639" i="6" s="1"/>
  <c r="R639" i="6" s="1"/>
  <c r="F639" i="6" s="1"/>
  <c r="E639" i="6" s="1"/>
  <c r="M639" i="6"/>
  <c r="T638" i="6"/>
  <c r="U638" i="6" s="1"/>
  <c r="V638" i="6" s="1"/>
  <c r="W638" i="6" s="1"/>
  <c r="X638" i="6" s="1"/>
  <c r="Y638" i="6" s="1"/>
  <c r="Z638" i="6" s="1"/>
  <c r="AA638" i="6" s="1"/>
  <c r="R638" i="6" s="1"/>
  <c r="F638" i="6" s="1"/>
  <c r="E638" i="6" s="1"/>
  <c r="M638" i="6"/>
  <c r="T637" i="6"/>
  <c r="U637" i="6" s="1"/>
  <c r="V637" i="6"/>
  <c r="W637" i="6" s="1"/>
  <c r="X637" i="6" s="1"/>
  <c r="Y637" i="6" s="1"/>
  <c r="Z637" i="6" s="1"/>
  <c r="AA637" i="6" s="1"/>
  <c r="R637" i="6" s="1"/>
  <c r="F637" i="6" s="1"/>
  <c r="E637" i="6" s="1"/>
  <c r="M637" i="6"/>
  <c r="T636" i="6"/>
  <c r="U636" i="6" s="1"/>
  <c r="V636" i="6" s="1"/>
  <c r="W636" i="6" s="1"/>
  <c r="X636" i="6" s="1"/>
  <c r="Y636" i="6" s="1"/>
  <c r="Z636" i="6" s="1"/>
  <c r="AA636" i="6" s="1"/>
  <c r="R636" i="6" s="1"/>
  <c r="F636" i="6" s="1"/>
  <c r="E636" i="6" s="1"/>
  <c r="M636" i="6"/>
  <c r="T635" i="6"/>
  <c r="U635" i="6" s="1"/>
  <c r="V635" i="6"/>
  <c r="W635" i="6"/>
  <c r="X635" i="6" s="1"/>
  <c r="Y635" i="6" s="1"/>
  <c r="Z635" i="6" s="1"/>
  <c r="AA635" i="6" s="1"/>
  <c r="R635" i="6" s="1"/>
  <c r="F635" i="6" s="1"/>
  <c r="E635" i="6" s="1"/>
  <c r="M635" i="6"/>
  <c r="T634" i="6"/>
  <c r="U634" i="6"/>
  <c r="V634" i="6" s="1"/>
  <c r="W634" i="6" s="1"/>
  <c r="X634" i="6" s="1"/>
  <c r="Y634" i="6" s="1"/>
  <c r="Z634" i="6" s="1"/>
  <c r="AA634" i="6" s="1"/>
  <c r="R634" i="6" s="1"/>
  <c r="F634" i="6" s="1"/>
  <c r="E634" i="6" s="1"/>
  <c r="M634" i="6"/>
  <c r="T633" i="6"/>
  <c r="U633" i="6" s="1"/>
  <c r="V633" i="6" s="1"/>
  <c r="W633" i="6" s="1"/>
  <c r="X633" i="6" s="1"/>
  <c r="Y633" i="6" s="1"/>
  <c r="Z633" i="6" s="1"/>
  <c r="AA633" i="6" s="1"/>
  <c r="R633" i="6" s="1"/>
  <c r="F633" i="6" s="1"/>
  <c r="E633" i="6" s="1"/>
  <c r="M633" i="6"/>
  <c r="T632" i="6"/>
  <c r="U632" i="6"/>
  <c r="V632" i="6" s="1"/>
  <c r="W632" i="6" s="1"/>
  <c r="X632" i="6" s="1"/>
  <c r="Y632" i="6" s="1"/>
  <c r="Z632" i="6" s="1"/>
  <c r="AA632" i="6" s="1"/>
  <c r="R632" i="6" s="1"/>
  <c r="F632" i="6" s="1"/>
  <c r="E632" i="6" s="1"/>
  <c r="M632" i="6"/>
  <c r="T631" i="6"/>
  <c r="U631" i="6" s="1"/>
  <c r="V631" i="6" s="1"/>
  <c r="W631" i="6" s="1"/>
  <c r="X631" i="6" s="1"/>
  <c r="Y631" i="6" s="1"/>
  <c r="Z631" i="6" s="1"/>
  <c r="AA631" i="6" s="1"/>
  <c r="R631" i="6" s="1"/>
  <c r="F631" i="6" s="1"/>
  <c r="E631" i="6" s="1"/>
  <c r="M631" i="6"/>
  <c r="T630" i="6"/>
  <c r="U630" i="6" s="1"/>
  <c r="V630" i="6" s="1"/>
  <c r="W630" i="6" s="1"/>
  <c r="X630" i="6" s="1"/>
  <c r="Y630" i="6" s="1"/>
  <c r="Z630" i="6" s="1"/>
  <c r="AA630" i="6" s="1"/>
  <c r="R630" i="6" s="1"/>
  <c r="F630" i="6" s="1"/>
  <c r="E630" i="6" s="1"/>
  <c r="M630" i="6"/>
  <c r="T629" i="6"/>
  <c r="U629" i="6" s="1"/>
  <c r="V629" i="6" s="1"/>
  <c r="W629" i="6" s="1"/>
  <c r="X629" i="6" s="1"/>
  <c r="Y629" i="6" s="1"/>
  <c r="Z629" i="6" s="1"/>
  <c r="AA629" i="6" s="1"/>
  <c r="R629" i="6" s="1"/>
  <c r="F629" i="6" s="1"/>
  <c r="E629" i="6" s="1"/>
  <c r="M629" i="6"/>
  <c r="T628" i="6"/>
  <c r="U628" i="6" s="1"/>
  <c r="V628" i="6" s="1"/>
  <c r="W628" i="6" s="1"/>
  <c r="X628" i="6" s="1"/>
  <c r="Y628" i="6" s="1"/>
  <c r="Z628" i="6" s="1"/>
  <c r="AA628" i="6" s="1"/>
  <c r="R628" i="6" s="1"/>
  <c r="F628" i="6" s="1"/>
  <c r="E628" i="6" s="1"/>
  <c r="M628" i="6"/>
  <c r="T627" i="6"/>
  <c r="U627" i="6" s="1"/>
  <c r="V627" i="6" s="1"/>
  <c r="W627" i="6" s="1"/>
  <c r="X627" i="6" s="1"/>
  <c r="Y627" i="6" s="1"/>
  <c r="Z627" i="6"/>
  <c r="AA627" i="6" s="1"/>
  <c r="R627" i="6" s="1"/>
  <c r="F627" i="6" s="1"/>
  <c r="E627" i="6" s="1"/>
  <c r="M627" i="6"/>
  <c r="T626" i="6"/>
  <c r="U626" i="6"/>
  <c r="V626" i="6" s="1"/>
  <c r="W626" i="6" s="1"/>
  <c r="X626" i="6" s="1"/>
  <c r="Y626" i="6" s="1"/>
  <c r="Z626" i="6" s="1"/>
  <c r="AA626" i="6" s="1"/>
  <c r="R626" i="6" s="1"/>
  <c r="F626" i="6" s="1"/>
  <c r="E626" i="6" s="1"/>
  <c r="M626" i="6"/>
  <c r="T625" i="6"/>
  <c r="U625" i="6" s="1"/>
  <c r="V625" i="6" s="1"/>
  <c r="W625" i="6" s="1"/>
  <c r="X625" i="6" s="1"/>
  <c r="Y625" i="6" s="1"/>
  <c r="Z625" i="6"/>
  <c r="AA625" i="6" s="1"/>
  <c r="R625" i="6" s="1"/>
  <c r="F625" i="6" s="1"/>
  <c r="E625" i="6" s="1"/>
  <c r="M625" i="6"/>
  <c r="T624" i="6"/>
  <c r="U624" i="6"/>
  <c r="V624" i="6"/>
  <c r="W624" i="6" s="1"/>
  <c r="X624" i="6" s="1"/>
  <c r="Y624" i="6" s="1"/>
  <c r="Z624" i="6" s="1"/>
  <c r="AA624" i="6" s="1"/>
  <c r="R624" i="6" s="1"/>
  <c r="F624" i="6" s="1"/>
  <c r="E624" i="6" s="1"/>
  <c r="M624" i="6"/>
  <c r="T623" i="6"/>
  <c r="U623" i="6" s="1"/>
  <c r="V623" i="6" s="1"/>
  <c r="W623" i="6" s="1"/>
  <c r="X623" i="6" s="1"/>
  <c r="Y623" i="6" s="1"/>
  <c r="Z623" i="6"/>
  <c r="AA623" i="6" s="1"/>
  <c r="R623" i="6" s="1"/>
  <c r="F623" i="6" s="1"/>
  <c r="E623" i="6" s="1"/>
  <c r="M623" i="6"/>
  <c r="T622" i="6"/>
  <c r="U622" i="6"/>
  <c r="V622" i="6"/>
  <c r="W622" i="6" s="1"/>
  <c r="X622" i="6" s="1"/>
  <c r="Y622" i="6" s="1"/>
  <c r="Z622" i="6" s="1"/>
  <c r="AA622" i="6" s="1"/>
  <c r="R622" i="6" s="1"/>
  <c r="F622" i="6" s="1"/>
  <c r="E622" i="6" s="1"/>
  <c r="M622" i="6"/>
  <c r="T621" i="6"/>
  <c r="U621" i="6" s="1"/>
  <c r="V621" i="6" s="1"/>
  <c r="W621" i="6" s="1"/>
  <c r="X621" i="6" s="1"/>
  <c r="Y621" i="6" s="1"/>
  <c r="Z621" i="6" s="1"/>
  <c r="AA621" i="6" s="1"/>
  <c r="R621" i="6" s="1"/>
  <c r="F621" i="6" s="1"/>
  <c r="E621" i="6" s="1"/>
  <c r="M621" i="6"/>
  <c r="T620" i="6"/>
  <c r="U620" i="6" s="1"/>
  <c r="V620" i="6" s="1"/>
  <c r="W620" i="6" s="1"/>
  <c r="X620" i="6" s="1"/>
  <c r="Y620" i="6" s="1"/>
  <c r="Z620" i="6" s="1"/>
  <c r="AA620" i="6" s="1"/>
  <c r="R620" i="6" s="1"/>
  <c r="F620" i="6" s="1"/>
  <c r="E620" i="6" s="1"/>
  <c r="M620" i="6"/>
  <c r="T619" i="6"/>
  <c r="U619" i="6" s="1"/>
  <c r="V619" i="6" s="1"/>
  <c r="W619" i="6" s="1"/>
  <c r="X619" i="6" s="1"/>
  <c r="Y619" i="6" s="1"/>
  <c r="Z619" i="6"/>
  <c r="AA619" i="6" s="1"/>
  <c r="R619" i="6" s="1"/>
  <c r="F619" i="6" s="1"/>
  <c r="E619" i="6" s="1"/>
  <c r="M619" i="6"/>
  <c r="T618" i="6"/>
  <c r="U618" i="6" s="1"/>
  <c r="V618" i="6"/>
  <c r="W618" i="6" s="1"/>
  <c r="X618" i="6" s="1"/>
  <c r="Y618" i="6" s="1"/>
  <c r="Z618" i="6" s="1"/>
  <c r="AA618" i="6" s="1"/>
  <c r="R618" i="6" s="1"/>
  <c r="F618" i="6" s="1"/>
  <c r="E618" i="6" s="1"/>
  <c r="M618" i="6"/>
  <c r="T617" i="6"/>
  <c r="U617" i="6" s="1"/>
  <c r="V617" i="6" s="1"/>
  <c r="W617" i="6" s="1"/>
  <c r="X617" i="6" s="1"/>
  <c r="Y617" i="6" s="1"/>
  <c r="Z617" i="6" s="1"/>
  <c r="AA617" i="6" s="1"/>
  <c r="R617" i="6" s="1"/>
  <c r="F617" i="6" s="1"/>
  <c r="E617" i="6" s="1"/>
  <c r="M617" i="6"/>
  <c r="T616" i="6"/>
  <c r="U616" i="6" s="1"/>
  <c r="V616" i="6" s="1"/>
  <c r="W616" i="6" s="1"/>
  <c r="X616" i="6" s="1"/>
  <c r="Y616" i="6" s="1"/>
  <c r="Z616" i="6" s="1"/>
  <c r="AA616" i="6" s="1"/>
  <c r="R616" i="6" s="1"/>
  <c r="F616" i="6" s="1"/>
  <c r="E616" i="6" s="1"/>
  <c r="T615" i="6"/>
  <c r="U615" i="6" s="1"/>
  <c r="V615" i="6" s="1"/>
  <c r="W615" i="6" s="1"/>
  <c r="X615" i="6" s="1"/>
  <c r="Y615" i="6" s="1"/>
  <c r="Z615" i="6" s="1"/>
  <c r="AA615" i="6" s="1"/>
  <c r="R615" i="6" s="1"/>
  <c r="F615" i="6" s="1"/>
  <c r="E615" i="6" s="1"/>
  <c r="M615" i="6"/>
  <c r="T614" i="6"/>
  <c r="U614" i="6"/>
  <c r="V614" i="6"/>
  <c r="W614" i="6" s="1"/>
  <c r="X614" i="6" s="1"/>
  <c r="Y614" i="6" s="1"/>
  <c r="Z614" i="6" s="1"/>
  <c r="AA614" i="6" s="1"/>
  <c r="R614" i="6" s="1"/>
  <c r="F614" i="6" s="1"/>
  <c r="E614" i="6" s="1"/>
  <c r="M614" i="6"/>
  <c r="T613" i="6"/>
  <c r="U613" i="6" s="1"/>
  <c r="V613" i="6" s="1"/>
  <c r="W613" i="6" s="1"/>
  <c r="X613" i="6" s="1"/>
  <c r="Y613" i="6" s="1"/>
  <c r="Z613" i="6" s="1"/>
  <c r="AA613" i="6" s="1"/>
  <c r="R613" i="6" s="1"/>
  <c r="F613" i="6" s="1"/>
  <c r="E613" i="6" s="1"/>
  <c r="M613" i="6"/>
  <c r="T612" i="6"/>
  <c r="U612" i="6"/>
  <c r="V612" i="6" s="1"/>
  <c r="W612" i="6" s="1"/>
  <c r="X612" i="6" s="1"/>
  <c r="Y612" i="6" s="1"/>
  <c r="Z612" i="6" s="1"/>
  <c r="AA612" i="6" s="1"/>
  <c r="R612" i="6" s="1"/>
  <c r="F612" i="6" s="1"/>
  <c r="E612" i="6" s="1"/>
  <c r="M612" i="6"/>
  <c r="T611" i="6"/>
  <c r="U611" i="6" s="1"/>
  <c r="V611" i="6" s="1"/>
  <c r="W611" i="6" s="1"/>
  <c r="X611" i="6" s="1"/>
  <c r="Y611" i="6" s="1"/>
  <c r="Z611" i="6" s="1"/>
  <c r="AA611" i="6" s="1"/>
  <c r="R611" i="6" s="1"/>
  <c r="F611" i="6" s="1"/>
  <c r="E611" i="6" s="1"/>
  <c r="M611" i="6"/>
  <c r="T610" i="6"/>
  <c r="U610" i="6" s="1"/>
  <c r="V610" i="6" s="1"/>
  <c r="W610" i="6" s="1"/>
  <c r="X610" i="6" s="1"/>
  <c r="Y610" i="6" s="1"/>
  <c r="Z610" i="6" s="1"/>
  <c r="AA610" i="6" s="1"/>
  <c r="R610" i="6" s="1"/>
  <c r="F610" i="6" s="1"/>
  <c r="E610" i="6" s="1"/>
  <c r="M610" i="6"/>
  <c r="T609" i="6"/>
  <c r="U609" i="6" s="1"/>
  <c r="V609" i="6" s="1"/>
  <c r="W609" i="6" s="1"/>
  <c r="X609" i="6" s="1"/>
  <c r="Y609" i="6" s="1"/>
  <c r="Z609" i="6" s="1"/>
  <c r="AA609" i="6" s="1"/>
  <c r="R609" i="6" s="1"/>
  <c r="F609" i="6" s="1"/>
  <c r="E609" i="6" s="1"/>
  <c r="M609" i="6"/>
  <c r="T608" i="6"/>
  <c r="U608" i="6"/>
  <c r="V608" i="6"/>
  <c r="W608" i="6" s="1"/>
  <c r="X608" i="6" s="1"/>
  <c r="Y608" i="6" s="1"/>
  <c r="Z608" i="6" s="1"/>
  <c r="AA608" i="6" s="1"/>
  <c r="R608" i="6" s="1"/>
  <c r="F608" i="6" s="1"/>
  <c r="E608" i="6" s="1"/>
  <c r="M608" i="6"/>
  <c r="T607" i="6"/>
  <c r="U607" i="6" s="1"/>
  <c r="V607" i="6" s="1"/>
  <c r="W607" i="6" s="1"/>
  <c r="X607" i="6" s="1"/>
  <c r="Y607" i="6" s="1"/>
  <c r="Z607" i="6" s="1"/>
  <c r="AA607" i="6" s="1"/>
  <c r="R607" i="6" s="1"/>
  <c r="F607" i="6" s="1"/>
  <c r="E607" i="6" s="1"/>
  <c r="M607" i="6"/>
  <c r="T606" i="6"/>
  <c r="U606" i="6" s="1"/>
  <c r="V606" i="6" s="1"/>
  <c r="W606" i="6" s="1"/>
  <c r="X606" i="6" s="1"/>
  <c r="Y606" i="6" s="1"/>
  <c r="Z606" i="6" s="1"/>
  <c r="AA606" i="6" s="1"/>
  <c r="R606" i="6" s="1"/>
  <c r="F606" i="6" s="1"/>
  <c r="E606" i="6" s="1"/>
  <c r="M606" i="6"/>
  <c r="T605" i="6"/>
  <c r="U605" i="6" s="1"/>
  <c r="V605" i="6" s="1"/>
  <c r="W605" i="6" s="1"/>
  <c r="X605" i="6" s="1"/>
  <c r="Y605" i="6" s="1"/>
  <c r="Z605" i="6" s="1"/>
  <c r="AA605" i="6" s="1"/>
  <c r="R605" i="6" s="1"/>
  <c r="F605" i="6" s="1"/>
  <c r="E605" i="6" s="1"/>
  <c r="M605" i="6"/>
  <c r="T604" i="6"/>
  <c r="U604" i="6" s="1"/>
  <c r="V604" i="6" s="1"/>
  <c r="W604" i="6" s="1"/>
  <c r="X604" i="6" s="1"/>
  <c r="Y604" i="6" s="1"/>
  <c r="Z604" i="6" s="1"/>
  <c r="AA604" i="6" s="1"/>
  <c r="R604" i="6" s="1"/>
  <c r="F604" i="6" s="1"/>
  <c r="E604" i="6" s="1"/>
  <c r="M604" i="6"/>
  <c r="T603" i="6"/>
  <c r="U603" i="6" s="1"/>
  <c r="V603" i="6" s="1"/>
  <c r="W603" i="6" s="1"/>
  <c r="X603" i="6" s="1"/>
  <c r="Y603" i="6" s="1"/>
  <c r="Z603" i="6" s="1"/>
  <c r="AA603" i="6" s="1"/>
  <c r="R603" i="6" s="1"/>
  <c r="F603" i="6" s="1"/>
  <c r="E603" i="6" s="1"/>
  <c r="M603" i="6"/>
  <c r="T602" i="6"/>
  <c r="U602" i="6" s="1"/>
  <c r="V602" i="6" s="1"/>
  <c r="W602" i="6" s="1"/>
  <c r="X602" i="6" s="1"/>
  <c r="Y602" i="6" s="1"/>
  <c r="Z602" i="6" s="1"/>
  <c r="AA602" i="6" s="1"/>
  <c r="R602" i="6" s="1"/>
  <c r="F602" i="6" s="1"/>
  <c r="E602" i="6" s="1"/>
  <c r="M602" i="6"/>
  <c r="T601" i="6"/>
  <c r="U601" i="6" s="1"/>
  <c r="V601" i="6" s="1"/>
  <c r="W601" i="6" s="1"/>
  <c r="X601" i="6" s="1"/>
  <c r="Y601" i="6" s="1"/>
  <c r="Z601" i="6" s="1"/>
  <c r="AA601" i="6" s="1"/>
  <c r="R601" i="6" s="1"/>
  <c r="F601" i="6" s="1"/>
  <c r="E601" i="6" s="1"/>
  <c r="M601" i="6"/>
  <c r="T600" i="6"/>
  <c r="U600" i="6" s="1"/>
  <c r="V600" i="6" s="1"/>
  <c r="W600" i="6" s="1"/>
  <c r="X600" i="6" s="1"/>
  <c r="Y600" i="6" s="1"/>
  <c r="Z600" i="6" s="1"/>
  <c r="AA600" i="6" s="1"/>
  <c r="R600" i="6" s="1"/>
  <c r="F600" i="6" s="1"/>
  <c r="E600" i="6" s="1"/>
  <c r="M600" i="6"/>
  <c r="T599" i="6"/>
  <c r="U599" i="6" s="1"/>
  <c r="V599" i="6" s="1"/>
  <c r="W599" i="6" s="1"/>
  <c r="X599" i="6" s="1"/>
  <c r="Y599" i="6" s="1"/>
  <c r="Z599" i="6" s="1"/>
  <c r="AA599" i="6" s="1"/>
  <c r="R599" i="6" s="1"/>
  <c r="F599" i="6" s="1"/>
  <c r="E599" i="6" s="1"/>
  <c r="M599" i="6"/>
  <c r="T598" i="6"/>
  <c r="U598" i="6" s="1"/>
  <c r="V598" i="6" s="1"/>
  <c r="W598" i="6" s="1"/>
  <c r="X598" i="6" s="1"/>
  <c r="Y598" i="6" s="1"/>
  <c r="Z598" i="6" s="1"/>
  <c r="AA598" i="6" s="1"/>
  <c r="R598" i="6" s="1"/>
  <c r="F598" i="6" s="1"/>
  <c r="E598" i="6" s="1"/>
  <c r="M598" i="6"/>
  <c r="T597" i="6"/>
  <c r="U597" i="6" s="1"/>
  <c r="V597" i="6" s="1"/>
  <c r="W597" i="6" s="1"/>
  <c r="X597" i="6" s="1"/>
  <c r="Y597" i="6" s="1"/>
  <c r="Z597" i="6" s="1"/>
  <c r="AA597" i="6" s="1"/>
  <c r="R597" i="6" s="1"/>
  <c r="F597" i="6" s="1"/>
  <c r="E597" i="6" s="1"/>
  <c r="M597" i="6"/>
  <c r="T596" i="6"/>
  <c r="U596" i="6" s="1"/>
  <c r="V596" i="6" s="1"/>
  <c r="W596" i="6" s="1"/>
  <c r="X596" i="6" s="1"/>
  <c r="Y596" i="6" s="1"/>
  <c r="Z596" i="6" s="1"/>
  <c r="AA596" i="6" s="1"/>
  <c r="R596" i="6" s="1"/>
  <c r="F596" i="6" s="1"/>
  <c r="E596" i="6" s="1"/>
  <c r="M596" i="6"/>
  <c r="T595" i="6"/>
  <c r="U595" i="6" s="1"/>
  <c r="V595" i="6" s="1"/>
  <c r="W595" i="6" s="1"/>
  <c r="X595" i="6" s="1"/>
  <c r="Y595" i="6" s="1"/>
  <c r="Z595" i="6" s="1"/>
  <c r="AA595" i="6" s="1"/>
  <c r="R595" i="6" s="1"/>
  <c r="F595" i="6" s="1"/>
  <c r="E595" i="6" s="1"/>
  <c r="M595" i="6"/>
  <c r="T594" i="6"/>
  <c r="U594" i="6" s="1"/>
  <c r="V594" i="6" s="1"/>
  <c r="W594" i="6" s="1"/>
  <c r="X594" i="6" s="1"/>
  <c r="Y594" i="6" s="1"/>
  <c r="Z594" i="6" s="1"/>
  <c r="AA594" i="6" s="1"/>
  <c r="R594" i="6" s="1"/>
  <c r="F594" i="6" s="1"/>
  <c r="E594" i="6" s="1"/>
  <c r="M594" i="6"/>
  <c r="T593" i="6"/>
  <c r="U593" i="6" s="1"/>
  <c r="V593" i="6" s="1"/>
  <c r="W593" i="6" s="1"/>
  <c r="X593" i="6" s="1"/>
  <c r="Y593" i="6" s="1"/>
  <c r="Z593" i="6" s="1"/>
  <c r="AA593" i="6" s="1"/>
  <c r="R593" i="6"/>
  <c r="F593" i="6" s="1"/>
  <c r="E593" i="6" s="1"/>
  <c r="M593" i="6"/>
  <c r="T592" i="6"/>
  <c r="U592" i="6" s="1"/>
  <c r="V592" i="6" s="1"/>
  <c r="W592" i="6" s="1"/>
  <c r="X592" i="6" s="1"/>
  <c r="Y592" i="6" s="1"/>
  <c r="Z592" i="6" s="1"/>
  <c r="AA592" i="6" s="1"/>
  <c r="R592" i="6" s="1"/>
  <c r="F592" i="6" s="1"/>
  <c r="E592" i="6" s="1"/>
  <c r="M592" i="6"/>
  <c r="T591" i="6"/>
  <c r="U591" i="6" s="1"/>
  <c r="V591" i="6" s="1"/>
  <c r="W591" i="6" s="1"/>
  <c r="X591" i="6" s="1"/>
  <c r="Y591" i="6" s="1"/>
  <c r="Z591" i="6" s="1"/>
  <c r="AA591" i="6" s="1"/>
  <c r="R591" i="6" s="1"/>
  <c r="F591" i="6" s="1"/>
  <c r="E591" i="6" s="1"/>
  <c r="M591" i="6"/>
  <c r="T590" i="6"/>
  <c r="U590" i="6" s="1"/>
  <c r="V590" i="6" s="1"/>
  <c r="W590" i="6" s="1"/>
  <c r="X590" i="6" s="1"/>
  <c r="Y590" i="6" s="1"/>
  <c r="Z590" i="6" s="1"/>
  <c r="AA590" i="6" s="1"/>
  <c r="R590" i="6" s="1"/>
  <c r="F590" i="6" s="1"/>
  <c r="E590" i="6" s="1"/>
  <c r="M590" i="6"/>
  <c r="T589" i="6"/>
  <c r="U589" i="6" s="1"/>
  <c r="V589" i="6" s="1"/>
  <c r="W589" i="6" s="1"/>
  <c r="X589" i="6" s="1"/>
  <c r="Y589" i="6" s="1"/>
  <c r="Z589" i="6" s="1"/>
  <c r="AA589" i="6" s="1"/>
  <c r="R589" i="6" s="1"/>
  <c r="F589" i="6" s="1"/>
  <c r="E589" i="6" s="1"/>
  <c r="M589" i="6"/>
  <c r="T588" i="6"/>
  <c r="U588" i="6" s="1"/>
  <c r="V588" i="6" s="1"/>
  <c r="W588" i="6" s="1"/>
  <c r="X588" i="6" s="1"/>
  <c r="Y588" i="6" s="1"/>
  <c r="Z588" i="6" s="1"/>
  <c r="AA588" i="6" s="1"/>
  <c r="R588" i="6" s="1"/>
  <c r="F588" i="6" s="1"/>
  <c r="E588" i="6" s="1"/>
  <c r="M588" i="6"/>
  <c r="T587" i="6"/>
  <c r="U587" i="6" s="1"/>
  <c r="V587" i="6" s="1"/>
  <c r="W587" i="6" s="1"/>
  <c r="X587" i="6" s="1"/>
  <c r="Y587" i="6" s="1"/>
  <c r="Z587" i="6" s="1"/>
  <c r="AA587" i="6" s="1"/>
  <c r="R587" i="6" s="1"/>
  <c r="F587" i="6" s="1"/>
  <c r="E587" i="6" s="1"/>
  <c r="M587" i="6"/>
  <c r="T586" i="6"/>
  <c r="U586" i="6"/>
  <c r="V586" i="6" s="1"/>
  <c r="W586" i="6" s="1"/>
  <c r="X586" i="6" s="1"/>
  <c r="Y586" i="6" s="1"/>
  <c r="Z586" i="6" s="1"/>
  <c r="AA586" i="6" s="1"/>
  <c r="R586" i="6" s="1"/>
  <c r="F586" i="6" s="1"/>
  <c r="E586" i="6" s="1"/>
  <c r="M586" i="6"/>
  <c r="T585" i="6"/>
  <c r="U585" i="6" s="1"/>
  <c r="V585" i="6" s="1"/>
  <c r="W585" i="6" s="1"/>
  <c r="X585" i="6" s="1"/>
  <c r="Y585" i="6" s="1"/>
  <c r="Z585" i="6" s="1"/>
  <c r="AA585" i="6" s="1"/>
  <c r="R585" i="6" s="1"/>
  <c r="F585" i="6" s="1"/>
  <c r="E585" i="6" s="1"/>
  <c r="M585" i="6"/>
  <c r="T584" i="6"/>
  <c r="U584" i="6"/>
  <c r="V584" i="6"/>
  <c r="W584" i="6" s="1"/>
  <c r="X584" i="6" s="1"/>
  <c r="Y584" i="6" s="1"/>
  <c r="Z584" i="6" s="1"/>
  <c r="AA584" i="6" s="1"/>
  <c r="R584" i="6" s="1"/>
  <c r="F584" i="6" s="1"/>
  <c r="E584" i="6" s="1"/>
  <c r="M584" i="6"/>
  <c r="T583" i="6"/>
  <c r="U583" i="6" s="1"/>
  <c r="V583" i="6" s="1"/>
  <c r="W583" i="6" s="1"/>
  <c r="X583" i="6" s="1"/>
  <c r="Y583" i="6" s="1"/>
  <c r="Z583" i="6" s="1"/>
  <c r="AA583" i="6" s="1"/>
  <c r="R583" i="6" s="1"/>
  <c r="F583" i="6" s="1"/>
  <c r="E583" i="6" s="1"/>
  <c r="M583" i="6"/>
  <c r="T582" i="6"/>
  <c r="U582" i="6"/>
  <c r="V582" i="6"/>
  <c r="W582" i="6" s="1"/>
  <c r="X582" i="6" s="1"/>
  <c r="Y582" i="6" s="1"/>
  <c r="Z582" i="6" s="1"/>
  <c r="AA582" i="6" s="1"/>
  <c r="R582" i="6" s="1"/>
  <c r="F582" i="6" s="1"/>
  <c r="E582" i="6" s="1"/>
  <c r="M582" i="6"/>
  <c r="T581" i="6"/>
  <c r="U581" i="6" s="1"/>
  <c r="V581" i="6" s="1"/>
  <c r="W581" i="6" s="1"/>
  <c r="X581" i="6" s="1"/>
  <c r="Y581" i="6" s="1"/>
  <c r="Z581" i="6" s="1"/>
  <c r="AA581" i="6" s="1"/>
  <c r="R581" i="6" s="1"/>
  <c r="F581" i="6" s="1"/>
  <c r="E581" i="6" s="1"/>
  <c r="M581" i="6"/>
  <c r="T580" i="6"/>
  <c r="U580" i="6"/>
  <c r="V580" i="6"/>
  <c r="W580" i="6" s="1"/>
  <c r="X580" i="6" s="1"/>
  <c r="Y580" i="6" s="1"/>
  <c r="Z580" i="6" s="1"/>
  <c r="AA580" i="6" s="1"/>
  <c r="R580" i="6" s="1"/>
  <c r="F580" i="6" s="1"/>
  <c r="E580" i="6" s="1"/>
  <c r="M580" i="6"/>
  <c r="T579" i="6"/>
  <c r="U579" i="6" s="1"/>
  <c r="V579" i="6" s="1"/>
  <c r="W579" i="6" s="1"/>
  <c r="X579" i="6" s="1"/>
  <c r="Y579" i="6" s="1"/>
  <c r="Z579" i="6" s="1"/>
  <c r="AA579" i="6" s="1"/>
  <c r="R579" i="6" s="1"/>
  <c r="F579" i="6" s="1"/>
  <c r="E579" i="6" s="1"/>
  <c r="M579" i="6"/>
  <c r="T578" i="6"/>
  <c r="U578" i="6" s="1"/>
  <c r="V578" i="6" s="1"/>
  <c r="W578" i="6" s="1"/>
  <c r="X578" i="6" s="1"/>
  <c r="Y578" i="6" s="1"/>
  <c r="Z578" i="6" s="1"/>
  <c r="AA578" i="6" s="1"/>
  <c r="R578" i="6" s="1"/>
  <c r="F578" i="6" s="1"/>
  <c r="E578" i="6" s="1"/>
  <c r="M578" i="6"/>
  <c r="T577" i="6"/>
  <c r="U577" i="6" s="1"/>
  <c r="V577" i="6" s="1"/>
  <c r="W577" i="6" s="1"/>
  <c r="X577" i="6" s="1"/>
  <c r="Y577" i="6" s="1"/>
  <c r="Z577" i="6" s="1"/>
  <c r="AA577" i="6" s="1"/>
  <c r="R577" i="6" s="1"/>
  <c r="F577" i="6" s="1"/>
  <c r="E577" i="6" s="1"/>
  <c r="M577" i="6"/>
  <c r="T576" i="6"/>
  <c r="U576" i="6"/>
  <c r="V576" i="6" s="1"/>
  <c r="W576" i="6" s="1"/>
  <c r="X576" i="6" s="1"/>
  <c r="Y576" i="6" s="1"/>
  <c r="Z576" i="6" s="1"/>
  <c r="AA576" i="6" s="1"/>
  <c r="R576" i="6" s="1"/>
  <c r="F576" i="6" s="1"/>
  <c r="E576" i="6" s="1"/>
  <c r="M576" i="6"/>
  <c r="T575" i="6"/>
  <c r="U575" i="6" s="1"/>
  <c r="V575" i="6" s="1"/>
  <c r="W575" i="6" s="1"/>
  <c r="X575" i="6" s="1"/>
  <c r="Y575" i="6" s="1"/>
  <c r="Z575" i="6" s="1"/>
  <c r="AA575" i="6" s="1"/>
  <c r="R575" i="6" s="1"/>
  <c r="F575" i="6" s="1"/>
  <c r="E575" i="6" s="1"/>
  <c r="M575" i="6"/>
  <c r="T574" i="6"/>
  <c r="U574" i="6"/>
  <c r="V574" i="6" s="1"/>
  <c r="W574" i="6" s="1"/>
  <c r="X574" i="6" s="1"/>
  <c r="Y574" i="6" s="1"/>
  <c r="Z574" i="6" s="1"/>
  <c r="AA574" i="6" s="1"/>
  <c r="R574" i="6" s="1"/>
  <c r="F574" i="6" s="1"/>
  <c r="E574" i="6" s="1"/>
  <c r="M574" i="6"/>
  <c r="T573" i="6"/>
  <c r="U573" i="6" s="1"/>
  <c r="V573" i="6" s="1"/>
  <c r="W573" i="6" s="1"/>
  <c r="X573" i="6" s="1"/>
  <c r="Y573" i="6" s="1"/>
  <c r="Z573" i="6" s="1"/>
  <c r="AA573" i="6" s="1"/>
  <c r="R573" i="6" s="1"/>
  <c r="F573" i="6" s="1"/>
  <c r="E573" i="6" s="1"/>
  <c r="M573" i="6"/>
  <c r="T572" i="6"/>
  <c r="U572" i="6"/>
  <c r="V572" i="6" s="1"/>
  <c r="W572" i="6" s="1"/>
  <c r="X572" i="6" s="1"/>
  <c r="Y572" i="6" s="1"/>
  <c r="Z572" i="6" s="1"/>
  <c r="AA572" i="6" s="1"/>
  <c r="R572" i="6" s="1"/>
  <c r="F572" i="6" s="1"/>
  <c r="E572" i="6" s="1"/>
  <c r="M572" i="6"/>
  <c r="T571" i="6"/>
  <c r="U571" i="6" s="1"/>
  <c r="V571" i="6" s="1"/>
  <c r="W571" i="6" s="1"/>
  <c r="X571" i="6" s="1"/>
  <c r="Y571" i="6" s="1"/>
  <c r="Z571" i="6" s="1"/>
  <c r="AA571" i="6" s="1"/>
  <c r="R571" i="6" s="1"/>
  <c r="F571" i="6" s="1"/>
  <c r="E571" i="6" s="1"/>
  <c r="M571" i="6"/>
  <c r="T570" i="6"/>
  <c r="U570" i="6" s="1"/>
  <c r="V570" i="6" s="1"/>
  <c r="W570" i="6" s="1"/>
  <c r="X570" i="6" s="1"/>
  <c r="Y570" i="6" s="1"/>
  <c r="Z570" i="6" s="1"/>
  <c r="AA570" i="6" s="1"/>
  <c r="R570" i="6" s="1"/>
  <c r="F570" i="6" s="1"/>
  <c r="E570" i="6" s="1"/>
  <c r="M570" i="6"/>
  <c r="T569" i="6"/>
  <c r="U569" i="6" s="1"/>
  <c r="V569" i="6" s="1"/>
  <c r="W569" i="6" s="1"/>
  <c r="X569" i="6" s="1"/>
  <c r="Y569" i="6" s="1"/>
  <c r="Z569" i="6" s="1"/>
  <c r="AA569" i="6" s="1"/>
  <c r="R569" i="6" s="1"/>
  <c r="F569" i="6" s="1"/>
  <c r="E569" i="6" s="1"/>
  <c r="M569" i="6"/>
  <c r="T568" i="6"/>
  <c r="U568" i="6" s="1"/>
  <c r="V568" i="6" s="1"/>
  <c r="W568" i="6" s="1"/>
  <c r="X568" i="6" s="1"/>
  <c r="Y568" i="6" s="1"/>
  <c r="Z568" i="6" s="1"/>
  <c r="AA568" i="6" s="1"/>
  <c r="R568" i="6" s="1"/>
  <c r="F568" i="6" s="1"/>
  <c r="E568" i="6" s="1"/>
  <c r="M568" i="6"/>
  <c r="T567" i="6"/>
  <c r="U567" i="6" s="1"/>
  <c r="V567" i="6" s="1"/>
  <c r="W567" i="6" s="1"/>
  <c r="X567" i="6" s="1"/>
  <c r="Y567" i="6" s="1"/>
  <c r="Z567" i="6" s="1"/>
  <c r="AA567" i="6" s="1"/>
  <c r="R567" i="6" s="1"/>
  <c r="F567" i="6" s="1"/>
  <c r="E567" i="6" s="1"/>
  <c r="M567" i="6"/>
  <c r="T566" i="6"/>
  <c r="U566" i="6" s="1"/>
  <c r="V566" i="6" s="1"/>
  <c r="W566" i="6" s="1"/>
  <c r="X566" i="6" s="1"/>
  <c r="Y566" i="6" s="1"/>
  <c r="Z566" i="6" s="1"/>
  <c r="AA566" i="6" s="1"/>
  <c r="R566" i="6" s="1"/>
  <c r="F566" i="6" s="1"/>
  <c r="E566" i="6" s="1"/>
  <c r="M566" i="6"/>
  <c r="T565" i="6"/>
  <c r="U565" i="6" s="1"/>
  <c r="V565" i="6" s="1"/>
  <c r="W565" i="6" s="1"/>
  <c r="X565" i="6" s="1"/>
  <c r="Y565" i="6" s="1"/>
  <c r="Z565" i="6" s="1"/>
  <c r="AA565" i="6" s="1"/>
  <c r="R565" i="6" s="1"/>
  <c r="F565" i="6" s="1"/>
  <c r="E565" i="6" s="1"/>
  <c r="M565" i="6"/>
  <c r="T564" i="6"/>
  <c r="U564" i="6" s="1"/>
  <c r="V564" i="6" s="1"/>
  <c r="W564" i="6" s="1"/>
  <c r="X564" i="6" s="1"/>
  <c r="Y564" i="6" s="1"/>
  <c r="Z564" i="6" s="1"/>
  <c r="AA564" i="6" s="1"/>
  <c r="R564" i="6" s="1"/>
  <c r="F564" i="6" s="1"/>
  <c r="E564" i="6" s="1"/>
  <c r="M564" i="6"/>
  <c r="T563" i="6"/>
  <c r="U563" i="6" s="1"/>
  <c r="V563" i="6" s="1"/>
  <c r="W563" i="6" s="1"/>
  <c r="X563" i="6" s="1"/>
  <c r="Y563" i="6" s="1"/>
  <c r="Z563" i="6" s="1"/>
  <c r="AA563" i="6"/>
  <c r="R563" i="6"/>
  <c r="F563" i="6" s="1"/>
  <c r="E563" i="6" s="1"/>
  <c r="M563" i="6"/>
  <c r="T562" i="6"/>
  <c r="U562" i="6"/>
  <c r="V562" i="6" s="1"/>
  <c r="W562" i="6" s="1"/>
  <c r="X562" i="6" s="1"/>
  <c r="Y562" i="6" s="1"/>
  <c r="Z562" i="6" s="1"/>
  <c r="AA562" i="6" s="1"/>
  <c r="R562" i="6" s="1"/>
  <c r="F562" i="6" s="1"/>
  <c r="E562" i="6" s="1"/>
  <c r="M562" i="6"/>
  <c r="Y561" i="6"/>
  <c r="Z561" i="6" s="1"/>
  <c r="AA561" i="6" s="1"/>
  <c r="R561" i="6" s="1"/>
  <c r="F561" i="6" s="1"/>
  <c r="E561" i="6" s="1"/>
  <c r="M561" i="6"/>
  <c r="T560" i="6"/>
  <c r="U560" i="6" s="1"/>
  <c r="V560" i="6" s="1"/>
  <c r="W560" i="6" s="1"/>
  <c r="X560" i="6" s="1"/>
  <c r="Y560" i="6" s="1"/>
  <c r="Z560" i="6" s="1"/>
  <c r="AA560" i="6" s="1"/>
  <c r="R560" i="6" s="1"/>
  <c r="F560" i="6" s="1"/>
  <c r="E560" i="6" s="1"/>
  <c r="M560" i="6"/>
  <c r="T559" i="6"/>
  <c r="U559" i="6" s="1"/>
  <c r="V559" i="6" s="1"/>
  <c r="W559" i="6" s="1"/>
  <c r="X559" i="6" s="1"/>
  <c r="Y559" i="6" s="1"/>
  <c r="Z559" i="6" s="1"/>
  <c r="AA559" i="6" s="1"/>
  <c r="R559" i="6" s="1"/>
  <c r="F559" i="6" s="1"/>
  <c r="E559" i="6" s="1"/>
  <c r="M559" i="6"/>
  <c r="T558" i="6"/>
  <c r="U558" i="6"/>
  <c r="V558" i="6" s="1"/>
  <c r="W558" i="6" s="1"/>
  <c r="X558" i="6" s="1"/>
  <c r="Y558" i="6" s="1"/>
  <c r="Z558" i="6" s="1"/>
  <c r="AA558" i="6" s="1"/>
  <c r="R558" i="6" s="1"/>
  <c r="F558" i="6" s="1"/>
  <c r="E558" i="6" s="1"/>
  <c r="M558" i="6"/>
  <c r="T557" i="6"/>
  <c r="U557" i="6" s="1"/>
  <c r="V557" i="6" s="1"/>
  <c r="W557" i="6" s="1"/>
  <c r="X557" i="6" s="1"/>
  <c r="Y557" i="6" s="1"/>
  <c r="Z557" i="6" s="1"/>
  <c r="AA557" i="6" s="1"/>
  <c r="R557" i="6" s="1"/>
  <c r="F557" i="6" s="1"/>
  <c r="E557" i="6" s="1"/>
  <c r="M557" i="6"/>
  <c r="T556" i="6"/>
  <c r="U556" i="6" s="1"/>
  <c r="V556" i="6" s="1"/>
  <c r="W556" i="6" s="1"/>
  <c r="X556" i="6" s="1"/>
  <c r="Y556" i="6" s="1"/>
  <c r="Z556" i="6" s="1"/>
  <c r="AA556" i="6" s="1"/>
  <c r="R556" i="6" s="1"/>
  <c r="F556" i="6" s="1"/>
  <c r="E556" i="6" s="1"/>
  <c r="M556" i="6"/>
  <c r="T555" i="6"/>
  <c r="U555" i="6" s="1"/>
  <c r="V555" i="6" s="1"/>
  <c r="W555" i="6" s="1"/>
  <c r="X555" i="6" s="1"/>
  <c r="Y555" i="6" s="1"/>
  <c r="Z555" i="6" s="1"/>
  <c r="AA555" i="6" s="1"/>
  <c r="R555" i="6" s="1"/>
  <c r="F555" i="6" s="1"/>
  <c r="E555" i="6" s="1"/>
  <c r="M555" i="6"/>
  <c r="T554" i="6"/>
  <c r="U554" i="6" s="1"/>
  <c r="V554" i="6" s="1"/>
  <c r="W554" i="6" s="1"/>
  <c r="X554" i="6" s="1"/>
  <c r="Y554" i="6" s="1"/>
  <c r="Z554" i="6" s="1"/>
  <c r="AA554" i="6" s="1"/>
  <c r="R554" i="6" s="1"/>
  <c r="F554" i="6" s="1"/>
  <c r="E554" i="6" s="1"/>
  <c r="M554" i="6"/>
  <c r="T553" i="6"/>
  <c r="U553" i="6" s="1"/>
  <c r="V553" i="6" s="1"/>
  <c r="W553" i="6" s="1"/>
  <c r="X553" i="6" s="1"/>
  <c r="Y553" i="6" s="1"/>
  <c r="Z553" i="6" s="1"/>
  <c r="AA553" i="6" s="1"/>
  <c r="R553" i="6" s="1"/>
  <c r="F553" i="6" s="1"/>
  <c r="E553" i="6" s="1"/>
  <c r="M553" i="6"/>
  <c r="T552" i="6"/>
  <c r="U552" i="6" s="1"/>
  <c r="V552" i="6" s="1"/>
  <c r="W552" i="6" s="1"/>
  <c r="X552" i="6" s="1"/>
  <c r="Y552" i="6" s="1"/>
  <c r="Z552" i="6" s="1"/>
  <c r="AA552" i="6" s="1"/>
  <c r="R552" i="6" s="1"/>
  <c r="F552" i="6" s="1"/>
  <c r="E552" i="6" s="1"/>
  <c r="M552" i="6"/>
  <c r="T551" i="6"/>
  <c r="U551" i="6" s="1"/>
  <c r="V551" i="6" s="1"/>
  <c r="W551" i="6" s="1"/>
  <c r="X551" i="6" s="1"/>
  <c r="Y551" i="6" s="1"/>
  <c r="Z551" i="6" s="1"/>
  <c r="AA551" i="6" s="1"/>
  <c r="R551" i="6" s="1"/>
  <c r="F551" i="6" s="1"/>
  <c r="E551" i="6" s="1"/>
  <c r="M551" i="6"/>
  <c r="T550" i="6"/>
  <c r="U550" i="6" s="1"/>
  <c r="V550" i="6" s="1"/>
  <c r="W550" i="6" s="1"/>
  <c r="X550" i="6" s="1"/>
  <c r="Y550" i="6" s="1"/>
  <c r="Z550" i="6" s="1"/>
  <c r="AA550" i="6" s="1"/>
  <c r="R550" i="6" s="1"/>
  <c r="F550" i="6" s="1"/>
  <c r="E550" i="6" s="1"/>
  <c r="M550" i="6"/>
  <c r="T549" i="6"/>
  <c r="U549" i="6" s="1"/>
  <c r="V549" i="6" s="1"/>
  <c r="W549" i="6" s="1"/>
  <c r="X549" i="6" s="1"/>
  <c r="Y549" i="6" s="1"/>
  <c r="Z549" i="6" s="1"/>
  <c r="AA549" i="6" s="1"/>
  <c r="R549" i="6" s="1"/>
  <c r="F549" i="6" s="1"/>
  <c r="E549" i="6" s="1"/>
  <c r="M549" i="6"/>
  <c r="T548" i="6"/>
  <c r="U548" i="6" s="1"/>
  <c r="V548" i="6" s="1"/>
  <c r="W548" i="6" s="1"/>
  <c r="X548" i="6" s="1"/>
  <c r="Y548" i="6" s="1"/>
  <c r="Z548" i="6" s="1"/>
  <c r="AA548" i="6" s="1"/>
  <c r="R548" i="6" s="1"/>
  <c r="F548" i="6" s="1"/>
  <c r="E548" i="6" s="1"/>
  <c r="M548" i="6"/>
  <c r="T547" i="6"/>
  <c r="U547" i="6" s="1"/>
  <c r="V547" i="6" s="1"/>
  <c r="W547" i="6" s="1"/>
  <c r="X547" i="6" s="1"/>
  <c r="Y547" i="6" s="1"/>
  <c r="Z547" i="6" s="1"/>
  <c r="AA547" i="6" s="1"/>
  <c r="R547" i="6" s="1"/>
  <c r="F547" i="6" s="1"/>
  <c r="E547" i="6" s="1"/>
  <c r="M547" i="6"/>
  <c r="T546" i="6"/>
  <c r="U546" i="6" s="1"/>
  <c r="V546" i="6" s="1"/>
  <c r="W546" i="6" s="1"/>
  <c r="X546" i="6" s="1"/>
  <c r="Y546" i="6" s="1"/>
  <c r="Z546" i="6" s="1"/>
  <c r="AA546" i="6" s="1"/>
  <c r="R546" i="6" s="1"/>
  <c r="F546" i="6" s="1"/>
  <c r="E546" i="6" s="1"/>
  <c r="M546" i="6"/>
  <c r="T545" i="6"/>
  <c r="U545" i="6" s="1"/>
  <c r="V545" i="6" s="1"/>
  <c r="W545" i="6" s="1"/>
  <c r="X545" i="6" s="1"/>
  <c r="Y545" i="6" s="1"/>
  <c r="Z545" i="6" s="1"/>
  <c r="AA545" i="6" s="1"/>
  <c r="R545" i="6" s="1"/>
  <c r="F545" i="6" s="1"/>
  <c r="E545" i="6" s="1"/>
  <c r="M545" i="6"/>
  <c r="T544" i="6"/>
  <c r="U544" i="6" s="1"/>
  <c r="V544" i="6" s="1"/>
  <c r="W544" i="6" s="1"/>
  <c r="X544" i="6" s="1"/>
  <c r="Y544" i="6" s="1"/>
  <c r="Z544" i="6" s="1"/>
  <c r="AA544" i="6" s="1"/>
  <c r="R544" i="6" s="1"/>
  <c r="F544" i="6" s="1"/>
  <c r="E544" i="6" s="1"/>
  <c r="M544" i="6"/>
  <c r="T543" i="6"/>
  <c r="U543" i="6" s="1"/>
  <c r="V543" i="6" s="1"/>
  <c r="W543" i="6" s="1"/>
  <c r="X543" i="6"/>
  <c r="Y543" i="6" s="1"/>
  <c r="Z543" i="6" s="1"/>
  <c r="AA543" i="6" s="1"/>
  <c r="R543" i="6" s="1"/>
  <c r="F543" i="6" s="1"/>
  <c r="E543" i="6" s="1"/>
  <c r="M543" i="6"/>
  <c r="T542" i="6"/>
  <c r="U542" i="6" s="1"/>
  <c r="V542" i="6" s="1"/>
  <c r="W542" i="6" s="1"/>
  <c r="X542" i="6" s="1"/>
  <c r="Y542" i="6" s="1"/>
  <c r="Z542" i="6" s="1"/>
  <c r="AA542" i="6" s="1"/>
  <c r="R542" i="6" s="1"/>
  <c r="F542" i="6" s="1"/>
  <c r="E542" i="6" s="1"/>
  <c r="M542" i="6"/>
  <c r="T541" i="6"/>
  <c r="U541" i="6" s="1"/>
  <c r="V541" i="6" s="1"/>
  <c r="W541" i="6" s="1"/>
  <c r="X541" i="6" s="1"/>
  <c r="Y541" i="6" s="1"/>
  <c r="Z541" i="6" s="1"/>
  <c r="AA541" i="6" s="1"/>
  <c r="R541" i="6" s="1"/>
  <c r="F541" i="6" s="1"/>
  <c r="E541" i="6" s="1"/>
  <c r="M541" i="6"/>
  <c r="T540" i="6"/>
  <c r="U540" i="6" s="1"/>
  <c r="V540" i="6" s="1"/>
  <c r="W540" i="6" s="1"/>
  <c r="X540" i="6" s="1"/>
  <c r="Y540" i="6" s="1"/>
  <c r="Z540" i="6" s="1"/>
  <c r="AA540" i="6" s="1"/>
  <c r="R540" i="6" s="1"/>
  <c r="F540" i="6" s="1"/>
  <c r="E540" i="6" s="1"/>
  <c r="M540" i="6"/>
  <c r="T539" i="6"/>
  <c r="U539" i="6" s="1"/>
  <c r="V539" i="6" s="1"/>
  <c r="W539" i="6" s="1"/>
  <c r="X539" i="6" s="1"/>
  <c r="Y539" i="6" s="1"/>
  <c r="Z539" i="6" s="1"/>
  <c r="AA539" i="6" s="1"/>
  <c r="R539" i="6" s="1"/>
  <c r="F539" i="6" s="1"/>
  <c r="E539" i="6" s="1"/>
  <c r="M539" i="6"/>
  <c r="T538" i="6"/>
  <c r="U538" i="6" s="1"/>
  <c r="V538" i="6" s="1"/>
  <c r="W538" i="6" s="1"/>
  <c r="X538" i="6" s="1"/>
  <c r="Y538" i="6" s="1"/>
  <c r="Z538" i="6" s="1"/>
  <c r="AA538" i="6" s="1"/>
  <c r="R538" i="6" s="1"/>
  <c r="F538" i="6" s="1"/>
  <c r="E538" i="6" s="1"/>
  <c r="M538" i="6"/>
  <c r="T537" i="6"/>
  <c r="U537" i="6" s="1"/>
  <c r="V537" i="6" s="1"/>
  <c r="W537" i="6" s="1"/>
  <c r="X537" i="6" s="1"/>
  <c r="Y537" i="6" s="1"/>
  <c r="Z537" i="6" s="1"/>
  <c r="AA537" i="6" s="1"/>
  <c r="R537" i="6" s="1"/>
  <c r="F537" i="6" s="1"/>
  <c r="E537" i="6" s="1"/>
  <c r="M537" i="6"/>
  <c r="T536" i="6"/>
  <c r="U536" i="6" s="1"/>
  <c r="V536" i="6" s="1"/>
  <c r="W536" i="6" s="1"/>
  <c r="X536" i="6" s="1"/>
  <c r="Y536" i="6" s="1"/>
  <c r="Z536" i="6" s="1"/>
  <c r="AA536" i="6" s="1"/>
  <c r="R536" i="6" s="1"/>
  <c r="F536" i="6" s="1"/>
  <c r="E536" i="6" s="1"/>
  <c r="M536" i="6"/>
  <c r="T535" i="6"/>
  <c r="U535" i="6" s="1"/>
  <c r="V535" i="6" s="1"/>
  <c r="W535" i="6" s="1"/>
  <c r="X535" i="6" s="1"/>
  <c r="Y535" i="6" s="1"/>
  <c r="Z535" i="6" s="1"/>
  <c r="AA535" i="6" s="1"/>
  <c r="R535" i="6" s="1"/>
  <c r="F535" i="6" s="1"/>
  <c r="E535" i="6" s="1"/>
  <c r="M535" i="6"/>
  <c r="T534" i="6"/>
  <c r="U534" i="6"/>
  <c r="V534" i="6" s="1"/>
  <c r="W534" i="6" s="1"/>
  <c r="X534" i="6" s="1"/>
  <c r="Y534" i="6" s="1"/>
  <c r="Z534" i="6" s="1"/>
  <c r="AA534" i="6" s="1"/>
  <c r="R534" i="6" s="1"/>
  <c r="F534" i="6" s="1"/>
  <c r="E534" i="6" s="1"/>
  <c r="M534" i="6"/>
  <c r="T533" i="6"/>
  <c r="U533" i="6" s="1"/>
  <c r="V533" i="6" s="1"/>
  <c r="W533" i="6"/>
  <c r="X533" i="6" s="1"/>
  <c r="Y533" i="6" s="1"/>
  <c r="Z533" i="6" s="1"/>
  <c r="AA533" i="6" s="1"/>
  <c r="R533" i="6" s="1"/>
  <c r="F533" i="6" s="1"/>
  <c r="E533" i="6" s="1"/>
  <c r="M533" i="6"/>
  <c r="T532" i="6"/>
  <c r="U532" i="6"/>
  <c r="V532" i="6" s="1"/>
  <c r="W532" i="6" s="1"/>
  <c r="X532" i="6" s="1"/>
  <c r="Y532" i="6" s="1"/>
  <c r="Z532" i="6" s="1"/>
  <c r="AA532" i="6"/>
  <c r="R532" i="6" s="1"/>
  <c r="F532" i="6" s="1"/>
  <c r="E532" i="6" s="1"/>
  <c r="M532" i="6"/>
  <c r="T531" i="6"/>
  <c r="U531" i="6" s="1"/>
  <c r="V531" i="6" s="1"/>
  <c r="W531" i="6" s="1"/>
  <c r="X531" i="6" s="1"/>
  <c r="Y531" i="6" s="1"/>
  <c r="Z531" i="6" s="1"/>
  <c r="AA531" i="6" s="1"/>
  <c r="R531" i="6" s="1"/>
  <c r="F531" i="6" s="1"/>
  <c r="E531" i="6" s="1"/>
  <c r="M531" i="6"/>
  <c r="T530" i="6"/>
  <c r="U530" i="6" s="1"/>
  <c r="V530" i="6" s="1"/>
  <c r="W530" i="6" s="1"/>
  <c r="X530" i="6" s="1"/>
  <c r="Y530" i="6" s="1"/>
  <c r="Z530" i="6" s="1"/>
  <c r="AA530" i="6" s="1"/>
  <c r="R530" i="6" s="1"/>
  <c r="F530" i="6" s="1"/>
  <c r="E530" i="6" s="1"/>
  <c r="M530" i="6"/>
  <c r="T529" i="6"/>
  <c r="U529" i="6" s="1"/>
  <c r="V529" i="6" s="1"/>
  <c r="W529" i="6" s="1"/>
  <c r="X529" i="6" s="1"/>
  <c r="Y529" i="6" s="1"/>
  <c r="Z529" i="6" s="1"/>
  <c r="AA529" i="6" s="1"/>
  <c r="R529" i="6" s="1"/>
  <c r="F529" i="6" s="1"/>
  <c r="E529" i="6" s="1"/>
  <c r="M529" i="6"/>
  <c r="T528" i="6"/>
  <c r="U528" i="6" s="1"/>
  <c r="V528" i="6" s="1"/>
  <c r="W528" i="6" s="1"/>
  <c r="X528" i="6" s="1"/>
  <c r="Y528" i="6" s="1"/>
  <c r="Z528" i="6" s="1"/>
  <c r="AA528" i="6" s="1"/>
  <c r="R528" i="6" s="1"/>
  <c r="F528" i="6" s="1"/>
  <c r="E528" i="6" s="1"/>
  <c r="M528" i="6"/>
  <c r="T527" i="6"/>
  <c r="U527" i="6" s="1"/>
  <c r="V527" i="6" s="1"/>
  <c r="W527" i="6" s="1"/>
  <c r="X527" i="6" s="1"/>
  <c r="Y527" i="6" s="1"/>
  <c r="Z527" i="6" s="1"/>
  <c r="AA527" i="6" s="1"/>
  <c r="R527" i="6" s="1"/>
  <c r="F527" i="6" s="1"/>
  <c r="E527" i="6" s="1"/>
  <c r="M527" i="6"/>
  <c r="T526" i="6"/>
  <c r="U526" i="6" s="1"/>
  <c r="V526" i="6" s="1"/>
  <c r="W526" i="6" s="1"/>
  <c r="X526" i="6" s="1"/>
  <c r="Y526" i="6" s="1"/>
  <c r="Z526" i="6" s="1"/>
  <c r="AA526" i="6" s="1"/>
  <c r="R526" i="6" s="1"/>
  <c r="F526" i="6" s="1"/>
  <c r="E526" i="6" s="1"/>
  <c r="M526" i="6"/>
  <c r="T525" i="6"/>
  <c r="U525" i="6" s="1"/>
  <c r="V525" i="6" s="1"/>
  <c r="W525" i="6" s="1"/>
  <c r="X525" i="6" s="1"/>
  <c r="Y525" i="6" s="1"/>
  <c r="Z525" i="6" s="1"/>
  <c r="AA525" i="6" s="1"/>
  <c r="R525" i="6" s="1"/>
  <c r="F525" i="6" s="1"/>
  <c r="E525" i="6" s="1"/>
  <c r="M525" i="6"/>
  <c r="T524" i="6"/>
  <c r="U524" i="6" s="1"/>
  <c r="V524" i="6" s="1"/>
  <c r="W524" i="6" s="1"/>
  <c r="X524" i="6" s="1"/>
  <c r="Y524" i="6" s="1"/>
  <c r="Z524" i="6" s="1"/>
  <c r="AA524" i="6"/>
  <c r="R524" i="6" s="1"/>
  <c r="F524" i="6" s="1"/>
  <c r="E524" i="6" s="1"/>
  <c r="M524" i="6"/>
  <c r="T523" i="6"/>
  <c r="U523" i="6" s="1"/>
  <c r="V523" i="6" s="1"/>
  <c r="W523" i="6" s="1"/>
  <c r="X523" i="6" s="1"/>
  <c r="Y523" i="6" s="1"/>
  <c r="Z523" i="6" s="1"/>
  <c r="AA523" i="6" s="1"/>
  <c r="R523" i="6" s="1"/>
  <c r="F523" i="6" s="1"/>
  <c r="E523" i="6" s="1"/>
  <c r="M523" i="6"/>
  <c r="T522" i="6"/>
  <c r="U522" i="6" s="1"/>
  <c r="V522" i="6" s="1"/>
  <c r="W522" i="6" s="1"/>
  <c r="X522" i="6" s="1"/>
  <c r="Y522" i="6" s="1"/>
  <c r="Z522" i="6" s="1"/>
  <c r="AA522" i="6" s="1"/>
  <c r="R522" i="6" s="1"/>
  <c r="F522" i="6" s="1"/>
  <c r="E522" i="6" s="1"/>
  <c r="M522" i="6"/>
  <c r="T521" i="6"/>
  <c r="U521" i="6" s="1"/>
  <c r="V521" i="6" s="1"/>
  <c r="W521" i="6"/>
  <c r="X521" i="6" s="1"/>
  <c r="Y521" i="6" s="1"/>
  <c r="Z521" i="6" s="1"/>
  <c r="AA521" i="6" s="1"/>
  <c r="R521" i="6" s="1"/>
  <c r="F521" i="6" s="1"/>
  <c r="E521" i="6" s="1"/>
  <c r="M521" i="6"/>
  <c r="T520" i="6"/>
  <c r="U520" i="6" s="1"/>
  <c r="V520" i="6" s="1"/>
  <c r="W520" i="6" s="1"/>
  <c r="X520" i="6" s="1"/>
  <c r="Y520" i="6" s="1"/>
  <c r="Z520" i="6" s="1"/>
  <c r="AA520" i="6" s="1"/>
  <c r="R520" i="6" s="1"/>
  <c r="F520" i="6" s="1"/>
  <c r="E520" i="6" s="1"/>
  <c r="M520" i="6"/>
  <c r="T519" i="6"/>
  <c r="U519" i="6" s="1"/>
  <c r="V519" i="6" s="1"/>
  <c r="W519" i="6" s="1"/>
  <c r="X519" i="6" s="1"/>
  <c r="Y519" i="6" s="1"/>
  <c r="Z519" i="6" s="1"/>
  <c r="AA519" i="6" s="1"/>
  <c r="R519" i="6" s="1"/>
  <c r="F519" i="6" s="1"/>
  <c r="E519" i="6" s="1"/>
  <c r="M519" i="6"/>
  <c r="T518" i="6"/>
  <c r="U518" i="6" s="1"/>
  <c r="V518" i="6" s="1"/>
  <c r="W518" i="6" s="1"/>
  <c r="X518" i="6" s="1"/>
  <c r="Y518" i="6" s="1"/>
  <c r="Z518" i="6" s="1"/>
  <c r="AA518" i="6" s="1"/>
  <c r="R518" i="6" s="1"/>
  <c r="F518" i="6" s="1"/>
  <c r="E518" i="6" s="1"/>
  <c r="M518" i="6"/>
  <c r="T517" i="6"/>
  <c r="U517" i="6" s="1"/>
  <c r="V517" i="6" s="1"/>
  <c r="W517" i="6" s="1"/>
  <c r="X517" i="6" s="1"/>
  <c r="Y517" i="6" s="1"/>
  <c r="Z517" i="6" s="1"/>
  <c r="AA517" i="6" s="1"/>
  <c r="R517" i="6" s="1"/>
  <c r="F517" i="6" s="1"/>
  <c r="E517" i="6" s="1"/>
  <c r="M517" i="6"/>
  <c r="T516" i="6"/>
  <c r="U516" i="6"/>
  <c r="V516" i="6" s="1"/>
  <c r="W516" i="6" s="1"/>
  <c r="X516" i="6" s="1"/>
  <c r="Y516" i="6" s="1"/>
  <c r="Z516" i="6" s="1"/>
  <c r="AA516" i="6"/>
  <c r="R516" i="6" s="1"/>
  <c r="F516" i="6" s="1"/>
  <c r="E516" i="6" s="1"/>
  <c r="M516" i="6"/>
  <c r="T515" i="6"/>
  <c r="U515" i="6" s="1"/>
  <c r="V515" i="6" s="1"/>
  <c r="W515" i="6" s="1"/>
  <c r="X515" i="6" s="1"/>
  <c r="Y515" i="6" s="1"/>
  <c r="Z515" i="6" s="1"/>
  <c r="AA515" i="6" s="1"/>
  <c r="R515" i="6" s="1"/>
  <c r="F515" i="6" s="1"/>
  <c r="E515" i="6" s="1"/>
  <c r="M515" i="6"/>
  <c r="T514" i="6"/>
  <c r="U514" i="6" s="1"/>
  <c r="V514" i="6" s="1"/>
  <c r="W514" i="6" s="1"/>
  <c r="X514" i="6" s="1"/>
  <c r="Y514" i="6" s="1"/>
  <c r="Z514" i="6" s="1"/>
  <c r="AA514" i="6" s="1"/>
  <c r="R514" i="6" s="1"/>
  <c r="F514" i="6" s="1"/>
  <c r="E514" i="6" s="1"/>
  <c r="M514" i="6"/>
  <c r="T513" i="6"/>
  <c r="U513" i="6" s="1"/>
  <c r="V513" i="6" s="1"/>
  <c r="W513" i="6"/>
  <c r="X513" i="6" s="1"/>
  <c r="Y513" i="6" s="1"/>
  <c r="Z513" i="6" s="1"/>
  <c r="AA513" i="6" s="1"/>
  <c r="R513" i="6" s="1"/>
  <c r="F513" i="6" s="1"/>
  <c r="E513" i="6" s="1"/>
  <c r="M513" i="6"/>
  <c r="T512" i="6"/>
  <c r="U512" i="6" s="1"/>
  <c r="V512" i="6" s="1"/>
  <c r="W512" i="6" s="1"/>
  <c r="X512" i="6" s="1"/>
  <c r="Y512" i="6" s="1"/>
  <c r="Z512" i="6" s="1"/>
  <c r="AA512" i="6" s="1"/>
  <c r="R512" i="6" s="1"/>
  <c r="F512" i="6" s="1"/>
  <c r="E512" i="6" s="1"/>
  <c r="M512" i="6"/>
  <c r="T511" i="6"/>
  <c r="U511" i="6" s="1"/>
  <c r="V511" i="6" s="1"/>
  <c r="W511" i="6" s="1"/>
  <c r="X511" i="6" s="1"/>
  <c r="Y511" i="6" s="1"/>
  <c r="Z511" i="6" s="1"/>
  <c r="AA511" i="6" s="1"/>
  <c r="R511" i="6" s="1"/>
  <c r="F511" i="6" s="1"/>
  <c r="E511" i="6" s="1"/>
  <c r="M511" i="6"/>
  <c r="T510" i="6"/>
  <c r="U510" i="6" s="1"/>
  <c r="V510" i="6" s="1"/>
  <c r="W510" i="6" s="1"/>
  <c r="X510" i="6" s="1"/>
  <c r="Y510" i="6" s="1"/>
  <c r="Z510" i="6" s="1"/>
  <c r="AA510" i="6" s="1"/>
  <c r="R510" i="6" s="1"/>
  <c r="F510" i="6" s="1"/>
  <c r="E510" i="6" s="1"/>
  <c r="M510" i="6"/>
  <c r="T509" i="6"/>
  <c r="U509" i="6" s="1"/>
  <c r="V509" i="6" s="1"/>
  <c r="W509" i="6" s="1"/>
  <c r="X509" i="6" s="1"/>
  <c r="Y509" i="6" s="1"/>
  <c r="Z509" i="6" s="1"/>
  <c r="AA509" i="6" s="1"/>
  <c r="R509" i="6" s="1"/>
  <c r="F509" i="6" s="1"/>
  <c r="E509" i="6" s="1"/>
  <c r="M509" i="6"/>
  <c r="T508" i="6"/>
  <c r="U508" i="6" s="1"/>
  <c r="V508" i="6" s="1"/>
  <c r="W508" i="6" s="1"/>
  <c r="X508" i="6" s="1"/>
  <c r="Y508" i="6" s="1"/>
  <c r="Z508" i="6" s="1"/>
  <c r="AA508" i="6" s="1"/>
  <c r="R508" i="6" s="1"/>
  <c r="F508" i="6" s="1"/>
  <c r="E508" i="6" s="1"/>
  <c r="M508" i="6"/>
  <c r="T507" i="6"/>
  <c r="U507" i="6" s="1"/>
  <c r="V507" i="6" s="1"/>
  <c r="W507" i="6" s="1"/>
  <c r="X507" i="6" s="1"/>
  <c r="Y507" i="6" s="1"/>
  <c r="Z507" i="6" s="1"/>
  <c r="AA507" i="6" s="1"/>
  <c r="R507" i="6" s="1"/>
  <c r="F507" i="6" s="1"/>
  <c r="E507" i="6" s="1"/>
  <c r="T506" i="6"/>
  <c r="U506" i="6" s="1"/>
  <c r="V506" i="6" s="1"/>
  <c r="W506" i="6" s="1"/>
  <c r="X506" i="6" s="1"/>
  <c r="Y506" i="6" s="1"/>
  <c r="Z506" i="6" s="1"/>
  <c r="AA506" i="6" s="1"/>
  <c r="R506" i="6" s="1"/>
  <c r="F506" i="6" s="1"/>
  <c r="E506" i="6" s="1"/>
  <c r="M506" i="6"/>
  <c r="T505" i="6"/>
  <c r="U505" i="6"/>
  <c r="V505" i="6" s="1"/>
  <c r="W505" i="6" s="1"/>
  <c r="X505" i="6" s="1"/>
  <c r="Y505" i="6" s="1"/>
  <c r="Z505" i="6" s="1"/>
  <c r="AA505" i="6" s="1"/>
  <c r="R505" i="6" s="1"/>
  <c r="F505" i="6" s="1"/>
  <c r="E505" i="6" s="1"/>
  <c r="M505" i="6"/>
  <c r="T504" i="6"/>
  <c r="U504" i="6" s="1"/>
  <c r="V504" i="6" s="1"/>
  <c r="W504" i="6" s="1"/>
  <c r="X504" i="6" s="1"/>
  <c r="Y504" i="6" s="1"/>
  <c r="Z504" i="6" s="1"/>
  <c r="AA504" i="6" s="1"/>
  <c r="R504" i="6" s="1"/>
  <c r="F504" i="6" s="1"/>
  <c r="E504" i="6" s="1"/>
  <c r="M504" i="6"/>
  <c r="T503" i="6"/>
  <c r="U503" i="6" s="1"/>
  <c r="V503" i="6" s="1"/>
  <c r="W503" i="6" s="1"/>
  <c r="X503" i="6" s="1"/>
  <c r="Y503" i="6" s="1"/>
  <c r="Z503" i="6" s="1"/>
  <c r="AA503" i="6" s="1"/>
  <c r="R503" i="6" s="1"/>
  <c r="F503" i="6" s="1"/>
  <c r="E503" i="6" s="1"/>
  <c r="M503" i="6"/>
  <c r="T502" i="6"/>
  <c r="U502" i="6" s="1"/>
  <c r="V502" i="6" s="1"/>
  <c r="W502" i="6" s="1"/>
  <c r="X502" i="6" s="1"/>
  <c r="Y502" i="6" s="1"/>
  <c r="Z502" i="6" s="1"/>
  <c r="AA502" i="6" s="1"/>
  <c r="R502" i="6" s="1"/>
  <c r="F502" i="6" s="1"/>
  <c r="E502" i="6" s="1"/>
  <c r="M502" i="6"/>
  <c r="T501" i="6"/>
  <c r="U501" i="6" s="1"/>
  <c r="V501" i="6" s="1"/>
  <c r="W501" i="6" s="1"/>
  <c r="X501" i="6" s="1"/>
  <c r="Y501" i="6" s="1"/>
  <c r="Z501" i="6" s="1"/>
  <c r="AA501" i="6" s="1"/>
  <c r="R501" i="6" s="1"/>
  <c r="F501" i="6" s="1"/>
  <c r="E501" i="6" s="1"/>
  <c r="M501" i="6"/>
  <c r="T500" i="6"/>
  <c r="U500" i="6" s="1"/>
  <c r="V500" i="6" s="1"/>
  <c r="W500" i="6" s="1"/>
  <c r="X500" i="6" s="1"/>
  <c r="Y500" i="6" s="1"/>
  <c r="Z500" i="6" s="1"/>
  <c r="AA500" i="6" s="1"/>
  <c r="R500" i="6" s="1"/>
  <c r="F500" i="6" s="1"/>
  <c r="E500" i="6" s="1"/>
  <c r="M500" i="6"/>
  <c r="T499" i="6"/>
  <c r="U499" i="6" s="1"/>
  <c r="V499" i="6" s="1"/>
  <c r="W499" i="6" s="1"/>
  <c r="X499" i="6" s="1"/>
  <c r="Y499" i="6" s="1"/>
  <c r="Z499" i="6" s="1"/>
  <c r="AA499" i="6" s="1"/>
  <c r="R499" i="6" s="1"/>
  <c r="F499" i="6" s="1"/>
  <c r="E499" i="6" s="1"/>
  <c r="M499" i="6"/>
  <c r="T498" i="6"/>
  <c r="U498" i="6" s="1"/>
  <c r="V498" i="6" s="1"/>
  <c r="W498" i="6" s="1"/>
  <c r="X498" i="6" s="1"/>
  <c r="Y498" i="6" s="1"/>
  <c r="Z498" i="6" s="1"/>
  <c r="AA498" i="6" s="1"/>
  <c r="R498" i="6" s="1"/>
  <c r="F498" i="6" s="1"/>
  <c r="E498" i="6" s="1"/>
  <c r="M498" i="6"/>
  <c r="T497" i="6"/>
  <c r="U497" i="6"/>
  <c r="V497" i="6" s="1"/>
  <c r="W497" i="6" s="1"/>
  <c r="X497" i="6" s="1"/>
  <c r="Y497" i="6" s="1"/>
  <c r="Z497" i="6" s="1"/>
  <c r="AA497" i="6" s="1"/>
  <c r="R497" i="6" s="1"/>
  <c r="F497" i="6" s="1"/>
  <c r="E497" i="6" s="1"/>
  <c r="M497" i="6"/>
  <c r="T496" i="6"/>
  <c r="U496" i="6" s="1"/>
  <c r="V496" i="6" s="1"/>
  <c r="W496" i="6" s="1"/>
  <c r="X496" i="6" s="1"/>
  <c r="Y496" i="6" s="1"/>
  <c r="Z496" i="6" s="1"/>
  <c r="AA496" i="6" s="1"/>
  <c r="R496" i="6" s="1"/>
  <c r="F496" i="6" s="1"/>
  <c r="E496" i="6"/>
  <c r="M496" i="6"/>
  <c r="T495" i="6"/>
  <c r="U495" i="6" s="1"/>
  <c r="V495" i="6" s="1"/>
  <c r="W495" i="6" s="1"/>
  <c r="X495" i="6" s="1"/>
  <c r="Y495" i="6" s="1"/>
  <c r="Z495" i="6" s="1"/>
  <c r="AA495" i="6" s="1"/>
  <c r="R495" i="6" s="1"/>
  <c r="F495" i="6" s="1"/>
  <c r="E495" i="6" s="1"/>
  <c r="M495" i="6"/>
  <c r="T494" i="6"/>
  <c r="U494" i="6" s="1"/>
  <c r="V494" i="6" s="1"/>
  <c r="W494" i="6" s="1"/>
  <c r="X494" i="6" s="1"/>
  <c r="Y494" i="6" s="1"/>
  <c r="Z494" i="6" s="1"/>
  <c r="AA494" i="6" s="1"/>
  <c r="R494" i="6" s="1"/>
  <c r="F494" i="6" s="1"/>
  <c r="E494" i="6" s="1"/>
  <c r="M494" i="6"/>
  <c r="T493" i="6"/>
  <c r="U493" i="6" s="1"/>
  <c r="V493" i="6" s="1"/>
  <c r="W493" i="6" s="1"/>
  <c r="X493" i="6" s="1"/>
  <c r="Y493" i="6" s="1"/>
  <c r="Z493" i="6" s="1"/>
  <c r="AA493" i="6" s="1"/>
  <c r="R493" i="6" s="1"/>
  <c r="F493" i="6" s="1"/>
  <c r="E493" i="6" s="1"/>
  <c r="M493" i="6"/>
  <c r="T492" i="6"/>
  <c r="U492" i="6"/>
  <c r="V492" i="6" s="1"/>
  <c r="W492" i="6" s="1"/>
  <c r="X492" i="6" s="1"/>
  <c r="Y492" i="6" s="1"/>
  <c r="Z492" i="6" s="1"/>
  <c r="AA492" i="6" s="1"/>
  <c r="R492" i="6"/>
  <c r="F492" i="6" s="1"/>
  <c r="E492" i="6" s="1"/>
  <c r="M492" i="6"/>
  <c r="T491" i="6"/>
  <c r="U491" i="6"/>
  <c r="V491" i="6" s="1"/>
  <c r="W491" i="6" s="1"/>
  <c r="X491" i="6" s="1"/>
  <c r="Y491" i="6" s="1"/>
  <c r="Z491" i="6" s="1"/>
  <c r="AA491" i="6" s="1"/>
  <c r="R491" i="6" s="1"/>
  <c r="F491" i="6" s="1"/>
  <c r="E491" i="6" s="1"/>
  <c r="M491" i="6"/>
  <c r="T490" i="6"/>
  <c r="U490" i="6" s="1"/>
  <c r="V490" i="6" s="1"/>
  <c r="W490" i="6" s="1"/>
  <c r="X490" i="6" s="1"/>
  <c r="Y490" i="6" s="1"/>
  <c r="Z490" i="6" s="1"/>
  <c r="AA490" i="6" s="1"/>
  <c r="R490" i="6" s="1"/>
  <c r="F490" i="6" s="1"/>
  <c r="E490" i="6" s="1"/>
  <c r="M490" i="6"/>
  <c r="T489" i="6"/>
  <c r="U489" i="6" s="1"/>
  <c r="V489" i="6" s="1"/>
  <c r="W489" i="6" s="1"/>
  <c r="X489" i="6" s="1"/>
  <c r="Y489" i="6" s="1"/>
  <c r="Z489" i="6" s="1"/>
  <c r="AA489" i="6" s="1"/>
  <c r="R489" i="6" s="1"/>
  <c r="F489" i="6" s="1"/>
  <c r="E489" i="6" s="1"/>
  <c r="M489" i="6"/>
  <c r="T488" i="6"/>
  <c r="U488" i="6"/>
  <c r="V488" i="6" s="1"/>
  <c r="W488" i="6" s="1"/>
  <c r="X488" i="6" s="1"/>
  <c r="Y488" i="6" s="1"/>
  <c r="Z488" i="6" s="1"/>
  <c r="AA488" i="6" s="1"/>
  <c r="R488" i="6" s="1"/>
  <c r="F488" i="6" s="1"/>
  <c r="E488" i="6" s="1"/>
  <c r="M488" i="6"/>
  <c r="T487" i="6"/>
  <c r="U487" i="6"/>
  <c r="V487" i="6" s="1"/>
  <c r="W487" i="6"/>
  <c r="X487" i="6" s="1"/>
  <c r="Y487" i="6" s="1"/>
  <c r="Z487" i="6" s="1"/>
  <c r="AA487" i="6" s="1"/>
  <c r="R487" i="6" s="1"/>
  <c r="F487" i="6" s="1"/>
  <c r="E487" i="6" s="1"/>
  <c r="M487" i="6"/>
  <c r="T486" i="6"/>
  <c r="U486" i="6"/>
  <c r="V486" i="6" s="1"/>
  <c r="W486" i="6" s="1"/>
  <c r="X486" i="6" s="1"/>
  <c r="Y486" i="6" s="1"/>
  <c r="Z486" i="6" s="1"/>
  <c r="AA486" i="6"/>
  <c r="R486" i="6" s="1"/>
  <c r="F486" i="6" s="1"/>
  <c r="E486" i="6" s="1"/>
  <c r="M486" i="6"/>
  <c r="T485" i="6"/>
  <c r="U485" i="6"/>
  <c r="V485" i="6" s="1"/>
  <c r="W485" i="6" s="1"/>
  <c r="X485" i="6"/>
  <c r="Y485" i="6" s="1"/>
  <c r="Z485" i="6" s="1"/>
  <c r="AA485" i="6" s="1"/>
  <c r="R485" i="6" s="1"/>
  <c r="F485" i="6" s="1"/>
  <c r="E485" i="6" s="1"/>
  <c r="M485" i="6"/>
  <c r="T484" i="6"/>
  <c r="U484" i="6"/>
  <c r="V484" i="6"/>
  <c r="W484" i="6" s="1"/>
  <c r="X484" i="6" s="1"/>
  <c r="Y484" i="6" s="1"/>
  <c r="Z484" i="6" s="1"/>
  <c r="AA484" i="6" s="1"/>
  <c r="R484" i="6" s="1"/>
  <c r="F484" i="6" s="1"/>
  <c r="E484" i="6" s="1"/>
  <c r="M484" i="6"/>
  <c r="T483" i="6"/>
  <c r="U483" i="6"/>
  <c r="V483" i="6" s="1"/>
  <c r="W483" i="6"/>
  <c r="X483" i="6" s="1"/>
  <c r="Y483" i="6" s="1"/>
  <c r="Z483" i="6" s="1"/>
  <c r="AA483" i="6" s="1"/>
  <c r="R483" i="6" s="1"/>
  <c r="F483" i="6" s="1"/>
  <c r="E483" i="6" s="1"/>
  <c r="M483" i="6"/>
  <c r="T482" i="6"/>
  <c r="U482" i="6" s="1"/>
  <c r="V482" i="6" s="1"/>
  <c r="W482" i="6" s="1"/>
  <c r="X482" i="6" s="1"/>
  <c r="Y482" i="6" s="1"/>
  <c r="Z482" i="6" s="1"/>
  <c r="AA482" i="6" s="1"/>
  <c r="R482" i="6" s="1"/>
  <c r="F482" i="6" s="1"/>
  <c r="E482" i="6" s="1"/>
  <c r="M482" i="6"/>
  <c r="T481" i="6"/>
  <c r="U481" i="6" s="1"/>
  <c r="V481" i="6" s="1"/>
  <c r="W481" i="6" s="1"/>
  <c r="X481" i="6" s="1"/>
  <c r="Y481" i="6" s="1"/>
  <c r="Z481" i="6" s="1"/>
  <c r="AA481" i="6" s="1"/>
  <c r="R481" i="6" s="1"/>
  <c r="F481" i="6" s="1"/>
  <c r="E481" i="6" s="1"/>
  <c r="M481" i="6"/>
  <c r="T480" i="6"/>
  <c r="U480" i="6" s="1"/>
  <c r="V480" i="6" s="1"/>
  <c r="W480" i="6" s="1"/>
  <c r="X480" i="6" s="1"/>
  <c r="Y480" i="6" s="1"/>
  <c r="Z480" i="6" s="1"/>
  <c r="AA480" i="6" s="1"/>
  <c r="R480" i="6"/>
  <c r="F480" i="6" s="1"/>
  <c r="E480" i="6" s="1"/>
  <c r="M480" i="6"/>
  <c r="T479" i="6"/>
  <c r="U479" i="6" s="1"/>
  <c r="V479" i="6" s="1"/>
  <c r="W479" i="6"/>
  <c r="X479" i="6" s="1"/>
  <c r="Y479" i="6" s="1"/>
  <c r="Z479" i="6" s="1"/>
  <c r="AA479" i="6" s="1"/>
  <c r="R479" i="6" s="1"/>
  <c r="F479" i="6" s="1"/>
  <c r="E479" i="6" s="1"/>
  <c r="M479" i="6"/>
  <c r="T478" i="6"/>
  <c r="U478" i="6" s="1"/>
  <c r="V478" i="6" s="1"/>
  <c r="W478" i="6" s="1"/>
  <c r="X478" i="6" s="1"/>
  <c r="Y478" i="6" s="1"/>
  <c r="Z478" i="6" s="1"/>
  <c r="AA478" i="6" s="1"/>
  <c r="R478" i="6" s="1"/>
  <c r="F478" i="6" s="1"/>
  <c r="E478" i="6" s="1"/>
  <c r="M478" i="6"/>
  <c r="T477" i="6"/>
  <c r="U477" i="6" s="1"/>
  <c r="V477" i="6" s="1"/>
  <c r="W477" i="6" s="1"/>
  <c r="X477" i="6" s="1"/>
  <c r="Y477" i="6" s="1"/>
  <c r="Z477" i="6" s="1"/>
  <c r="AA477" i="6" s="1"/>
  <c r="R477" i="6" s="1"/>
  <c r="F477" i="6" s="1"/>
  <c r="E477" i="6" s="1"/>
  <c r="M477" i="6"/>
  <c r="T476" i="6"/>
  <c r="U476" i="6" s="1"/>
  <c r="V476" i="6" s="1"/>
  <c r="W476" i="6" s="1"/>
  <c r="X476" i="6" s="1"/>
  <c r="Y476" i="6" s="1"/>
  <c r="Z476" i="6" s="1"/>
  <c r="AA476" i="6" s="1"/>
  <c r="R476" i="6" s="1"/>
  <c r="F476" i="6" s="1"/>
  <c r="E476" i="6" s="1"/>
  <c r="M476" i="6"/>
  <c r="T475" i="6"/>
  <c r="U475" i="6" s="1"/>
  <c r="V475" i="6" s="1"/>
  <c r="W475" i="6" s="1"/>
  <c r="X475" i="6" s="1"/>
  <c r="Y475" i="6" s="1"/>
  <c r="Z475" i="6" s="1"/>
  <c r="AA475" i="6" s="1"/>
  <c r="R475" i="6" s="1"/>
  <c r="F475" i="6" s="1"/>
  <c r="E475" i="6" s="1"/>
  <c r="T474" i="6"/>
  <c r="U474" i="6"/>
  <c r="V474" i="6" s="1"/>
  <c r="W474" i="6" s="1"/>
  <c r="X474" i="6" s="1"/>
  <c r="Y474" i="6" s="1"/>
  <c r="Z474" i="6" s="1"/>
  <c r="AA474" i="6" s="1"/>
  <c r="R474" i="6" s="1"/>
  <c r="F474" i="6" s="1"/>
  <c r="E474" i="6" s="1"/>
  <c r="M474" i="6"/>
  <c r="T473" i="6"/>
  <c r="U473" i="6" s="1"/>
  <c r="V473" i="6" s="1"/>
  <c r="W473" i="6" s="1"/>
  <c r="X473" i="6" s="1"/>
  <c r="Y473" i="6" s="1"/>
  <c r="Z473" i="6" s="1"/>
  <c r="AA473" i="6" s="1"/>
  <c r="R473" i="6" s="1"/>
  <c r="F473" i="6" s="1"/>
  <c r="E473" i="6" s="1"/>
  <c r="M473" i="6"/>
  <c r="T472" i="6"/>
  <c r="U472" i="6" s="1"/>
  <c r="V472" i="6" s="1"/>
  <c r="W472" i="6" s="1"/>
  <c r="X472" i="6" s="1"/>
  <c r="Y472" i="6" s="1"/>
  <c r="Z472" i="6" s="1"/>
  <c r="AA472" i="6" s="1"/>
  <c r="R472" i="6" s="1"/>
  <c r="F472" i="6" s="1"/>
  <c r="E472" i="6" s="1"/>
  <c r="M472" i="6"/>
  <c r="T471" i="6"/>
  <c r="U471" i="6" s="1"/>
  <c r="V471" i="6"/>
  <c r="W471" i="6" s="1"/>
  <c r="X471" i="6" s="1"/>
  <c r="Y471" i="6" s="1"/>
  <c r="Z471" i="6" s="1"/>
  <c r="AA471" i="6" s="1"/>
  <c r="R471" i="6" s="1"/>
  <c r="F471" i="6" s="1"/>
  <c r="E471" i="6" s="1"/>
  <c r="M471" i="6"/>
  <c r="T470" i="6"/>
  <c r="U470" i="6" s="1"/>
  <c r="V470" i="6" s="1"/>
  <c r="W470" i="6" s="1"/>
  <c r="X470" i="6" s="1"/>
  <c r="Y470" i="6" s="1"/>
  <c r="Z470" i="6" s="1"/>
  <c r="AA470" i="6" s="1"/>
  <c r="R470" i="6" s="1"/>
  <c r="F470" i="6" s="1"/>
  <c r="E470" i="6" s="1"/>
  <c r="M470" i="6"/>
  <c r="T469" i="6"/>
  <c r="U469" i="6" s="1"/>
  <c r="V469" i="6" s="1"/>
  <c r="W469" i="6" s="1"/>
  <c r="X469" i="6" s="1"/>
  <c r="Y469" i="6" s="1"/>
  <c r="Z469" i="6" s="1"/>
  <c r="AA469" i="6" s="1"/>
  <c r="R469" i="6" s="1"/>
  <c r="F469" i="6" s="1"/>
  <c r="E469" i="6" s="1"/>
  <c r="O469" i="6"/>
  <c r="M469" i="6"/>
  <c r="T468" i="6"/>
  <c r="U468" i="6" s="1"/>
  <c r="V468" i="6" s="1"/>
  <c r="W468" i="6" s="1"/>
  <c r="X468" i="6" s="1"/>
  <c r="Y468" i="6" s="1"/>
  <c r="Z468" i="6" s="1"/>
  <c r="AA468" i="6" s="1"/>
  <c r="R468" i="6" s="1"/>
  <c r="F468" i="6" s="1"/>
  <c r="E468" i="6" s="1"/>
  <c r="M468" i="6"/>
  <c r="T467" i="6"/>
  <c r="U467" i="6" s="1"/>
  <c r="V467" i="6" s="1"/>
  <c r="W467" i="6" s="1"/>
  <c r="X467" i="6" s="1"/>
  <c r="Y467" i="6" s="1"/>
  <c r="Z467" i="6" s="1"/>
  <c r="AA467" i="6" s="1"/>
  <c r="R467" i="6" s="1"/>
  <c r="F467" i="6" s="1"/>
  <c r="E467" i="6" s="1"/>
  <c r="M467" i="6"/>
  <c r="T466" i="6"/>
  <c r="U466" i="6" s="1"/>
  <c r="V466" i="6" s="1"/>
  <c r="W466" i="6" s="1"/>
  <c r="X466" i="6" s="1"/>
  <c r="Y466" i="6" s="1"/>
  <c r="Z466" i="6" s="1"/>
  <c r="AA466" i="6" s="1"/>
  <c r="R466" i="6" s="1"/>
  <c r="F466" i="6" s="1"/>
  <c r="E466" i="6" s="1"/>
  <c r="M466" i="6"/>
  <c r="T465" i="6"/>
  <c r="U465" i="6"/>
  <c r="V465" i="6" s="1"/>
  <c r="W465" i="6" s="1"/>
  <c r="X465" i="6" s="1"/>
  <c r="Y465" i="6" s="1"/>
  <c r="Z465" i="6" s="1"/>
  <c r="AA465" i="6" s="1"/>
  <c r="R465" i="6" s="1"/>
  <c r="F465" i="6" s="1"/>
  <c r="E465" i="6" s="1"/>
  <c r="M465" i="6"/>
  <c r="M464" i="6"/>
  <c r="T463" i="6"/>
  <c r="U463" i="6" s="1"/>
  <c r="V463" i="6" s="1"/>
  <c r="W463" i="6" s="1"/>
  <c r="X463" i="6"/>
  <c r="Y463" i="6" s="1"/>
  <c r="Z463" i="6" s="1"/>
  <c r="AA463" i="6"/>
  <c r="R463" i="6" s="1"/>
  <c r="F463" i="6" s="1"/>
  <c r="E463" i="6" s="1"/>
  <c r="M463" i="6"/>
  <c r="T462" i="6"/>
  <c r="U462" i="6" s="1"/>
  <c r="V462" i="6"/>
  <c r="W462" i="6"/>
  <c r="X462" i="6" s="1"/>
  <c r="Y462" i="6" s="1"/>
  <c r="Z462" i="6" s="1"/>
  <c r="AA462" i="6" s="1"/>
  <c r="R462" i="6" s="1"/>
  <c r="F462" i="6" s="1"/>
  <c r="E462" i="6" s="1"/>
  <c r="M462" i="6"/>
  <c r="M461" i="6"/>
  <c r="T460" i="6"/>
  <c r="U460" i="6" s="1"/>
  <c r="V460" i="6" s="1"/>
  <c r="W460" i="6"/>
  <c r="X460" i="6" s="1"/>
  <c r="Y460" i="6" s="1"/>
  <c r="Z460" i="6" s="1"/>
  <c r="AA460" i="6" s="1"/>
  <c r="R460" i="6" s="1"/>
  <c r="F460" i="6" s="1"/>
  <c r="E460" i="6" s="1"/>
  <c r="M460" i="6"/>
  <c r="T459" i="6"/>
  <c r="U459" i="6"/>
  <c r="V459" i="6"/>
  <c r="W459" i="6" s="1"/>
  <c r="X459" i="6" s="1"/>
  <c r="Y459" i="6" s="1"/>
  <c r="Z459" i="6" s="1"/>
  <c r="AA459" i="6" s="1"/>
  <c r="R459" i="6" s="1"/>
  <c r="F459" i="6" s="1"/>
  <c r="E459" i="6" s="1"/>
  <c r="M459" i="6"/>
  <c r="T458" i="6"/>
  <c r="U458" i="6" s="1"/>
  <c r="V458" i="6" s="1"/>
  <c r="W458" i="6"/>
  <c r="X458" i="6" s="1"/>
  <c r="Y458" i="6" s="1"/>
  <c r="Z458" i="6" s="1"/>
  <c r="AA458" i="6" s="1"/>
  <c r="R458" i="6" s="1"/>
  <c r="F458" i="6" s="1"/>
  <c r="E458" i="6" s="1"/>
  <c r="M458" i="6"/>
  <c r="T457" i="6"/>
  <c r="U457" i="6"/>
  <c r="V457" i="6" s="1"/>
  <c r="W457" i="6" s="1"/>
  <c r="X457" i="6" s="1"/>
  <c r="Y457" i="6" s="1"/>
  <c r="Z457" i="6" s="1"/>
  <c r="AA457" i="6" s="1"/>
  <c r="R457" i="6" s="1"/>
  <c r="F457" i="6" s="1"/>
  <c r="E457" i="6" s="1"/>
  <c r="M457" i="6"/>
  <c r="T456" i="6"/>
  <c r="U456" i="6" s="1"/>
  <c r="V456" i="6" s="1"/>
  <c r="W456" i="6" s="1"/>
  <c r="X456" i="6" s="1"/>
  <c r="Y456" i="6" s="1"/>
  <c r="Z456" i="6" s="1"/>
  <c r="AA456" i="6" s="1"/>
  <c r="R456" i="6" s="1"/>
  <c r="F456" i="6" s="1"/>
  <c r="E456" i="6" s="1"/>
  <c r="M456" i="6"/>
  <c r="T455" i="6"/>
  <c r="U455" i="6" s="1"/>
  <c r="V455" i="6" s="1"/>
  <c r="W455" i="6" s="1"/>
  <c r="X455" i="6" s="1"/>
  <c r="Y455" i="6" s="1"/>
  <c r="Z455" i="6" s="1"/>
  <c r="AA455" i="6" s="1"/>
  <c r="R455" i="6" s="1"/>
  <c r="F455" i="6" s="1"/>
  <c r="E455" i="6" s="1"/>
  <c r="M455" i="6"/>
  <c r="T454" i="6"/>
  <c r="U454" i="6" s="1"/>
  <c r="V454" i="6" s="1"/>
  <c r="W454" i="6" s="1"/>
  <c r="X454" i="6" s="1"/>
  <c r="Y454" i="6" s="1"/>
  <c r="Z454" i="6" s="1"/>
  <c r="AA454" i="6" s="1"/>
  <c r="R454" i="6" s="1"/>
  <c r="F454" i="6" s="1"/>
  <c r="E454" i="6" s="1"/>
  <c r="M454" i="6"/>
  <c r="T453" i="6"/>
  <c r="U453" i="6" s="1"/>
  <c r="V453" i="6" s="1"/>
  <c r="W453" i="6" s="1"/>
  <c r="X453" i="6" s="1"/>
  <c r="Y453" i="6" s="1"/>
  <c r="Z453" i="6" s="1"/>
  <c r="AA453" i="6" s="1"/>
  <c r="R453" i="6" s="1"/>
  <c r="F453" i="6" s="1"/>
  <c r="E453" i="6" s="1"/>
  <c r="M453" i="6"/>
  <c r="T452" i="6"/>
  <c r="U452" i="6" s="1"/>
  <c r="V452" i="6" s="1"/>
  <c r="W452" i="6" s="1"/>
  <c r="X452" i="6" s="1"/>
  <c r="Y452" i="6" s="1"/>
  <c r="Z452" i="6" s="1"/>
  <c r="AA452" i="6" s="1"/>
  <c r="R452" i="6" s="1"/>
  <c r="F452" i="6" s="1"/>
  <c r="E452" i="6" s="1"/>
  <c r="M452" i="6"/>
  <c r="T451" i="6"/>
  <c r="U451" i="6" s="1"/>
  <c r="V451" i="6" s="1"/>
  <c r="W451" i="6" s="1"/>
  <c r="X451" i="6" s="1"/>
  <c r="Y451" i="6" s="1"/>
  <c r="Z451" i="6" s="1"/>
  <c r="AA451" i="6" s="1"/>
  <c r="R451" i="6" s="1"/>
  <c r="F451" i="6" s="1"/>
  <c r="E451" i="6" s="1"/>
  <c r="M451" i="6"/>
  <c r="T450" i="6"/>
  <c r="U450" i="6" s="1"/>
  <c r="V450" i="6" s="1"/>
  <c r="W450" i="6" s="1"/>
  <c r="X450" i="6" s="1"/>
  <c r="Y450" i="6" s="1"/>
  <c r="Z450" i="6" s="1"/>
  <c r="AA450" i="6" s="1"/>
  <c r="R450" i="6" s="1"/>
  <c r="F450" i="6" s="1"/>
  <c r="E450" i="6" s="1"/>
  <c r="M450" i="6"/>
  <c r="T449" i="6"/>
  <c r="U449" i="6" s="1"/>
  <c r="V449" i="6" s="1"/>
  <c r="W449" i="6" s="1"/>
  <c r="X449" i="6" s="1"/>
  <c r="Y449" i="6" s="1"/>
  <c r="Z449" i="6" s="1"/>
  <c r="AA449" i="6" s="1"/>
  <c r="R449" i="6" s="1"/>
  <c r="F449" i="6" s="1"/>
  <c r="E449" i="6" s="1"/>
  <c r="M449" i="6"/>
  <c r="T448" i="6"/>
  <c r="U448" i="6" s="1"/>
  <c r="V448" i="6" s="1"/>
  <c r="W448" i="6" s="1"/>
  <c r="X448" i="6" s="1"/>
  <c r="Y448" i="6" s="1"/>
  <c r="Z448" i="6" s="1"/>
  <c r="AA448" i="6" s="1"/>
  <c r="R448" i="6" s="1"/>
  <c r="F448" i="6" s="1"/>
  <c r="E448" i="6" s="1"/>
  <c r="M448" i="6"/>
  <c r="T447" i="6"/>
  <c r="U447" i="6"/>
  <c r="V447" i="6" s="1"/>
  <c r="W447" i="6" s="1"/>
  <c r="X447" i="6" s="1"/>
  <c r="Y447" i="6" s="1"/>
  <c r="Z447" i="6" s="1"/>
  <c r="AA447" i="6" s="1"/>
  <c r="R447" i="6" s="1"/>
  <c r="F447" i="6" s="1"/>
  <c r="E447" i="6" s="1"/>
  <c r="M447" i="6"/>
  <c r="T446" i="6"/>
  <c r="U446" i="6" s="1"/>
  <c r="V446" i="6" s="1"/>
  <c r="W446" i="6" s="1"/>
  <c r="X446" i="6" s="1"/>
  <c r="Y446" i="6" s="1"/>
  <c r="Z446" i="6" s="1"/>
  <c r="AA446" i="6" s="1"/>
  <c r="R446" i="6" s="1"/>
  <c r="F446" i="6" s="1"/>
  <c r="E446" i="6" s="1"/>
  <c r="M446" i="6"/>
  <c r="T445" i="6"/>
  <c r="U445" i="6" s="1"/>
  <c r="V445" i="6" s="1"/>
  <c r="W445" i="6" s="1"/>
  <c r="X445" i="6" s="1"/>
  <c r="Y445" i="6" s="1"/>
  <c r="Z445" i="6" s="1"/>
  <c r="AA445" i="6" s="1"/>
  <c r="R445" i="6" s="1"/>
  <c r="F445" i="6" s="1"/>
  <c r="E445" i="6" s="1"/>
  <c r="M445" i="6"/>
  <c r="T444" i="6"/>
  <c r="U444" i="6" s="1"/>
  <c r="V444" i="6" s="1"/>
  <c r="W444" i="6"/>
  <c r="X444" i="6" s="1"/>
  <c r="Y444" i="6" s="1"/>
  <c r="Z444" i="6" s="1"/>
  <c r="AA444" i="6" s="1"/>
  <c r="R444" i="6" s="1"/>
  <c r="F444" i="6" s="1"/>
  <c r="E444" i="6" s="1"/>
  <c r="M444" i="6"/>
  <c r="T443" i="6"/>
  <c r="U443" i="6"/>
  <c r="V443" i="6"/>
  <c r="W443" i="6" s="1"/>
  <c r="X443" i="6" s="1"/>
  <c r="Y443" i="6" s="1"/>
  <c r="Z443" i="6" s="1"/>
  <c r="AA443" i="6" s="1"/>
  <c r="R443" i="6" s="1"/>
  <c r="F443" i="6" s="1"/>
  <c r="E443" i="6" s="1"/>
  <c r="M443" i="6"/>
  <c r="T442" i="6"/>
  <c r="U442" i="6" s="1"/>
  <c r="V442" i="6" s="1"/>
  <c r="W442" i="6"/>
  <c r="X442" i="6" s="1"/>
  <c r="Y442" i="6" s="1"/>
  <c r="Z442" i="6" s="1"/>
  <c r="AA442" i="6" s="1"/>
  <c r="R442" i="6" s="1"/>
  <c r="F442" i="6" s="1"/>
  <c r="E442" i="6" s="1"/>
  <c r="M442" i="6"/>
  <c r="T441" i="6"/>
  <c r="U441" i="6"/>
  <c r="V441" i="6"/>
  <c r="W441" i="6" s="1"/>
  <c r="X441" i="6" s="1"/>
  <c r="Y441" i="6" s="1"/>
  <c r="Z441" i="6" s="1"/>
  <c r="AA441" i="6" s="1"/>
  <c r="R441" i="6" s="1"/>
  <c r="F441" i="6" s="1"/>
  <c r="E441" i="6" s="1"/>
  <c r="M441" i="6"/>
  <c r="T440" i="6"/>
  <c r="U440" i="6" s="1"/>
  <c r="V440" i="6" s="1"/>
  <c r="W440" i="6" s="1"/>
  <c r="X440" i="6" s="1"/>
  <c r="Y440" i="6" s="1"/>
  <c r="Z440" i="6" s="1"/>
  <c r="AA440" i="6" s="1"/>
  <c r="R440" i="6" s="1"/>
  <c r="F440" i="6" s="1"/>
  <c r="E440" i="6" s="1"/>
  <c r="M440" i="6"/>
  <c r="T439" i="6"/>
  <c r="U439" i="6" s="1"/>
  <c r="V439" i="6" s="1"/>
  <c r="W439" i="6" s="1"/>
  <c r="X439" i="6" s="1"/>
  <c r="Y439" i="6" s="1"/>
  <c r="Z439" i="6" s="1"/>
  <c r="AA439" i="6" s="1"/>
  <c r="R439" i="6" s="1"/>
  <c r="F439" i="6" s="1"/>
  <c r="M439" i="6"/>
  <c r="T438" i="6"/>
  <c r="U438" i="6" s="1"/>
  <c r="V438" i="6" s="1"/>
  <c r="W438" i="6" s="1"/>
  <c r="X438" i="6" s="1"/>
  <c r="Y438" i="6" s="1"/>
  <c r="Z438" i="6" s="1"/>
  <c r="AA438" i="6" s="1"/>
  <c r="R438" i="6" s="1"/>
  <c r="F438" i="6" s="1"/>
  <c r="E438" i="6" s="1"/>
  <c r="M438" i="6"/>
  <c r="T437" i="6"/>
  <c r="U437" i="6" s="1"/>
  <c r="V437" i="6" s="1"/>
  <c r="W437" i="6" s="1"/>
  <c r="X437" i="6" s="1"/>
  <c r="Y437" i="6" s="1"/>
  <c r="Z437" i="6" s="1"/>
  <c r="AA437" i="6" s="1"/>
  <c r="R437" i="6" s="1"/>
  <c r="F437" i="6" s="1"/>
  <c r="E437" i="6" s="1"/>
  <c r="M437" i="6"/>
  <c r="T436" i="6"/>
  <c r="U436" i="6" s="1"/>
  <c r="V436" i="6" s="1"/>
  <c r="W436" i="6" s="1"/>
  <c r="X436" i="6" s="1"/>
  <c r="Y436" i="6" s="1"/>
  <c r="Z436" i="6" s="1"/>
  <c r="AA436" i="6"/>
  <c r="R436" i="6" s="1"/>
  <c r="F436" i="6" s="1"/>
  <c r="E436" i="6" s="1"/>
  <c r="M436" i="6"/>
  <c r="T435" i="6"/>
  <c r="U435" i="6" s="1"/>
  <c r="V435" i="6" s="1"/>
  <c r="W435" i="6" s="1"/>
  <c r="X435" i="6" s="1"/>
  <c r="Y435" i="6" s="1"/>
  <c r="Z435" i="6" s="1"/>
  <c r="AA435" i="6" s="1"/>
  <c r="R435" i="6" s="1"/>
  <c r="F435" i="6" s="1"/>
  <c r="E435" i="6" s="1"/>
  <c r="M435" i="6"/>
  <c r="T434" i="6"/>
  <c r="U434" i="6" s="1"/>
  <c r="V434" i="6" s="1"/>
  <c r="W434" i="6" s="1"/>
  <c r="X434" i="6" s="1"/>
  <c r="Y434" i="6" s="1"/>
  <c r="Z434" i="6" s="1"/>
  <c r="AA434" i="6" s="1"/>
  <c r="R434" i="6" s="1"/>
  <c r="F434" i="6" s="1"/>
  <c r="E434" i="6" s="1"/>
  <c r="M434" i="6"/>
  <c r="T433" i="6"/>
  <c r="U433" i="6" s="1"/>
  <c r="V433" i="6" s="1"/>
  <c r="W433" i="6" s="1"/>
  <c r="X433" i="6" s="1"/>
  <c r="Y433" i="6" s="1"/>
  <c r="Z433" i="6" s="1"/>
  <c r="AA433" i="6"/>
  <c r="R433" i="6" s="1"/>
  <c r="F433" i="6" s="1"/>
  <c r="E433" i="6" s="1"/>
  <c r="M433" i="6"/>
  <c r="T432" i="6"/>
  <c r="U432" i="6"/>
  <c r="V432" i="6" s="1"/>
  <c r="W432" i="6"/>
  <c r="X432" i="6" s="1"/>
  <c r="Y432" i="6" s="1"/>
  <c r="Z432" i="6" s="1"/>
  <c r="AA432" i="6" s="1"/>
  <c r="R432" i="6" s="1"/>
  <c r="F432" i="6" s="1"/>
  <c r="E432" i="6" s="1"/>
  <c r="M432" i="6"/>
  <c r="T431" i="6"/>
  <c r="U431" i="6"/>
  <c r="V431" i="6" s="1"/>
  <c r="W431" i="6" s="1"/>
  <c r="X431" i="6" s="1"/>
  <c r="Y431" i="6" s="1"/>
  <c r="Z431" i="6" s="1"/>
  <c r="AA431" i="6"/>
  <c r="R431" i="6" s="1"/>
  <c r="F431" i="6" s="1"/>
  <c r="E431" i="6" s="1"/>
  <c r="M431" i="6"/>
  <c r="T430" i="6"/>
  <c r="U430" i="6"/>
  <c r="V430" i="6" s="1"/>
  <c r="W430" i="6"/>
  <c r="X430" i="6" s="1"/>
  <c r="Y430" i="6" s="1"/>
  <c r="Z430" i="6" s="1"/>
  <c r="AA430" i="6" s="1"/>
  <c r="R430" i="6" s="1"/>
  <c r="F430" i="6" s="1"/>
  <c r="E430" i="6" s="1"/>
  <c r="M430" i="6"/>
  <c r="T429" i="6"/>
  <c r="U429" i="6" s="1"/>
  <c r="V429" i="6" s="1"/>
  <c r="W429" i="6" s="1"/>
  <c r="X429" i="6" s="1"/>
  <c r="Y429" i="6" s="1"/>
  <c r="Z429" i="6" s="1"/>
  <c r="AA429" i="6" s="1"/>
  <c r="R429" i="6" s="1"/>
  <c r="F429" i="6" s="1"/>
  <c r="E429" i="6" s="1"/>
  <c r="M429" i="6"/>
  <c r="T428" i="6"/>
  <c r="U428" i="6"/>
  <c r="V428" i="6" s="1"/>
  <c r="W428" i="6" s="1"/>
  <c r="X428" i="6" s="1"/>
  <c r="Y428" i="6" s="1"/>
  <c r="Z428" i="6" s="1"/>
  <c r="AA428" i="6" s="1"/>
  <c r="R428" i="6" s="1"/>
  <c r="F428" i="6" s="1"/>
  <c r="E428" i="6" s="1"/>
  <c r="M428" i="6"/>
  <c r="T427" i="6"/>
  <c r="U427" i="6"/>
  <c r="V427" i="6" s="1"/>
  <c r="W427" i="6" s="1"/>
  <c r="X427" i="6" s="1"/>
  <c r="Y427" i="6" s="1"/>
  <c r="Z427" i="6" s="1"/>
  <c r="AA427" i="6" s="1"/>
  <c r="R427" i="6" s="1"/>
  <c r="F427" i="6" s="1"/>
  <c r="E427" i="6" s="1"/>
  <c r="M427" i="6"/>
  <c r="T426" i="6"/>
  <c r="U426" i="6" s="1"/>
  <c r="V426" i="6" s="1"/>
  <c r="W426" i="6" s="1"/>
  <c r="X426" i="6" s="1"/>
  <c r="Y426" i="6" s="1"/>
  <c r="Z426" i="6" s="1"/>
  <c r="AA426" i="6" s="1"/>
  <c r="R426" i="6" s="1"/>
  <c r="F426" i="6" s="1"/>
  <c r="E426" i="6" s="1"/>
  <c r="M426" i="6"/>
  <c r="T425" i="6"/>
  <c r="U425" i="6" s="1"/>
  <c r="V425" i="6" s="1"/>
  <c r="W425" i="6" s="1"/>
  <c r="X425" i="6" s="1"/>
  <c r="Y425" i="6" s="1"/>
  <c r="Z425" i="6" s="1"/>
  <c r="AA425" i="6" s="1"/>
  <c r="R425" i="6" s="1"/>
  <c r="F425" i="6" s="1"/>
  <c r="E425" i="6" s="1"/>
  <c r="M425" i="6"/>
  <c r="T424" i="6"/>
  <c r="U424" i="6" s="1"/>
  <c r="V424" i="6" s="1"/>
  <c r="W424" i="6" s="1"/>
  <c r="X424" i="6" s="1"/>
  <c r="Y424" i="6" s="1"/>
  <c r="Z424" i="6" s="1"/>
  <c r="AA424" i="6" s="1"/>
  <c r="R424" i="6" s="1"/>
  <c r="F424" i="6" s="1"/>
  <c r="E424" i="6" s="1"/>
  <c r="M424" i="6"/>
  <c r="T423" i="6"/>
  <c r="U423" i="6"/>
  <c r="V423" i="6" s="1"/>
  <c r="W423" i="6" s="1"/>
  <c r="X423" i="6" s="1"/>
  <c r="Y423" i="6" s="1"/>
  <c r="Z423" i="6" s="1"/>
  <c r="AA423" i="6" s="1"/>
  <c r="R423" i="6" s="1"/>
  <c r="F423" i="6" s="1"/>
  <c r="E423" i="6" s="1"/>
  <c r="M423" i="6"/>
  <c r="T422" i="6"/>
  <c r="U422" i="6" s="1"/>
  <c r="V422" i="6" s="1"/>
  <c r="W422" i="6" s="1"/>
  <c r="X422" i="6" s="1"/>
  <c r="Y422" i="6" s="1"/>
  <c r="Z422" i="6" s="1"/>
  <c r="AA422" i="6" s="1"/>
  <c r="R422" i="6" s="1"/>
  <c r="F422" i="6" s="1"/>
  <c r="E422" i="6" s="1"/>
  <c r="M422" i="6"/>
  <c r="T421" i="6"/>
  <c r="U421" i="6" s="1"/>
  <c r="V421" i="6" s="1"/>
  <c r="W421" i="6" s="1"/>
  <c r="X421" i="6" s="1"/>
  <c r="Y421" i="6" s="1"/>
  <c r="Z421" i="6" s="1"/>
  <c r="AA421" i="6" s="1"/>
  <c r="R421" i="6" s="1"/>
  <c r="F421" i="6" s="1"/>
  <c r="E421" i="6" s="1"/>
  <c r="M421" i="6"/>
  <c r="T420" i="6"/>
  <c r="U420" i="6" s="1"/>
  <c r="V420" i="6" s="1"/>
  <c r="W420" i="6" s="1"/>
  <c r="X420" i="6" s="1"/>
  <c r="Y420" i="6" s="1"/>
  <c r="Z420" i="6" s="1"/>
  <c r="AA420" i="6" s="1"/>
  <c r="R420" i="6" s="1"/>
  <c r="F420" i="6" s="1"/>
  <c r="E420" i="6" s="1"/>
  <c r="M420" i="6"/>
  <c r="T419" i="6"/>
  <c r="U419" i="6" s="1"/>
  <c r="V419" i="6" s="1"/>
  <c r="W419" i="6" s="1"/>
  <c r="X419" i="6" s="1"/>
  <c r="Y419" i="6" s="1"/>
  <c r="Z419" i="6" s="1"/>
  <c r="AA419" i="6" s="1"/>
  <c r="R419" i="6" s="1"/>
  <c r="F419" i="6" s="1"/>
  <c r="E419" i="6" s="1"/>
  <c r="M419" i="6"/>
  <c r="T418" i="6"/>
  <c r="U418" i="6" s="1"/>
  <c r="V418" i="6" s="1"/>
  <c r="W418" i="6" s="1"/>
  <c r="X418" i="6" s="1"/>
  <c r="Y418" i="6" s="1"/>
  <c r="Z418" i="6" s="1"/>
  <c r="AA418" i="6" s="1"/>
  <c r="R418" i="6" s="1"/>
  <c r="F418" i="6" s="1"/>
  <c r="E418" i="6" s="1"/>
  <c r="M418" i="6"/>
  <c r="T417" i="6"/>
  <c r="U417" i="6" s="1"/>
  <c r="V417" i="6" s="1"/>
  <c r="W417" i="6" s="1"/>
  <c r="X417" i="6" s="1"/>
  <c r="Y417" i="6"/>
  <c r="Z417" i="6" s="1"/>
  <c r="AA417" i="6" s="1"/>
  <c r="R417" i="6" s="1"/>
  <c r="F417" i="6" s="1"/>
  <c r="E417" i="6" s="1"/>
  <c r="M417" i="6"/>
  <c r="T416" i="6"/>
  <c r="U416" i="6" s="1"/>
  <c r="V416" i="6" s="1"/>
  <c r="W416" i="6" s="1"/>
  <c r="X416" i="6" s="1"/>
  <c r="Y416" i="6" s="1"/>
  <c r="Z416" i="6" s="1"/>
  <c r="AA416" i="6" s="1"/>
  <c r="R416" i="6" s="1"/>
  <c r="F416" i="6"/>
  <c r="E416" i="6" s="1"/>
  <c r="M416" i="6"/>
  <c r="T415" i="6"/>
  <c r="U415" i="6" s="1"/>
  <c r="V415" i="6" s="1"/>
  <c r="W415" i="6" s="1"/>
  <c r="X415" i="6" s="1"/>
  <c r="Y415" i="6" s="1"/>
  <c r="Z415" i="6" s="1"/>
  <c r="AA415" i="6" s="1"/>
  <c r="R415" i="6" s="1"/>
  <c r="F415" i="6" s="1"/>
  <c r="E415" i="6" s="1"/>
  <c r="M415" i="6"/>
  <c r="T414" i="6"/>
  <c r="U414" i="6" s="1"/>
  <c r="V414" i="6" s="1"/>
  <c r="W414" i="6" s="1"/>
  <c r="X414" i="6" s="1"/>
  <c r="Y414" i="6" s="1"/>
  <c r="Z414" i="6" s="1"/>
  <c r="AA414" i="6" s="1"/>
  <c r="R414" i="6" s="1"/>
  <c r="F414" i="6" s="1"/>
  <c r="E414" i="6" s="1"/>
  <c r="M414" i="6"/>
  <c r="M413" i="6"/>
  <c r="T412" i="6"/>
  <c r="U412" i="6" s="1"/>
  <c r="V412" i="6" s="1"/>
  <c r="W412" i="6" s="1"/>
  <c r="X412" i="6" s="1"/>
  <c r="Y412" i="6" s="1"/>
  <c r="Z412" i="6" s="1"/>
  <c r="AA412" i="6" s="1"/>
  <c r="R412" i="6" s="1"/>
  <c r="F412" i="6" s="1"/>
  <c r="E412" i="6" s="1"/>
  <c r="M412" i="6"/>
  <c r="T411" i="6"/>
  <c r="U411" i="6" s="1"/>
  <c r="V411" i="6"/>
  <c r="W411" i="6" s="1"/>
  <c r="X411" i="6" s="1"/>
  <c r="Y411" i="6" s="1"/>
  <c r="Z411" i="6" s="1"/>
  <c r="AA411" i="6" s="1"/>
  <c r="R411" i="6" s="1"/>
  <c r="F411" i="6" s="1"/>
  <c r="E411" i="6" s="1"/>
  <c r="M411" i="6"/>
  <c r="T410" i="6"/>
  <c r="U410" i="6" s="1"/>
  <c r="V410" i="6" s="1"/>
  <c r="W410" i="6" s="1"/>
  <c r="X410" i="6" s="1"/>
  <c r="Y410" i="6" s="1"/>
  <c r="Z410" i="6" s="1"/>
  <c r="AA410" i="6" s="1"/>
  <c r="R410" i="6"/>
  <c r="F410" i="6" s="1"/>
  <c r="E410" i="6" s="1"/>
  <c r="M410" i="6"/>
  <c r="T409" i="6"/>
  <c r="U409" i="6" s="1"/>
  <c r="V409" i="6" s="1"/>
  <c r="W409" i="6" s="1"/>
  <c r="X409" i="6" s="1"/>
  <c r="Y409" i="6" s="1"/>
  <c r="Z409" i="6" s="1"/>
  <c r="AA409" i="6" s="1"/>
  <c r="R409" i="6" s="1"/>
  <c r="F409" i="6" s="1"/>
  <c r="E409" i="6" s="1"/>
  <c r="M409" i="6"/>
  <c r="M408" i="6"/>
  <c r="T407" i="6"/>
  <c r="U407" i="6" s="1"/>
  <c r="V407" i="6" s="1"/>
  <c r="W407" i="6" s="1"/>
  <c r="X407" i="6" s="1"/>
  <c r="Y407" i="6" s="1"/>
  <c r="Z407" i="6" s="1"/>
  <c r="AA407" i="6" s="1"/>
  <c r="R407" i="6" s="1"/>
  <c r="F407" i="6" s="1"/>
  <c r="E407" i="6" s="1"/>
  <c r="M407" i="6"/>
  <c r="T406" i="6"/>
  <c r="U406" i="6" s="1"/>
  <c r="V406" i="6" s="1"/>
  <c r="W406" i="6" s="1"/>
  <c r="X406" i="6" s="1"/>
  <c r="Y406" i="6" s="1"/>
  <c r="Z406" i="6" s="1"/>
  <c r="AA406" i="6" s="1"/>
  <c r="R406" i="6" s="1"/>
  <c r="F406" i="6" s="1"/>
  <c r="E406" i="6" s="1"/>
  <c r="M406" i="6"/>
  <c r="T405" i="6"/>
  <c r="U405" i="6" s="1"/>
  <c r="V405" i="6" s="1"/>
  <c r="W405" i="6" s="1"/>
  <c r="X405" i="6" s="1"/>
  <c r="Y405" i="6" s="1"/>
  <c r="Z405" i="6" s="1"/>
  <c r="AA405" i="6" s="1"/>
  <c r="R405" i="6" s="1"/>
  <c r="F405" i="6" s="1"/>
  <c r="E405" i="6" s="1"/>
  <c r="M405" i="6"/>
  <c r="T404" i="6"/>
  <c r="U404" i="6" s="1"/>
  <c r="V404" i="6" s="1"/>
  <c r="W404" i="6" s="1"/>
  <c r="X404" i="6" s="1"/>
  <c r="Y404" i="6" s="1"/>
  <c r="Z404" i="6" s="1"/>
  <c r="AA404" i="6" s="1"/>
  <c r="R404" i="6" s="1"/>
  <c r="F404" i="6" s="1"/>
  <c r="E404" i="6" s="1"/>
  <c r="M404" i="6"/>
  <c r="T403" i="6"/>
  <c r="U403" i="6" s="1"/>
  <c r="V403" i="6" s="1"/>
  <c r="W403" i="6"/>
  <c r="X403" i="6" s="1"/>
  <c r="Y403" i="6" s="1"/>
  <c r="Z403" i="6" s="1"/>
  <c r="AA403" i="6" s="1"/>
  <c r="R403" i="6" s="1"/>
  <c r="F403" i="6" s="1"/>
  <c r="E403" i="6" s="1"/>
  <c r="M403" i="6"/>
  <c r="M402" i="6"/>
  <c r="T401" i="6"/>
  <c r="U401" i="6" s="1"/>
  <c r="V401" i="6" s="1"/>
  <c r="W401" i="6" s="1"/>
  <c r="X401" i="6" s="1"/>
  <c r="Y401" i="6" s="1"/>
  <c r="Z401" i="6" s="1"/>
  <c r="AA401" i="6" s="1"/>
  <c r="R401" i="6" s="1"/>
  <c r="F401" i="6" s="1"/>
  <c r="E401" i="6" s="1"/>
  <c r="M401" i="6"/>
  <c r="T400" i="6"/>
  <c r="U400" i="6" s="1"/>
  <c r="V400" i="6" s="1"/>
  <c r="W400" i="6" s="1"/>
  <c r="X400" i="6" s="1"/>
  <c r="Y400" i="6" s="1"/>
  <c r="Z400" i="6" s="1"/>
  <c r="AA400" i="6" s="1"/>
  <c r="R400" i="6" s="1"/>
  <c r="F400" i="6" s="1"/>
  <c r="E400" i="6" s="1"/>
  <c r="M400" i="6"/>
  <c r="T399" i="6"/>
  <c r="U399" i="6" s="1"/>
  <c r="V399" i="6" s="1"/>
  <c r="W399" i="6" s="1"/>
  <c r="X399" i="6" s="1"/>
  <c r="Y399" i="6" s="1"/>
  <c r="Z399" i="6" s="1"/>
  <c r="AA399" i="6" s="1"/>
  <c r="R399" i="6" s="1"/>
  <c r="F399" i="6" s="1"/>
  <c r="E399" i="6" s="1"/>
  <c r="M399" i="6"/>
  <c r="T398" i="6"/>
  <c r="U398" i="6"/>
  <c r="V398" i="6" s="1"/>
  <c r="W398" i="6" s="1"/>
  <c r="X398" i="6"/>
  <c r="Y398" i="6" s="1"/>
  <c r="Z398" i="6" s="1"/>
  <c r="AA398" i="6" s="1"/>
  <c r="R398" i="6" s="1"/>
  <c r="F398" i="6" s="1"/>
  <c r="E398" i="6" s="1"/>
  <c r="M398" i="6"/>
  <c r="M397" i="6"/>
  <c r="T396" i="6"/>
  <c r="U396" i="6"/>
  <c r="V396" i="6" s="1"/>
  <c r="W396" i="6" s="1"/>
  <c r="X396" i="6" s="1"/>
  <c r="Y396" i="6" s="1"/>
  <c r="Z396" i="6" s="1"/>
  <c r="AA396" i="6" s="1"/>
  <c r="R396" i="6" s="1"/>
  <c r="F396" i="6" s="1"/>
  <c r="E396" i="6" s="1"/>
  <c r="M396" i="6"/>
  <c r="T395" i="6"/>
  <c r="U395" i="6"/>
  <c r="V395" i="6" s="1"/>
  <c r="W395" i="6" s="1"/>
  <c r="X395" i="6" s="1"/>
  <c r="Y395" i="6" s="1"/>
  <c r="Z395" i="6" s="1"/>
  <c r="AA395" i="6" s="1"/>
  <c r="R395" i="6" s="1"/>
  <c r="F395" i="6" s="1"/>
  <c r="E395" i="6" s="1"/>
  <c r="M395" i="6"/>
  <c r="T394" i="6"/>
  <c r="U394" i="6"/>
  <c r="V394" i="6" s="1"/>
  <c r="W394" i="6" s="1"/>
  <c r="X394" i="6" s="1"/>
  <c r="Y394" i="6" s="1"/>
  <c r="Z394" i="6" s="1"/>
  <c r="AA394" i="6" s="1"/>
  <c r="R394" i="6" s="1"/>
  <c r="F394" i="6" s="1"/>
  <c r="E394" i="6" s="1"/>
  <c r="M394" i="6"/>
  <c r="T393" i="6"/>
  <c r="U393" i="6" s="1"/>
  <c r="V393" i="6" s="1"/>
  <c r="W393" i="6" s="1"/>
  <c r="X393" i="6" s="1"/>
  <c r="Y393" i="6" s="1"/>
  <c r="Z393" i="6" s="1"/>
  <c r="AA393" i="6" s="1"/>
  <c r="R393" i="6" s="1"/>
  <c r="F393" i="6" s="1"/>
  <c r="E393" i="6" s="1"/>
  <c r="M393" i="6"/>
  <c r="T392" i="6"/>
  <c r="U392" i="6"/>
  <c r="V392" i="6" s="1"/>
  <c r="W392" i="6" s="1"/>
  <c r="X392" i="6" s="1"/>
  <c r="Y392" i="6" s="1"/>
  <c r="Z392" i="6" s="1"/>
  <c r="AA392" i="6" s="1"/>
  <c r="R392" i="6" s="1"/>
  <c r="F392" i="6" s="1"/>
  <c r="E392" i="6" s="1"/>
  <c r="M392" i="6"/>
  <c r="T391" i="6"/>
  <c r="U391" i="6"/>
  <c r="V391" i="6" s="1"/>
  <c r="W391" i="6" s="1"/>
  <c r="X391" i="6" s="1"/>
  <c r="Y391" i="6" s="1"/>
  <c r="Z391" i="6" s="1"/>
  <c r="AA391" i="6" s="1"/>
  <c r="R391" i="6" s="1"/>
  <c r="F391" i="6" s="1"/>
  <c r="E391" i="6" s="1"/>
  <c r="M391" i="6"/>
  <c r="T390" i="6"/>
  <c r="U390" i="6"/>
  <c r="V390" i="6" s="1"/>
  <c r="W390" i="6" s="1"/>
  <c r="X390" i="6" s="1"/>
  <c r="Y390" i="6" s="1"/>
  <c r="Z390" i="6" s="1"/>
  <c r="AA390" i="6" s="1"/>
  <c r="R390" i="6" s="1"/>
  <c r="F390" i="6" s="1"/>
  <c r="E390" i="6" s="1"/>
  <c r="M390" i="6"/>
  <c r="T389" i="6"/>
  <c r="U389" i="6"/>
  <c r="V389" i="6" s="1"/>
  <c r="W389" i="6" s="1"/>
  <c r="X389" i="6" s="1"/>
  <c r="Y389" i="6" s="1"/>
  <c r="Z389" i="6" s="1"/>
  <c r="AA389" i="6" s="1"/>
  <c r="R389" i="6" s="1"/>
  <c r="F389" i="6" s="1"/>
  <c r="E389" i="6" s="1"/>
  <c r="M389" i="6"/>
  <c r="T388" i="6"/>
  <c r="U388" i="6" s="1"/>
  <c r="V388" i="6" s="1"/>
  <c r="W388" i="6" s="1"/>
  <c r="X388" i="6" s="1"/>
  <c r="Y388" i="6" s="1"/>
  <c r="Z388" i="6" s="1"/>
  <c r="AA388" i="6" s="1"/>
  <c r="R388" i="6" s="1"/>
  <c r="F388" i="6" s="1"/>
  <c r="E388" i="6" s="1"/>
  <c r="M388" i="6"/>
  <c r="T387" i="6"/>
  <c r="U387" i="6" s="1"/>
  <c r="V387" i="6" s="1"/>
  <c r="W387" i="6" s="1"/>
  <c r="X387" i="6" s="1"/>
  <c r="Y387" i="6" s="1"/>
  <c r="Z387" i="6" s="1"/>
  <c r="AA387" i="6" s="1"/>
  <c r="R387" i="6" s="1"/>
  <c r="F387" i="6" s="1"/>
  <c r="E387" i="6" s="1"/>
  <c r="M387" i="6"/>
  <c r="T386" i="6"/>
  <c r="U386" i="6" s="1"/>
  <c r="V386" i="6" s="1"/>
  <c r="W386" i="6" s="1"/>
  <c r="X386" i="6" s="1"/>
  <c r="Y386" i="6" s="1"/>
  <c r="Z386" i="6" s="1"/>
  <c r="AA386" i="6" s="1"/>
  <c r="R386" i="6" s="1"/>
  <c r="F386" i="6"/>
  <c r="E386" i="6" s="1"/>
  <c r="M386" i="6"/>
  <c r="T385" i="6"/>
  <c r="U385" i="6" s="1"/>
  <c r="V385" i="6" s="1"/>
  <c r="W385" i="6" s="1"/>
  <c r="X385" i="6" s="1"/>
  <c r="Y385" i="6" s="1"/>
  <c r="Z385" i="6" s="1"/>
  <c r="AA385" i="6" s="1"/>
  <c r="R385" i="6" s="1"/>
  <c r="F385" i="6" s="1"/>
  <c r="E385" i="6" s="1"/>
  <c r="M385" i="6"/>
  <c r="T384" i="6"/>
  <c r="U384" i="6" s="1"/>
  <c r="V384" i="6" s="1"/>
  <c r="W384" i="6" s="1"/>
  <c r="X384" i="6" s="1"/>
  <c r="Y384" i="6" s="1"/>
  <c r="Z384" i="6" s="1"/>
  <c r="AA384" i="6" s="1"/>
  <c r="R384" i="6" s="1"/>
  <c r="F384" i="6" s="1"/>
  <c r="E384" i="6" s="1"/>
  <c r="M384" i="6"/>
  <c r="T383" i="6"/>
  <c r="U383" i="6"/>
  <c r="V383" i="6" s="1"/>
  <c r="W383" i="6" s="1"/>
  <c r="X383" i="6" s="1"/>
  <c r="Y383" i="6" s="1"/>
  <c r="Z383" i="6" s="1"/>
  <c r="AA383" i="6" s="1"/>
  <c r="R383" i="6" s="1"/>
  <c r="F383" i="6" s="1"/>
  <c r="E383" i="6" s="1"/>
  <c r="M383" i="6"/>
  <c r="M382" i="6"/>
  <c r="T381" i="6"/>
  <c r="U381" i="6" s="1"/>
  <c r="V381" i="6" s="1"/>
  <c r="W381" i="6" s="1"/>
  <c r="X381" i="6" s="1"/>
  <c r="Y381" i="6" s="1"/>
  <c r="Z381" i="6" s="1"/>
  <c r="AA381" i="6" s="1"/>
  <c r="R381" i="6" s="1"/>
  <c r="F381" i="6" s="1"/>
  <c r="E381" i="6" s="1"/>
  <c r="T380" i="6"/>
  <c r="U380" i="6"/>
  <c r="V380" i="6" s="1"/>
  <c r="W380" i="6" s="1"/>
  <c r="X380" i="6" s="1"/>
  <c r="Y380" i="6" s="1"/>
  <c r="Z380" i="6" s="1"/>
  <c r="AA380" i="6" s="1"/>
  <c r="R380" i="6" s="1"/>
  <c r="F380" i="6" s="1"/>
  <c r="E380" i="6" s="1"/>
  <c r="M380" i="6"/>
  <c r="T379" i="6"/>
  <c r="U379" i="6"/>
  <c r="V379" i="6" s="1"/>
  <c r="W379" i="6" s="1"/>
  <c r="X379" i="6" s="1"/>
  <c r="Y379" i="6" s="1"/>
  <c r="Z379" i="6" s="1"/>
  <c r="AA379" i="6" s="1"/>
  <c r="R379" i="6" s="1"/>
  <c r="F379" i="6" s="1"/>
  <c r="E379" i="6" s="1"/>
  <c r="M379" i="6"/>
  <c r="T378" i="6"/>
  <c r="U378" i="6"/>
  <c r="V378" i="6" s="1"/>
  <c r="W378" i="6" s="1"/>
  <c r="X378" i="6" s="1"/>
  <c r="Y378" i="6"/>
  <c r="Z378" i="6" s="1"/>
  <c r="AA378" i="6" s="1"/>
  <c r="R378" i="6" s="1"/>
  <c r="F378" i="6" s="1"/>
  <c r="E378" i="6" s="1"/>
  <c r="M378" i="6"/>
  <c r="T377" i="6"/>
  <c r="U377" i="6"/>
  <c r="V377" i="6" s="1"/>
  <c r="W377" i="6" s="1"/>
  <c r="X377" i="6" s="1"/>
  <c r="Y377" i="6" s="1"/>
  <c r="Z377" i="6" s="1"/>
  <c r="AA377" i="6" s="1"/>
  <c r="R377" i="6" s="1"/>
  <c r="F377" i="6" s="1"/>
  <c r="E377" i="6" s="1"/>
  <c r="M377" i="6"/>
  <c r="T376" i="6"/>
  <c r="U376" i="6" s="1"/>
  <c r="V376" i="6" s="1"/>
  <c r="W376" i="6" s="1"/>
  <c r="X376" i="6" s="1"/>
  <c r="Y376" i="6" s="1"/>
  <c r="Z376" i="6" s="1"/>
  <c r="AA376" i="6" s="1"/>
  <c r="R376" i="6" s="1"/>
  <c r="F376" i="6" s="1"/>
  <c r="E376" i="6" s="1"/>
  <c r="M376" i="6"/>
  <c r="T375" i="6"/>
  <c r="U375" i="6" s="1"/>
  <c r="V375" i="6" s="1"/>
  <c r="W375" i="6" s="1"/>
  <c r="X375" i="6" s="1"/>
  <c r="Y375" i="6" s="1"/>
  <c r="Z375" i="6" s="1"/>
  <c r="AA375" i="6" s="1"/>
  <c r="R375" i="6" s="1"/>
  <c r="F375" i="6" s="1"/>
  <c r="E375" i="6" s="1"/>
  <c r="M375" i="6"/>
  <c r="T374" i="6"/>
  <c r="U374" i="6"/>
  <c r="V374" i="6" s="1"/>
  <c r="W374" i="6" s="1"/>
  <c r="X374" i="6" s="1"/>
  <c r="Y374" i="6"/>
  <c r="Z374" i="6" s="1"/>
  <c r="AA374" i="6" s="1"/>
  <c r="R374" i="6" s="1"/>
  <c r="F374" i="6" s="1"/>
  <c r="E374" i="6" s="1"/>
  <c r="M374" i="6"/>
  <c r="T373" i="6"/>
  <c r="U373" i="6"/>
  <c r="V373" i="6" s="1"/>
  <c r="W373" i="6" s="1"/>
  <c r="X373" i="6" s="1"/>
  <c r="Y373" i="6" s="1"/>
  <c r="Z373" i="6" s="1"/>
  <c r="AA373" i="6" s="1"/>
  <c r="R373" i="6" s="1"/>
  <c r="F373" i="6" s="1"/>
  <c r="E373" i="6" s="1"/>
  <c r="M373" i="6"/>
  <c r="T372" i="6"/>
  <c r="U372" i="6" s="1"/>
  <c r="V372" i="6" s="1"/>
  <c r="W372" i="6" s="1"/>
  <c r="X372" i="6" s="1"/>
  <c r="Y372" i="6" s="1"/>
  <c r="Z372" i="6" s="1"/>
  <c r="AA372" i="6" s="1"/>
  <c r="R372" i="6" s="1"/>
  <c r="F372" i="6" s="1"/>
  <c r="E372" i="6" s="1"/>
  <c r="M372" i="6"/>
  <c r="T371" i="6"/>
  <c r="U371" i="6" s="1"/>
  <c r="V371" i="6" s="1"/>
  <c r="W371" i="6" s="1"/>
  <c r="X371" i="6" s="1"/>
  <c r="Y371" i="6" s="1"/>
  <c r="Z371" i="6" s="1"/>
  <c r="AA371" i="6" s="1"/>
  <c r="R371" i="6" s="1"/>
  <c r="F371" i="6" s="1"/>
  <c r="E371" i="6" s="1"/>
  <c r="M371" i="6"/>
  <c r="T370" i="6"/>
  <c r="U370" i="6"/>
  <c r="V370" i="6" s="1"/>
  <c r="W370" i="6" s="1"/>
  <c r="X370" i="6" s="1"/>
  <c r="Y370" i="6"/>
  <c r="Z370" i="6" s="1"/>
  <c r="AA370" i="6" s="1"/>
  <c r="R370" i="6" s="1"/>
  <c r="F370" i="6" s="1"/>
  <c r="E370" i="6" s="1"/>
  <c r="M370" i="6"/>
  <c r="T369" i="6"/>
  <c r="U369" i="6"/>
  <c r="V369" i="6" s="1"/>
  <c r="W369" i="6" s="1"/>
  <c r="X369" i="6" s="1"/>
  <c r="Y369" i="6" s="1"/>
  <c r="Z369" i="6" s="1"/>
  <c r="AA369" i="6" s="1"/>
  <c r="R369" i="6" s="1"/>
  <c r="F369" i="6" s="1"/>
  <c r="E369" i="6" s="1"/>
  <c r="M369" i="6"/>
  <c r="T368" i="6"/>
  <c r="U368" i="6" s="1"/>
  <c r="V368" i="6" s="1"/>
  <c r="W368" i="6" s="1"/>
  <c r="X368" i="6" s="1"/>
  <c r="Y368" i="6" s="1"/>
  <c r="Z368" i="6" s="1"/>
  <c r="AA368" i="6" s="1"/>
  <c r="R368" i="6" s="1"/>
  <c r="F368" i="6" s="1"/>
  <c r="E368" i="6" s="1"/>
  <c r="M368" i="6"/>
  <c r="T367" i="6"/>
  <c r="U367" i="6" s="1"/>
  <c r="V367" i="6" s="1"/>
  <c r="W367" i="6" s="1"/>
  <c r="X367" i="6" s="1"/>
  <c r="Y367" i="6" s="1"/>
  <c r="Z367" i="6" s="1"/>
  <c r="AA367" i="6" s="1"/>
  <c r="R367" i="6" s="1"/>
  <c r="F367" i="6" s="1"/>
  <c r="E367" i="6" s="1"/>
  <c r="M367" i="6"/>
  <c r="T366" i="6"/>
  <c r="U366" i="6"/>
  <c r="V366" i="6" s="1"/>
  <c r="W366" i="6" s="1"/>
  <c r="X366" i="6" s="1"/>
  <c r="Y366" i="6" s="1"/>
  <c r="Z366" i="6" s="1"/>
  <c r="AA366" i="6" s="1"/>
  <c r="R366" i="6" s="1"/>
  <c r="F366" i="6" s="1"/>
  <c r="E366" i="6" s="1"/>
  <c r="M366" i="6"/>
  <c r="T365" i="6"/>
  <c r="U365" i="6" s="1"/>
  <c r="V365" i="6" s="1"/>
  <c r="W365" i="6" s="1"/>
  <c r="X365" i="6" s="1"/>
  <c r="Y365" i="6" s="1"/>
  <c r="Z365" i="6" s="1"/>
  <c r="AA365" i="6" s="1"/>
  <c r="R365" i="6" s="1"/>
  <c r="F365" i="6" s="1"/>
  <c r="E365" i="6" s="1"/>
  <c r="M365" i="6"/>
  <c r="T364" i="6"/>
  <c r="U364" i="6" s="1"/>
  <c r="V364" i="6" s="1"/>
  <c r="W364" i="6" s="1"/>
  <c r="X364" i="6" s="1"/>
  <c r="Y364" i="6" s="1"/>
  <c r="Z364" i="6" s="1"/>
  <c r="AA364" i="6" s="1"/>
  <c r="R364" i="6" s="1"/>
  <c r="F364" i="6" s="1"/>
  <c r="E364" i="6" s="1"/>
  <c r="M364" i="6"/>
  <c r="T363" i="6"/>
  <c r="U363" i="6" s="1"/>
  <c r="V363" i="6" s="1"/>
  <c r="W363" i="6" s="1"/>
  <c r="X363" i="6" s="1"/>
  <c r="Y363" i="6" s="1"/>
  <c r="Z363" i="6" s="1"/>
  <c r="AA363" i="6" s="1"/>
  <c r="R363" i="6" s="1"/>
  <c r="F363" i="6" s="1"/>
  <c r="E363" i="6" s="1"/>
  <c r="M363" i="6"/>
  <c r="T362" i="6"/>
  <c r="U362" i="6" s="1"/>
  <c r="V362" i="6" s="1"/>
  <c r="W362" i="6" s="1"/>
  <c r="X362" i="6" s="1"/>
  <c r="Y362" i="6" s="1"/>
  <c r="Z362" i="6" s="1"/>
  <c r="AA362" i="6" s="1"/>
  <c r="R362" i="6" s="1"/>
  <c r="F362" i="6" s="1"/>
  <c r="E362" i="6" s="1"/>
  <c r="M362" i="6"/>
  <c r="T361" i="6"/>
  <c r="U361" i="6" s="1"/>
  <c r="V361" i="6" s="1"/>
  <c r="W361" i="6" s="1"/>
  <c r="X361" i="6" s="1"/>
  <c r="Y361" i="6" s="1"/>
  <c r="Z361" i="6" s="1"/>
  <c r="AA361" i="6" s="1"/>
  <c r="R361" i="6" s="1"/>
  <c r="F361" i="6" s="1"/>
  <c r="E361" i="6" s="1"/>
  <c r="T360" i="6"/>
  <c r="U360" i="6"/>
  <c r="V360" i="6" s="1"/>
  <c r="W360" i="6" s="1"/>
  <c r="X360" i="6"/>
  <c r="Y360" i="6" s="1"/>
  <c r="Z360" i="6" s="1"/>
  <c r="AA360" i="6" s="1"/>
  <c r="R360" i="6" s="1"/>
  <c r="F360" i="6" s="1"/>
  <c r="E360" i="6" s="1"/>
  <c r="M360" i="6"/>
  <c r="T359" i="6"/>
  <c r="U359" i="6" s="1"/>
  <c r="V359" i="6" s="1"/>
  <c r="W359" i="6" s="1"/>
  <c r="X359" i="6" s="1"/>
  <c r="Y359" i="6" s="1"/>
  <c r="Z359" i="6" s="1"/>
  <c r="AA359" i="6" s="1"/>
  <c r="R359" i="6" s="1"/>
  <c r="F359" i="6" s="1"/>
  <c r="E359" i="6"/>
  <c r="M359" i="6"/>
  <c r="T358" i="6"/>
  <c r="U358" i="6" s="1"/>
  <c r="V358" i="6" s="1"/>
  <c r="W358" i="6" s="1"/>
  <c r="X358" i="6" s="1"/>
  <c r="Y358" i="6" s="1"/>
  <c r="Z358" i="6" s="1"/>
  <c r="AA358" i="6" s="1"/>
  <c r="R358" i="6" s="1"/>
  <c r="F358" i="6" s="1"/>
  <c r="E358" i="6" s="1"/>
  <c r="M358" i="6"/>
  <c r="T357" i="6"/>
  <c r="U357" i="6" s="1"/>
  <c r="V357" i="6"/>
  <c r="W357" i="6" s="1"/>
  <c r="X357" i="6" s="1"/>
  <c r="Y357" i="6" s="1"/>
  <c r="Z357" i="6"/>
  <c r="AA357" i="6" s="1"/>
  <c r="R357" i="6" s="1"/>
  <c r="F357" i="6" s="1"/>
  <c r="E357" i="6" s="1"/>
  <c r="M357" i="6"/>
  <c r="T356" i="6"/>
  <c r="U356" i="6"/>
  <c r="V356" i="6"/>
  <c r="W356" i="6" s="1"/>
  <c r="X356" i="6" s="1"/>
  <c r="Y356" i="6" s="1"/>
  <c r="Z356" i="6" s="1"/>
  <c r="AA356" i="6" s="1"/>
  <c r="R356" i="6" s="1"/>
  <c r="F356" i="6" s="1"/>
  <c r="E356" i="6" s="1"/>
  <c r="M356" i="6"/>
  <c r="T355" i="6"/>
  <c r="U355" i="6" s="1"/>
  <c r="V355" i="6" s="1"/>
  <c r="W355" i="6" s="1"/>
  <c r="X355" i="6" s="1"/>
  <c r="Y355" i="6" s="1"/>
  <c r="Z355" i="6" s="1"/>
  <c r="AA355" i="6" s="1"/>
  <c r="R355" i="6" s="1"/>
  <c r="F355" i="6" s="1"/>
  <c r="E355" i="6" s="1"/>
  <c r="M355" i="6"/>
  <c r="T354" i="6"/>
  <c r="U354" i="6" s="1"/>
  <c r="V354" i="6" s="1"/>
  <c r="W354" i="6" s="1"/>
  <c r="X354" i="6" s="1"/>
  <c r="Y354" i="6" s="1"/>
  <c r="Z354" i="6" s="1"/>
  <c r="AA354" i="6" s="1"/>
  <c r="R354" i="6" s="1"/>
  <c r="F354" i="6" s="1"/>
  <c r="E354" i="6" s="1"/>
  <c r="M354" i="6"/>
  <c r="T353" i="6"/>
  <c r="U353" i="6" s="1"/>
  <c r="V353" i="6" s="1"/>
  <c r="W353" i="6" s="1"/>
  <c r="X353" i="6" s="1"/>
  <c r="Y353" i="6" s="1"/>
  <c r="Z353" i="6"/>
  <c r="AA353" i="6" s="1"/>
  <c r="R353" i="6" s="1"/>
  <c r="F353" i="6" s="1"/>
  <c r="E353" i="6" s="1"/>
  <c r="M353" i="6"/>
  <c r="T352" i="6"/>
  <c r="U352" i="6"/>
  <c r="V352" i="6" s="1"/>
  <c r="W352" i="6" s="1"/>
  <c r="X352" i="6" s="1"/>
  <c r="Y352" i="6" s="1"/>
  <c r="Z352" i="6" s="1"/>
  <c r="AA352" i="6" s="1"/>
  <c r="R352" i="6" s="1"/>
  <c r="F352" i="6" s="1"/>
  <c r="E352" i="6" s="1"/>
  <c r="M352" i="6"/>
  <c r="T351" i="6"/>
  <c r="U351" i="6" s="1"/>
  <c r="V351" i="6" s="1"/>
  <c r="W351" i="6" s="1"/>
  <c r="X351" i="6" s="1"/>
  <c r="Y351" i="6" s="1"/>
  <c r="Z351" i="6" s="1"/>
  <c r="AA351" i="6" s="1"/>
  <c r="R351" i="6" s="1"/>
  <c r="F351" i="6" s="1"/>
  <c r="E351" i="6" s="1"/>
  <c r="M351" i="6"/>
  <c r="T350" i="6"/>
  <c r="U350" i="6" s="1"/>
  <c r="V350" i="6" s="1"/>
  <c r="W350" i="6" s="1"/>
  <c r="X350" i="6" s="1"/>
  <c r="Y350" i="6" s="1"/>
  <c r="Z350" i="6" s="1"/>
  <c r="AA350" i="6" s="1"/>
  <c r="R350" i="6" s="1"/>
  <c r="F350" i="6" s="1"/>
  <c r="E350" i="6" s="1"/>
  <c r="M350" i="6"/>
  <c r="T349" i="6"/>
  <c r="U349" i="6" s="1"/>
  <c r="V349" i="6" s="1"/>
  <c r="W349" i="6" s="1"/>
  <c r="X349" i="6" s="1"/>
  <c r="Y349" i="6" s="1"/>
  <c r="Z349" i="6" s="1"/>
  <c r="AA349" i="6" s="1"/>
  <c r="R349" i="6"/>
  <c r="F349" i="6" s="1"/>
  <c r="E349" i="6" s="1"/>
  <c r="M349" i="6"/>
  <c r="T348" i="6"/>
  <c r="U348" i="6"/>
  <c r="V348" i="6" s="1"/>
  <c r="W348" i="6" s="1"/>
  <c r="X348" i="6" s="1"/>
  <c r="Y348" i="6" s="1"/>
  <c r="Z348" i="6" s="1"/>
  <c r="AA348" i="6" s="1"/>
  <c r="R348" i="6" s="1"/>
  <c r="F348" i="6" s="1"/>
  <c r="E348" i="6" s="1"/>
  <c r="M348" i="6"/>
  <c r="T347" i="6"/>
  <c r="U347" i="6" s="1"/>
  <c r="V347" i="6" s="1"/>
  <c r="W347" i="6" s="1"/>
  <c r="X347" i="6" s="1"/>
  <c r="Y347" i="6" s="1"/>
  <c r="Z347" i="6" s="1"/>
  <c r="AA347" i="6" s="1"/>
  <c r="R347" i="6" s="1"/>
  <c r="F347" i="6" s="1"/>
  <c r="E347" i="6" s="1"/>
  <c r="M347" i="6"/>
  <c r="T346" i="6"/>
  <c r="U346" i="6" s="1"/>
  <c r="V346" i="6" s="1"/>
  <c r="W346" i="6" s="1"/>
  <c r="X346" i="6" s="1"/>
  <c r="Y346" i="6" s="1"/>
  <c r="Z346" i="6" s="1"/>
  <c r="AA346" i="6" s="1"/>
  <c r="R346" i="6" s="1"/>
  <c r="F346" i="6" s="1"/>
  <c r="E346" i="6" s="1"/>
  <c r="M346" i="6"/>
  <c r="T345" i="6"/>
  <c r="U345" i="6" s="1"/>
  <c r="V345" i="6" s="1"/>
  <c r="W345" i="6" s="1"/>
  <c r="X345" i="6" s="1"/>
  <c r="Y345" i="6" s="1"/>
  <c r="Z345" i="6" s="1"/>
  <c r="AA345" i="6" s="1"/>
  <c r="R345" i="6" s="1"/>
  <c r="F345" i="6" s="1"/>
  <c r="E345" i="6" s="1"/>
  <c r="M345" i="6"/>
  <c r="T344" i="6"/>
  <c r="U344" i="6" s="1"/>
  <c r="V344" i="6" s="1"/>
  <c r="W344" i="6" s="1"/>
  <c r="X344" i="6" s="1"/>
  <c r="Y344" i="6" s="1"/>
  <c r="Z344" i="6"/>
  <c r="AA344" i="6" s="1"/>
  <c r="R344" i="6" s="1"/>
  <c r="F344" i="6" s="1"/>
  <c r="E344" i="6" s="1"/>
  <c r="M344" i="6"/>
  <c r="T343" i="6"/>
  <c r="U343" i="6" s="1"/>
  <c r="V343" i="6" s="1"/>
  <c r="W343" i="6" s="1"/>
  <c r="X343" i="6" s="1"/>
  <c r="Y343" i="6" s="1"/>
  <c r="Z343" i="6" s="1"/>
  <c r="AA343" i="6" s="1"/>
  <c r="R343" i="6" s="1"/>
  <c r="F343" i="6" s="1"/>
  <c r="E343" i="6" s="1"/>
  <c r="M343" i="6"/>
  <c r="T342" i="6"/>
  <c r="U342" i="6"/>
  <c r="V342" i="6" s="1"/>
  <c r="W342" i="6" s="1"/>
  <c r="X342" i="6" s="1"/>
  <c r="Y342" i="6" s="1"/>
  <c r="Z342" i="6" s="1"/>
  <c r="AA342" i="6" s="1"/>
  <c r="R342" i="6" s="1"/>
  <c r="F342" i="6" s="1"/>
  <c r="E342" i="6" s="1"/>
  <c r="M342" i="6"/>
  <c r="T341" i="6"/>
  <c r="U341" i="6" s="1"/>
  <c r="V341" i="6" s="1"/>
  <c r="W341" i="6" s="1"/>
  <c r="X341" i="6" s="1"/>
  <c r="Y341" i="6" s="1"/>
  <c r="Z341" i="6" s="1"/>
  <c r="AA341" i="6" s="1"/>
  <c r="R341" i="6" s="1"/>
  <c r="F341" i="6" s="1"/>
  <c r="E341" i="6" s="1"/>
  <c r="M341" i="6"/>
  <c r="T340" i="6"/>
  <c r="U340" i="6"/>
  <c r="V340" i="6" s="1"/>
  <c r="W340" i="6" s="1"/>
  <c r="X340" i="6" s="1"/>
  <c r="Y340" i="6" s="1"/>
  <c r="Z340" i="6" s="1"/>
  <c r="AA340" i="6" s="1"/>
  <c r="R340" i="6" s="1"/>
  <c r="F340" i="6" s="1"/>
  <c r="E340" i="6" s="1"/>
  <c r="M340" i="6"/>
  <c r="T339" i="6"/>
  <c r="U339" i="6" s="1"/>
  <c r="V339" i="6" s="1"/>
  <c r="W339" i="6" s="1"/>
  <c r="X339" i="6" s="1"/>
  <c r="Y339" i="6" s="1"/>
  <c r="Z339" i="6" s="1"/>
  <c r="AA339" i="6" s="1"/>
  <c r="R339" i="6" s="1"/>
  <c r="F339" i="6" s="1"/>
  <c r="E339" i="6" s="1"/>
  <c r="T338" i="6"/>
  <c r="U338" i="6" s="1"/>
  <c r="V338" i="6" s="1"/>
  <c r="W338" i="6" s="1"/>
  <c r="X338" i="6" s="1"/>
  <c r="Y338" i="6" s="1"/>
  <c r="Z338" i="6" s="1"/>
  <c r="AA338" i="6" s="1"/>
  <c r="R338" i="6" s="1"/>
  <c r="F338" i="6" s="1"/>
  <c r="E338" i="6" s="1"/>
  <c r="M338" i="6"/>
  <c r="T337" i="6"/>
  <c r="U337" i="6" s="1"/>
  <c r="V337" i="6" s="1"/>
  <c r="W337" i="6" s="1"/>
  <c r="X337" i="6" s="1"/>
  <c r="Y337" i="6" s="1"/>
  <c r="Z337" i="6" s="1"/>
  <c r="AA337" i="6" s="1"/>
  <c r="R337" i="6" s="1"/>
  <c r="F337" i="6" s="1"/>
  <c r="E337" i="6" s="1"/>
  <c r="M337" i="6"/>
  <c r="T336" i="6"/>
  <c r="U336" i="6" s="1"/>
  <c r="V336" i="6" s="1"/>
  <c r="W336" i="6" s="1"/>
  <c r="X336" i="6" s="1"/>
  <c r="Y336" i="6" s="1"/>
  <c r="Z336" i="6" s="1"/>
  <c r="AA336" i="6"/>
  <c r="R336" i="6" s="1"/>
  <c r="F336" i="6" s="1"/>
  <c r="E336" i="6" s="1"/>
  <c r="M336" i="6"/>
  <c r="T335" i="6"/>
  <c r="U335" i="6"/>
  <c r="V335" i="6" s="1"/>
  <c r="W335" i="6" s="1"/>
  <c r="X335" i="6" s="1"/>
  <c r="Y335" i="6" s="1"/>
  <c r="Z335" i="6" s="1"/>
  <c r="AA335" i="6" s="1"/>
  <c r="R335" i="6" s="1"/>
  <c r="F335" i="6" s="1"/>
  <c r="E335" i="6" s="1"/>
  <c r="M335" i="6"/>
  <c r="T334" i="6"/>
  <c r="U334" i="6" s="1"/>
  <c r="V334" i="6" s="1"/>
  <c r="W334" i="6" s="1"/>
  <c r="X334" i="6" s="1"/>
  <c r="Y334" i="6" s="1"/>
  <c r="Z334" i="6" s="1"/>
  <c r="AA334" i="6"/>
  <c r="R334" i="6" s="1"/>
  <c r="F334" i="6" s="1"/>
  <c r="E334" i="6" s="1"/>
  <c r="M334" i="6"/>
  <c r="T333" i="6"/>
  <c r="U333" i="6" s="1"/>
  <c r="V333" i="6" s="1"/>
  <c r="W333" i="6" s="1"/>
  <c r="X333" i="6" s="1"/>
  <c r="Y333" i="6" s="1"/>
  <c r="Z333" i="6" s="1"/>
  <c r="AA333" i="6" s="1"/>
  <c r="R333" i="6" s="1"/>
  <c r="F333" i="6" s="1"/>
  <c r="E333" i="6" s="1"/>
  <c r="M333" i="6"/>
  <c r="T332" i="6"/>
  <c r="U332" i="6" s="1"/>
  <c r="V332" i="6" s="1"/>
  <c r="W332" i="6" s="1"/>
  <c r="X332" i="6" s="1"/>
  <c r="Y332" i="6" s="1"/>
  <c r="Z332" i="6" s="1"/>
  <c r="AA332" i="6" s="1"/>
  <c r="R332" i="6" s="1"/>
  <c r="F332" i="6" s="1"/>
  <c r="E332" i="6" s="1"/>
  <c r="M332" i="6"/>
  <c r="T331" i="6"/>
  <c r="U331" i="6" s="1"/>
  <c r="V331" i="6" s="1"/>
  <c r="W331" i="6" s="1"/>
  <c r="X331" i="6" s="1"/>
  <c r="Y331" i="6" s="1"/>
  <c r="Z331" i="6" s="1"/>
  <c r="AA331" i="6" s="1"/>
  <c r="R331" i="6" s="1"/>
  <c r="F331" i="6" s="1"/>
  <c r="E331" i="6" s="1"/>
  <c r="M331" i="6"/>
  <c r="T330" i="6"/>
  <c r="U330" i="6" s="1"/>
  <c r="V330" i="6" s="1"/>
  <c r="W330" i="6" s="1"/>
  <c r="X330" i="6" s="1"/>
  <c r="Y330" i="6" s="1"/>
  <c r="Z330" i="6" s="1"/>
  <c r="AA330" i="6" s="1"/>
  <c r="R330" i="6" s="1"/>
  <c r="F330" i="6" s="1"/>
  <c r="E330" i="6" s="1"/>
  <c r="M330" i="6"/>
  <c r="T329" i="6"/>
  <c r="U329" i="6"/>
  <c r="V329" i="6" s="1"/>
  <c r="W329" i="6" s="1"/>
  <c r="X329" i="6" s="1"/>
  <c r="Y329" i="6" s="1"/>
  <c r="Z329" i="6" s="1"/>
  <c r="AA329" i="6" s="1"/>
  <c r="R329" i="6" s="1"/>
  <c r="F329" i="6" s="1"/>
  <c r="E329" i="6" s="1"/>
  <c r="M329" i="6"/>
  <c r="T328" i="6"/>
  <c r="U328" i="6" s="1"/>
  <c r="V328" i="6" s="1"/>
  <c r="W328" i="6"/>
  <c r="X328" i="6" s="1"/>
  <c r="Y328" i="6" s="1"/>
  <c r="Z328" i="6" s="1"/>
  <c r="AA328" i="6" s="1"/>
  <c r="R328" i="6" s="1"/>
  <c r="F328" i="6" s="1"/>
  <c r="E328" i="6" s="1"/>
  <c r="M328" i="6"/>
  <c r="T327" i="6"/>
  <c r="U327" i="6"/>
  <c r="V327" i="6" s="1"/>
  <c r="W327" i="6" s="1"/>
  <c r="X327" i="6" s="1"/>
  <c r="Y327" i="6" s="1"/>
  <c r="Z327" i="6" s="1"/>
  <c r="AA327" i="6" s="1"/>
  <c r="R327" i="6" s="1"/>
  <c r="F327" i="6" s="1"/>
  <c r="E327" i="6" s="1"/>
  <c r="M327" i="6"/>
  <c r="T326" i="6"/>
  <c r="U326" i="6" s="1"/>
  <c r="V326" i="6" s="1"/>
  <c r="W326" i="6"/>
  <c r="X326" i="6" s="1"/>
  <c r="Y326" i="6" s="1"/>
  <c r="Z326" i="6" s="1"/>
  <c r="AA326" i="6" s="1"/>
  <c r="R326" i="6" s="1"/>
  <c r="F326" i="6" s="1"/>
  <c r="E326" i="6" s="1"/>
  <c r="M326" i="6"/>
  <c r="T325" i="6"/>
  <c r="U325" i="6" s="1"/>
  <c r="V325" i="6" s="1"/>
  <c r="W325" i="6"/>
  <c r="X325" i="6" s="1"/>
  <c r="Y325" i="6" s="1"/>
  <c r="Z325" i="6" s="1"/>
  <c r="AA325" i="6" s="1"/>
  <c r="R325" i="6" s="1"/>
  <c r="F325" i="6" s="1"/>
  <c r="E325" i="6" s="1"/>
  <c r="M325" i="6"/>
  <c r="T324" i="6"/>
  <c r="U324" i="6" s="1"/>
  <c r="V324" i="6" s="1"/>
  <c r="W324" i="6" s="1"/>
  <c r="X324" i="6" s="1"/>
  <c r="Y324" i="6" s="1"/>
  <c r="Z324" i="6" s="1"/>
  <c r="AA324" i="6" s="1"/>
  <c r="R324" i="6" s="1"/>
  <c r="F324" i="6" s="1"/>
  <c r="E324" i="6" s="1"/>
  <c r="M324" i="6"/>
  <c r="T323" i="6"/>
  <c r="U323" i="6"/>
  <c r="V323" i="6" s="1"/>
  <c r="W323" i="6" s="1"/>
  <c r="X323" i="6" s="1"/>
  <c r="Y323" i="6" s="1"/>
  <c r="Z323" i="6" s="1"/>
  <c r="AA323" i="6" s="1"/>
  <c r="R323" i="6" s="1"/>
  <c r="F323" i="6" s="1"/>
  <c r="E323" i="6" s="1"/>
  <c r="M323" i="6"/>
  <c r="T322" i="6"/>
  <c r="U322" i="6" s="1"/>
  <c r="V322" i="6" s="1"/>
  <c r="W322" i="6"/>
  <c r="X322" i="6" s="1"/>
  <c r="Y322" i="6" s="1"/>
  <c r="Z322" i="6" s="1"/>
  <c r="AA322" i="6" s="1"/>
  <c r="R322" i="6" s="1"/>
  <c r="F322" i="6" s="1"/>
  <c r="E322" i="6" s="1"/>
  <c r="M322" i="6"/>
  <c r="T321" i="6"/>
  <c r="U321" i="6" s="1"/>
  <c r="V321" i="6" s="1"/>
  <c r="W321" i="6" s="1"/>
  <c r="X321" i="6" s="1"/>
  <c r="Y321" i="6" s="1"/>
  <c r="Z321" i="6" s="1"/>
  <c r="AA321" i="6" s="1"/>
  <c r="R321" i="6" s="1"/>
  <c r="F321" i="6" s="1"/>
  <c r="E321" i="6" s="1"/>
  <c r="M321" i="6"/>
  <c r="T320" i="6"/>
  <c r="U320" i="6" s="1"/>
  <c r="V320" i="6" s="1"/>
  <c r="W320" i="6" s="1"/>
  <c r="X320" i="6" s="1"/>
  <c r="Y320" i="6" s="1"/>
  <c r="Z320" i="6" s="1"/>
  <c r="AA320" i="6" s="1"/>
  <c r="R320" i="6" s="1"/>
  <c r="F320" i="6" s="1"/>
  <c r="E320" i="6" s="1"/>
  <c r="M320" i="6"/>
  <c r="T319" i="6"/>
  <c r="U319" i="6"/>
  <c r="V319" i="6" s="1"/>
  <c r="W319" i="6" s="1"/>
  <c r="X319" i="6" s="1"/>
  <c r="Y319" i="6" s="1"/>
  <c r="Z319" i="6" s="1"/>
  <c r="AA319" i="6"/>
  <c r="R319" i="6" s="1"/>
  <c r="F319" i="6" s="1"/>
  <c r="E319" i="6" s="1"/>
  <c r="M319" i="6"/>
  <c r="T318" i="6"/>
  <c r="U318" i="6" s="1"/>
  <c r="V318" i="6" s="1"/>
  <c r="W318" i="6" s="1"/>
  <c r="X318" i="6" s="1"/>
  <c r="Y318" i="6" s="1"/>
  <c r="Z318" i="6" s="1"/>
  <c r="AA318" i="6"/>
  <c r="R318" i="6" s="1"/>
  <c r="F318" i="6" s="1"/>
  <c r="E318" i="6" s="1"/>
  <c r="M318" i="6"/>
  <c r="T317" i="6"/>
  <c r="U317" i="6" s="1"/>
  <c r="V317" i="6" s="1"/>
  <c r="W317" i="6" s="1"/>
  <c r="X317" i="6" s="1"/>
  <c r="Y317" i="6" s="1"/>
  <c r="Z317" i="6" s="1"/>
  <c r="AA317" i="6" s="1"/>
  <c r="R317" i="6" s="1"/>
  <c r="F317" i="6" s="1"/>
  <c r="E317" i="6" s="1"/>
  <c r="M317" i="6"/>
  <c r="T316" i="6"/>
  <c r="U316" i="6" s="1"/>
  <c r="V316" i="6" s="1"/>
  <c r="W316" i="6" s="1"/>
  <c r="X316" i="6" s="1"/>
  <c r="Y316" i="6" s="1"/>
  <c r="Z316" i="6" s="1"/>
  <c r="AA316" i="6" s="1"/>
  <c r="R316" i="6" s="1"/>
  <c r="F316" i="6" s="1"/>
  <c r="E316" i="6" s="1"/>
  <c r="M316" i="6"/>
  <c r="T315" i="6"/>
  <c r="U315" i="6"/>
  <c r="V315" i="6" s="1"/>
  <c r="W315" i="6"/>
  <c r="X315" i="6" s="1"/>
  <c r="Y315" i="6" s="1"/>
  <c r="Z315" i="6" s="1"/>
  <c r="AA315" i="6" s="1"/>
  <c r="R315" i="6" s="1"/>
  <c r="F315" i="6" s="1"/>
  <c r="E315" i="6" s="1"/>
  <c r="M315" i="6"/>
  <c r="T314" i="6"/>
  <c r="U314" i="6" s="1"/>
  <c r="V314" i="6" s="1"/>
  <c r="W314" i="6" s="1"/>
  <c r="X314" i="6" s="1"/>
  <c r="Y314" i="6" s="1"/>
  <c r="Z314" i="6" s="1"/>
  <c r="AA314" i="6" s="1"/>
  <c r="R314" i="6" s="1"/>
  <c r="F314" i="6" s="1"/>
  <c r="E314" i="6" s="1"/>
  <c r="M314" i="6"/>
  <c r="T313" i="6"/>
  <c r="U313" i="6"/>
  <c r="V313" i="6" s="1"/>
  <c r="W313" i="6" s="1"/>
  <c r="X313" i="6" s="1"/>
  <c r="Y313" i="6" s="1"/>
  <c r="Z313" i="6" s="1"/>
  <c r="AA313" i="6" s="1"/>
  <c r="R313" i="6" s="1"/>
  <c r="F313" i="6" s="1"/>
  <c r="E313" i="6" s="1"/>
  <c r="M313" i="6"/>
  <c r="T312" i="6"/>
  <c r="U312" i="6" s="1"/>
  <c r="V312" i="6" s="1"/>
  <c r="W312" i="6"/>
  <c r="X312" i="6" s="1"/>
  <c r="Y312" i="6" s="1"/>
  <c r="Z312" i="6" s="1"/>
  <c r="AA312" i="6" s="1"/>
  <c r="R312" i="6" s="1"/>
  <c r="F312" i="6" s="1"/>
  <c r="E312" i="6" s="1"/>
  <c r="M312" i="6"/>
  <c r="T311" i="6"/>
  <c r="U311" i="6"/>
  <c r="V311" i="6" s="1"/>
  <c r="W311" i="6" s="1"/>
  <c r="X311" i="6" s="1"/>
  <c r="Y311" i="6" s="1"/>
  <c r="Z311" i="6" s="1"/>
  <c r="AA311" i="6" s="1"/>
  <c r="R311" i="6" s="1"/>
  <c r="F311" i="6" s="1"/>
  <c r="E311" i="6" s="1"/>
  <c r="M311" i="6"/>
  <c r="T310" i="6"/>
  <c r="U310" i="6" s="1"/>
  <c r="V310" i="6" s="1"/>
  <c r="W310" i="6"/>
  <c r="X310" i="6" s="1"/>
  <c r="Y310" i="6" s="1"/>
  <c r="Z310" i="6" s="1"/>
  <c r="AA310" i="6" s="1"/>
  <c r="R310" i="6" s="1"/>
  <c r="F310" i="6" s="1"/>
  <c r="E310" i="6" s="1"/>
  <c r="M310" i="6"/>
  <c r="T309" i="6"/>
  <c r="U309" i="6" s="1"/>
  <c r="V309" i="6" s="1"/>
  <c r="W309" i="6"/>
  <c r="X309" i="6" s="1"/>
  <c r="Y309" i="6" s="1"/>
  <c r="Z309" i="6" s="1"/>
  <c r="AA309" i="6" s="1"/>
  <c r="R309" i="6" s="1"/>
  <c r="F309" i="6" s="1"/>
  <c r="E309" i="6" s="1"/>
  <c r="M309" i="6"/>
  <c r="Z308" i="6"/>
  <c r="AA308" i="6" s="1"/>
  <c r="R308" i="6" s="1"/>
  <c r="F308" i="6" s="1"/>
  <c r="E308" i="6" s="1"/>
  <c r="T308" i="6"/>
  <c r="U308" i="6" s="1"/>
  <c r="V308" i="6"/>
  <c r="W308" i="6" s="1"/>
  <c r="X308" i="6" s="1"/>
  <c r="M308" i="6"/>
  <c r="T307" i="6"/>
  <c r="U307" i="6" s="1"/>
  <c r="V307" i="6"/>
  <c r="W307" i="6" s="1"/>
  <c r="X307" i="6" s="1"/>
  <c r="Y307" i="6" s="1"/>
  <c r="Z307" i="6" s="1"/>
  <c r="AA307" i="6" s="1"/>
  <c r="R307" i="6" s="1"/>
  <c r="F307" i="6" s="1"/>
  <c r="E307" i="6"/>
  <c r="M307" i="6"/>
  <c r="T306" i="6"/>
  <c r="U306" i="6" s="1"/>
  <c r="V306" i="6" s="1"/>
  <c r="W306" i="6" s="1"/>
  <c r="X306" i="6"/>
  <c r="Y306" i="6" s="1"/>
  <c r="Z306" i="6" s="1"/>
  <c r="AA306" i="6" s="1"/>
  <c r="R306" i="6"/>
  <c r="F306" i="6" s="1"/>
  <c r="E306" i="6" s="1"/>
  <c r="M306" i="6"/>
  <c r="T305" i="6"/>
  <c r="U305" i="6" s="1"/>
  <c r="V305" i="6"/>
  <c r="W305" i="6" s="1"/>
  <c r="X305" i="6" s="1"/>
  <c r="Y305" i="6" s="1"/>
  <c r="Z305" i="6" s="1"/>
  <c r="AA305" i="6" s="1"/>
  <c r="R305" i="6" s="1"/>
  <c r="F305" i="6" s="1"/>
  <c r="E305" i="6"/>
  <c r="M305" i="6"/>
  <c r="T304" i="6"/>
  <c r="U304" i="6" s="1"/>
  <c r="V304" i="6" s="1"/>
  <c r="W304" i="6" s="1"/>
  <c r="X304" i="6" s="1"/>
  <c r="Y304" i="6" s="1"/>
  <c r="Z304" i="6" s="1"/>
  <c r="AA304" i="6" s="1"/>
  <c r="R304" i="6" s="1"/>
  <c r="F304" i="6" s="1"/>
  <c r="E304" i="6" s="1"/>
  <c r="M304" i="6"/>
  <c r="T303" i="6"/>
  <c r="U303" i="6" s="1"/>
  <c r="V303" i="6" s="1"/>
  <c r="W303" i="6" s="1"/>
  <c r="X303" i="6" s="1"/>
  <c r="Y303" i="6" s="1"/>
  <c r="Z303" i="6" s="1"/>
  <c r="AA303" i="6" s="1"/>
  <c r="R303" i="6" s="1"/>
  <c r="F303" i="6" s="1"/>
  <c r="E303" i="6" s="1"/>
  <c r="M303" i="6"/>
  <c r="T302" i="6"/>
  <c r="U302" i="6" s="1"/>
  <c r="V302" i="6" s="1"/>
  <c r="W302" i="6" s="1"/>
  <c r="X302" i="6" s="1"/>
  <c r="Y302" i="6" s="1"/>
  <c r="Z302" i="6" s="1"/>
  <c r="AA302" i="6" s="1"/>
  <c r="R302" i="6"/>
  <c r="F302" i="6" s="1"/>
  <c r="E302" i="6" s="1"/>
  <c r="M302" i="6"/>
  <c r="T301" i="6"/>
  <c r="U301" i="6" s="1"/>
  <c r="V301" i="6" s="1"/>
  <c r="W301" i="6" s="1"/>
  <c r="X301" i="6" s="1"/>
  <c r="Y301" i="6" s="1"/>
  <c r="Z301" i="6" s="1"/>
  <c r="AA301" i="6" s="1"/>
  <c r="R301" i="6" s="1"/>
  <c r="F301" i="6" s="1"/>
  <c r="E301" i="6" s="1"/>
  <c r="M301" i="6"/>
  <c r="T300" i="6"/>
  <c r="U300" i="6" s="1"/>
  <c r="V300" i="6" s="1"/>
  <c r="W300" i="6" s="1"/>
  <c r="X300" i="6" s="1"/>
  <c r="Y300" i="6" s="1"/>
  <c r="Z300" i="6" s="1"/>
  <c r="AA300" i="6" s="1"/>
  <c r="R300" i="6" s="1"/>
  <c r="F300" i="6" s="1"/>
  <c r="E300" i="6" s="1"/>
  <c r="T299" i="6"/>
  <c r="U299" i="6"/>
  <c r="V299" i="6" s="1"/>
  <c r="W299" i="6" s="1"/>
  <c r="X299" i="6" s="1"/>
  <c r="Y299" i="6" s="1"/>
  <c r="Z299" i="6" s="1"/>
  <c r="AA299" i="6" s="1"/>
  <c r="R299" i="6" s="1"/>
  <c r="F299" i="6" s="1"/>
  <c r="E299" i="6" s="1"/>
  <c r="M299" i="6"/>
  <c r="T298" i="6"/>
  <c r="U298" i="6" s="1"/>
  <c r="V298" i="6" s="1"/>
  <c r="W298" i="6" s="1"/>
  <c r="X298" i="6" s="1"/>
  <c r="Y298" i="6" s="1"/>
  <c r="Z298" i="6" s="1"/>
  <c r="AA298" i="6" s="1"/>
  <c r="R298" i="6" s="1"/>
  <c r="F298" i="6" s="1"/>
  <c r="E298" i="6" s="1"/>
  <c r="M298" i="6"/>
  <c r="T297" i="6"/>
  <c r="U297" i="6" s="1"/>
  <c r="V297" i="6" s="1"/>
  <c r="W297" i="6" s="1"/>
  <c r="X297" i="6" s="1"/>
  <c r="Y297" i="6" s="1"/>
  <c r="Z297" i="6" s="1"/>
  <c r="AA297" i="6" s="1"/>
  <c r="R297" i="6" s="1"/>
  <c r="F297" i="6" s="1"/>
  <c r="E297" i="6" s="1"/>
  <c r="M297" i="6"/>
  <c r="T296" i="6"/>
  <c r="U296" i="6"/>
  <c r="V296" i="6" s="1"/>
  <c r="W296" i="6" s="1"/>
  <c r="X296" i="6" s="1"/>
  <c r="Y296" i="6" s="1"/>
  <c r="Z296" i="6" s="1"/>
  <c r="AA296" i="6" s="1"/>
  <c r="R296" i="6" s="1"/>
  <c r="F296" i="6" s="1"/>
  <c r="E296" i="6" s="1"/>
  <c r="M296" i="6"/>
  <c r="T295" i="6"/>
  <c r="U295" i="6"/>
  <c r="V295" i="6" s="1"/>
  <c r="W295" i="6" s="1"/>
  <c r="X295" i="6" s="1"/>
  <c r="Y295" i="6"/>
  <c r="Z295" i="6" s="1"/>
  <c r="AA295" i="6" s="1"/>
  <c r="R295" i="6" s="1"/>
  <c r="F295" i="6" s="1"/>
  <c r="E295" i="6" s="1"/>
  <c r="M295" i="6"/>
  <c r="T294" i="6"/>
  <c r="U294" i="6"/>
  <c r="V294" i="6" s="1"/>
  <c r="W294" i="6" s="1"/>
  <c r="X294" i="6" s="1"/>
  <c r="Y294" i="6" s="1"/>
  <c r="Z294" i="6" s="1"/>
  <c r="AA294" i="6"/>
  <c r="R294" i="6" s="1"/>
  <c r="F294" i="6" s="1"/>
  <c r="E294" i="6" s="1"/>
  <c r="M294" i="6"/>
  <c r="T293" i="6"/>
  <c r="U293" i="6"/>
  <c r="V293" i="6" s="1"/>
  <c r="W293" i="6"/>
  <c r="X293" i="6" s="1"/>
  <c r="Y293" i="6" s="1"/>
  <c r="Z293" i="6" s="1"/>
  <c r="AA293" i="6" s="1"/>
  <c r="R293" i="6" s="1"/>
  <c r="F293" i="6" s="1"/>
  <c r="E293" i="6" s="1"/>
  <c r="M293" i="6"/>
  <c r="T292" i="6"/>
  <c r="U292" i="6"/>
  <c r="V292" i="6" s="1"/>
  <c r="W292" i="6" s="1"/>
  <c r="X292" i="6" s="1"/>
  <c r="Y292" i="6"/>
  <c r="Z292" i="6" s="1"/>
  <c r="AA292" i="6" s="1"/>
  <c r="R292" i="6" s="1"/>
  <c r="F292" i="6" s="1"/>
  <c r="E292" i="6" s="1"/>
  <c r="M292" i="6"/>
  <c r="T291" i="6"/>
  <c r="U291" i="6"/>
  <c r="V291" i="6" s="1"/>
  <c r="W291" i="6" s="1"/>
  <c r="X291" i="6" s="1"/>
  <c r="Y291" i="6" s="1"/>
  <c r="Z291" i="6" s="1"/>
  <c r="AA291" i="6" s="1"/>
  <c r="R291" i="6" s="1"/>
  <c r="F291" i="6" s="1"/>
  <c r="E291" i="6" s="1"/>
  <c r="M291" i="6"/>
  <c r="T290" i="6"/>
  <c r="U290" i="6"/>
  <c r="V290" i="6" s="1"/>
  <c r="W290" i="6" s="1"/>
  <c r="X290" i="6" s="1"/>
  <c r="Y290" i="6" s="1"/>
  <c r="Z290" i="6" s="1"/>
  <c r="AA290" i="6" s="1"/>
  <c r="R290" i="6" s="1"/>
  <c r="F290" i="6" s="1"/>
  <c r="E290" i="6" s="1"/>
  <c r="M290" i="6"/>
  <c r="T289" i="6"/>
  <c r="U289" i="6"/>
  <c r="V289" i="6" s="1"/>
  <c r="W289" i="6"/>
  <c r="X289" i="6" s="1"/>
  <c r="Y289" i="6" s="1"/>
  <c r="Z289" i="6" s="1"/>
  <c r="AA289" i="6" s="1"/>
  <c r="R289" i="6" s="1"/>
  <c r="F289" i="6" s="1"/>
  <c r="E289" i="6" s="1"/>
  <c r="M289" i="6"/>
  <c r="T288" i="6"/>
  <c r="U288" i="6"/>
  <c r="V288" i="6" s="1"/>
  <c r="W288" i="6" s="1"/>
  <c r="X288" i="6" s="1"/>
  <c r="Y288" i="6" s="1"/>
  <c r="Z288" i="6" s="1"/>
  <c r="AA288" i="6" s="1"/>
  <c r="R288" i="6" s="1"/>
  <c r="F288" i="6" s="1"/>
  <c r="E288" i="6" s="1"/>
  <c r="M288" i="6"/>
  <c r="T287" i="6"/>
  <c r="U287" i="6" s="1"/>
  <c r="V287" i="6" s="1"/>
  <c r="W287" i="6" s="1"/>
  <c r="X287" i="6" s="1"/>
  <c r="Y287" i="6" s="1"/>
  <c r="Z287" i="6" s="1"/>
  <c r="AA287" i="6" s="1"/>
  <c r="R287" i="6" s="1"/>
  <c r="F287" i="6" s="1"/>
  <c r="E287" i="6" s="1"/>
  <c r="M287" i="6"/>
  <c r="T286" i="6"/>
  <c r="U286" i="6"/>
  <c r="V286" i="6"/>
  <c r="W286" i="6" s="1"/>
  <c r="X286" i="6" s="1"/>
  <c r="Y286" i="6" s="1"/>
  <c r="Z286" i="6" s="1"/>
  <c r="AA286" i="6" s="1"/>
  <c r="R286" i="6" s="1"/>
  <c r="F286" i="6" s="1"/>
  <c r="E286" i="6" s="1"/>
  <c r="O286" i="6"/>
  <c r="M286" i="6"/>
  <c r="T285" i="6"/>
  <c r="U285" i="6" s="1"/>
  <c r="V285" i="6" s="1"/>
  <c r="W285" i="6" s="1"/>
  <c r="X285" i="6" s="1"/>
  <c r="Y285" i="6" s="1"/>
  <c r="Z285" i="6" s="1"/>
  <c r="AA285" i="6" s="1"/>
  <c r="R285" i="6" s="1"/>
  <c r="F285" i="6" s="1"/>
  <c r="E285" i="6" s="1"/>
  <c r="T284" i="6"/>
  <c r="U284" i="6"/>
  <c r="V284" i="6" s="1"/>
  <c r="W284" i="6" s="1"/>
  <c r="X284" i="6" s="1"/>
  <c r="Y284" i="6" s="1"/>
  <c r="Z284" i="6" s="1"/>
  <c r="AA284" i="6" s="1"/>
  <c r="R284" i="6" s="1"/>
  <c r="F284" i="6" s="1"/>
  <c r="E284" i="6" s="1"/>
  <c r="M284" i="6"/>
  <c r="T283" i="6"/>
  <c r="U283" i="6" s="1"/>
  <c r="V283" i="6" s="1"/>
  <c r="W283" i="6" s="1"/>
  <c r="X283" i="6" s="1"/>
  <c r="Y283" i="6" s="1"/>
  <c r="Z283" i="6" s="1"/>
  <c r="AA283" i="6" s="1"/>
  <c r="R283" i="6" s="1"/>
  <c r="F283" i="6" s="1"/>
  <c r="E283" i="6" s="1"/>
  <c r="M283" i="6"/>
  <c r="T282" i="6"/>
  <c r="U282" i="6" s="1"/>
  <c r="V282" i="6" s="1"/>
  <c r="W282" i="6" s="1"/>
  <c r="X282" i="6" s="1"/>
  <c r="Y282" i="6" s="1"/>
  <c r="Z282" i="6" s="1"/>
  <c r="AA282" i="6" s="1"/>
  <c r="R282" i="6" s="1"/>
  <c r="F282" i="6" s="1"/>
  <c r="E282" i="6" s="1"/>
  <c r="M282" i="6"/>
  <c r="T281" i="6"/>
  <c r="U281" i="6" s="1"/>
  <c r="V281" i="6" s="1"/>
  <c r="W281" i="6" s="1"/>
  <c r="X281" i="6" s="1"/>
  <c r="Y281" i="6" s="1"/>
  <c r="Z281" i="6" s="1"/>
  <c r="AA281" i="6" s="1"/>
  <c r="R281" i="6" s="1"/>
  <c r="F281" i="6" s="1"/>
  <c r="E281" i="6" s="1"/>
  <c r="M281" i="6"/>
  <c r="T280" i="6"/>
  <c r="U280" i="6"/>
  <c r="V280" i="6" s="1"/>
  <c r="W280" i="6" s="1"/>
  <c r="X280" i="6" s="1"/>
  <c r="Y280" i="6"/>
  <c r="Z280" i="6" s="1"/>
  <c r="AA280" i="6" s="1"/>
  <c r="R280" i="6" s="1"/>
  <c r="F280" i="6" s="1"/>
  <c r="E280" i="6" s="1"/>
  <c r="T279" i="6"/>
  <c r="U279" i="6"/>
  <c r="V279" i="6"/>
  <c r="W279" i="6" s="1"/>
  <c r="X279" i="6" s="1"/>
  <c r="Y279" i="6" s="1"/>
  <c r="Z279" i="6" s="1"/>
  <c r="AA279" i="6" s="1"/>
  <c r="R279" i="6" s="1"/>
  <c r="F279" i="6" s="1"/>
  <c r="E279" i="6" s="1"/>
  <c r="M279" i="6"/>
  <c r="T278" i="6"/>
  <c r="U278" i="6" s="1"/>
  <c r="V278" i="6" s="1"/>
  <c r="W278" i="6" s="1"/>
  <c r="X278" i="6" s="1"/>
  <c r="Y278" i="6" s="1"/>
  <c r="Z278" i="6" s="1"/>
  <c r="AA278" i="6" s="1"/>
  <c r="R278" i="6" s="1"/>
  <c r="F278" i="6" s="1"/>
  <c r="E278" i="6" s="1"/>
  <c r="M278" i="6"/>
  <c r="T277" i="6"/>
  <c r="U277" i="6" s="1"/>
  <c r="V277" i="6" s="1"/>
  <c r="W277" i="6" s="1"/>
  <c r="X277" i="6" s="1"/>
  <c r="Y277" i="6" s="1"/>
  <c r="Z277" i="6" s="1"/>
  <c r="AA277" i="6" s="1"/>
  <c r="R277" i="6" s="1"/>
  <c r="F277" i="6" s="1"/>
  <c r="E277" i="6" s="1"/>
  <c r="M277" i="6"/>
  <c r="T276" i="6"/>
  <c r="U276" i="6" s="1"/>
  <c r="V276" i="6" s="1"/>
  <c r="W276" i="6" s="1"/>
  <c r="X276" i="6" s="1"/>
  <c r="Y276" i="6" s="1"/>
  <c r="Z276" i="6" s="1"/>
  <c r="AA276" i="6" s="1"/>
  <c r="R276" i="6" s="1"/>
  <c r="F276" i="6" s="1"/>
  <c r="E276" i="6" s="1"/>
  <c r="M276" i="6"/>
  <c r="T275" i="6"/>
  <c r="U275" i="6" s="1"/>
  <c r="V275" i="6" s="1"/>
  <c r="W275" i="6" s="1"/>
  <c r="X275" i="6" s="1"/>
  <c r="Y275" i="6" s="1"/>
  <c r="Z275" i="6" s="1"/>
  <c r="AA275" i="6" s="1"/>
  <c r="R275" i="6" s="1"/>
  <c r="F275" i="6" s="1"/>
  <c r="E275" i="6" s="1"/>
  <c r="M275" i="6"/>
  <c r="T274" i="6"/>
  <c r="U274" i="6" s="1"/>
  <c r="V274" i="6" s="1"/>
  <c r="W274" i="6" s="1"/>
  <c r="X274" i="6" s="1"/>
  <c r="Y274" i="6" s="1"/>
  <c r="Z274" i="6" s="1"/>
  <c r="AA274" i="6" s="1"/>
  <c r="R274" i="6" s="1"/>
  <c r="F274" i="6" s="1"/>
  <c r="E274" i="6" s="1"/>
  <c r="M274" i="6"/>
  <c r="T273" i="6"/>
  <c r="U273" i="6"/>
  <c r="V273" i="6" s="1"/>
  <c r="W273" i="6" s="1"/>
  <c r="X273" i="6" s="1"/>
  <c r="Y273" i="6" s="1"/>
  <c r="Z273" i="6" s="1"/>
  <c r="AA273" i="6" s="1"/>
  <c r="R273" i="6" s="1"/>
  <c r="F273" i="6" s="1"/>
  <c r="E273" i="6" s="1"/>
  <c r="M273" i="6"/>
  <c r="T272" i="6"/>
  <c r="U272" i="6" s="1"/>
  <c r="V272" i="6" s="1"/>
  <c r="W272" i="6" s="1"/>
  <c r="X272" i="6" s="1"/>
  <c r="Y272" i="6" s="1"/>
  <c r="Z272" i="6" s="1"/>
  <c r="AA272" i="6" s="1"/>
  <c r="R272" i="6" s="1"/>
  <c r="F272" i="6" s="1"/>
  <c r="E272" i="6" s="1"/>
  <c r="M272" i="6"/>
  <c r="T271" i="6"/>
  <c r="U271" i="6"/>
  <c r="V271" i="6"/>
  <c r="W271" i="6" s="1"/>
  <c r="X271" i="6" s="1"/>
  <c r="Y271" i="6" s="1"/>
  <c r="Z271" i="6" s="1"/>
  <c r="AA271" i="6" s="1"/>
  <c r="R271" i="6" s="1"/>
  <c r="F271" i="6" s="1"/>
  <c r="E271" i="6" s="1"/>
  <c r="M271" i="6"/>
  <c r="T270" i="6"/>
  <c r="U270" i="6" s="1"/>
  <c r="V270" i="6" s="1"/>
  <c r="W270" i="6" s="1"/>
  <c r="X270" i="6" s="1"/>
  <c r="Y270" i="6" s="1"/>
  <c r="Z270" i="6" s="1"/>
  <c r="AA270" i="6" s="1"/>
  <c r="R270" i="6" s="1"/>
  <c r="F270" i="6" s="1"/>
  <c r="E270" i="6" s="1"/>
  <c r="M270" i="6"/>
  <c r="T269" i="6"/>
  <c r="U269" i="6" s="1"/>
  <c r="V269" i="6" s="1"/>
  <c r="W269" i="6" s="1"/>
  <c r="X269" i="6" s="1"/>
  <c r="Y269" i="6" s="1"/>
  <c r="Z269" i="6" s="1"/>
  <c r="AA269" i="6" s="1"/>
  <c r="R269" i="6" s="1"/>
  <c r="F269" i="6" s="1"/>
  <c r="E269" i="6" s="1"/>
  <c r="M269" i="6"/>
  <c r="T268" i="6"/>
  <c r="U268" i="6" s="1"/>
  <c r="V268" i="6" s="1"/>
  <c r="W268" i="6" s="1"/>
  <c r="X268" i="6" s="1"/>
  <c r="Y268" i="6" s="1"/>
  <c r="Z268" i="6" s="1"/>
  <c r="AA268" i="6" s="1"/>
  <c r="R268" i="6" s="1"/>
  <c r="F268" i="6" s="1"/>
  <c r="E268" i="6" s="1"/>
  <c r="M268" i="6"/>
  <c r="T267" i="6"/>
  <c r="U267" i="6" s="1"/>
  <c r="V267" i="6" s="1"/>
  <c r="W267" i="6" s="1"/>
  <c r="X267" i="6" s="1"/>
  <c r="Y267" i="6" s="1"/>
  <c r="Z267" i="6" s="1"/>
  <c r="AA267" i="6" s="1"/>
  <c r="R267" i="6" s="1"/>
  <c r="F267" i="6" s="1"/>
  <c r="E267" i="6" s="1"/>
  <c r="M267" i="6"/>
  <c r="T266" i="6"/>
  <c r="U266" i="6" s="1"/>
  <c r="V266" i="6" s="1"/>
  <c r="W266" i="6" s="1"/>
  <c r="X266" i="6" s="1"/>
  <c r="Y266" i="6" s="1"/>
  <c r="Z266" i="6" s="1"/>
  <c r="AA266" i="6" s="1"/>
  <c r="R266" i="6" s="1"/>
  <c r="F266" i="6" s="1"/>
  <c r="E266" i="6" s="1"/>
  <c r="T265" i="6"/>
  <c r="U265" i="6" s="1"/>
  <c r="V265" i="6" s="1"/>
  <c r="W265" i="6" s="1"/>
  <c r="X265" i="6" s="1"/>
  <c r="Y265" i="6" s="1"/>
  <c r="Z265" i="6" s="1"/>
  <c r="AA265" i="6" s="1"/>
  <c r="R265" i="6" s="1"/>
  <c r="F265" i="6" s="1"/>
  <c r="E265" i="6" s="1"/>
  <c r="M265" i="6"/>
  <c r="T264" i="6"/>
  <c r="U264" i="6"/>
  <c r="V264" i="6" s="1"/>
  <c r="W264" i="6" s="1"/>
  <c r="X264" i="6" s="1"/>
  <c r="Y264" i="6" s="1"/>
  <c r="Z264" i="6" s="1"/>
  <c r="AA264" i="6" s="1"/>
  <c r="R264" i="6" s="1"/>
  <c r="F264" i="6" s="1"/>
  <c r="E264" i="6" s="1"/>
  <c r="M264" i="6"/>
  <c r="T263" i="6"/>
  <c r="U263" i="6" s="1"/>
  <c r="V263" i="6" s="1"/>
  <c r="W263" i="6" s="1"/>
  <c r="X263" i="6" s="1"/>
  <c r="Y263" i="6" s="1"/>
  <c r="Z263" i="6" s="1"/>
  <c r="AA263" i="6" s="1"/>
  <c r="R263" i="6" s="1"/>
  <c r="F263" i="6" s="1"/>
  <c r="E263" i="6" s="1"/>
  <c r="M263" i="6"/>
  <c r="T262" i="6"/>
  <c r="U262" i="6"/>
  <c r="V262" i="6" s="1"/>
  <c r="W262" i="6" s="1"/>
  <c r="X262" i="6" s="1"/>
  <c r="Y262" i="6" s="1"/>
  <c r="Z262" i="6" s="1"/>
  <c r="AA262" i="6" s="1"/>
  <c r="R262" i="6" s="1"/>
  <c r="F262" i="6" s="1"/>
  <c r="E262" i="6" s="1"/>
  <c r="M262" i="6"/>
  <c r="T261" i="6"/>
  <c r="U261" i="6" s="1"/>
  <c r="V261" i="6" s="1"/>
  <c r="W261" i="6" s="1"/>
  <c r="X261" i="6" s="1"/>
  <c r="Y261" i="6" s="1"/>
  <c r="Z261" i="6" s="1"/>
  <c r="AA261" i="6" s="1"/>
  <c r="R261" i="6" s="1"/>
  <c r="F261" i="6" s="1"/>
  <c r="E261" i="6" s="1"/>
  <c r="M261" i="6"/>
  <c r="T260" i="6"/>
  <c r="U260" i="6" s="1"/>
  <c r="V260" i="6" s="1"/>
  <c r="W260" i="6" s="1"/>
  <c r="X260" i="6" s="1"/>
  <c r="Y260" i="6" s="1"/>
  <c r="Z260" i="6" s="1"/>
  <c r="AA260" i="6" s="1"/>
  <c r="R260" i="6" s="1"/>
  <c r="F260" i="6" s="1"/>
  <c r="E260" i="6" s="1"/>
  <c r="M260" i="6"/>
  <c r="T259" i="6"/>
  <c r="U259" i="6" s="1"/>
  <c r="V259" i="6" s="1"/>
  <c r="W259" i="6" s="1"/>
  <c r="X259" i="6" s="1"/>
  <c r="Y259" i="6" s="1"/>
  <c r="Z259" i="6" s="1"/>
  <c r="AA259" i="6" s="1"/>
  <c r="R259" i="6" s="1"/>
  <c r="F259" i="6" s="1"/>
  <c r="E259" i="6" s="1"/>
  <c r="M259" i="6"/>
  <c r="T258" i="6"/>
  <c r="U258" i="6"/>
  <c r="V258" i="6" s="1"/>
  <c r="W258" i="6" s="1"/>
  <c r="X258" i="6" s="1"/>
  <c r="Y258" i="6" s="1"/>
  <c r="Z258" i="6" s="1"/>
  <c r="AA258" i="6" s="1"/>
  <c r="R258" i="6" s="1"/>
  <c r="F258" i="6" s="1"/>
  <c r="E258" i="6" s="1"/>
  <c r="M258" i="6"/>
  <c r="T257" i="6"/>
  <c r="U257" i="6" s="1"/>
  <c r="V257" i="6" s="1"/>
  <c r="W257" i="6" s="1"/>
  <c r="X257" i="6" s="1"/>
  <c r="Y257" i="6"/>
  <c r="Z257" i="6" s="1"/>
  <c r="AA257" i="6"/>
  <c r="R257" i="6" s="1"/>
  <c r="F257" i="6" s="1"/>
  <c r="E257" i="6" s="1"/>
  <c r="M257" i="6"/>
  <c r="T256" i="6"/>
  <c r="U256" i="6"/>
  <c r="V256" i="6" s="1"/>
  <c r="W256" i="6"/>
  <c r="X256" i="6" s="1"/>
  <c r="Y256" i="6" s="1"/>
  <c r="Z256" i="6" s="1"/>
  <c r="AA256" i="6" s="1"/>
  <c r="R256" i="6" s="1"/>
  <c r="F256" i="6" s="1"/>
  <c r="E256" i="6" s="1"/>
  <c r="M256" i="6"/>
  <c r="T255" i="6"/>
  <c r="U255" i="6" s="1"/>
  <c r="V255" i="6" s="1"/>
  <c r="W255" i="6" s="1"/>
  <c r="X255" i="6" s="1"/>
  <c r="Y255" i="6" s="1"/>
  <c r="Z255" i="6" s="1"/>
  <c r="AA255" i="6" s="1"/>
  <c r="R255" i="6" s="1"/>
  <c r="F255" i="6" s="1"/>
  <c r="E255" i="6" s="1"/>
  <c r="M255" i="6"/>
  <c r="T254" i="6"/>
  <c r="U254" i="6"/>
  <c r="V254" i="6" s="1"/>
  <c r="W254" i="6" s="1"/>
  <c r="X254" i="6" s="1"/>
  <c r="Y254" i="6" s="1"/>
  <c r="Z254" i="6" s="1"/>
  <c r="AA254" i="6" s="1"/>
  <c r="R254" i="6" s="1"/>
  <c r="F254" i="6" s="1"/>
  <c r="E254" i="6" s="1"/>
  <c r="M254" i="6"/>
  <c r="T253" i="6"/>
  <c r="U253" i="6" s="1"/>
  <c r="V253" i="6" s="1"/>
  <c r="W253" i="6" s="1"/>
  <c r="X253" i="6" s="1"/>
  <c r="Y253" i="6" s="1"/>
  <c r="Z253" i="6" s="1"/>
  <c r="AA253" i="6" s="1"/>
  <c r="R253" i="6" s="1"/>
  <c r="F253" i="6" s="1"/>
  <c r="E253" i="6" s="1"/>
  <c r="M253" i="6"/>
  <c r="T252" i="6"/>
  <c r="U252" i="6"/>
  <c r="V252" i="6" s="1"/>
  <c r="W252" i="6" s="1"/>
  <c r="X252" i="6" s="1"/>
  <c r="Y252" i="6" s="1"/>
  <c r="Z252" i="6" s="1"/>
  <c r="AA252" i="6" s="1"/>
  <c r="R252" i="6" s="1"/>
  <c r="F252" i="6" s="1"/>
  <c r="E252" i="6" s="1"/>
  <c r="M252" i="6"/>
  <c r="T251" i="6"/>
  <c r="U251" i="6" s="1"/>
  <c r="V251" i="6" s="1"/>
  <c r="W251" i="6" s="1"/>
  <c r="X251" i="6" s="1"/>
  <c r="Y251" i="6" s="1"/>
  <c r="Z251" i="6" s="1"/>
  <c r="AA251" i="6" s="1"/>
  <c r="R251" i="6" s="1"/>
  <c r="F251" i="6" s="1"/>
  <c r="E251" i="6" s="1"/>
  <c r="M251" i="6"/>
  <c r="T250" i="6"/>
  <c r="U250" i="6" s="1"/>
  <c r="V250" i="6" s="1"/>
  <c r="W250" i="6" s="1"/>
  <c r="X250" i="6" s="1"/>
  <c r="Y250" i="6" s="1"/>
  <c r="Z250" i="6" s="1"/>
  <c r="AA250" i="6" s="1"/>
  <c r="R250" i="6" s="1"/>
  <c r="F250" i="6" s="1"/>
  <c r="E250" i="6" s="1"/>
  <c r="M250" i="6"/>
  <c r="T249" i="6"/>
  <c r="U249" i="6" s="1"/>
  <c r="V249" i="6" s="1"/>
  <c r="W249" i="6" s="1"/>
  <c r="X249" i="6" s="1"/>
  <c r="Y249" i="6" s="1"/>
  <c r="Z249" i="6" s="1"/>
  <c r="AA249" i="6" s="1"/>
  <c r="R249" i="6" s="1"/>
  <c r="F249" i="6" s="1"/>
  <c r="E249" i="6" s="1"/>
  <c r="M249" i="6"/>
  <c r="T248" i="6"/>
  <c r="U248" i="6"/>
  <c r="V248" i="6" s="1"/>
  <c r="W248" i="6" s="1"/>
  <c r="X248" i="6" s="1"/>
  <c r="Y248" i="6" s="1"/>
  <c r="Z248" i="6" s="1"/>
  <c r="AA248" i="6" s="1"/>
  <c r="R248" i="6" s="1"/>
  <c r="F248" i="6" s="1"/>
  <c r="E248" i="6" s="1"/>
  <c r="M248" i="6"/>
  <c r="T247" i="6"/>
  <c r="U247" i="6" s="1"/>
  <c r="V247" i="6"/>
  <c r="W247" i="6"/>
  <c r="X247" i="6" s="1"/>
  <c r="Y247" i="6" s="1"/>
  <c r="Z247" i="6" s="1"/>
  <c r="AA247" i="6" s="1"/>
  <c r="R247" i="6" s="1"/>
  <c r="F247" i="6" s="1"/>
  <c r="E247" i="6" s="1"/>
  <c r="M247" i="6"/>
  <c r="T246" i="6"/>
  <c r="U246" i="6"/>
  <c r="V246" i="6" s="1"/>
  <c r="W246" i="6" s="1"/>
  <c r="X246" i="6" s="1"/>
  <c r="Y246" i="6" s="1"/>
  <c r="Z246" i="6" s="1"/>
  <c r="AA246" i="6" s="1"/>
  <c r="R246" i="6" s="1"/>
  <c r="F246" i="6" s="1"/>
  <c r="E246" i="6" s="1"/>
  <c r="M246" i="6"/>
  <c r="T245" i="6"/>
  <c r="U245" i="6" s="1"/>
  <c r="V245" i="6"/>
  <c r="W245" i="6" s="1"/>
  <c r="X245" i="6" s="1"/>
  <c r="Y245" i="6" s="1"/>
  <c r="Z245" i="6" s="1"/>
  <c r="AA245" i="6" s="1"/>
  <c r="R245" i="6" s="1"/>
  <c r="F245" i="6" s="1"/>
  <c r="E245" i="6" s="1"/>
  <c r="M245" i="6"/>
  <c r="T244" i="6"/>
  <c r="U244" i="6" s="1"/>
  <c r="V244" i="6" s="1"/>
  <c r="W244" i="6" s="1"/>
  <c r="X244" i="6" s="1"/>
  <c r="Y244" i="6" s="1"/>
  <c r="Z244" i="6" s="1"/>
  <c r="AA244" i="6" s="1"/>
  <c r="R244" i="6" s="1"/>
  <c r="F244" i="6" s="1"/>
  <c r="E244" i="6" s="1"/>
  <c r="M244" i="6"/>
  <c r="T243" i="6"/>
  <c r="U243" i="6" s="1"/>
  <c r="V243" i="6" s="1"/>
  <c r="W243" i="6" s="1"/>
  <c r="X243" i="6" s="1"/>
  <c r="Y243" i="6" s="1"/>
  <c r="Z243" i="6" s="1"/>
  <c r="AA243" i="6" s="1"/>
  <c r="R243" i="6" s="1"/>
  <c r="F243" i="6" s="1"/>
  <c r="E243" i="6" s="1"/>
  <c r="M243" i="6"/>
  <c r="T242" i="6"/>
  <c r="U242" i="6" s="1"/>
  <c r="V242" i="6" s="1"/>
  <c r="W242" i="6" s="1"/>
  <c r="X242" i="6" s="1"/>
  <c r="Y242" i="6" s="1"/>
  <c r="Z242" i="6" s="1"/>
  <c r="AA242" i="6" s="1"/>
  <c r="R242" i="6" s="1"/>
  <c r="F242" i="6" s="1"/>
  <c r="E242" i="6" s="1"/>
  <c r="M242" i="6"/>
  <c r="T241" i="6"/>
  <c r="U241" i="6" s="1"/>
  <c r="V241" i="6" s="1"/>
  <c r="W241" i="6" s="1"/>
  <c r="X241" i="6" s="1"/>
  <c r="Y241" i="6" s="1"/>
  <c r="Z241" i="6" s="1"/>
  <c r="AA241" i="6" s="1"/>
  <c r="R241" i="6" s="1"/>
  <c r="F241" i="6" s="1"/>
  <c r="E241" i="6" s="1"/>
  <c r="M241" i="6"/>
  <c r="T240" i="6"/>
  <c r="U240" i="6" s="1"/>
  <c r="V240" i="6" s="1"/>
  <c r="W240" i="6" s="1"/>
  <c r="X240" i="6" s="1"/>
  <c r="Y240" i="6" s="1"/>
  <c r="Z240" i="6" s="1"/>
  <c r="AA240" i="6" s="1"/>
  <c r="R240" i="6" s="1"/>
  <c r="F240" i="6" s="1"/>
  <c r="E240" i="6" s="1"/>
  <c r="M240" i="6"/>
  <c r="T239" i="6"/>
  <c r="U239" i="6" s="1"/>
  <c r="V239" i="6" s="1"/>
  <c r="W239" i="6" s="1"/>
  <c r="X239" i="6" s="1"/>
  <c r="Y239" i="6" s="1"/>
  <c r="Z239" i="6" s="1"/>
  <c r="AA239" i="6" s="1"/>
  <c r="R239" i="6" s="1"/>
  <c r="F239" i="6" s="1"/>
  <c r="E239" i="6" s="1"/>
  <c r="M239" i="6"/>
  <c r="T238" i="6"/>
  <c r="U238" i="6" s="1"/>
  <c r="V238" i="6" s="1"/>
  <c r="W238" i="6" s="1"/>
  <c r="X238" i="6" s="1"/>
  <c r="Y238" i="6" s="1"/>
  <c r="Z238" i="6" s="1"/>
  <c r="AA238" i="6" s="1"/>
  <c r="R238" i="6" s="1"/>
  <c r="F238" i="6" s="1"/>
  <c r="E238" i="6" s="1"/>
  <c r="M238" i="6"/>
  <c r="T237" i="6"/>
  <c r="U237" i="6" s="1"/>
  <c r="V237" i="6" s="1"/>
  <c r="W237" i="6" s="1"/>
  <c r="X237" i="6" s="1"/>
  <c r="Y237" i="6" s="1"/>
  <c r="Z237" i="6" s="1"/>
  <c r="AA237" i="6" s="1"/>
  <c r="R237" i="6" s="1"/>
  <c r="F237" i="6" s="1"/>
  <c r="E237" i="6" s="1"/>
  <c r="M237" i="6"/>
  <c r="T236" i="6"/>
  <c r="U236" i="6"/>
  <c r="V236" i="6" s="1"/>
  <c r="W236" i="6" s="1"/>
  <c r="X236" i="6" s="1"/>
  <c r="Y236" i="6" s="1"/>
  <c r="Z236" i="6" s="1"/>
  <c r="AA236" i="6" s="1"/>
  <c r="R236" i="6" s="1"/>
  <c r="F236" i="6" s="1"/>
  <c r="E236" i="6" s="1"/>
  <c r="M236" i="6"/>
  <c r="T235" i="6"/>
  <c r="U235" i="6" s="1"/>
  <c r="V235" i="6" s="1"/>
  <c r="W235" i="6" s="1"/>
  <c r="X235" i="6" s="1"/>
  <c r="Y235" i="6" s="1"/>
  <c r="Z235" i="6" s="1"/>
  <c r="AA235" i="6" s="1"/>
  <c r="R235" i="6" s="1"/>
  <c r="F235" i="6" s="1"/>
  <c r="E235" i="6" s="1"/>
  <c r="M235" i="6"/>
  <c r="T234" i="6"/>
  <c r="U234" i="6" s="1"/>
  <c r="V234" i="6" s="1"/>
  <c r="W234" i="6" s="1"/>
  <c r="X234" i="6" s="1"/>
  <c r="Y234" i="6" s="1"/>
  <c r="Z234" i="6" s="1"/>
  <c r="AA234" i="6" s="1"/>
  <c r="R234" i="6" s="1"/>
  <c r="F234" i="6" s="1"/>
  <c r="E234" i="6" s="1"/>
  <c r="M234" i="6"/>
  <c r="T233" i="6"/>
  <c r="U233" i="6" s="1"/>
  <c r="V233" i="6" s="1"/>
  <c r="W233" i="6" s="1"/>
  <c r="X233" i="6" s="1"/>
  <c r="Y233" i="6" s="1"/>
  <c r="Z233" i="6" s="1"/>
  <c r="AA233" i="6" s="1"/>
  <c r="R233" i="6" s="1"/>
  <c r="F233" i="6" s="1"/>
  <c r="E233" i="6" s="1"/>
  <c r="M233" i="6"/>
  <c r="T232" i="6"/>
  <c r="U232" i="6" s="1"/>
  <c r="V232" i="6" s="1"/>
  <c r="W232" i="6" s="1"/>
  <c r="X232" i="6" s="1"/>
  <c r="Y232" i="6" s="1"/>
  <c r="Z232" i="6" s="1"/>
  <c r="AA232" i="6" s="1"/>
  <c r="R232" i="6" s="1"/>
  <c r="F232" i="6" s="1"/>
  <c r="E232" i="6" s="1"/>
  <c r="M232" i="6"/>
  <c r="T231" i="6"/>
  <c r="U231" i="6" s="1"/>
  <c r="V231" i="6" s="1"/>
  <c r="W231" i="6" s="1"/>
  <c r="X231" i="6" s="1"/>
  <c r="Y231" i="6" s="1"/>
  <c r="Z231" i="6" s="1"/>
  <c r="AA231" i="6" s="1"/>
  <c r="R231" i="6" s="1"/>
  <c r="F231" i="6" s="1"/>
  <c r="E231" i="6" s="1"/>
  <c r="M231" i="6"/>
  <c r="T230" i="6"/>
  <c r="U230" i="6"/>
  <c r="V230" i="6" s="1"/>
  <c r="W230" i="6" s="1"/>
  <c r="X230" i="6" s="1"/>
  <c r="Y230" i="6" s="1"/>
  <c r="Z230" i="6" s="1"/>
  <c r="AA230" i="6" s="1"/>
  <c r="R230" i="6" s="1"/>
  <c r="F230" i="6" s="1"/>
  <c r="E230" i="6" s="1"/>
  <c r="M230" i="6"/>
  <c r="T229" i="6"/>
  <c r="U229" i="6" s="1"/>
  <c r="V229" i="6" s="1"/>
  <c r="W229" i="6" s="1"/>
  <c r="X229" i="6" s="1"/>
  <c r="Y229" i="6" s="1"/>
  <c r="Z229" i="6" s="1"/>
  <c r="AA229" i="6" s="1"/>
  <c r="R229" i="6" s="1"/>
  <c r="F229" i="6" s="1"/>
  <c r="E229" i="6" s="1"/>
  <c r="M229" i="6"/>
  <c r="T228" i="6"/>
  <c r="U228" i="6" s="1"/>
  <c r="V228" i="6" s="1"/>
  <c r="W228" i="6" s="1"/>
  <c r="X228" i="6" s="1"/>
  <c r="Y228" i="6" s="1"/>
  <c r="Z228" i="6" s="1"/>
  <c r="AA228" i="6" s="1"/>
  <c r="R228" i="6" s="1"/>
  <c r="F228" i="6" s="1"/>
  <c r="E228" i="6" s="1"/>
  <c r="M228" i="6"/>
  <c r="T227" i="6"/>
  <c r="U227" i="6" s="1"/>
  <c r="V227" i="6" s="1"/>
  <c r="W227" i="6" s="1"/>
  <c r="X227" i="6" s="1"/>
  <c r="Y227" i="6" s="1"/>
  <c r="Z227" i="6" s="1"/>
  <c r="AA227" i="6" s="1"/>
  <c r="R227" i="6" s="1"/>
  <c r="F227" i="6" s="1"/>
  <c r="E227" i="6" s="1"/>
  <c r="M227" i="6"/>
  <c r="T226" i="6"/>
  <c r="U226" i="6"/>
  <c r="V226" i="6" s="1"/>
  <c r="W226" i="6" s="1"/>
  <c r="X226" i="6" s="1"/>
  <c r="Y226" i="6" s="1"/>
  <c r="Z226" i="6" s="1"/>
  <c r="AA226" i="6" s="1"/>
  <c r="R226" i="6" s="1"/>
  <c r="F226" i="6" s="1"/>
  <c r="E226" i="6" s="1"/>
  <c r="M226" i="6"/>
  <c r="T225" i="6"/>
  <c r="U225" i="6"/>
  <c r="V225" i="6" s="1"/>
  <c r="W225" i="6" s="1"/>
  <c r="X225" i="6" s="1"/>
  <c r="Y225" i="6" s="1"/>
  <c r="Z225" i="6" s="1"/>
  <c r="AA225" i="6" s="1"/>
  <c r="R225" i="6" s="1"/>
  <c r="F225" i="6" s="1"/>
  <c r="E225" i="6" s="1"/>
  <c r="M225" i="6"/>
  <c r="T224" i="6"/>
  <c r="U224" i="6"/>
  <c r="V224" i="6" s="1"/>
  <c r="W224" i="6" s="1"/>
  <c r="X224" i="6" s="1"/>
  <c r="Y224" i="6"/>
  <c r="Z224" i="6" s="1"/>
  <c r="AA224" i="6" s="1"/>
  <c r="R224" i="6" s="1"/>
  <c r="F224" i="6" s="1"/>
  <c r="E224" i="6" s="1"/>
  <c r="M224" i="6"/>
  <c r="T223" i="6"/>
  <c r="U223" i="6"/>
  <c r="V223" i="6" s="1"/>
  <c r="W223" i="6"/>
  <c r="X223" i="6" s="1"/>
  <c r="Y223" i="6" s="1"/>
  <c r="Z223" i="6" s="1"/>
  <c r="AA223" i="6" s="1"/>
  <c r="R223" i="6" s="1"/>
  <c r="F223" i="6" s="1"/>
  <c r="E223" i="6" s="1"/>
  <c r="M223" i="6"/>
  <c r="T222" i="6"/>
  <c r="U222" i="6" s="1"/>
  <c r="V222" i="6" s="1"/>
  <c r="W222" i="6" s="1"/>
  <c r="X222" i="6" s="1"/>
  <c r="Y222" i="6" s="1"/>
  <c r="Z222" i="6" s="1"/>
  <c r="AA222" i="6" s="1"/>
  <c r="R222" i="6" s="1"/>
  <c r="F222" i="6" s="1"/>
  <c r="E222" i="6" s="1"/>
  <c r="M222" i="6"/>
  <c r="T221" i="6"/>
  <c r="U221" i="6" s="1"/>
  <c r="V221" i="6" s="1"/>
  <c r="W221" i="6" s="1"/>
  <c r="X221" i="6" s="1"/>
  <c r="Y221" i="6" s="1"/>
  <c r="Z221" i="6" s="1"/>
  <c r="AA221" i="6" s="1"/>
  <c r="R221" i="6" s="1"/>
  <c r="F221" i="6" s="1"/>
  <c r="E221" i="6" s="1"/>
  <c r="M221" i="6"/>
  <c r="T220" i="6"/>
  <c r="U220" i="6" s="1"/>
  <c r="V220" i="6" s="1"/>
  <c r="W220" i="6" s="1"/>
  <c r="X220" i="6" s="1"/>
  <c r="Y220" i="6" s="1"/>
  <c r="Z220" i="6" s="1"/>
  <c r="AA220" i="6" s="1"/>
  <c r="R220" i="6" s="1"/>
  <c r="F220" i="6" s="1"/>
  <c r="E220" i="6" s="1"/>
  <c r="M220" i="6"/>
  <c r="T219" i="6"/>
  <c r="U219" i="6" s="1"/>
  <c r="V219" i="6" s="1"/>
  <c r="W219" i="6" s="1"/>
  <c r="X219" i="6" s="1"/>
  <c r="Y219" i="6" s="1"/>
  <c r="Z219" i="6" s="1"/>
  <c r="AA219" i="6" s="1"/>
  <c r="R219" i="6" s="1"/>
  <c r="F219" i="6" s="1"/>
  <c r="E219" i="6" s="1"/>
  <c r="M219" i="6"/>
  <c r="T218" i="6"/>
  <c r="U218" i="6" s="1"/>
  <c r="V218" i="6" s="1"/>
  <c r="W218" i="6" s="1"/>
  <c r="X218" i="6" s="1"/>
  <c r="Y218" i="6" s="1"/>
  <c r="Z218" i="6" s="1"/>
  <c r="AA218" i="6" s="1"/>
  <c r="R218" i="6" s="1"/>
  <c r="F218" i="6" s="1"/>
  <c r="E218" i="6" s="1"/>
  <c r="M218" i="6"/>
  <c r="T217" i="6"/>
  <c r="U217" i="6"/>
  <c r="V217" i="6" s="1"/>
  <c r="W217" i="6" s="1"/>
  <c r="X217" i="6" s="1"/>
  <c r="Y217" i="6" s="1"/>
  <c r="Z217" i="6" s="1"/>
  <c r="AA217" i="6" s="1"/>
  <c r="R217" i="6" s="1"/>
  <c r="F217" i="6" s="1"/>
  <c r="E217" i="6" s="1"/>
  <c r="M217" i="6"/>
  <c r="T216" i="6"/>
  <c r="U216" i="6" s="1"/>
  <c r="V216" i="6" s="1"/>
  <c r="W216" i="6" s="1"/>
  <c r="X216" i="6" s="1"/>
  <c r="Y216" i="6" s="1"/>
  <c r="Z216" i="6" s="1"/>
  <c r="AA216" i="6" s="1"/>
  <c r="R216" i="6" s="1"/>
  <c r="F216" i="6" s="1"/>
  <c r="E216" i="6" s="1"/>
  <c r="M216" i="6"/>
  <c r="T215" i="6"/>
  <c r="U215" i="6" s="1"/>
  <c r="V215" i="6" s="1"/>
  <c r="W215" i="6" s="1"/>
  <c r="X215" i="6" s="1"/>
  <c r="Y215" i="6" s="1"/>
  <c r="Z215" i="6" s="1"/>
  <c r="AA215" i="6" s="1"/>
  <c r="R215" i="6" s="1"/>
  <c r="F215" i="6" s="1"/>
  <c r="E215" i="6" s="1"/>
  <c r="M215" i="6"/>
  <c r="T214" i="6"/>
  <c r="U214" i="6" s="1"/>
  <c r="V214" i="6" s="1"/>
  <c r="W214" i="6" s="1"/>
  <c r="X214" i="6" s="1"/>
  <c r="Y214" i="6" s="1"/>
  <c r="Z214" i="6" s="1"/>
  <c r="AA214" i="6" s="1"/>
  <c r="R214" i="6" s="1"/>
  <c r="F214" i="6" s="1"/>
  <c r="E214" i="6" s="1"/>
  <c r="M214" i="6"/>
  <c r="T213" i="6"/>
  <c r="U213" i="6" s="1"/>
  <c r="V213" i="6" s="1"/>
  <c r="W213" i="6" s="1"/>
  <c r="X213" i="6" s="1"/>
  <c r="Y213" i="6" s="1"/>
  <c r="Z213" i="6" s="1"/>
  <c r="AA213" i="6" s="1"/>
  <c r="R213" i="6" s="1"/>
  <c r="F213" i="6" s="1"/>
  <c r="E213" i="6" s="1"/>
  <c r="M213" i="6"/>
  <c r="T212" i="6"/>
  <c r="U212" i="6"/>
  <c r="V212" i="6" s="1"/>
  <c r="W212" i="6" s="1"/>
  <c r="X212" i="6" s="1"/>
  <c r="Y212" i="6" s="1"/>
  <c r="Z212" i="6" s="1"/>
  <c r="AA212" i="6" s="1"/>
  <c r="R212" i="6" s="1"/>
  <c r="F212" i="6" s="1"/>
  <c r="E212" i="6" s="1"/>
  <c r="M212" i="6"/>
  <c r="T211" i="6"/>
  <c r="U211" i="6" s="1"/>
  <c r="V211" i="6" s="1"/>
  <c r="W211" i="6" s="1"/>
  <c r="X211" i="6" s="1"/>
  <c r="Y211" i="6" s="1"/>
  <c r="Z211" i="6" s="1"/>
  <c r="AA211" i="6" s="1"/>
  <c r="R211" i="6" s="1"/>
  <c r="F211" i="6" s="1"/>
  <c r="E211" i="6" s="1"/>
  <c r="M211" i="6"/>
  <c r="T210" i="6"/>
  <c r="U210" i="6" s="1"/>
  <c r="V210" i="6" s="1"/>
  <c r="W210" i="6" s="1"/>
  <c r="X210" i="6" s="1"/>
  <c r="Y210" i="6" s="1"/>
  <c r="Z210" i="6" s="1"/>
  <c r="AA210" i="6" s="1"/>
  <c r="R210" i="6" s="1"/>
  <c r="F210" i="6" s="1"/>
  <c r="E210" i="6" s="1"/>
  <c r="M210" i="6"/>
  <c r="T209" i="6"/>
  <c r="U209" i="6" s="1"/>
  <c r="V209" i="6" s="1"/>
  <c r="W209" i="6" s="1"/>
  <c r="X209" i="6" s="1"/>
  <c r="Y209" i="6" s="1"/>
  <c r="Z209" i="6" s="1"/>
  <c r="AA209" i="6" s="1"/>
  <c r="R209" i="6" s="1"/>
  <c r="F209" i="6" s="1"/>
  <c r="E209" i="6" s="1"/>
  <c r="M209" i="6"/>
  <c r="T208" i="6"/>
  <c r="U208" i="6"/>
  <c r="V208" i="6" s="1"/>
  <c r="W208" i="6" s="1"/>
  <c r="X208" i="6" s="1"/>
  <c r="Y208" i="6" s="1"/>
  <c r="Z208" i="6" s="1"/>
  <c r="AA208" i="6" s="1"/>
  <c r="R208" i="6" s="1"/>
  <c r="F208" i="6" s="1"/>
  <c r="E208" i="6" s="1"/>
  <c r="M208" i="6"/>
  <c r="T207" i="6"/>
  <c r="U207" i="6"/>
  <c r="V207" i="6" s="1"/>
  <c r="W207" i="6" s="1"/>
  <c r="X207" i="6" s="1"/>
  <c r="Y207" i="6" s="1"/>
  <c r="Z207" i="6" s="1"/>
  <c r="AA207" i="6" s="1"/>
  <c r="R207" i="6" s="1"/>
  <c r="F207" i="6" s="1"/>
  <c r="E207" i="6" s="1"/>
  <c r="M207" i="6"/>
  <c r="T206" i="6"/>
  <c r="U206" i="6" s="1"/>
  <c r="V206" i="6" s="1"/>
  <c r="W206" i="6" s="1"/>
  <c r="X206" i="6" s="1"/>
  <c r="Y206" i="6" s="1"/>
  <c r="Z206" i="6" s="1"/>
  <c r="AA206" i="6" s="1"/>
  <c r="R206" i="6" s="1"/>
  <c r="F206" i="6" s="1"/>
  <c r="E206" i="6" s="1"/>
  <c r="M206" i="6"/>
  <c r="T205" i="6"/>
  <c r="U205" i="6" s="1"/>
  <c r="V205" i="6" s="1"/>
  <c r="W205" i="6" s="1"/>
  <c r="X205" i="6" s="1"/>
  <c r="Y205" i="6" s="1"/>
  <c r="Z205" i="6" s="1"/>
  <c r="AA205" i="6" s="1"/>
  <c r="R205" i="6" s="1"/>
  <c r="F205" i="6" s="1"/>
  <c r="E205" i="6" s="1"/>
  <c r="M205" i="6"/>
  <c r="T204" i="6"/>
  <c r="U204" i="6" s="1"/>
  <c r="V204" i="6" s="1"/>
  <c r="W204" i="6" s="1"/>
  <c r="X204" i="6" s="1"/>
  <c r="Y204" i="6" s="1"/>
  <c r="Z204" i="6" s="1"/>
  <c r="AA204" i="6" s="1"/>
  <c r="R204" i="6" s="1"/>
  <c r="F204" i="6" s="1"/>
  <c r="E204" i="6" s="1"/>
  <c r="M204" i="6"/>
  <c r="T203" i="6"/>
  <c r="U203" i="6" s="1"/>
  <c r="V203" i="6" s="1"/>
  <c r="W203" i="6" s="1"/>
  <c r="X203" i="6" s="1"/>
  <c r="Y203" i="6" s="1"/>
  <c r="Z203" i="6" s="1"/>
  <c r="AA203" i="6" s="1"/>
  <c r="R203" i="6" s="1"/>
  <c r="F203" i="6"/>
  <c r="E203" i="6" s="1"/>
  <c r="M203" i="6"/>
  <c r="T202" i="6"/>
  <c r="U202" i="6" s="1"/>
  <c r="V202" i="6" s="1"/>
  <c r="W202" i="6" s="1"/>
  <c r="X202" i="6" s="1"/>
  <c r="Y202" i="6" s="1"/>
  <c r="Z202" i="6" s="1"/>
  <c r="AA202" i="6" s="1"/>
  <c r="R202" i="6" s="1"/>
  <c r="F202" i="6" s="1"/>
  <c r="E202" i="6" s="1"/>
  <c r="M202" i="6"/>
  <c r="T201" i="6"/>
  <c r="U201" i="6"/>
  <c r="V201" i="6" s="1"/>
  <c r="W201" i="6" s="1"/>
  <c r="X201" i="6" s="1"/>
  <c r="Y201" i="6" s="1"/>
  <c r="Z201" i="6" s="1"/>
  <c r="AA201" i="6" s="1"/>
  <c r="R201" i="6" s="1"/>
  <c r="F201" i="6" s="1"/>
  <c r="E201" i="6" s="1"/>
  <c r="M201" i="6"/>
  <c r="T200" i="6"/>
  <c r="U200" i="6" s="1"/>
  <c r="V200" i="6" s="1"/>
  <c r="W200" i="6" s="1"/>
  <c r="X200" i="6" s="1"/>
  <c r="Y200" i="6" s="1"/>
  <c r="Z200" i="6" s="1"/>
  <c r="AA200" i="6" s="1"/>
  <c r="R200" i="6" s="1"/>
  <c r="F200" i="6" s="1"/>
  <c r="E200" i="6" s="1"/>
  <c r="M200" i="6"/>
  <c r="T199" i="6"/>
  <c r="U199" i="6" s="1"/>
  <c r="V199" i="6" s="1"/>
  <c r="W199" i="6" s="1"/>
  <c r="X199" i="6" s="1"/>
  <c r="Y199" i="6" s="1"/>
  <c r="Z199" i="6" s="1"/>
  <c r="AA199" i="6"/>
  <c r="R199" i="6" s="1"/>
  <c r="F199" i="6" s="1"/>
  <c r="E199" i="6" s="1"/>
  <c r="M199" i="6"/>
  <c r="T198" i="6"/>
  <c r="U198" i="6" s="1"/>
  <c r="V198" i="6" s="1"/>
  <c r="W198" i="6" s="1"/>
  <c r="X198" i="6"/>
  <c r="Y198" i="6" s="1"/>
  <c r="Z198" i="6" s="1"/>
  <c r="AA198" i="6" s="1"/>
  <c r="R198" i="6" s="1"/>
  <c r="F198" i="6" s="1"/>
  <c r="E198" i="6" s="1"/>
  <c r="M198" i="6"/>
  <c r="T197" i="6"/>
  <c r="U197" i="6" s="1"/>
  <c r="V197" i="6" s="1"/>
  <c r="W197" i="6" s="1"/>
  <c r="X197" i="6" s="1"/>
  <c r="Y197" i="6" s="1"/>
  <c r="Z197" i="6" s="1"/>
  <c r="AA197" i="6" s="1"/>
  <c r="R197" i="6" s="1"/>
  <c r="F197" i="6" s="1"/>
  <c r="E197" i="6" s="1"/>
  <c r="M197" i="6"/>
  <c r="T196" i="6"/>
  <c r="U196" i="6" s="1"/>
  <c r="V196" i="6" s="1"/>
  <c r="W196" i="6" s="1"/>
  <c r="X196" i="6" s="1"/>
  <c r="Y196" i="6" s="1"/>
  <c r="Z196" i="6" s="1"/>
  <c r="AA196" i="6" s="1"/>
  <c r="R196" i="6" s="1"/>
  <c r="F196" i="6" s="1"/>
  <c r="E196" i="6" s="1"/>
  <c r="M196" i="6"/>
  <c r="T195" i="6"/>
  <c r="U195" i="6" s="1"/>
  <c r="V195" i="6" s="1"/>
  <c r="W195" i="6" s="1"/>
  <c r="X195" i="6" s="1"/>
  <c r="Y195" i="6" s="1"/>
  <c r="Z195" i="6" s="1"/>
  <c r="AA195" i="6" s="1"/>
  <c r="R195" i="6" s="1"/>
  <c r="F195" i="6" s="1"/>
  <c r="E195" i="6" s="1"/>
  <c r="M195" i="6"/>
  <c r="T194" i="6"/>
  <c r="U194" i="6" s="1"/>
  <c r="V194" i="6" s="1"/>
  <c r="W194" i="6" s="1"/>
  <c r="X194" i="6" s="1"/>
  <c r="Y194" i="6" s="1"/>
  <c r="Z194" i="6" s="1"/>
  <c r="AA194" i="6" s="1"/>
  <c r="R194" i="6" s="1"/>
  <c r="F194" i="6" s="1"/>
  <c r="E194" i="6" s="1"/>
  <c r="M194" i="6"/>
  <c r="T193" i="6"/>
  <c r="U193" i="6" s="1"/>
  <c r="V193" i="6" s="1"/>
  <c r="W193" i="6" s="1"/>
  <c r="X193" i="6" s="1"/>
  <c r="Y193" i="6" s="1"/>
  <c r="Z193" i="6" s="1"/>
  <c r="AA193" i="6" s="1"/>
  <c r="R193" i="6" s="1"/>
  <c r="F193" i="6" s="1"/>
  <c r="E193" i="6" s="1"/>
  <c r="M193" i="6"/>
  <c r="T192" i="6"/>
  <c r="U192" i="6" s="1"/>
  <c r="V192" i="6" s="1"/>
  <c r="W192" i="6" s="1"/>
  <c r="X192" i="6" s="1"/>
  <c r="Y192" i="6" s="1"/>
  <c r="Z192" i="6" s="1"/>
  <c r="AA192" i="6" s="1"/>
  <c r="R192" i="6" s="1"/>
  <c r="F192" i="6" s="1"/>
  <c r="E192" i="6" s="1"/>
  <c r="M192" i="6"/>
  <c r="T191" i="6"/>
  <c r="U191" i="6" s="1"/>
  <c r="V191" i="6" s="1"/>
  <c r="W191" i="6" s="1"/>
  <c r="X191" i="6" s="1"/>
  <c r="Y191" i="6" s="1"/>
  <c r="Z191" i="6" s="1"/>
  <c r="AA191" i="6" s="1"/>
  <c r="R191" i="6" s="1"/>
  <c r="F191" i="6" s="1"/>
  <c r="E191" i="6" s="1"/>
  <c r="M191" i="6"/>
  <c r="T190" i="6"/>
  <c r="U190" i="6" s="1"/>
  <c r="V190" i="6" s="1"/>
  <c r="W190" i="6" s="1"/>
  <c r="X190" i="6" s="1"/>
  <c r="Y190" i="6" s="1"/>
  <c r="Z190" i="6" s="1"/>
  <c r="AA190" i="6" s="1"/>
  <c r="R190" i="6" s="1"/>
  <c r="F190" i="6" s="1"/>
  <c r="E190" i="6" s="1"/>
  <c r="M190" i="6"/>
  <c r="T189" i="6"/>
  <c r="U189" i="6"/>
  <c r="V189" i="6" s="1"/>
  <c r="W189" i="6" s="1"/>
  <c r="X189" i="6" s="1"/>
  <c r="Y189" i="6" s="1"/>
  <c r="Z189" i="6" s="1"/>
  <c r="AA189" i="6" s="1"/>
  <c r="R189" i="6" s="1"/>
  <c r="F189" i="6" s="1"/>
  <c r="E189" i="6" s="1"/>
  <c r="M189" i="6"/>
  <c r="T188" i="6"/>
  <c r="U188" i="6"/>
  <c r="V188" i="6"/>
  <c r="W188" i="6" s="1"/>
  <c r="X188" i="6" s="1"/>
  <c r="Y188" i="6" s="1"/>
  <c r="Z188" i="6" s="1"/>
  <c r="AA188" i="6" s="1"/>
  <c r="R188" i="6" s="1"/>
  <c r="F188" i="6" s="1"/>
  <c r="E188" i="6" s="1"/>
  <c r="M188" i="6"/>
  <c r="T187" i="6"/>
  <c r="U187" i="6" s="1"/>
  <c r="V187" i="6" s="1"/>
  <c r="W187" i="6" s="1"/>
  <c r="X187" i="6" s="1"/>
  <c r="Y187" i="6" s="1"/>
  <c r="Z187" i="6" s="1"/>
  <c r="AA187" i="6" s="1"/>
  <c r="R187" i="6" s="1"/>
  <c r="F187" i="6" s="1"/>
  <c r="E187" i="6" s="1"/>
  <c r="M187" i="6"/>
  <c r="T186" i="6"/>
  <c r="U186" i="6" s="1"/>
  <c r="V186" i="6" s="1"/>
  <c r="W186" i="6" s="1"/>
  <c r="X186" i="6" s="1"/>
  <c r="Y186" i="6" s="1"/>
  <c r="Z186" i="6" s="1"/>
  <c r="AA186" i="6" s="1"/>
  <c r="R186" i="6" s="1"/>
  <c r="F186" i="6" s="1"/>
  <c r="E186" i="6" s="1"/>
  <c r="M186" i="6"/>
  <c r="T185" i="6"/>
  <c r="U185" i="6" s="1"/>
  <c r="V185" i="6" s="1"/>
  <c r="W185" i="6" s="1"/>
  <c r="X185" i="6" s="1"/>
  <c r="Y185" i="6" s="1"/>
  <c r="Z185" i="6" s="1"/>
  <c r="AA185" i="6" s="1"/>
  <c r="R185" i="6" s="1"/>
  <c r="F185" i="6" s="1"/>
  <c r="E185" i="6" s="1"/>
  <c r="M185" i="6"/>
  <c r="T184" i="6"/>
  <c r="U184" i="6" s="1"/>
  <c r="V184" i="6" s="1"/>
  <c r="W184" i="6" s="1"/>
  <c r="X184" i="6" s="1"/>
  <c r="Y184" i="6" s="1"/>
  <c r="Z184" i="6" s="1"/>
  <c r="AA184" i="6" s="1"/>
  <c r="R184" i="6" s="1"/>
  <c r="F184" i="6" s="1"/>
  <c r="E184" i="6" s="1"/>
  <c r="M184" i="6"/>
  <c r="T183" i="6"/>
  <c r="U183" i="6" s="1"/>
  <c r="V183" i="6" s="1"/>
  <c r="W183" i="6" s="1"/>
  <c r="X183" i="6" s="1"/>
  <c r="Y183" i="6" s="1"/>
  <c r="Z183" i="6" s="1"/>
  <c r="AA183" i="6" s="1"/>
  <c r="R183" i="6" s="1"/>
  <c r="F183" i="6" s="1"/>
  <c r="E183" i="6" s="1"/>
  <c r="M183" i="6"/>
  <c r="T182" i="6"/>
  <c r="U182" i="6"/>
  <c r="V182" i="6" s="1"/>
  <c r="W182" i="6" s="1"/>
  <c r="X182" i="6" s="1"/>
  <c r="Y182" i="6" s="1"/>
  <c r="Z182" i="6" s="1"/>
  <c r="AA182" i="6" s="1"/>
  <c r="R182" i="6" s="1"/>
  <c r="F182" i="6" s="1"/>
  <c r="E182" i="6" s="1"/>
  <c r="M182" i="6"/>
  <c r="T181" i="6"/>
  <c r="U181" i="6"/>
  <c r="V181" i="6" s="1"/>
  <c r="W181" i="6" s="1"/>
  <c r="X181" i="6" s="1"/>
  <c r="Y181" i="6" s="1"/>
  <c r="Z181" i="6" s="1"/>
  <c r="AA181" i="6" s="1"/>
  <c r="R181" i="6" s="1"/>
  <c r="F181" i="6" s="1"/>
  <c r="E181" i="6" s="1"/>
  <c r="M181" i="6"/>
  <c r="T180" i="6"/>
  <c r="U180" i="6"/>
  <c r="V180" i="6" s="1"/>
  <c r="W180" i="6" s="1"/>
  <c r="X180" i="6" s="1"/>
  <c r="Y180" i="6"/>
  <c r="Z180" i="6" s="1"/>
  <c r="AA180" i="6" s="1"/>
  <c r="R180" i="6" s="1"/>
  <c r="F180" i="6" s="1"/>
  <c r="E180" i="6" s="1"/>
  <c r="M180" i="6"/>
  <c r="T179" i="6"/>
  <c r="U179" i="6"/>
  <c r="V179" i="6" s="1"/>
  <c r="W179" i="6" s="1"/>
  <c r="X179" i="6" s="1"/>
  <c r="Y179" i="6" s="1"/>
  <c r="Z179" i="6" s="1"/>
  <c r="AA179" i="6" s="1"/>
  <c r="R179" i="6" s="1"/>
  <c r="F179" i="6" s="1"/>
  <c r="E179" i="6" s="1"/>
  <c r="M179" i="6"/>
  <c r="T178" i="6"/>
  <c r="U178" i="6" s="1"/>
  <c r="V178" i="6" s="1"/>
  <c r="W178" i="6" s="1"/>
  <c r="X178" i="6" s="1"/>
  <c r="Y178" i="6" s="1"/>
  <c r="Z178" i="6" s="1"/>
  <c r="AA178" i="6" s="1"/>
  <c r="R178" i="6" s="1"/>
  <c r="F178" i="6" s="1"/>
  <c r="E178" i="6" s="1"/>
  <c r="M178" i="6"/>
  <c r="T177" i="6"/>
  <c r="U177" i="6" s="1"/>
  <c r="V177" i="6" s="1"/>
  <c r="W177" i="6" s="1"/>
  <c r="X177" i="6" s="1"/>
  <c r="Y177" i="6" s="1"/>
  <c r="Z177" i="6" s="1"/>
  <c r="AA177" i="6" s="1"/>
  <c r="R177" i="6" s="1"/>
  <c r="F177" i="6" s="1"/>
  <c r="E177" i="6" s="1"/>
  <c r="M177" i="6"/>
  <c r="T176" i="6"/>
  <c r="U176" i="6" s="1"/>
  <c r="V176" i="6" s="1"/>
  <c r="W176" i="6" s="1"/>
  <c r="X176" i="6" s="1"/>
  <c r="Y176" i="6" s="1"/>
  <c r="Z176" i="6" s="1"/>
  <c r="AA176" i="6" s="1"/>
  <c r="R176" i="6" s="1"/>
  <c r="F176" i="6" s="1"/>
  <c r="E176" i="6" s="1"/>
  <c r="M176" i="6"/>
  <c r="T175" i="6"/>
  <c r="U175" i="6" s="1"/>
  <c r="V175" i="6" s="1"/>
  <c r="W175" i="6" s="1"/>
  <c r="X175" i="6" s="1"/>
  <c r="Y175" i="6" s="1"/>
  <c r="Z175" i="6" s="1"/>
  <c r="AA175" i="6" s="1"/>
  <c r="R175" i="6" s="1"/>
  <c r="F175" i="6" s="1"/>
  <c r="E175" i="6" s="1"/>
  <c r="M175" i="6"/>
  <c r="T174" i="6"/>
  <c r="U174" i="6"/>
  <c r="V174" i="6" s="1"/>
  <c r="W174" i="6" s="1"/>
  <c r="X174" i="6" s="1"/>
  <c r="Y174" i="6" s="1"/>
  <c r="Z174" i="6" s="1"/>
  <c r="AA174" i="6" s="1"/>
  <c r="R174" i="6" s="1"/>
  <c r="F174" i="6" s="1"/>
  <c r="E174" i="6" s="1"/>
  <c r="M174" i="6"/>
  <c r="T173" i="6"/>
  <c r="U173" i="6"/>
  <c r="V173" i="6" s="1"/>
  <c r="W173" i="6" s="1"/>
  <c r="X173" i="6" s="1"/>
  <c r="Y173" i="6" s="1"/>
  <c r="Z173" i="6" s="1"/>
  <c r="AA173" i="6" s="1"/>
  <c r="R173" i="6" s="1"/>
  <c r="F173" i="6" s="1"/>
  <c r="E173" i="6" s="1"/>
  <c r="M173" i="6"/>
  <c r="T172" i="6"/>
  <c r="U172" i="6"/>
  <c r="V172" i="6" s="1"/>
  <c r="W172" i="6" s="1"/>
  <c r="X172" i="6" s="1"/>
  <c r="Y172" i="6"/>
  <c r="Z172" i="6" s="1"/>
  <c r="AA172" i="6" s="1"/>
  <c r="R172" i="6" s="1"/>
  <c r="F172" i="6" s="1"/>
  <c r="E172" i="6" s="1"/>
  <c r="M172" i="6"/>
  <c r="T171" i="6"/>
  <c r="U171" i="6"/>
  <c r="V171" i="6" s="1"/>
  <c r="W171" i="6" s="1"/>
  <c r="X171" i="6" s="1"/>
  <c r="Y171" i="6" s="1"/>
  <c r="Z171" i="6" s="1"/>
  <c r="AA171" i="6" s="1"/>
  <c r="R171" i="6" s="1"/>
  <c r="F171" i="6" s="1"/>
  <c r="E171" i="6" s="1"/>
  <c r="M171" i="6"/>
  <c r="T170" i="6"/>
  <c r="U170" i="6" s="1"/>
  <c r="V170" i="6" s="1"/>
  <c r="W170" i="6" s="1"/>
  <c r="X170" i="6" s="1"/>
  <c r="Y170" i="6" s="1"/>
  <c r="Z170" i="6" s="1"/>
  <c r="AA170" i="6" s="1"/>
  <c r="R170" i="6" s="1"/>
  <c r="F170" i="6" s="1"/>
  <c r="E170" i="6" s="1"/>
  <c r="M170" i="6"/>
  <c r="T169" i="6"/>
  <c r="U169" i="6" s="1"/>
  <c r="V169" i="6" s="1"/>
  <c r="W169" i="6" s="1"/>
  <c r="X169" i="6" s="1"/>
  <c r="Y169" i="6" s="1"/>
  <c r="Z169" i="6" s="1"/>
  <c r="AA169" i="6" s="1"/>
  <c r="R169" i="6" s="1"/>
  <c r="F169" i="6" s="1"/>
  <c r="E169" i="6" s="1"/>
  <c r="M169" i="6"/>
  <c r="T168" i="6"/>
  <c r="U168" i="6" s="1"/>
  <c r="V168" i="6" s="1"/>
  <c r="W168" i="6" s="1"/>
  <c r="X168" i="6" s="1"/>
  <c r="Y168" i="6" s="1"/>
  <c r="Z168" i="6" s="1"/>
  <c r="AA168" i="6" s="1"/>
  <c r="R168" i="6" s="1"/>
  <c r="F168" i="6" s="1"/>
  <c r="E168" i="6" s="1"/>
  <c r="T167" i="6"/>
  <c r="U167" i="6"/>
  <c r="V167" i="6" s="1"/>
  <c r="W167" i="6" s="1"/>
  <c r="X167" i="6" s="1"/>
  <c r="Y167" i="6" s="1"/>
  <c r="Z167" i="6" s="1"/>
  <c r="AA167" i="6" s="1"/>
  <c r="R167" i="6" s="1"/>
  <c r="F167" i="6" s="1"/>
  <c r="E167" i="6" s="1"/>
  <c r="M167" i="6"/>
  <c r="T166" i="6"/>
  <c r="U166" i="6" s="1"/>
  <c r="V166" i="6" s="1"/>
  <c r="W166" i="6" s="1"/>
  <c r="X166" i="6" s="1"/>
  <c r="Y166" i="6" s="1"/>
  <c r="Z166" i="6" s="1"/>
  <c r="AA166" i="6" s="1"/>
  <c r="R166" i="6" s="1"/>
  <c r="F166" i="6" s="1"/>
  <c r="E166" i="6" s="1"/>
  <c r="M166" i="6"/>
  <c r="T165" i="6"/>
  <c r="U165" i="6" s="1"/>
  <c r="V165" i="6" s="1"/>
  <c r="W165" i="6" s="1"/>
  <c r="X165" i="6" s="1"/>
  <c r="Y165" i="6" s="1"/>
  <c r="Z165" i="6" s="1"/>
  <c r="AA165" i="6" s="1"/>
  <c r="R165" i="6" s="1"/>
  <c r="F165" i="6" s="1"/>
  <c r="E165" i="6" s="1"/>
  <c r="M165" i="6"/>
  <c r="T164" i="6"/>
  <c r="U164" i="6" s="1"/>
  <c r="V164" i="6" s="1"/>
  <c r="W164" i="6" s="1"/>
  <c r="X164" i="6" s="1"/>
  <c r="Y164" i="6" s="1"/>
  <c r="Z164" i="6" s="1"/>
  <c r="AA164" i="6" s="1"/>
  <c r="R164" i="6" s="1"/>
  <c r="F164" i="6" s="1"/>
  <c r="E164" i="6" s="1"/>
  <c r="M164" i="6"/>
  <c r="T163" i="6"/>
  <c r="U163" i="6"/>
  <c r="V163" i="6" s="1"/>
  <c r="W163" i="6" s="1"/>
  <c r="X163" i="6" s="1"/>
  <c r="Y163" i="6" s="1"/>
  <c r="Z163" i="6" s="1"/>
  <c r="AA163" i="6" s="1"/>
  <c r="R163" i="6" s="1"/>
  <c r="F163" i="6" s="1"/>
  <c r="E163" i="6" s="1"/>
  <c r="M163" i="6"/>
  <c r="T162" i="6"/>
  <c r="U162" i="6" s="1"/>
  <c r="V162" i="6" s="1"/>
  <c r="W162" i="6" s="1"/>
  <c r="X162" i="6" s="1"/>
  <c r="Y162" i="6" s="1"/>
  <c r="Z162" i="6" s="1"/>
  <c r="AA162" i="6" s="1"/>
  <c r="R162" i="6" s="1"/>
  <c r="F162" i="6" s="1"/>
  <c r="E162" i="6" s="1"/>
  <c r="M162" i="6"/>
  <c r="T161" i="6"/>
  <c r="U161" i="6" s="1"/>
  <c r="V161" i="6" s="1"/>
  <c r="W161" i="6" s="1"/>
  <c r="X161" i="6" s="1"/>
  <c r="Y161" i="6" s="1"/>
  <c r="Z161" i="6" s="1"/>
  <c r="AA161" i="6" s="1"/>
  <c r="R161" i="6" s="1"/>
  <c r="F161" i="6" s="1"/>
  <c r="E161" i="6" s="1"/>
  <c r="M161" i="6"/>
  <c r="T160" i="6"/>
  <c r="U160" i="6" s="1"/>
  <c r="V160" i="6" s="1"/>
  <c r="W160" i="6" s="1"/>
  <c r="X160" i="6" s="1"/>
  <c r="Y160" i="6" s="1"/>
  <c r="Z160" i="6" s="1"/>
  <c r="AA160" i="6" s="1"/>
  <c r="R160" i="6" s="1"/>
  <c r="F160" i="6" s="1"/>
  <c r="E160" i="6" s="1"/>
  <c r="M160" i="6"/>
  <c r="T159" i="6"/>
  <c r="U159" i="6"/>
  <c r="V159" i="6" s="1"/>
  <c r="W159" i="6" s="1"/>
  <c r="X159" i="6" s="1"/>
  <c r="Y159" i="6" s="1"/>
  <c r="Z159" i="6" s="1"/>
  <c r="AA159" i="6" s="1"/>
  <c r="R159" i="6" s="1"/>
  <c r="F159" i="6" s="1"/>
  <c r="E159" i="6" s="1"/>
  <c r="M159" i="6"/>
  <c r="T158" i="6"/>
  <c r="U158" i="6" s="1"/>
  <c r="V158" i="6" s="1"/>
  <c r="W158" i="6" s="1"/>
  <c r="X158" i="6" s="1"/>
  <c r="Y158" i="6" s="1"/>
  <c r="Z158" i="6" s="1"/>
  <c r="AA158" i="6" s="1"/>
  <c r="R158" i="6" s="1"/>
  <c r="F158" i="6" s="1"/>
  <c r="E158" i="6" s="1"/>
  <c r="M158" i="6"/>
  <c r="T157" i="6"/>
  <c r="U157" i="6" s="1"/>
  <c r="V157" i="6" s="1"/>
  <c r="W157" i="6" s="1"/>
  <c r="X157" i="6" s="1"/>
  <c r="Y157" i="6" s="1"/>
  <c r="Z157" i="6" s="1"/>
  <c r="AA157" i="6" s="1"/>
  <c r="R157" i="6" s="1"/>
  <c r="F157" i="6" s="1"/>
  <c r="E157" i="6" s="1"/>
  <c r="M157" i="6"/>
  <c r="T156" i="6"/>
  <c r="U156" i="6" s="1"/>
  <c r="V156" i="6" s="1"/>
  <c r="W156" i="6" s="1"/>
  <c r="X156" i="6" s="1"/>
  <c r="Y156" i="6" s="1"/>
  <c r="Z156" i="6" s="1"/>
  <c r="AA156" i="6" s="1"/>
  <c r="R156" i="6" s="1"/>
  <c r="F156" i="6" s="1"/>
  <c r="E156" i="6" s="1"/>
  <c r="M156" i="6"/>
  <c r="T155" i="6"/>
  <c r="U155" i="6"/>
  <c r="V155" i="6" s="1"/>
  <c r="W155" i="6" s="1"/>
  <c r="X155" i="6" s="1"/>
  <c r="Y155" i="6" s="1"/>
  <c r="Z155" i="6" s="1"/>
  <c r="AA155" i="6" s="1"/>
  <c r="R155" i="6" s="1"/>
  <c r="F155" i="6" s="1"/>
  <c r="E155" i="6" s="1"/>
  <c r="M155" i="6"/>
  <c r="T154" i="6"/>
  <c r="U154" i="6" s="1"/>
  <c r="V154" i="6" s="1"/>
  <c r="W154" i="6" s="1"/>
  <c r="X154" i="6" s="1"/>
  <c r="Y154" i="6" s="1"/>
  <c r="Z154" i="6" s="1"/>
  <c r="AA154" i="6" s="1"/>
  <c r="R154" i="6" s="1"/>
  <c r="F154" i="6" s="1"/>
  <c r="E154" i="6" s="1"/>
  <c r="M154" i="6"/>
  <c r="T153" i="6"/>
  <c r="U153" i="6" s="1"/>
  <c r="V153" i="6" s="1"/>
  <c r="W153" i="6" s="1"/>
  <c r="X153" i="6" s="1"/>
  <c r="Y153" i="6" s="1"/>
  <c r="Z153" i="6" s="1"/>
  <c r="AA153" i="6" s="1"/>
  <c r="R153" i="6" s="1"/>
  <c r="F153" i="6" s="1"/>
  <c r="E153" i="6" s="1"/>
  <c r="M153" i="6"/>
  <c r="T152" i="6"/>
  <c r="U152" i="6" s="1"/>
  <c r="V152" i="6" s="1"/>
  <c r="W152" i="6" s="1"/>
  <c r="X152" i="6" s="1"/>
  <c r="Y152" i="6" s="1"/>
  <c r="Z152" i="6" s="1"/>
  <c r="AA152" i="6" s="1"/>
  <c r="R152" i="6" s="1"/>
  <c r="F152" i="6" s="1"/>
  <c r="E152" i="6" s="1"/>
  <c r="M152" i="6"/>
  <c r="T151" i="6"/>
  <c r="U151" i="6"/>
  <c r="V151" i="6" s="1"/>
  <c r="W151" i="6" s="1"/>
  <c r="X151" i="6" s="1"/>
  <c r="Y151" i="6" s="1"/>
  <c r="Z151" i="6" s="1"/>
  <c r="AA151" i="6" s="1"/>
  <c r="R151" i="6" s="1"/>
  <c r="F151" i="6" s="1"/>
  <c r="E151" i="6" s="1"/>
  <c r="M151" i="6"/>
  <c r="T150" i="6"/>
  <c r="U150" i="6" s="1"/>
  <c r="V150" i="6" s="1"/>
  <c r="W150" i="6" s="1"/>
  <c r="X150" i="6" s="1"/>
  <c r="Y150" i="6" s="1"/>
  <c r="Z150" i="6" s="1"/>
  <c r="AA150" i="6" s="1"/>
  <c r="R150" i="6" s="1"/>
  <c r="F150" i="6" s="1"/>
  <c r="E150" i="6" s="1"/>
  <c r="M150" i="6"/>
  <c r="T149" i="6"/>
  <c r="U149" i="6" s="1"/>
  <c r="V149" i="6" s="1"/>
  <c r="W149" i="6" s="1"/>
  <c r="X149" i="6" s="1"/>
  <c r="Y149" i="6" s="1"/>
  <c r="Z149" i="6" s="1"/>
  <c r="AA149" i="6" s="1"/>
  <c r="R149" i="6" s="1"/>
  <c r="F149" i="6" s="1"/>
  <c r="E149" i="6" s="1"/>
  <c r="M149" i="6"/>
  <c r="T148" i="6"/>
  <c r="U148" i="6" s="1"/>
  <c r="V148" i="6" s="1"/>
  <c r="W148" i="6" s="1"/>
  <c r="X148" i="6" s="1"/>
  <c r="Y148" i="6" s="1"/>
  <c r="Z148" i="6" s="1"/>
  <c r="AA148" i="6" s="1"/>
  <c r="R148" i="6" s="1"/>
  <c r="F148" i="6" s="1"/>
  <c r="E148" i="6" s="1"/>
  <c r="M148" i="6"/>
  <c r="T147" i="6"/>
  <c r="U147" i="6"/>
  <c r="V147" i="6" s="1"/>
  <c r="W147" i="6" s="1"/>
  <c r="X147" i="6" s="1"/>
  <c r="Y147" i="6" s="1"/>
  <c r="Z147" i="6" s="1"/>
  <c r="AA147" i="6" s="1"/>
  <c r="R147" i="6" s="1"/>
  <c r="F147" i="6" s="1"/>
  <c r="E147" i="6" s="1"/>
  <c r="M147" i="6"/>
  <c r="T146" i="6"/>
  <c r="U146" i="6" s="1"/>
  <c r="V146" i="6" s="1"/>
  <c r="W146" i="6" s="1"/>
  <c r="X146" i="6" s="1"/>
  <c r="Y146" i="6" s="1"/>
  <c r="Z146" i="6" s="1"/>
  <c r="AA146" i="6" s="1"/>
  <c r="R146" i="6" s="1"/>
  <c r="F146" i="6" s="1"/>
  <c r="E146" i="6" s="1"/>
  <c r="M146" i="6"/>
  <c r="T145" i="6"/>
  <c r="U145" i="6" s="1"/>
  <c r="V145" i="6" s="1"/>
  <c r="W145" i="6" s="1"/>
  <c r="X145" i="6" s="1"/>
  <c r="Y145" i="6" s="1"/>
  <c r="Z145" i="6" s="1"/>
  <c r="AA145" i="6" s="1"/>
  <c r="R145" i="6" s="1"/>
  <c r="F145" i="6" s="1"/>
  <c r="E145" i="6" s="1"/>
  <c r="M145" i="6"/>
  <c r="T144" i="6"/>
  <c r="U144" i="6" s="1"/>
  <c r="V144" i="6" s="1"/>
  <c r="W144" i="6" s="1"/>
  <c r="X144" i="6" s="1"/>
  <c r="Y144" i="6" s="1"/>
  <c r="Z144" i="6" s="1"/>
  <c r="AA144" i="6" s="1"/>
  <c r="R144" i="6" s="1"/>
  <c r="F144" i="6" s="1"/>
  <c r="E144" i="6" s="1"/>
  <c r="M144" i="6"/>
  <c r="T143" i="6"/>
  <c r="U143" i="6" s="1"/>
  <c r="V143" i="6" s="1"/>
  <c r="W143" i="6" s="1"/>
  <c r="X143" i="6" s="1"/>
  <c r="Y143" i="6" s="1"/>
  <c r="Z143" i="6" s="1"/>
  <c r="AA143" i="6" s="1"/>
  <c r="R143" i="6" s="1"/>
  <c r="F143" i="6" s="1"/>
  <c r="E143" i="6" s="1"/>
  <c r="M143" i="6"/>
  <c r="T142" i="6"/>
  <c r="U142" i="6" s="1"/>
  <c r="V142" i="6" s="1"/>
  <c r="W142" i="6" s="1"/>
  <c r="X142" i="6" s="1"/>
  <c r="Y142" i="6" s="1"/>
  <c r="Z142" i="6" s="1"/>
  <c r="AA142" i="6" s="1"/>
  <c r="R142" i="6" s="1"/>
  <c r="F142" i="6" s="1"/>
  <c r="E142" i="6" s="1"/>
  <c r="M142" i="6"/>
  <c r="T141" i="6"/>
  <c r="U141" i="6" s="1"/>
  <c r="V141" i="6" s="1"/>
  <c r="W141" i="6" s="1"/>
  <c r="X141" i="6" s="1"/>
  <c r="Y141" i="6" s="1"/>
  <c r="Z141" i="6" s="1"/>
  <c r="AA141" i="6" s="1"/>
  <c r="R141" i="6" s="1"/>
  <c r="F141" i="6" s="1"/>
  <c r="E141" i="6" s="1"/>
  <c r="M141" i="6"/>
  <c r="T140" i="6"/>
  <c r="U140" i="6" s="1"/>
  <c r="V140" i="6" s="1"/>
  <c r="W140" i="6" s="1"/>
  <c r="X140" i="6" s="1"/>
  <c r="Y140" i="6" s="1"/>
  <c r="Z140" i="6" s="1"/>
  <c r="AA140" i="6" s="1"/>
  <c r="R140" i="6" s="1"/>
  <c r="F140" i="6" s="1"/>
  <c r="E140" i="6" s="1"/>
  <c r="M140" i="6"/>
  <c r="T139" i="6"/>
  <c r="U139" i="6" s="1"/>
  <c r="V139" i="6" s="1"/>
  <c r="W139" i="6" s="1"/>
  <c r="X139" i="6" s="1"/>
  <c r="Y139" i="6" s="1"/>
  <c r="Z139" i="6" s="1"/>
  <c r="AA139" i="6" s="1"/>
  <c r="R139" i="6" s="1"/>
  <c r="F139" i="6" s="1"/>
  <c r="E139" i="6" s="1"/>
  <c r="M139" i="6"/>
  <c r="T138" i="6"/>
  <c r="U138" i="6" s="1"/>
  <c r="V138" i="6" s="1"/>
  <c r="W138" i="6" s="1"/>
  <c r="X138" i="6" s="1"/>
  <c r="Y138" i="6" s="1"/>
  <c r="Z138" i="6" s="1"/>
  <c r="AA138" i="6" s="1"/>
  <c r="R138" i="6" s="1"/>
  <c r="F138" i="6" s="1"/>
  <c r="E138" i="6" s="1"/>
  <c r="M138" i="6"/>
  <c r="T137" i="6"/>
  <c r="U137" i="6" s="1"/>
  <c r="V137" i="6" s="1"/>
  <c r="W137" i="6" s="1"/>
  <c r="X137" i="6" s="1"/>
  <c r="Y137" i="6" s="1"/>
  <c r="Z137" i="6" s="1"/>
  <c r="AA137" i="6" s="1"/>
  <c r="R137" i="6" s="1"/>
  <c r="F137" i="6" s="1"/>
  <c r="E137" i="6" s="1"/>
  <c r="M137" i="6"/>
  <c r="T136" i="6"/>
  <c r="U136" i="6" s="1"/>
  <c r="V136" i="6" s="1"/>
  <c r="W136" i="6" s="1"/>
  <c r="X136" i="6" s="1"/>
  <c r="Y136" i="6" s="1"/>
  <c r="Z136" i="6" s="1"/>
  <c r="AA136" i="6" s="1"/>
  <c r="R136" i="6" s="1"/>
  <c r="F136" i="6" s="1"/>
  <c r="E136" i="6" s="1"/>
  <c r="M136" i="6"/>
  <c r="T135" i="6"/>
  <c r="U135" i="6" s="1"/>
  <c r="V135" i="6" s="1"/>
  <c r="W135" i="6" s="1"/>
  <c r="X135" i="6" s="1"/>
  <c r="Y135" i="6" s="1"/>
  <c r="Z135" i="6" s="1"/>
  <c r="AA135" i="6" s="1"/>
  <c r="R135" i="6" s="1"/>
  <c r="F135" i="6" s="1"/>
  <c r="E135" i="6" s="1"/>
  <c r="M135" i="6"/>
  <c r="T134" i="6"/>
  <c r="U134" i="6" s="1"/>
  <c r="V134" i="6" s="1"/>
  <c r="W134" i="6" s="1"/>
  <c r="X134" i="6" s="1"/>
  <c r="Y134" i="6" s="1"/>
  <c r="Z134" i="6" s="1"/>
  <c r="AA134" i="6" s="1"/>
  <c r="R134" i="6" s="1"/>
  <c r="F134" i="6" s="1"/>
  <c r="E134" i="6" s="1"/>
  <c r="M134" i="6"/>
  <c r="T133" i="6"/>
  <c r="U133" i="6" s="1"/>
  <c r="V133" i="6" s="1"/>
  <c r="W133" i="6" s="1"/>
  <c r="X133" i="6" s="1"/>
  <c r="Y133" i="6" s="1"/>
  <c r="Z133" i="6" s="1"/>
  <c r="AA133" i="6" s="1"/>
  <c r="R133" i="6" s="1"/>
  <c r="F133" i="6" s="1"/>
  <c r="E133" i="6" s="1"/>
  <c r="M133" i="6"/>
  <c r="T132" i="6"/>
  <c r="U132" i="6" s="1"/>
  <c r="V132" i="6" s="1"/>
  <c r="W132" i="6" s="1"/>
  <c r="X132" i="6" s="1"/>
  <c r="Y132" i="6" s="1"/>
  <c r="Z132" i="6"/>
  <c r="AA132" i="6" s="1"/>
  <c r="R132" i="6" s="1"/>
  <c r="F132" i="6" s="1"/>
  <c r="E132" i="6" s="1"/>
  <c r="M132" i="6"/>
  <c r="T131" i="6"/>
  <c r="U131" i="6" s="1"/>
  <c r="V131" i="6" s="1"/>
  <c r="W131" i="6" s="1"/>
  <c r="X131" i="6" s="1"/>
  <c r="Y131" i="6" s="1"/>
  <c r="Z131" i="6" s="1"/>
  <c r="AA131" i="6" s="1"/>
  <c r="R131" i="6" s="1"/>
  <c r="F131" i="6" s="1"/>
  <c r="E131" i="6" s="1"/>
  <c r="M131" i="6"/>
  <c r="T130" i="6"/>
  <c r="U130" i="6" s="1"/>
  <c r="V130" i="6" s="1"/>
  <c r="W130" i="6" s="1"/>
  <c r="X130" i="6" s="1"/>
  <c r="Y130" i="6" s="1"/>
  <c r="Z130" i="6" s="1"/>
  <c r="AA130" i="6" s="1"/>
  <c r="R130" i="6" s="1"/>
  <c r="F130" i="6" s="1"/>
  <c r="E130" i="6" s="1"/>
  <c r="M130" i="6"/>
  <c r="T129" i="6"/>
  <c r="U129" i="6" s="1"/>
  <c r="V129" i="6"/>
  <c r="W129" i="6" s="1"/>
  <c r="X129" i="6" s="1"/>
  <c r="Y129" i="6" s="1"/>
  <c r="Z129" i="6" s="1"/>
  <c r="AA129" i="6" s="1"/>
  <c r="R129" i="6" s="1"/>
  <c r="F129" i="6" s="1"/>
  <c r="E129" i="6" s="1"/>
  <c r="M129" i="6"/>
  <c r="T128" i="6"/>
  <c r="U128" i="6" s="1"/>
  <c r="V128" i="6" s="1"/>
  <c r="W128" i="6" s="1"/>
  <c r="X128" i="6" s="1"/>
  <c r="Y128" i="6" s="1"/>
  <c r="Z128" i="6" s="1"/>
  <c r="AA128" i="6" s="1"/>
  <c r="R128" i="6" s="1"/>
  <c r="F128" i="6" s="1"/>
  <c r="E128" i="6" s="1"/>
  <c r="M128" i="6"/>
  <c r="T127" i="6"/>
  <c r="U127" i="6" s="1"/>
  <c r="V127" i="6" s="1"/>
  <c r="W127" i="6" s="1"/>
  <c r="X127" i="6" s="1"/>
  <c r="Y127" i="6" s="1"/>
  <c r="Z127" i="6" s="1"/>
  <c r="AA127" i="6" s="1"/>
  <c r="R127" i="6" s="1"/>
  <c r="F127" i="6" s="1"/>
  <c r="E127" i="6" s="1"/>
  <c r="M127" i="6"/>
  <c r="T126" i="6"/>
  <c r="U126" i="6" s="1"/>
  <c r="V126" i="6" s="1"/>
  <c r="W126" i="6" s="1"/>
  <c r="X126" i="6" s="1"/>
  <c r="Y126" i="6" s="1"/>
  <c r="Z126" i="6"/>
  <c r="AA126" i="6" s="1"/>
  <c r="R126" i="6" s="1"/>
  <c r="F126" i="6" s="1"/>
  <c r="E126" i="6" s="1"/>
  <c r="M126" i="6"/>
  <c r="T125" i="6"/>
  <c r="U125" i="6" s="1"/>
  <c r="V125" i="6" s="1"/>
  <c r="W125" i="6" s="1"/>
  <c r="X125" i="6" s="1"/>
  <c r="Y125" i="6" s="1"/>
  <c r="Z125" i="6" s="1"/>
  <c r="AA125" i="6" s="1"/>
  <c r="R125" i="6" s="1"/>
  <c r="F125" i="6" s="1"/>
  <c r="E125" i="6" s="1"/>
  <c r="T124" i="6"/>
  <c r="U124" i="6"/>
  <c r="V124" i="6" s="1"/>
  <c r="W124" i="6" s="1"/>
  <c r="X124" i="6" s="1"/>
  <c r="Y124" i="6" s="1"/>
  <c r="Z124" i="6" s="1"/>
  <c r="AA124" i="6" s="1"/>
  <c r="R124" i="6" s="1"/>
  <c r="F124" i="6" s="1"/>
  <c r="E124" i="6" s="1"/>
  <c r="M124" i="6"/>
  <c r="T123" i="6"/>
  <c r="U123" i="6"/>
  <c r="V123" i="6" s="1"/>
  <c r="W123" i="6"/>
  <c r="X123" i="6" s="1"/>
  <c r="Y123" i="6" s="1"/>
  <c r="Z123" i="6" s="1"/>
  <c r="AA123" i="6" s="1"/>
  <c r="R123" i="6" s="1"/>
  <c r="F123" i="6" s="1"/>
  <c r="E123" i="6" s="1"/>
  <c r="M123" i="6"/>
  <c r="T122" i="6"/>
  <c r="U122" i="6"/>
  <c r="V122" i="6" s="1"/>
  <c r="W122" i="6" s="1"/>
  <c r="X122" i="6" s="1"/>
  <c r="Y122" i="6" s="1"/>
  <c r="Z122" i="6" s="1"/>
  <c r="AA122" i="6" s="1"/>
  <c r="R122" i="6" s="1"/>
  <c r="F122" i="6" s="1"/>
  <c r="E122" i="6" s="1"/>
  <c r="M122" i="6"/>
  <c r="T121" i="6"/>
  <c r="U121" i="6" s="1"/>
  <c r="V121" i="6" s="1"/>
  <c r="W121" i="6" s="1"/>
  <c r="X121" i="6" s="1"/>
  <c r="Y121" i="6" s="1"/>
  <c r="Z121" i="6" s="1"/>
  <c r="AA121" i="6" s="1"/>
  <c r="R121" i="6" s="1"/>
  <c r="F121" i="6" s="1"/>
  <c r="E121" i="6" s="1"/>
  <c r="M121" i="6"/>
  <c r="T120" i="6"/>
  <c r="U120" i="6" s="1"/>
  <c r="V120" i="6" s="1"/>
  <c r="W120" i="6" s="1"/>
  <c r="X120" i="6" s="1"/>
  <c r="Y120" i="6" s="1"/>
  <c r="Z120" i="6" s="1"/>
  <c r="AA120" i="6" s="1"/>
  <c r="R120" i="6" s="1"/>
  <c r="F120" i="6" s="1"/>
  <c r="E120" i="6" s="1"/>
  <c r="M120" i="6"/>
  <c r="T119" i="6"/>
  <c r="U119" i="6" s="1"/>
  <c r="V119" i="6" s="1"/>
  <c r="W119" i="6" s="1"/>
  <c r="X119" i="6" s="1"/>
  <c r="Y119" i="6" s="1"/>
  <c r="Z119" i="6" s="1"/>
  <c r="AA119" i="6" s="1"/>
  <c r="R119" i="6" s="1"/>
  <c r="F119" i="6" s="1"/>
  <c r="E119" i="6" s="1"/>
  <c r="M119" i="6"/>
  <c r="T118" i="6"/>
  <c r="U118" i="6" s="1"/>
  <c r="V118" i="6" s="1"/>
  <c r="W118" i="6" s="1"/>
  <c r="X118" i="6" s="1"/>
  <c r="Y118" i="6" s="1"/>
  <c r="Z118" i="6" s="1"/>
  <c r="AA118" i="6" s="1"/>
  <c r="R118" i="6" s="1"/>
  <c r="F118" i="6" s="1"/>
  <c r="E118" i="6" s="1"/>
  <c r="M118" i="6"/>
  <c r="T117" i="6"/>
  <c r="U117" i="6"/>
  <c r="V117" i="6" s="1"/>
  <c r="W117" i="6" s="1"/>
  <c r="X117" i="6" s="1"/>
  <c r="Y117" i="6" s="1"/>
  <c r="Z117" i="6" s="1"/>
  <c r="AA117" i="6" s="1"/>
  <c r="R117" i="6" s="1"/>
  <c r="F117" i="6" s="1"/>
  <c r="E117" i="6" s="1"/>
  <c r="M117" i="6"/>
  <c r="T116" i="6"/>
  <c r="U116" i="6"/>
  <c r="V116" i="6" s="1"/>
  <c r="W116" i="6" s="1"/>
  <c r="X116" i="6" s="1"/>
  <c r="Y116" i="6" s="1"/>
  <c r="Z116" i="6" s="1"/>
  <c r="AA116" i="6" s="1"/>
  <c r="R116" i="6" s="1"/>
  <c r="F116" i="6" s="1"/>
  <c r="E116" i="6" s="1"/>
  <c r="M116" i="6"/>
  <c r="T115" i="6"/>
  <c r="U115" i="6"/>
  <c r="V115" i="6" s="1"/>
  <c r="W115" i="6"/>
  <c r="X115" i="6" s="1"/>
  <c r="Y115" i="6" s="1"/>
  <c r="Z115" i="6" s="1"/>
  <c r="AA115" i="6" s="1"/>
  <c r="R115" i="6" s="1"/>
  <c r="F115" i="6" s="1"/>
  <c r="E115" i="6" s="1"/>
  <c r="M115" i="6"/>
  <c r="T114" i="6"/>
  <c r="U114" i="6"/>
  <c r="V114" i="6" s="1"/>
  <c r="W114" i="6" s="1"/>
  <c r="X114" i="6" s="1"/>
  <c r="Y114" i="6" s="1"/>
  <c r="Z114" i="6" s="1"/>
  <c r="AA114" i="6" s="1"/>
  <c r="R114" i="6" s="1"/>
  <c r="F114" i="6" s="1"/>
  <c r="E114" i="6" s="1"/>
  <c r="M114" i="6"/>
  <c r="T113" i="6"/>
  <c r="U113" i="6" s="1"/>
  <c r="V113" i="6" s="1"/>
  <c r="W113" i="6" s="1"/>
  <c r="X113" i="6" s="1"/>
  <c r="Y113" i="6" s="1"/>
  <c r="Z113" i="6" s="1"/>
  <c r="AA113" i="6" s="1"/>
  <c r="R113" i="6" s="1"/>
  <c r="F113" i="6" s="1"/>
  <c r="E113" i="6" s="1"/>
  <c r="M113" i="6"/>
  <c r="T112" i="6"/>
  <c r="U112" i="6" s="1"/>
  <c r="V112" i="6" s="1"/>
  <c r="W112" i="6" s="1"/>
  <c r="X112" i="6" s="1"/>
  <c r="Y112" i="6" s="1"/>
  <c r="Z112" i="6" s="1"/>
  <c r="AA112" i="6" s="1"/>
  <c r="R112" i="6" s="1"/>
  <c r="F112" i="6" s="1"/>
  <c r="E112" i="6" s="1"/>
  <c r="M112" i="6"/>
  <c r="T111" i="6"/>
  <c r="U111" i="6" s="1"/>
  <c r="V111" i="6" s="1"/>
  <c r="W111" i="6" s="1"/>
  <c r="X111" i="6" s="1"/>
  <c r="Y111" i="6" s="1"/>
  <c r="Z111" i="6" s="1"/>
  <c r="AA111" i="6" s="1"/>
  <c r="R111" i="6" s="1"/>
  <c r="F111" i="6" s="1"/>
  <c r="E111" i="6" s="1"/>
  <c r="M111" i="6"/>
  <c r="T110" i="6"/>
  <c r="U110" i="6" s="1"/>
  <c r="V110" i="6" s="1"/>
  <c r="W110" i="6" s="1"/>
  <c r="X110" i="6" s="1"/>
  <c r="Y110" i="6" s="1"/>
  <c r="Z110" i="6" s="1"/>
  <c r="AA110" i="6" s="1"/>
  <c r="R110" i="6" s="1"/>
  <c r="F110" i="6" s="1"/>
  <c r="E110" i="6" s="1"/>
  <c r="M110" i="6"/>
  <c r="T109" i="6"/>
  <c r="U109" i="6"/>
  <c r="V109" i="6" s="1"/>
  <c r="W109" i="6" s="1"/>
  <c r="X109" i="6" s="1"/>
  <c r="Y109" i="6" s="1"/>
  <c r="Z109" i="6" s="1"/>
  <c r="AA109" i="6" s="1"/>
  <c r="R109" i="6" s="1"/>
  <c r="F109" i="6" s="1"/>
  <c r="E109" i="6" s="1"/>
  <c r="M109" i="6"/>
  <c r="T108" i="6"/>
  <c r="U108" i="6"/>
  <c r="V108" i="6" s="1"/>
  <c r="W108" i="6" s="1"/>
  <c r="X108" i="6" s="1"/>
  <c r="Y108" i="6" s="1"/>
  <c r="Z108" i="6" s="1"/>
  <c r="AA108" i="6" s="1"/>
  <c r="R108" i="6" s="1"/>
  <c r="F108" i="6" s="1"/>
  <c r="E108" i="6" s="1"/>
  <c r="M108" i="6"/>
  <c r="T107" i="6"/>
  <c r="U107" i="6"/>
  <c r="V107" i="6" s="1"/>
  <c r="W107" i="6"/>
  <c r="X107" i="6" s="1"/>
  <c r="Y107" i="6" s="1"/>
  <c r="Z107" i="6" s="1"/>
  <c r="AA107" i="6" s="1"/>
  <c r="R107" i="6" s="1"/>
  <c r="F107" i="6" s="1"/>
  <c r="E107" i="6" s="1"/>
  <c r="M107" i="6"/>
  <c r="T106" i="6"/>
  <c r="U106" i="6"/>
  <c r="V106" i="6" s="1"/>
  <c r="W106" i="6" s="1"/>
  <c r="X106" i="6" s="1"/>
  <c r="Y106" i="6" s="1"/>
  <c r="Z106" i="6" s="1"/>
  <c r="AA106" i="6" s="1"/>
  <c r="R106" i="6" s="1"/>
  <c r="F106" i="6" s="1"/>
  <c r="E106" i="6" s="1"/>
  <c r="M106" i="6"/>
  <c r="T105" i="6"/>
  <c r="U105" i="6" s="1"/>
  <c r="V105" i="6" s="1"/>
  <c r="W105" i="6" s="1"/>
  <c r="X105" i="6" s="1"/>
  <c r="Y105" i="6" s="1"/>
  <c r="Z105" i="6" s="1"/>
  <c r="AA105" i="6" s="1"/>
  <c r="R105" i="6" s="1"/>
  <c r="F105" i="6" s="1"/>
  <c r="E105" i="6" s="1"/>
  <c r="M105" i="6"/>
  <c r="T104" i="6"/>
  <c r="U104" i="6" s="1"/>
  <c r="V104" i="6" s="1"/>
  <c r="W104" i="6" s="1"/>
  <c r="X104" i="6" s="1"/>
  <c r="Y104" i="6" s="1"/>
  <c r="Z104" i="6" s="1"/>
  <c r="AA104" i="6" s="1"/>
  <c r="R104" i="6" s="1"/>
  <c r="F104" i="6" s="1"/>
  <c r="E104" i="6" s="1"/>
  <c r="M104" i="6"/>
  <c r="T103" i="6"/>
  <c r="U103" i="6" s="1"/>
  <c r="V103" i="6" s="1"/>
  <c r="W103" i="6" s="1"/>
  <c r="X103" i="6" s="1"/>
  <c r="Y103" i="6" s="1"/>
  <c r="Z103" i="6" s="1"/>
  <c r="AA103" i="6" s="1"/>
  <c r="R103" i="6" s="1"/>
  <c r="F103" i="6" s="1"/>
  <c r="E103" i="6" s="1"/>
  <c r="M103" i="6"/>
  <c r="T102" i="6"/>
  <c r="U102" i="6" s="1"/>
  <c r="V102" i="6" s="1"/>
  <c r="W102" i="6" s="1"/>
  <c r="X102" i="6" s="1"/>
  <c r="Y102" i="6" s="1"/>
  <c r="Z102" i="6" s="1"/>
  <c r="AA102" i="6" s="1"/>
  <c r="R102" i="6" s="1"/>
  <c r="F102" i="6" s="1"/>
  <c r="E102" i="6" s="1"/>
  <c r="M102" i="6"/>
  <c r="T101" i="6"/>
  <c r="U101" i="6"/>
  <c r="V101" i="6" s="1"/>
  <c r="W101" i="6" s="1"/>
  <c r="X101" i="6" s="1"/>
  <c r="Y101" i="6" s="1"/>
  <c r="Z101" i="6" s="1"/>
  <c r="AA101" i="6" s="1"/>
  <c r="R101" i="6" s="1"/>
  <c r="F101" i="6" s="1"/>
  <c r="E101" i="6" s="1"/>
  <c r="M101" i="6"/>
  <c r="T100" i="6"/>
  <c r="U100" i="6"/>
  <c r="V100" i="6" s="1"/>
  <c r="W100" i="6" s="1"/>
  <c r="X100" i="6" s="1"/>
  <c r="Y100" i="6" s="1"/>
  <c r="Z100" i="6" s="1"/>
  <c r="AA100" i="6" s="1"/>
  <c r="R100" i="6" s="1"/>
  <c r="F100" i="6" s="1"/>
  <c r="E100" i="6" s="1"/>
  <c r="M100" i="6"/>
  <c r="T99" i="6"/>
  <c r="U99" i="6"/>
  <c r="V99" i="6" s="1"/>
  <c r="W99" i="6"/>
  <c r="X99" i="6" s="1"/>
  <c r="Y99" i="6" s="1"/>
  <c r="Z99" i="6" s="1"/>
  <c r="AA99" i="6" s="1"/>
  <c r="R99" i="6" s="1"/>
  <c r="F99" i="6" s="1"/>
  <c r="E99" i="6" s="1"/>
  <c r="M99" i="6"/>
  <c r="T98" i="6"/>
  <c r="U98" i="6"/>
  <c r="V98" i="6" s="1"/>
  <c r="W98" i="6" s="1"/>
  <c r="X98" i="6" s="1"/>
  <c r="Y98" i="6" s="1"/>
  <c r="Z98" i="6" s="1"/>
  <c r="AA98" i="6" s="1"/>
  <c r="R98" i="6" s="1"/>
  <c r="F98" i="6" s="1"/>
  <c r="E98" i="6" s="1"/>
  <c r="M98" i="6"/>
  <c r="T97" i="6"/>
  <c r="U97" i="6" s="1"/>
  <c r="V97" i="6" s="1"/>
  <c r="W97" i="6" s="1"/>
  <c r="X97" i="6" s="1"/>
  <c r="Y97" i="6" s="1"/>
  <c r="Z97" i="6" s="1"/>
  <c r="AA97" i="6" s="1"/>
  <c r="R97" i="6" s="1"/>
  <c r="F97" i="6" s="1"/>
  <c r="E97" i="6" s="1"/>
  <c r="M97" i="6"/>
  <c r="T96" i="6"/>
  <c r="U96" i="6" s="1"/>
  <c r="V96" i="6" s="1"/>
  <c r="W96" i="6" s="1"/>
  <c r="X96" i="6" s="1"/>
  <c r="Y96" i="6" s="1"/>
  <c r="Z96" i="6" s="1"/>
  <c r="AA96" i="6" s="1"/>
  <c r="R96" i="6" s="1"/>
  <c r="F96" i="6" s="1"/>
  <c r="E96" i="6" s="1"/>
  <c r="M96" i="6"/>
  <c r="T95" i="6"/>
  <c r="U95" i="6" s="1"/>
  <c r="V95" i="6" s="1"/>
  <c r="W95" i="6" s="1"/>
  <c r="X95" i="6" s="1"/>
  <c r="Y95" i="6" s="1"/>
  <c r="Z95" i="6" s="1"/>
  <c r="AA95" i="6" s="1"/>
  <c r="R95" i="6" s="1"/>
  <c r="F95" i="6" s="1"/>
  <c r="E95" i="6" s="1"/>
  <c r="M95" i="6"/>
  <c r="T94" i="6"/>
  <c r="U94" i="6" s="1"/>
  <c r="V94" i="6" s="1"/>
  <c r="W94" i="6" s="1"/>
  <c r="X94" i="6" s="1"/>
  <c r="Y94" i="6" s="1"/>
  <c r="Z94" i="6" s="1"/>
  <c r="AA94" i="6" s="1"/>
  <c r="R94" i="6" s="1"/>
  <c r="F94" i="6" s="1"/>
  <c r="E94" i="6" s="1"/>
  <c r="M94" i="6"/>
  <c r="T93" i="6"/>
  <c r="U93" i="6"/>
  <c r="V93" i="6" s="1"/>
  <c r="W93" i="6" s="1"/>
  <c r="X93" i="6" s="1"/>
  <c r="Y93" i="6" s="1"/>
  <c r="Z93" i="6" s="1"/>
  <c r="AA93" i="6" s="1"/>
  <c r="R93" i="6" s="1"/>
  <c r="F93" i="6" s="1"/>
  <c r="E93" i="6" s="1"/>
  <c r="M93" i="6"/>
  <c r="T92" i="6"/>
  <c r="U92" i="6"/>
  <c r="V92" i="6" s="1"/>
  <c r="W92" i="6" s="1"/>
  <c r="X92" i="6" s="1"/>
  <c r="Y92" i="6" s="1"/>
  <c r="Z92" i="6" s="1"/>
  <c r="AA92" i="6" s="1"/>
  <c r="R92" i="6" s="1"/>
  <c r="F92" i="6" s="1"/>
  <c r="E92" i="6" s="1"/>
  <c r="M92" i="6"/>
  <c r="T91" i="6"/>
  <c r="U91" i="6"/>
  <c r="V91" i="6" s="1"/>
  <c r="W91" i="6"/>
  <c r="X91" i="6" s="1"/>
  <c r="Y91" i="6" s="1"/>
  <c r="Z91" i="6" s="1"/>
  <c r="AA91" i="6" s="1"/>
  <c r="R91" i="6" s="1"/>
  <c r="F91" i="6" s="1"/>
  <c r="E91" i="6" s="1"/>
  <c r="M91" i="6"/>
  <c r="T90" i="6"/>
  <c r="U90" i="6"/>
  <c r="V90" i="6" s="1"/>
  <c r="W90" i="6" s="1"/>
  <c r="X90" i="6" s="1"/>
  <c r="Y90" i="6" s="1"/>
  <c r="Z90" i="6" s="1"/>
  <c r="AA90" i="6" s="1"/>
  <c r="R90" i="6" s="1"/>
  <c r="F90" i="6" s="1"/>
  <c r="E90" i="6" s="1"/>
  <c r="M90" i="6"/>
  <c r="T89" i="6"/>
  <c r="U89" i="6" s="1"/>
  <c r="V89" i="6" s="1"/>
  <c r="W89" i="6" s="1"/>
  <c r="X89" i="6" s="1"/>
  <c r="Y89" i="6" s="1"/>
  <c r="Z89" i="6" s="1"/>
  <c r="AA89" i="6" s="1"/>
  <c r="R89" i="6" s="1"/>
  <c r="F89" i="6" s="1"/>
  <c r="E89" i="6" s="1"/>
  <c r="M89" i="6"/>
  <c r="T88" i="6"/>
  <c r="U88" i="6" s="1"/>
  <c r="V88" i="6" s="1"/>
  <c r="W88" i="6" s="1"/>
  <c r="X88" i="6" s="1"/>
  <c r="Y88" i="6" s="1"/>
  <c r="Z88" i="6" s="1"/>
  <c r="AA88" i="6" s="1"/>
  <c r="R88" i="6" s="1"/>
  <c r="F88" i="6" s="1"/>
  <c r="E88" i="6" s="1"/>
  <c r="M88" i="6"/>
  <c r="T87" i="6"/>
  <c r="U87" i="6" s="1"/>
  <c r="V87" i="6" s="1"/>
  <c r="W87" i="6" s="1"/>
  <c r="X87" i="6" s="1"/>
  <c r="Y87" i="6" s="1"/>
  <c r="Z87" i="6" s="1"/>
  <c r="AA87" i="6" s="1"/>
  <c r="R87" i="6" s="1"/>
  <c r="F87" i="6" s="1"/>
  <c r="E87" i="6" s="1"/>
  <c r="M87" i="6"/>
  <c r="T86" i="6"/>
  <c r="U86" i="6" s="1"/>
  <c r="V86" i="6" s="1"/>
  <c r="W86" i="6" s="1"/>
  <c r="X86" i="6" s="1"/>
  <c r="Y86" i="6" s="1"/>
  <c r="Z86" i="6" s="1"/>
  <c r="AA86" i="6" s="1"/>
  <c r="R86" i="6" s="1"/>
  <c r="F86" i="6" s="1"/>
  <c r="E86" i="6" s="1"/>
  <c r="M86" i="6"/>
  <c r="T85" i="6"/>
  <c r="U85" i="6"/>
  <c r="V85" i="6" s="1"/>
  <c r="W85" i="6" s="1"/>
  <c r="X85" i="6" s="1"/>
  <c r="Y85" i="6" s="1"/>
  <c r="Z85" i="6" s="1"/>
  <c r="AA85" i="6" s="1"/>
  <c r="R85" i="6" s="1"/>
  <c r="F85" i="6" s="1"/>
  <c r="E85" i="6" s="1"/>
  <c r="M85" i="6"/>
  <c r="T84" i="6"/>
  <c r="U84" i="6"/>
  <c r="V84" i="6" s="1"/>
  <c r="W84" i="6" s="1"/>
  <c r="X84" i="6" s="1"/>
  <c r="Y84" i="6" s="1"/>
  <c r="Z84" i="6" s="1"/>
  <c r="AA84" i="6" s="1"/>
  <c r="R84" i="6" s="1"/>
  <c r="F84" i="6" s="1"/>
  <c r="E84" i="6" s="1"/>
  <c r="M84" i="6"/>
  <c r="T83" i="6"/>
  <c r="U83" i="6"/>
  <c r="V83" i="6" s="1"/>
  <c r="W83" i="6"/>
  <c r="X83" i="6" s="1"/>
  <c r="Y83" i="6" s="1"/>
  <c r="Z83" i="6" s="1"/>
  <c r="AA83" i="6" s="1"/>
  <c r="R83" i="6" s="1"/>
  <c r="F83" i="6" s="1"/>
  <c r="E83" i="6" s="1"/>
  <c r="M83" i="6"/>
  <c r="T82" i="6"/>
  <c r="U82" i="6"/>
  <c r="V82" i="6" s="1"/>
  <c r="W82" i="6" s="1"/>
  <c r="X82" i="6" s="1"/>
  <c r="Y82" i="6" s="1"/>
  <c r="Z82" i="6" s="1"/>
  <c r="AA82" i="6" s="1"/>
  <c r="R82" i="6" s="1"/>
  <c r="F82" i="6" s="1"/>
  <c r="E82" i="6" s="1"/>
  <c r="M82" i="6"/>
  <c r="T81" i="6"/>
  <c r="U81" i="6" s="1"/>
  <c r="V81" i="6" s="1"/>
  <c r="W81" i="6" s="1"/>
  <c r="X81" i="6" s="1"/>
  <c r="Y81" i="6" s="1"/>
  <c r="Z81" i="6" s="1"/>
  <c r="AA81" i="6" s="1"/>
  <c r="R81" i="6" s="1"/>
  <c r="F81" i="6" s="1"/>
  <c r="E81" i="6" s="1"/>
  <c r="M81" i="6"/>
  <c r="T80" i="6"/>
  <c r="U80" i="6" s="1"/>
  <c r="V80" i="6" s="1"/>
  <c r="W80" i="6" s="1"/>
  <c r="X80" i="6" s="1"/>
  <c r="Y80" i="6" s="1"/>
  <c r="Z80" i="6" s="1"/>
  <c r="AA80" i="6" s="1"/>
  <c r="R80" i="6" s="1"/>
  <c r="F80" i="6" s="1"/>
  <c r="E80" i="6" s="1"/>
  <c r="M80" i="6"/>
  <c r="T79" i="6"/>
  <c r="U79" i="6" s="1"/>
  <c r="V79" i="6" s="1"/>
  <c r="W79" i="6" s="1"/>
  <c r="X79" i="6" s="1"/>
  <c r="Y79" i="6" s="1"/>
  <c r="Z79" i="6" s="1"/>
  <c r="AA79" i="6" s="1"/>
  <c r="R79" i="6" s="1"/>
  <c r="F79" i="6" s="1"/>
  <c r="E79" i="6" s="1"/>
  <c r="M79" i="6"/>
  <c r="T78" i="6"/>
  <c r="U78" i="6" s="1"/>
  <c r="V78" i="6" s="1"/>
  <c r="W78" i="6" s="1"/>
  <c r="X78" i="6" s="1"/>
  <c r="Y78" i="6" s="1"/>
  <c r="Z78" i="6" s="1"/>
  <c r="AA78" i="6" s="1"/>
  <c r="R78" i="6" s="1"/>
  <c r="F78" i="6" s="1"/>
  <c r="E78" i="6" s="1"/>
  <c r="M78" i="6"/>
  <c r="T77" i="6"/>
  <c r="U77" i="6"/>
  <c r="V77" i="6" s="1"/>
  <c r="W77" i="6" s="1"/>
  <c r="X77" i="6" s="1"/>
  <c r="Y77" i="6" s="1"/>
  <c r="Z77" i="6" s="1"/>
  <c r="AA77" i="6" s="1"/>
  <c r="R77" i="6" s="1"/>
  <c r="F77" i="6" s="1"/>
  <c r="E77" i="6" s="1"/>
  <c r="M77" i="6"/>
  <c r="T76" i="6"/>
  <c r="U76" i="6"/>
  <c r="V76" i="6" s="1"/>
  <c r="W76" i="6" s="1"/>
  <c r="X76" i="6" s="1"/>
  <c r="Y76" i="6" s="1"/>
  <c r="Z76" i="6" s="1"/>
  <c r="AA76" i="6" s="1"/>
  <c r="R76" i="6" s="1"/>
  <c r="F76" i="6" s="1"/>
  <c r="E76" i="6" s="1"/>
  <c r="M76" i="6"/>
  <c r="T75" i="6"/>
  <c r="U75" i="6"/>
  <c r="V75" i="6" s="1"/>
  <c r="W75" i="6"/>
  <c r="X75" i="6" s="1"/>
  <c r="Y75" i="6" s="1"/>
  <c r="Z75" i="6" s="1"/>
  <c r="AA75" i="6" s="1"/>
  <c r="R75" i="6" s="1"/>
  <c r="F75" i="6" s="1"/>
  <c r="E75" i="6" s="1"/>
  <c r="M75" i="6"/>
  <c r="T74" i="6"/>
  <c r="U74" i="6"/>
  <c r="V74" i="6" s="1"/>
  <c r="W74" i="6" s="1"/>
  <c r="X74" i="6" s="1"/>
  <c r="Y74" i="6" s="1"/>
  <c r="Z74" i="6" s="1"/>
  <c r="AA74" i="6" s="1"/>
  <c r="R74" i="6" s="1"/>
  <c r="F74" i="6" s="1"/>
  <c r="E74" i="6" s="1"/>
  <c r="M74" i="6"/>
  <c r="T73" i="6"/>
  <c r="U73" i="6" s="1"/>
  <c r="V73" i="6" s="1"/>
  <c r="W73" i="6" s="1"/>
  <c r="X73" i="6" s="1"/>
  <c r="Y73" i="6" s="1"/>
  <c r="Z73" i="6" s="1"/>
  <c r="AA73" i="6" s="1"/>
  <c r="R73" i="6" s="1"/>
  <c r="F73" i="6" s="1"/>
  <c r="E73" i="6" s="1"/>
  <c r="M73" i="6"/>
  <c r="T72" i="6"/>
  <c r="U72" i="6" s="1"/>
  <c r="V72" i="6" s="1"/>
  <c r="W72" i="6" s="1"/>
  <c r="X72" i="6" s="1"/>
  <c r="Y72" i="6" s="1"/>
  <c r="Z72" i="6" s="1"/>
  <c r="AA72" i="6" s="1"/>
  <c r="R72" i="6" s="1"/>
  <c r="F72" i="6" s="1"/>
  <c r="E72" i="6" s="1"/>
  <c r="M72" i="6"/>
  <c r="T71" i="6"/>
  <c r="U71" i="6" s="1"/>
  <c r="V71" i="6" s="1"/>
  <c r="W71" i="6" s="1"/>
  <c r="X71" i="6" s="1"/>
  <c r="Y71" i="6" s="1"/>
  <c r="Z71" i="6" s="1"/>
  <c r="AA71" i="6" s="1"/>
  <c r="R71" i="6" s="1"/>
  <c r="F71" i="6" s="1"/>
  <c r="E71" i="6" s="1"/>
  <c r="M71" i="6"/>
  <c r="T70" i="6"/>
  <c r="U70" i="6" s="1"/>
  <c r="V70" i="6" s="1"/>
  <c r="W70" i="6" s="1"/>
  <c r="X70" i="6" s="1"/>
  <c r="Y70" i="6" s="1"/>
  <c r="Z70" i="6" s="1"/>
  <c r="AA70" i="6" s="1"/>
  <c r="R70" i="6" s="1"/>
  <c r="F70" i="6" s="1"/>
  <c r="E70" i="6" s="1"/>
  <c r="M70" i="6"/>
  <c r="T69" i="6"/>
  <c r="U69" i="6"/>
  <c r="V69" i="6" s="1"/>
  <c r="W69" i="6" s="1"/>
  <c r="X69" i="6" s="1"/>
  <c r="Y69" i="6" s="1"/>
  <c r="Z69" i="6" s="1"/>
  <c r="AA69" i="6" s="1"/>
  <c r="R69" i="6" s="1"/>
  <c r="F69" i="6" s="1"/>
  <c r="E69" i="6" s="1"/>
  <c r="M69" i="6"/>
  <c r="T68" i="6"/>
  <c r="U68" i="6"/>
  <c r="V68" i="6" s="1"/>
  <c r="W68" i="6" s="1"/>
  <c r="X68" i="6" s="1"/>
  <c r="Y68" i="6" s="1"/>
  <c r="Z68" i="6" s="1"/>
  <c r="AA68" i="6" s="1"/>
  <c r="R68" i="6" s="1"/>
  <c r="F68" i="6" s="1"/>
  <c r="E68" i="6" s="1"/>
  <c r="M68" i="6"/>
  <c r="T67" i="6"/>
  <c r="U67" i="6"/>
  <c r="V67" i="6" s="1"/>
  <c r="W67" i="6"/>
  <c r="X67" i="6" s="1"/>
  <c r="Y67" i="6" s="1"/>
  <c r="Z67" i="6" s="1"/>
  <c r="AA67" i="6" s="1"/>
  <c r="R67" i="6" s="1"/>
  <c r="F67" i="6" s="1"/>
  <c r="E67" i="6" s="1"/>
  <c r="M67" i="6"/>
  <c r="T66" i="6"/>
  <c r="U66" i="6"/>
  <c r="V66" i="6" s="1"/>
  <c r="W66" i="6" s="1"/>
  <c r="X66" i="6" s="1"/>
  <c r="Y66" i="6" s="1"/>
  <c r="Z66" i="6" s="1"/>
  <c r="AA66" i="6" s="1"/>
  <c r="R66" i="6" s="1"/>
  <c r="F66" i="6" s="1"/>
  <c r="E66" i="6" s="1"/>
  <c r="M66" i="6"/>
  <c r="T65" i="6"/>
  <c r="U65" i="6" s="1"/>
  <c r="V65" i="6" s="1"/>
  <c r="W65" i="6" s="1"/>
  <c r="X65" i="6" s="1"/>
  <c r="Y65" i="6" s="1"/>
  <c r="Z65" i="6" s="1"/>
  <c r="AA65" i="6" s="1"/>
  <c r="R65" i="6" s="1"/>
  <c r="F65" i="6" s="1"/>
  <c r="E65" i="6" s="1"/>
  <c r="M65" i="6"/>
  <c r="T64" i="6"/>
  <c r="U64" i="6" s="1"/>
  <c r="V64" i="6" s="1"/>
  <c r="W64" i="6" s="1"/>
  <c r="X64" i="6" s="1"/>
  <c r="Y64" i="6" s="1"/>
  <c r="Z64" i="6" s="1"/>
  <c r="AA64" i="6" s="1"/>
  <c r="R64" i="6" s="1"/>
  <c r="F64" i="6" s="1"/>
  <c r="E64" i="6" s="1"/>
  <c r="M64" i="6"/>
  <c r="T63" i="6"/>
  <c r="U63" i="6" s="1"/>
  <c r="V63" i="6" s="1"/>
  <c r="W63" i="6" s="1"/>
  <c r="X63" i="6" s="1"/>
  <c r="Y63" i="6" s="1"/>
  <c r="Z63" i="6" s="1"/>
  <c r="AA63" i="6" s="1"/>
  <c r="R63" i="6" s="1"/>
  <c r="F63" i="6" s="1"/>
  <c r="E63" i="6" s="1"/>
  <c r="M63" i="6"/>
  <c r="T62" i="6"/>
  <c r="U62" i="6" s="1"/>
  <c r="V62" i="6" s="1"/>
  <c r="W62" i="6" s="1"/>
  <c r="X62" i="6" s="1"/>
  <c r="Y62" i="6" s="1"/>
  <c r="Z62" i="6" s="1"/>
  <c r="AA62" i="6" s="1"/>
  <c r="R62" i="6" s="1"/>
  <c r="F62" i="6" s="1"/>
  <c r="E62" i="6" s="1"/>
  <c r="M62" i="6"/>
  <c r="T61" i="6"/>
  <c r="U61" i="6"/>
  <c r="V61" i="6" s="1"/>
  <c r="W61" i="6" s="1"/>
  <c r="X61" i="6" s="1"/>
  <c r="Y61" i="6" s="1"/>
  <c r="Z61" i="6" s="1"/>
  <c r="AA61" i="6" s="1"/>
  <c r="R61" i="6" s="1"/>
  <c r="F61" i="6" s="1"/>
  <c r="E61" i="6" s="1"/>
  <c r="M61" i="6"/>
  <c r="T60" i="6"/>
  <c r="U60" i="6"/>
  <c r="V60" i="6" s="1"/>
  <c r="W60" i="6" s="1"/>
  <c r="X60" i="6" s="1"/>
  <c r="Y60" i="6" s="1"/>
  <c r="Z60" i="6" s="1"/>
  <c r="AA60" i="6" s="1"/>
  <c r="R60" i="6" s="1"/>
  <c r="F60" i="6" s="1"/>
  <c r="E60" i="6" s="1"/>
  <c r="M60" i="6"/>
  <c r="T59" i="6"/>
  <c r="U59" i="6"/>
  <c r="V59" i="6" s="1"/>
  <c r="W59" i="6"/>
  <c r="X59" i="6" s="1"/>
  <c r="Y59" i="6" s="1"/>
  <c r="Z59" i="6" s="1"/>
  <c r="AA59" i="6" s="1"/>
  <c r="R59" i="6" s="1"/>
  <c r="F59" i="6" s="1"/>
  <c r="E59" i="6" s="1"/>
  <c r="T58" i="6"/>
  <c r="U58" i="6" s="1"/>
  <c r="V58" i="6" s="1"/>
  <c r="W58" i="6" s="1"/>
  <c r="X58" i="6" s="1"/>
  <c r="Y58" i="6" s="1"/>
  <c r="Z58" i="6" s="1"/>
  <c r="AA58" i="6" s="1"/>
  <c r="R58" i="6" s="1"/>
  <c r="F58" i="6" s="1"/>
  <c r="E58" i="6" s="1"/>
  <c r="M58" i="6"/>
  <c r="T57" i="6"/>
  <c r="U57" i="6" s="1"/>
  <c r="V57" i="6" s="1"/>
  <c r="W57" i="6" s="1"/>
  <c r="X57" i="6" s="1"/>
  <c r="Y57" i="6" s="1"/>
  <c r="Z57" i="6" s="1"/>
  <c r="AA57" i="6" s="1"/>
  <c r="R57" i="6" s="1"/>
  <c r="F57" i="6" s="1"/>
  <c r="E57" i="6" s="1"/>
  <c r="M57" i="6"/>
  <c r="T56" i="6"/>
  <c r="U56" i="6" s="1"/>
  <c r="V56" i="6" s="1"/>
  <c r="W56" i="6" s="1"/>
  <c r="X56" i="6" s="1"/>
  <c r="Y56" i="6" s="1"/>
  <c r="Z56" i="6" s="1"/>
  <c r="AA56" i="6" s="1"/>
  <c r="R56" i="6"/>
  <c r="F56" i="6" s="1"/>
  <c r="E56" i="6" s="1"/>
  <c r="M56" i="6"/>
  <c r="T55" i="6"/>
  <c r="U55" i="6" s="1"/>
  <c r="V55" i="6" s="1"/>
  <c r="W55" i="6" s="1"/>
  <c r="X55" i="6"/>
  <c r="Y55" i="6" s="1"/>
  <c r="Z55" i="6" s="1"/>
  <c r="AA55" i="6" s="1"/>
  <c r="R55" i="6" s="1"/>
  <c r="F55" i="6" s="1"/>
  <c r="E55" i="6" s="1"/>
  <c r="M55" i="6"/>
  <c r="T54" i="6"/>
  <c r="U54" i="6" s="1"/>
  <c r="V54" i="6" s="1"/>
  <c r="W54" i="6" s="1"/>
  <c r="X54" i="6" s="1"/>
  <c r="Y54" i="6" s="1"/>
  <c r="Z54" i="6" s="1"/>
  <c r="AA54" i="6" s="1"/>
  <c r="R54" i="6" s="1"/>
  <c r="F54" i="6" s="1"/>
  <c r="E54" i="6" s="1"/>
  <c r="M54" i="6"/>
  <c r="T53" i="6"/>
  <c r="U53" i="6" s="1"/>
  <c r="V53" i="6" s="1"/>
  <c r="W53" i="6" s="1"/>
  <c r="X53" i="6" s="1"/>
  <c r="Y53" i="6" s="1"/>
  <c r="Z53" i="6" s="1"/>
  <c r="AA53" i="6" s="1"/>
  <c r="R53" i="6" s="1"/>
  <c r="F53" i="6" s="1"/>
  <c r="E53" i="6" s="1"/>
  <c r="M53" i="6"/>
  <c r="T52" i="6"/>
  <c r="U52" i="6" s="1"/>
  <c r="V52" i="6" s="1"/>
  <c r="W52" i="6" s="1"/>
  <c r="X52" i="6" s="1"/>
  <c r="Y52" i="6" s="1"/>
  <c r="Z52" i="6" s="1"/>
  <c r="AA52" i="6" s="1"/>
  <c r="R52" i="6" s="1"/>
  <c r="F52" i="6" s="1"/>
  <c r="E52" i="6" s="1"/>
  <c r="M52" i="6"/>
  <c r="T51" i="6"/>
  <c r="U51" i="6" s="1"/>
  <c r="V51" i="6" s="1"/>
  <c r="W51" i="6" s="1"/>
  <c r="X51" i="6"/>
  <c r="Y51" i="6" s="1"/>
  <c r="Z51" i="6" s="1"/>
  <c r="AA51" i="6" s="1"/>
  <c r="R51" i="6" s="1"/>
  <c r="F51" i="6" s="1"/>
  <c r="E51" i="6" s="1"/>
  <c r="M51" i="6"/>
  <c r="T50" i="6"/>
  <c r="U50" i="6" s="1"/>
  <c r="V50" i="6" s="1"/>
  <c r="W50" i="6" s="1"/>
  <c r="X50" i="6" s="1"/>
  <c r="Y50" i="6" s="1"/>
  <c r="Z50" i="6" s="1"/>
  <c r="AA50" i="6" s="1"/>
  <c r="R50" i="6"/>
  <c r="F50" i="6" s="1"/>
  <c r="E50" i="6" s="1"/>
  <c r="M50" i="6"/>
  <c r="T49" i="6"/>
  <c r="U49" i="6" s="1"/>
  <c r="V49" i="6" s="1"/>
  <c r="W49" i="6" s="1"/>
  <c r="X49" i="6" s="1"/>
  <c r="Y49" i="6" s="1"/>
  <c r="Z49" i="6" s="1"/>
  <c r="AA49" i="6" s="1"/>
  <c r="R49" i="6" s="1"/>
  <c r="F49" i="6" s="1"/>
  <c r="E49" i="6" s="1"/>
  <c r="M49" i="6"/>
  <c r="T48" i="6"/>
  <c r="U48" i="6" s="1"/>
  <c r="V48" i="6" s="1"/>
  <c r="W48" i="6" s="1"/>
  <c r="X48" i="6" s="1"/>
  <c r="Y48" i="6" s="1"/>
  <c r="Z48" i="6" s="1"/>
  <c r="AA48" i="6" s="1"/>
  <c r="R48" i="6" s="1"/>
  <c r="F48" i="6" s="1"/>
  <c r="E48" i="6" s="1"/>
  <c r="M48" i="6"/>
  <c r="T47" i="6"/>
  <c r="U47" i="6" s="1"/>
  <c r="V47" i="6" s="1"/>
  <c r="W47" i="6" s="1"/>
  <c r="X47" i="6"/>
  <c r="Y47" i="6" s="1"/>
  <c r="Z47" i="6" s="1"/>
  <c r="AA47" i="6" s="1"/>
  <c r="R47" i="6" s="1"/>
  <c r="F47" i="6" s="1"/>
  <c r="E47" i="6" s="1"/>
  <c r="M47" i="6"/>
  <c r="T46" i="6"/>
  <c r="U46" i="6" s="1"/>
  <c r="V46" i="6" s="1"/>
  <c r="W46" i="6" s="1"/>
  <c r="X46" i="6" s="1"/>
  <c r="Y46" i="6" s="1"/>
  <c r="Z46" i="6" s="1"/>
  <c r="AA46" i="6" s="1"/>
  <c r="R46" i="6" s="1"/>
  <c r="F46" i="6" s="1"/>
  <c r="E46" i="6" s="1"/>
  <c r="M46" i="6"/>
  <c r="T45" i="6"/>
  <c r="U45" i="6" s="1"/>
  <c r="V45" i="6" s="1"/>
  <c r="W45" i="6" s="1"/>
  <c r="X45" i="6" s="1"/>
  <c r="Y45" i="6" s="1"/>
  <c r="Z45" i="6" s="1"/>
  <c r="AA45" i="6" s="1"/>
  <c r="R45" i="6" s="1"/>
  <c r="F45" i="6" s="1"/>
  <c r="E45" i="6" s="1"/>
  <c r="M45" i="6"/>
  <c r="T44" i="6"/>
  <c r="U44" i="6" s="1"/>
  <c r="V44" i="6" s="1"/>
  <c r="W44" i="6" s="1"/>
  <c r="X44" i="6" s="1"/>
  <c r="Y44" i="6" s="1"/>
  <c r="Z44" i="6" s="1"/>
  <c r="AA44" i="6" s="1"/>
  <c r="R44" i="6" s="1"/>
  <c r="F44" i="6" s="1"/>
  <c r="E44" i="6" s="1"/>
  <c r="M44" i="6"/>
  <c r="T43" i="6"/>
  <c r="U43" i="6" s="1"/>
  <c r="V43" i="6" s="1"/>
  <c r="W43" i="6" s="1"/>
  <c r="X43" i="6" s="1"/>
  <c r="Y43" i="6" s="1"/>
  <c r="Z43" i="6" s="1"/>
  <c r="AA43" i="6" s="1"/>
  <c r="R43" i="6" s="1"/>
  <c r="F43" i="6" s="1"/>
  <c r="E43" i="6" s="1"/>
  <c r="M43" i="6"/>
  <c r="T42" i="6"/>
  <c r="U42" i="6" s="1"/>
  <c r="V42" i="6" s="1"/>
  <c r="W42" i="6" s="1"/>
  <c r="X42" i="6" s="1"/>
  <c r="Y42" i="6" s="1"/>
  <c r="Z42" i="6" s="1"/>
  <c r="AA42" i="6" s="1"/>
  <c r="R42" i="6"/>
  <c r="F42" i="6" s="1"/>
  <c r="E42" i="6" s="1"/>
  <c r="M42" i="6"/>
  <c r="T41" i="6"/>
  <c r="U41" i="6" s="1"/>
  <c r="V41" i="6" s="1"/>
  <c r="W41" i="6" s="1"/>
  <c r="X41" i="6"/>
  <c r="Y41" i="6" s="1"/>
  <c r="Z41" i="6" s="1"/>
  <c r="AA41" i="6" s="1"/>
  <c r="R41" i="6" s="1"/>
  <c r="F41" i="6" s="1"/>
  <c r="E41" i="6" s="1"/>
  <c r="M41" i="6"/>
  <c r="T40" i="6"/>
  <c r="U40" i="6" s="1"/>
  <c r="V40" i="6" s="1"/>
  <c r="W40" i="6" s="1"/>
  <c r="X40" i="6" s="1"/>
  <c r="Y40" i="6" s="1"/>
  <c r="Z40" i="6" s="1"/>
  <c r="AA40" i="6" s="1"/>
  <c r="R40" i="6" s="1"/>
  <c r="F40" i="6" s="1"/>
  <c r="E40" i="6" s="1"/>
  <c r="M40" i="6"/>
  <c r="T39" i="6"/>
  <c r="U39" i="6" s="1"/>
  <c r="V39" i="6" s="1"/>
  <c r="W39" i="6" s="1"/>
  <c r="X39" i="6" s="1"/>
  <c r="Y39" i="6" s="1"/>
  <c r="Z39" i="6" s="1"/>
  <c r="AA39" i="6" s="1"/>
  <c r="R39" i="6" s="1"/>
  <c r="F39" i="6" s="1"/>
  <c r="E39" i="6" s="1"/>
  <c r="M39" i="6"/>
  <c r="T38" i="6"/>
  <c r="U38" i="6" s="1"/>
  <c r="V38" i="6" s="1"/>
  <c r="W38" i="6" s="1"/>
  <c r="X38" i="6" s="1"/>
  <c r="Y38" i="6" s="1"/>
  <c r="Z38" i="6" s="1"/>
  <c r="AA38" i="6" s="1"/>
  <c r="R38" i="6" s="1"/>
  <c r="F38" i="6" s="1"/>
  <c r="E38" i="6" s="1"/>
  <c r="M38" i="6"/>
  <c r="T37" i="6"/>
  <c r="U37" i="6" s="1"/>
  <c r="V37" i="6" s="1"/>
  <c r="W37" i="6" s="1"/>
  <c r="X37" i="6" s="1"/>
  <c r="Y37" i="6" s="1"/>
  <c r="Z37" i="6" s="1"/>
  <c r="AA37" i="6" s="1"/>
  <c r="R37" i="6" s="1"/>
  <c r="F37" i="6" s="1"/>
  <c r="E37" i="6" s="1"/>
  <c r="M37" i="6"/>
  <c r="T36" i="6"/>
  <c r="U36" i="6" s="1"/>
  <c r="V36" i="6" s="1"/>
  <c r="W36" i="6" s="1"/>
  <c r="X36" i="6" s="1"/>
  <c r="Y36" i="6" s="1"/>
  <c r="Z36" i="6" s="1"/>
  <c r="AA36" i="6" s="1"/>
  <c r="R36" i="6" s="1"/>
  <c r="F36" i="6" s="1"/>
  <c r="E36" i="6" s="1"/>
  <c r="T35" i="6"/>
  <c r="U35" i="6" s="1"/>
  <c r="V35" i="6" s="1"/>
  <c r="W35" i="6" s="1"/>
  <c r="X35" i="6" s="1"/>
  <c r="Y35" i="6" s="1"/>
  <c r="Z35" i="6" s="1"/>
  <c r="AA35" i="6" s="1"/>
  <c r="R35" i="6" s="1"/>
  <c r="F35" i="6" s="1"/>
  <c r="E35" i="6" s="1"/>
  <c r="M35" i="6"/>
  <c r="T34" i="6"/>
  <c r="U34" i="6" s="1"/>
  <c r="V34" i="6" s="1"/>
  <c r="W34" i="6" s="1"/>
  <c r="X34" i="6" s="1"/>
  <c r="Y34" i="6" s="1"/>
  <c r="Z34" i="6" s="1"/>
  <c r="AA34" i="6" s="1"/>
  <c r="R34" i="6" s="1"/>
  <c r="F34" i="6" s="1"/>
  <c r="E34" i="6" s="1"/>
  <c r="M34" i="6"/>
  <c r="T33" i="6"/>
  <c r="U33" i="6" s="1"/>
  <c r="V33" i="6" s="1"/>
  <c r="W33" i="6" s="1"/>
  <c r="X33" i="6" s="1"/>
  <c r="Y33" i="6" s="1"/>
  <c r="Z33" i="6" s="1"/>
  <c r="AA33" i="6" s="1"/>
  <c r="R33" i="6" s="1"/>
  <c r="F33" i="6" s="1"/>
  <c r="E33" i="6" s="1"/>
  <c r="M33" i="6"/>
  <c r="Z32" i="6"/>
  <c r="AA32" i="6" s="1"/>
  <c r="R32" i="6" s="1"/>
  <c r="F32" i="6" s="1"/>
  <c r="E32" i="6" s="1"/>
  <c r="T32" i="6"/>
  <c r="U32" i="6" s="1"/>
  <c r="V32" i="6" s="1"/>
  <c r="W32" i="6" s="1"/>
  <c r="X32" i="6" s="1"/>
  <c r="M32" i="6"/>
  <c r="T31" i="6"/>
  <c r="U31" i="6" s="1"/>
  <c r="V31" i="6" s="1"/>
  <c r="W31" i="6" s="1"/>
  <c r="X31" i="6" s="1"/>
  <c r="Y31" i="6" s="1"/>
  <c r="Z31" i="6" s="1"/>
  <c r="AA31" i="6" s="1"/>
  <c r="R31" i="6" s="1"/>
  <c r="F31" i="6" s="1"/>
  <c r="E31" i="6" s="1"/>
  <c r="M31" i="6"/>
  <c r="T30" i="6"/>
  <c r="U30" i="6" s="1"/>
  <c r="V30" i="6"/>
  <c r="W30" i="6" s="1"/>
  <c r="X30" i="6" s="1"/>
  <c r="Y30" i="6" s="1"/>
  <c r="Z30" i="6" s="1"/>
  <c r="AA30" i="6" s="1"/>
  <c r="R30" i="6" s="1"/>
  <c r="F30" i="6" s="1"/>
  <c r="E30" i="6" s="1"/>
  <c r="M30" i="6"/>
  <c r="Z29" i="6"/>
  <c r="AA29" i="6" s="1"/>
  <c r="R29" i="6" s="1"/>
  <c r="F29" i="6" s="1"/>
  <c r="E29" i="6" s="1"/>
  <c r="W29" i="6"/>
  <c r="X29" i="6" s="1"/>
  <c r="T29" i="6"/>
  <c r="U29" i="6" s="1"/>
  <c r="M29" i="6"/>
  <c r="T28" i="6"/>
  <c r="U28" i="6" s="1"/>
  <c r="V28" i="6" s="1"/>
  <c r="W28" i="6" s="1"/>
  <c r="X28" i="6" s="1"/>
  <c r="Y28" i="6" s="1"/>
  <c r="Z28" i="6" s="1"/>
  <c r="AA28" i="6" s="1"/>
  <c r="R28" i="6" s="1"/>
  <c r="F28" i="6" s="1"/>
  <c r="E28" i="6" s="1"/>
  <c r="M28" i="6"/>
  <c r="T27" i="6"/>
  <c r="U27" i="6" s="1"/>
  <c r="V27" i="6" s="1"/>
  <c r="W27" i="6" s="1"/>
  <c r="X27" i="6" s="1"/>
  <c r="Y27" i="6" s="1"/>
  <c r="Z27" i="6" s="1"/>
  <c r="AA27" i="6" s="1"/>
  <c r="R27" i="6" s="1"/>
  <c r="F27" i="6" s="1"/>
  <c r="E27" i="6" s="1"/>
  <c r="M27" i="6"/>
  <c r="T26" i="6"/>
  <c r="U26" i="6" s="1"/>
  <c r="V26" i="6" s="1"/>
  <c r="W26" i="6" s="1"/>
  <c r="X26" i="6" s="1"/>
  <c r="Y26" i="6" s="1"/>
  <c r="Z26" i="6" s="1"/>
  <c r="AA26" i="6" s="1"/>
  <c r="R26" i="6" s="1"/>
  <c r="F26" i="6" s="1"/>
  <c r="E26" i="6" s="1"/>
  <c r="M26" i="6"/>
  <c r="T25" i="6"/>
  <c r="U25" i="6" s="1"/>
  <c r="V25" i="6" s="1"/>
  <c r="W25" i="6" s="1"/>
  <c r="X25" i="6" s="1"/>
  <c r="Y25" i="6" s="1"/>
  <c r="Z25" i="6" s="1"/>
  <c r="AA25" i="6" s="1"/>
  <c r="R25" i="6" s="1"/>
  <c r="F25" i="6" s="1"/>
  <c r="E25" i="6" s="1"/>
  <c r="M25" i="6"/>
  <c r="T24" i="6"/>
  <c r="U24" i="6" s="1"/>
  <c r="V24" i="6" s="1"/>
  <c r="W24" i="6" s="1"/>
  <c r="X24" i="6" s="1"/>
  <c r="Y24" i="6" s="1"/>
  <c r="Z24" i="6" s="1"/>
  <c r="AA24" i="6" s="1"/>
  <c r="R24" i="6" s="1"/>
  <c r="F24" i="6" s="1"/>
  <c r="E24" i="6" s="1"/>
  <c r="M24" i="6"/>
  <c r="T23" i="6"/>
  <c r="U23" i="6" s="1"/>
  <c r="V23" i="6" s="1"/>
  <c r="W23" i="6" s="1"/>
  <c r="X23" i="6" s="1"/>
  <c r="Y23" i="6" s="1"/>
  <c r="Z23" i="6" s="1"/>
  <c r="AA23" i="6" s="1"/>
  <c r="R23" i="6" s="1"/>
  <c r="F23" i="6" s="1"/>
  <c r="E23" i="6" s="1"/>
  <c r="M23" i="6"/>
  <c r="T22" i="6"/>
  <c r="U22" i="6" s="1"/>
  <c r="V22" i="6" s="1"/>
  <c r="W22" i="6" s="1"/>
  <c r="X22" i="6"/>
  <c r="Y22" i="6" s="1"/>
  <c r="Z22" i="6" s="1"/>
  <c r="AA22" i="6" s="1"/>
  <c r="R22" i="6" s="1"/>
  <c r="F22" i="6" s="1"/>
  <c r="E22" i="6" s="1"/>
  <c r="M22" i="6"/>
  <c r="T21" i="6"/>
  <c r="U21" i="6" s="1"/>
  <c r="V21" i="6" s="1"/>
  <c r="W21" i="6" s="1"/>
  <c r="X21" i="6" s="1"/>
  <c r="Y21" i="6" s="1"/>
  <c r="Z21" i="6" s="1"/>
  <c r="AA21" i="6" s="1"/>
  <c r="R21" i="6"/>
  <c r="F21" i="6" s="1"/>
  <c r="E21" i="6" s="1"/>
  <c r="M21" i="6"/>
  <c r="T20" i="6"/>
  <c r="U20" i="6" s="1"/>
  <c r="V20" i="6" s="1"/>
  <c r="W20" i="6" s="1"/>
  <c r="X20" i="6" s="1"/>
  <c r="Y20" i="6" s="1"/>
  <c r="Z20" i="6" s="1"/>
  <c r="AA20" i="6" s="1"/>
  <c r="R20" i="6" s="1"/>
  <c r="F20" i="6" s="1"/>
  <c r="E20" i="6" s="1"/>
  <c r="M20" i="6"/>
  <c r="T19" i="6"/>
  <c r="U19" i="6" s="1"/>
  <c r="V19" i="6" s="1"/>
  <c r="W19" i="6" s="1"/>
  <c r="X19" i="6" s="1"/>
  <c r="Y19" i="6" s="1"/>
  <c r="Z19" i="6" s="1"/>
  <c r="AA19" i="6" s="1"/>
  <c r="R19" i="6" s="1"/>
  <c r="F19" i="6" s="1"/>
  <c r="E19" i="6" s="1"/>
  <c r="M19" i="6"/>
  <c r="T18" i="6"/>
  <c r="U18" i="6" s="1"/>
  <c r="V18" i="6" s="1"/>
  <c r="W18" i="6" s="1"/>
  <c r="X18" i="6" s="1"/>
  <c r="Y18" i="6" s="1"/>
  <c r="Z18" i="6" s="1"/>
  <c r="AA18" i="6" s="1"/>
  <c r="R18" i="6" s="1"/>
  <c r="F18" i="6" s="1"/>
  <c r="E18" i="6" s="1"/>
  <c r="M18" i="6"/>
  <c r="T17" i="6"/>
  <c r="U17" i="6" s="1"/>
  <c r="V17" i="6" s="1"/>
  <c r="W17" i="6" s="1"/>
  <c r="X17" i="6" s="1"/>
  <c r="Y17" i="6" s="1"/>
  <c r="Z17" i="6" s="1"/>
  <c r="AA17" i="6" s="1"/>
  <c r="R17" i="6" s="1"/>
  <c r="F17" i="6" s="1"/>
  <c r="E17" i="6" s="1"/>
  <c r="M17" i="6"/>
  <c r="T16" i="6"/>
  <c r="U16" i="6" s="1"/>
  <c r="V16" i="6" s="1"/>
  <c r="W16" i="6" s="1"/>
  <c r="X16" i="6"/>
  <c r="Y16" i="6" s="1"/>
  <c r="Z16" i="6" s="1"/>
  <c r="AA16" i="6" s="1"/>
  <c r="R16" i="6" s="1"/>
  <c r="F16" i="6" s="1"/>
  <c r="E16" i="6" s="1"/>
  <c r="M16" i="6"/>
  <c r="T15" i="6"/>
  <c r="U15" i="6" s="1"/>
  <c r="V15" i="6" s="1"/>
  <c r="W15" i="6" s="1"/>
  <c r="X15" i="6" s="1"/>
  <c r="Y15" i="6" s="1"/>
  <c r="Z15" i="6" s="1"/>
  <c r="AA15" i="6" s="1"/>
  <c r="R15" i="6" s="1"/>
  <c r="F15" i="6" s="1"/>
  <c r="E15" i="6" s="1"/>
  <c r="O15" i="6"/>
  <c r="M15" i="6"/>
  <c r="T14" i="6"/>
  <c r="U14" i="6" s="1"/>
  <c r="V14" i="6" s="1"/>
  <c r="W14" i="6" s="1"/>
  <c r="X14" i="6" s="1"/>
  <c r="Y14" i="6" s="1"/>
  <c r="Z14" i="6" s="1"/>
  <c r="AA14" i="6" s="1"/>
  <c r="R14" i="6" s="1"/>
  <c r="F14" i="6" s="1"/>
  <c r="E14" i="6" s="1"/>
  <c r="M14" i="6"/>
  <c r="T13" i="6"/>
  <c r="U13" i="6" s="1"/>
  <c r="V13" i="6" s="1"/>
  <c r="W13" i="6" s="1"/>
  <c r="X13" i="6" s="1"/>
  <c r="Y13" i="6" s="1"/>
  <c r="Z13" i="6" s="1"/>
  <c r="AA13" i="6" s="1"/>
  <c r="R13" i="6" s="1"/>
  <c r="F13" i="6" s="1"/>
  <c r="E13" i="6" s="1"/>
  <c r="M13" i="6"/>
  <c r="T12" i="6"/>
  <c r="U12" i="6" s="1"/>
  <c r="V12" i="6" s="1"/>
  <c r="W12" i="6" s="1"/>
  <c r="X12" i="6" s="1"/>
  <c r="Y12" i="6" s="1"/>
  <c r="Z12" i="6" s="1"/>
  <c r="AA12" i="6" s="1"/>
  <c r="R12" i="6" s="1"/>
  <c r="F12" i="6" s="1"/>
  <c r="E12" i="6" s="1"/>
  <c r="M12" i="6"/>
  <c r="T11" i="6"/>
  <c r="U11" i="6" s="1"/>
  <c r="V11" i="6" s="1"/>
  <c r="W11" i="6" s="1"/>
  <c r="X11" i="6" s="1"/>
  <c r="Y11" i="6" s="1"/>
  <c r="Z11" i="6" s="1"/>
  <c r="AA11" i="6" s="1"/>
  <c r="R11" i="6" s="1"/>
  <c r="F11" i="6" s="1"/>
  <c r="E11" i="6" s="1"/>
  <c r="M11" i="6"/>
  <c r="T10" i="6"/>
  <c r="U10" i="6" s="1"/>
  <c r="V10" i="6" s="1"/>
  <c r="W10" i="6" s="1"/>
  <c r="X10" i="6" s="1"/>
  <c r="Y10" i="6" s="1"/>
  <c r="Z10" i="6" s="1"/>
  <c r="AA10" i="6" s="1"/>
  <c r="R10" i="6" s="1"/>
  <c r="F10" i="6" s="1"/>
  <c r="E10" i="6" s="1"/>
  <c r="T9" i="6"/>
  <c r="U9" i="6" s="1"/>
  <c r="V9" i="6" s="1"/>
  <c r="W9" i="6" s="1"/>
  <c r="X9" i="6" s="1"/>
  <c r="Y9" i="6" s="1"/>
  <c r="Z9" i="6" s="1"/>
  <c r="AA9" i="6" s="1"/>
  <c r="R9" i="6" s="1"/>
  <c r="F9" i="6" s="1"/>
  <c r="E9" i="6" s="1"/>
  <c r="T8" i="6"/>
  <c r="U8" i="6" s="1"/>
  <c r="V8" i="6" s="1"/>
  <c r="W8" i="6" s="1"/>
  <c r="X8" i="6" s="1"/>
  <c r="Y8" i="6" s="1"/>
  <c r="Z8" i="6" s="1"/>
  <c r="AA8" i="6" s="1"/>
  <c r="R8" i="6" s="1"/>
  <c r="F8" i="6" s="1"/>
  <c r="E8" i="6" s="1"/>
  <c r="Z7" i="6"/>
  <c r="AA7" i="6" s="1"/>
  <c r="R7" i="6" s="1"/>
  <c r="F7" i="6" s="1"/>
  <c r="E7" i="6" s="1"/>
  <c r="T7" i="6"/>
  <c r="U7" i="6" s="1"/>
  <c r="V7" i="6" s="1"/>
  <c r="W7" i="6" s="1"/>
  <c r="X7" i="6" s="1"/>
  <c r="T6" i="6"/>
  <c r="U6" i="6" s="1"/>
  <c r="V6" i="6" s="1"/>
  <c r="W6" i="6" s="1"/>
  <c r="X6" i="6" s="1"/>
  <c r="Y6" i="6" s="1"/>
  <c r="Z6" i="6"/>
  <c r="AA6" i="6" s="1"/>
  <c r="R6" i="6" s="1"/>
  <c r="F6" i="6" s="1"/>
  <c r="E6" i="6" s="1"/>
  <c r="G67" i="4"/>
  <c r="I67" i="4" s="1"/>
  <c r="F67" i="4" s="1"/>
  <c r="H67" i="4" s="1"/>
  <c r="C47" i="4"/>
  <c r="C35" i="4"/>
  <c r="C17" i="4"/>
  <c r="D4" i="4"/>
  <c r="B4" i="4"/>
  <c r="A42" i="5"/>
  <c r="A41" i="5"/>
  <c r="A40" i="5"/>
  <c r="F26" i="5"/>
  <c r="E26" i="5"/>
  <c r="D26" i="5"/>
  <c r="C26" i="5"/>
  <c r="C7" i="5"/>
  <c r="C37" i="5"/>
  <c r="C38" i="5" s="1"/>
  <c r="D17" i="4"/>
  <c r="E17" i="4" s="1"/>
  <c r="D16" i="4"/>
  <c r="E16" i="4" s="1"/>
  <c r="G54" i="4" s="1"/>
  <c r="I54" i="4" s="1"/>
  <c r="D47" i="4"/>
  <c r="E47" i="4" s="1"/>
  <c r="G66" i="4" s="1"/>
  <c r="C12" i="4"/>
  <c r="D35" i="4"/>
  <c r="E217" i="11" l="1"/>
  <c r="E167" i="11"/>
  <c r="I190" i="3"/>
  <c r="G42" i="3"/>
  <c r="I42" i="3" s="1"/>
  <c r="N40" i="3" s="1"/>
  <c r="E42" i="3"/>
  <c r="E51" i="3" s="1"/>
  <c r="E116" i="3" s="1"/>
  <c r="E131" i="3" s="1"/>
  <c r="D255" i="3"/>
  <c r="D71" i="3" s="1"/>
  <c r="D92" i="3"/>
  <c r="E119" i="3"/>
  <c r="E134" i="3" s="1"/>
  <c r="E150" i="3" s="1"/>
  <c r="E219" i="3" s="1"/>
  <c r="E67" i="3" s="1"/>
  <c r="D118" i="3"/>
  <c r="D133" i="3" s="1"/>
  <c r="D149" i="3" s="1"/>
  <c r="D218" i="3" s="1"/>
  <c r="D66" i="3" s="1"/>
  <c r="G116" i="3"/>
  <c r="I116" i="3" s="1"/>
  <c r="E118" i="3"/>
  <c r="E133" i="3" s="1"/>
  <c r="E149" i="3" s="1"/>
  <c r="E218" i="3" s="1"/>
  <c r="E66" i="3" s="1"/>
  <c r="G120" i="3"/>
  <c r="I120" i="3" s="1"/>
  <c r="D123" i="3"/>
  <c r="D139" i="3" s="1"/>
  <c r="D156" i="3" s="1"/>
  <c r="E117" i="3"/>
  <c r="E132" i="3" s="1"/>
  <c r="E123" i="3"/>
  <c r="E139" i="3" s="1"/>
  <c r="E156" i="3" s="1"/>
  <c r="I53" i="3"/>
  <c r="G118" i="3"/>
  <c r="I118" i="3" s="1"/>
  <c r="E121" i="3"/>
  <c r="E136" i="3" s="1"/>
  <c r="E152" i="3" s="1"/>
  <c r="D120" i="3"/>
  <c r="D135" i="3" s="1"/>
  <c r="D151" i="3" s="1"/>
  <c r="D220" i="3" s="1"/>
  <c r="E120" i="3"/>
  <c r="E135" i="3" s="1"/>
  <c r="E151" i="3" s="1"/>
  <c r="E220" i="3" s="1"/>
  <c r="I57" i="3"/>
  <c r="G123" i="3"/>
  <c r="I123" i="3" s="1"/>
  <c r="G121" i="3"/>
  <c r="I121" i="3" s="1"/>
  <c r="D119" i="3"/>
  <c r="D134" i="3" s="1"/>
  <c r="D150" i="3" s="1"/>
  <c r="D219" i="3" s="1"/>
  <c r="D67" i="3" s="1"/>
  <c r="D121" i="3"/>
  <c r="D136" i="3" s="1"/>
  <c r="D152" i="3" s="1"/>
  <c r="D132" i="3"/>
  <c r="D148" i="3" s="1"/>
  <c r="D217" i="3" s="1"/>
  <c r="D65" i="3" s="1"/>
  <c r="C30" i="4"/>
  <c r="G11" i="4"/>
  <c r="C42" i="4"/>
  <c r="D34" i="4"/>
  <c r="E34" i="4" s="1"/>
  <c r="G34" i="4" s="1"/>
  <c r="C18" i="4"/>
  <c r="O12" i="13"/>
  <c r="O9" i="13" s="1"/>
  <c r="E35" i="4"/>
  <c r="G64" i="4" s="1"/>
  <c r="I64" i="4" s="1"/>
  <c r="F64" i="4" s="1"/>
  <c r="D46" i="4"/>
  <c r="D48" i="4" s="1"/>
  <c r="C48" i="4"/>
  <c r="C36" i="4"/>
  <c r="G137" i="3"/>
  <c r="G153" i="3" s="1"/>
  <c r="I153" i="3" s="1"/>
  <c r="G168" i="3"/>
  <c r="I168" i="3" s="1"/>
  <c r="H22" i="7"/>
  <c r="I22" i="7" s="1"/>
  <c r="H22" i="9"/>
  <c r="G61" i="4"/>
  <c r="I61" i="4" s="1"/>
  <c r="F61" i="4" s="1"/>
  <c r="H61" i="4" s="1"/>
  <c r="H23" i="7"/>
  <c r="I23" i="7" s="1"/>
  <c r="H23" i="9"/>
  <c r="G16" i="4"/>
  <c r="C24" i="4"/>
  <c r="G17" i="4"/>
  <c r="H60" i="4"/>
  <c r="G749" i="3"/>
  <c r="I749" i="3" s="1"/>
  <c r="D117" i="11"/>
  <c r="P118" i="11" s="1"/>
  <c r="E118" i="11" s="1"/>
  <c r="J94" i="13"/>
  <c r="K94" i="13" s="1"/>
  <c r="D131" i="11"/>
  <c r="R132" i="11" s="1"/>
  <c r="J101" i="13"/>
  <c r="K101" i="13" s="1"/>
  <c r="D99" i="11"/>
  <c r="Q100" i="11" s="1"/>
  <c r="E100" i="11" s="1"/>
  <c r="J85" i="13"/>
  <c r="K85" i="13" s="1"/>
  <c r="D85" i="11"/>
  <c r="O86" i="11" s="1"/>
  <c r="E86" i="11" s="1"/>
  <c r="J78" i="13"/>
  <c r="K78" i="13" s="1"/>
  <c r="D129" i="11"/>
  <c r="J100" i="13"/>
  <c r="K100" i="13" s="1"/>
  <c r="D103" i="11"/>
  <c r="P104" i="11" s="1"/>
  <c r="E104" i="11" s="1"/>
  <c r="J87" i="13"/>
  <c r="K87" i="13" s="1"/>
  <c r="D97" i="11"/>
  <c r="P98" i="11" s="1"/>
  <c r="E98" i="11" s="1"/>
  <c r="J84" i="13"/>
  <c r="K84" i="13" s="1"/>
  <c r="D127" i="11"/>
  <c r="P128" i="11" s="1"/>
  <c r="J99" i="13"/>
  <c r="K99" i="13" s="1"/>
  <c r="D119" i="11"/>
  <c r="J95" i="13"/>
  <c r="K95" i="13" s="1"/>
  <c r="D111" i="11"/>
  <c r="J91" i="13"/>
  <c r="K91" i="13" s="1"/>
  <c r="D101" i="11"/>
  <c r="J86" i="13"/>
  <c r="K86" i="13" s="1"/>
  <c r="D95" i="11"/>
  <c r="J83" i="13"/>
  <c r="K83" i="13" s="1"/>
  <c r="D109" i="11"/>
  <c r="O110" i="11" s="1"/>
  <c r="E110" i="11" s="1"/>
  <c r="J90" i="13"/>
  <c r="K90" i="13" s="1"/>
  <c r="P11" i="13"/>
  <c r="Q11" i="13" s="1"/>
  <c r="N32" i="13"/>
  <c r="O32" i="13" s="1"/>
  <c r="M494" i="3"/>
  <c r="I51" i="3"/>
  <c r="N506" i="3"/>
  <c r="E65" i="13"/>
  <c r="F2" i="58" s="1"/>
  <c r="E25" i="13"/>
  <c r="F2" i="32" s="1"/>
  <c r="N162" i="3"/>
  <c r="N385" i="3"/>
  <c r="G254" i="3"/>
  <c r="I254" i="3" s="1"/>
  <c r="N518" i="3"/>
  <c r="M518" i="3"/>
  <c r="N397" i="3"/>
  <c r="N604" i="3"/>
  <c r="G589" i="3"/>
  <c r="I589" i="3" s="1"/>
  <c r="N578" i="3"/>
  <c r="N40" i="13" s="1"/>
  <c r="O40" i="13" s="1"/>
  <c r="N549" i="3"/>
  <c r="N279" i="3"/>
  <c r="M506" i="3"/>
  <c r="N433" i="3"/>
  <c r="M549" i="3"/>
  <c r="N409" i="3"/>
  <c r="N421" i="3"/>
  <c r="N592" i="3"/>
  <c r="G564" i="3"/>
  <c r="I564" i="3" s="1"/>
  <c r="D12" i="4"/>
  <c r="E10" i="4"/>
  <c r="G10" i="4" s="1"/>
  <c r="G12" i="4" s="1"/>
  <c r="D42" i="4"/>
  <c r="E30" i="4"/>
  <c r="G56" i="4"/>
  <c r="I56" i="4" s="1"/>
  <c r="F56" i="4" s="1"/>
  <c r="H56" i="4" s="1"/>
  <c r="I66" i="4"/>
  <c r="F66" i="4" s="1"/>
  <c r="H66" i="4" s="1"/>
  <c r="E18" i="4"/>
  <c r="E22" i="4"/>
  <c r="D24" i="4"/>
  <c r="G28" i="4"/>
  <c r="I63" i="4"/>
  <c r="F63" i="4" s="1"/>
  <c r="G47" i="4"/>
  <c r="G29" i="4"/>
  <c r="D18" i="4"/>
  <c r="G41" i="4"/>
  <c r="E42" i="4"/>
  <c r="D30" i="4"/>
  <c r="F54" i="4"/>
  <c r="G23" i="4"/>
  <c r="G40" i="4"/>
  <c r="G367" i="3"/>
  <c r="G379" i="3" s="1"/>
  <c r="I379" i="3" s="1"/>
  <c r="I78" i="10"/>
  <c r="E249" i="3"/>
  <c r="G454" i="3"/>
  <c r="I454" i="3" s="1"/>
  <c r="N452" i="3" s="1"/>
  <c r="E595" i="3"/>
  <c r="G567" i="3"/>
  <c r="I567" i="3" s="1"/>
  <c r="I366" i="3"/>
  <c r="G588" i="3"/>
  <c r="I588" i="3" s="1"/>
  <c r="O578" i="3" s="1"/>
  <c r="P40" i="13" s="1"/>
  <c r="Q40" i="13" s="1"/>
  <c r="G52" i="3"/>
  <c r="I206" i="3"/>
  <c r="I365" i="3"/>
  <c r="I191" i="3"/>
  <c r="I55" i="3"/>
  <c r="F94" i="4"/>
  <c r="H94" i="4" s="1"/>
  <c r="F108" i="4"/>
  <c r="H108" i="4" s="1"/>
  <c r="F87" i="4"/>
  <c r="H87" i="4" s="1"/>
  <c r="H58" i="4"/>
  <c r="F80" i="4"/>
  <c r="F73" i="4"/>
  <c r="H73" i="4" s="1"/>
  <c r="G579" i="3" s="1"/>
  <c r="G593" i="3" s="1"/>
  <c r="G605" i="3" s="1"/>
  <c r="I605" i="3" s="1"/>
  <c r="F101" i="4"/>
  <c r="H101" i="4" s="1"/>
  <c r="C147" i="3"/>
  <c r="C148" i="3"/>
  <c r="G506" i="3"/>
  <c r="E205" i="3"/>
  <c r="E596" i="3"/>
  <c r="I56" i="3"/>
  <c r="G587" i="3"/>
  <c r="I587" i="3" s="1"/>
  <c r="L578" i="3" s="1"/>
  <c r="J40" i="13" s="1"/>
  <c r="K40" i="13" s="1"/>
  <c r="C230" i="3"/>
  <c r="C155" i="3"/>
  <c r="I193" i="3"/>
  <c r="D171" i="3"/>
  <c r="E351" i="3"/>
  <c r="E272" i="3" s="1"/>
  <c r="E280" i="3" s="1"/>
  <c r="E41" i="3"/>
  <c r="D223" i="3"/>
  <c r="D369" i="3" s="1"/>
  <c r="D393" i="3" s="1"/>
  <c r="D381" i="3"/>
  <c r="F152" i="3"/>
  <c r="G518" i="3"/>
  <c r="F159" i="3"/>
  <c r="I192" i="3"/>
  <c r="G207" i="3"/>
  <c r="I207" i="3" s="1"/>
  <c r="G549" i="3"/>
  <c r="I208" i="3"/>
  <c r="G54" i="3"/>
  <c r="G119" i="3" s="1"/>
  <c r="I119" i="3" s="1"/>
  <c r="I138" i="3"/>
  <c r="G154" i="3"/>
  <c r="I154" i="3" s="1"/>
  <c r="G485" i="3"/>
  <c r="I485" i="3" s="1"/>
  <c r="I484" i="3"/>
  <c r="G376" i="3"/>
  <c r="I376" i="3" s="1"/>
  <c r="F231" i="3"/>
  <c r="F157" i="3"/>
  <c r="G497" i="3"/>
  <c r="I497" i="3" s="1"/>
  <c r="N494" i="3" s="1"/>
  <c r="H80" i="4" l="1"/>
  <c r="G753" i="3"/>
  <c r="I753" i="3" s="1"/>
  <c r="G164" i="13" s="1"/>
  <c r="H164" i="13" s="1"/>
  <c r="M747" i="3"/>
  <c r="G747" i="3"/>
  <c r="G133" i="3"/>
  <c r="I133" i="3" s="1"/>
  <c r="F83" i="4"/>
  <c r="E147" i="3"/>
  <c r="E148" i="3"/>
  <c r="E217" i="3" s="1"/>
  <c r="E65" i="3" s="1"/>
  <c r="G136" i="3"/>
  <c r="G131" i="3"/>
  <c r="I52" i="3"/>
  <c r="G117" i="3"/>
  <c r="I117" i="3" s="1"/>
  <c r="N114" i="3" s="1"/>
  <c r="G135" i="3"/>
  <c r="E46" i="4"/>
  <c r="G57" i="4"/>
  <c r="I57" i="4" s="1"/>
  <c r="F57" i="4" s="1"/>
  <c r="H57" i="4" s="1"/>
  <c r="D36" i="4"/>
  <c r="G35" i="4"/>
  <c r="G36" i="4" s="1"/>
  <c r="G18" i="4"/>
  <c r="I137" i="3"/>
  <c r="T83" i="13"/>
  <c r="R83" i="13"/>
  <c r="T99" i="13"/>
  <c r="R99" i="13"/>
  <c r="R78" i="13"/>
  <c r="T78" i="13"/>
  <c r="V78" i="13" s="1"/>
  <c r="E36" i="4"/>
  <c r="R86" i="13"/>
  <c r="T86" i="13"/>
  <c r="R84" i="13"/>
  <c r="T84" i="13"/>
  <c r="R85" i="13"/>
  <c r="T85" i="13"/>
  <c r="T91" i="13"/>
  <c r="R91" i="13"/>
  <c r="R87" i="13"/>
  <c r="T87" i="13"/>
  <c r="V87" i="13" s="1"/>
  <c r="R101" i="13"/>
  <c r="T101" i="13"/>
  <c r="T90" i="13"/>
  <c r="V90" i="13" s="1"/>
  <c r="R90" i="13"/>
  <c r="R95" i="13"/>
  <c r="T95" i="13"/>
  <c r="V95" i="13" s="1"/>
  <c r="R100" i="13"/>
  <c r="T100" i="13"/>
  <c r="R94" i="13"/>
  <c r="T94" i="13"/>
  <c r="V94" i="13" s="1"/>
  <c r="P96" i="11"/>
  <c r="Q96" i="11"/>
  <c r="P102" i="11"/>
  <c r="R102" i="11"/>
  <c r="Q102" i="11"/>
  <c r="E132" i="11"/>
  <c r="Q112" i="11"/>
  <c r="O112" i="11"/>
  <c r="P112" i="11"/>
  <c r="E128" i="11"/>
  <c r="O120" i="11"/>
  <c r="P120" i="11"/>
  <c r="Q130" i="11"/>
  <c r="R130" i="11"/>
  <c r="H54" i="4"/>
  <c r="F90" i="4"/>
  <c r="G235" i="3"/>
  <c r="I235" i="3" s="1"/>
  <c r="F97" i="4"/>
  <c r="F69" i="4"/>
  <c r="H8" i="14"/>
  <c r="D91" i="11"/>
  <c r="O92" i="11" s="1"/>
  <c r="E92" i="11" s="1"/>
  <c r="J81" i="13"/>
  <c r="K81" i="13" s="1"/>
  <c r="D107" i="11"/>
  <c r="P108" i="11" s="1"/>
  <c r="E108" i="11" s="1"/>
  <c r="J89" i="13"/>
  <c r="K89" i="13" s="1"/>
  <c r="D113" i="11"/>
  <c r="J92" i="13"/>
  <c r="K92" i="13" s="1"/>
  <c r="D93" i="11"/>
  <c r="P94" i="11" s="1"/>
  <c r="E94" i="11" s="1"/>
  <c r="J82" i="13"/>
  <c r="K82" i="13" s="1"/>
  <c r="D125" i="11"/>
  <c r="J98" i="13"/>
  <c r="K98" i="13" s="1"/>
  <c r="D83" i="11"/>
  <c r="O84" i="11" s="1"/>
  <c r="E84" i="11" s="1"/>
  <c r="J77" i="13"/>
  <c r="K77" i="13" s="1"/>
  <c r="D79" i="11"/>
  <c r="J75" i="13"/>
  <c r="K75" i="13" s="1"/>
  <c r="D89" i="11"/>
  <c r="O90" i="11" s="1"/>
  <c r="E90" i="11" s="1"/>
  <c r="J80" i="13"/>
  <c r="K80" i="13" s="1"/>
  <c r="D87" i="11"/>
  <c r="J79" i="13"/>
  <c r="K79" i="13" s="1"/>
  <c r="D121" i="11"/>
  <c r="P122" i="11" s="1"/>
  <c r="E122" i="11" s="1"/>
  <c r="J96" i="13"/>
  <c r="K96" i="13" s="1"/>
  <c r="N17" i="13"/>
  <c r="O17" i="13" s="1"/>
  <c r="N31" i="13"/>
  <c r="O31" i="13" s="1"/>
  <c r="O29" i="13" s="1"/>
  <c r="N42" i="13"/>
  <c r="O42" i="13" s="1"/>
  <c r="N49" i="13"/>
  <c r="O49" i="13" s="1"/>
  <c r="O48" i="13" s="1"/>
  <c r="H15" i="14" s="1"/>
  <c r="N18" i="13"/>
  <c r="O18" i="13" s="1"/>
  <c r="P506" i="3"/>
  <c r="Q506" i="3" s="1"/>
  <c r="N41" i="13"/>
  <c r="O41" i="13" s="1"/>
  <c r="P494" i="3"/>
  <c r="N61" i="13"/>
  <c r="O61" i="13" s="1"/>
  <c r="N373" i="3"/>
  <c r="N482" i="3"/>
  <c r="P549" i="3"/>
  <c r="Q549" i="3" s="1"/>
  <c r="P518" i="3"/>
  <c r="Q518" i="3" s="1"/>
  <c r="N203" i="3"/>
  <c r="G42" i="4"/>
  <c r="G611" i="3"/>
  <c r="I611" i="3" s="1"/>
  <c r="L604" i="3" s="1"/>
  <c r="H63" i="4"/>
  <c r="F92" i="4"/>
  <c r="H92" i="4" s="1"/>
  <c r="F106" i="4"/>
  <c r="H106" i="4" s="1"/>
  <c r="F71" i="4"/>
  <c r="F85" i="4"/>
  <c r="F78" i="4"/>
  <c r="H78" i="4" s="1"/>
  <c r="G176" i="3" s="1"/>
  <c r="I176" i="3" s="1"/>
  <c r="G185" i="3" s="1"/>
  <c r="I185" i="3" s="1"/>
  <c r="F99" i="4"/>
  <c r="H99" i="4" s="1"/>
  <c r="H64" i="4"/>
  <c r="F107" i="4"/>
  <c r="H107" i="4" s="1"/>
  <c r="F79" i="4"/>
  <c r="H79" i="4" s="1"/>
  <c r="F93" i="4"/>
  <c r="H93" i="4" s="1"/>
  <c r="F86" i="4"/>
  <c r="H86" i="4" s="1"/>
  <c r="F72" i="4"/>
  <c r="H72" i="4" s="1"/>
  <c r="F100" i="4"/>
  <c r="H100" i="4" s="1"/>
  <c r="E48" i="4"/>
  <c r="G59" i="4"/>
  <c r="G30" i="4"/>
  <c r="E12" i="4"/>
  <c r="G53" i="4"/>
  <c r="I53" i="4" s="1"/>
  <c r="F53" i="4" s="1"/>
  <c r="F104" i="4"/>
  <c r="H104" i="4" s="1"/>
  <c r="E24" i="4"/>
  <c r="G22" i="4"/>
  <c r="G24" i="4" s="1"/>
  <c r="G55" i="4"/>
  <c r="I55" i="4" s="1"/>
  <c r="F55" i="4" s="1"/>
  <c r="F76" i="4"/>
  <c r="G46" i="4"/>
  <c r="G48" i="4" s="1"/>
  <c r="I367" i="3"/>
  <c r="N361" i="3" s="1"/>
  <c r="G149" i="3"/>
  <c r="G613" i="3"/>
  <c r="I613" i="3" s="1"/>
  <c r="M604" i="3" s="1"/>
  <c r="G612" i="3"/>
  <c r="I612" i="3" s="1"/>
  <c r="O604" i="3" s="1"/>
  <c r="I593" i="3"/>
  <c r="I579" i="3"/>
  <c r="M578" i="3" s="1"/>
  <c r="G494" i="3"/>
  <c r="F230" i="3"/>
  <c r="I54" i="3"/>
  <c r="N49" i="3" s="1"/>
  <c r="E50" i="3"/>
  <c r="E115" i="3" s="1"/>
  <c r="E204" i="3"/>
  <c r="F232" i="3"/>
  <c r="G139" i="3"/>
  <c r="D204" i="11" l="1"/>
  <c r="O205" i="11" s="1"/>
  <c r="T164" i="13"/>
  <c r="U164" i="13" s="1"/>
  <c r="K74" i="13"/>
  <c r="H97" i="4"/>
  <c r="G807" i="3"/>
  <c r="H83" i="4"/>
  <c r="G314" i="3"/>
  <c r="I314" i="3" s="1"/>
  <c r="G328" i="3"/>
  <c r="I328" i="3" s="1"/>
  <c r="H85" i="4"/>
  <c r="G290" i="3"/>
  <c r="I290" i="3" s="1"/>
  <c r="G300" i="3"/>
  <c r="I300" i="3" s="1"/>
  <c r="G802" i="3"/>
  <c r="I802" i="3" s="1"/>
  <c r="G801" i="3" s="1"/>
  <c r="G169" i="13" s="1"/>
  <c r="H169" i="13" s="1"/>
  <c r="G793" i="3"/>
  <c r="I793" i="3" s="1"/>
  <c r="G168" i="13" s="1"/>
  <c r="H168" i="13" s="1"/>
  <c r="H90" i="4"/>
  <c r="G681" i="3"/>
  <c r="I681" i="3" s="1"/>
  <c r="G147" i="3"/>
  <c r="I131" i="3"/>
  <c r="G152" i="3"/>
  <c r="I152" i="3" s="1"/>
  <c r="I136" i="3"/>
  <c r="G151" i="3"/>
  <c r="I135" i="3"/>
  <c r="O38" i="13"/>
  <c r="H13" i="14" s="1"/>
  <c r="O16" i="13"/>
  <c r="H9" i="14" s="1"/>
  <c r="H11" i="14"/>
  <c r="T82" i="13"/>
  <c r="V82" i="13" s="1"/>
  <c r="R82" i="13"/>
  <c r="R79" i="13"/>
  <c r="T79" i="13"/>
  <c r="R75" i="13"/>
  <c r="D21" i="14"/>
  <c r="T75" i="13"/>
  <c r="V75" i="13" s="1"/>
  <c r="R92" i="13"/>
  <c r="T92" i="13"/>
  <c r="R77" i="13"/>
  <c r="T77" i="13"/>
  <c r="T80" i="13"/>
  <c r="R80" i="13"/>
  <c r="T89" i="13"/>
  <c r="R89" i="13"/>
  <c r="T98" i="13"/>
  <c r="V98" i="13" s="1"/>
  <c r="R98" i="13"/>
  <c r="T81" i="13"/>
  <c r="R81" i="13"/>
  <c r="T96" i="13"/>
  <c r="R96" i="13"/>
  <c r="D150" i="11"/>
  <c r="E112" i="11"/>
  <c r="N80" i="11"/>
  <c r="P80" i="11"/>
  <c r="O80" i="11"/>
  <c r="P114" i="11"/>
  <c r="R114" i="11"/>
  <c r="R150" i="11" s="1"/>
  <c r="Q114" i="11"/>
  <c r="Q150" i="11" s="1"/>
  <c r="E120" i="11"/>
  <c r="O88" i="11"/>
  <c r="N88" i="11"/>
  <c r="P126" i="11"/>
  <c r="O126" i="11"/>
  <c r="Q494" i="3"/>
  <c r="E130" i="11"/>
  <c r="L40" i="13"/>
  <c r="M40" i="13" s="1"/>
  <c r="G70" i="13"/>
  <c r="P747" i="3"/>
  <c r="Q747" i="3" s="1"/>
  <c r="L70" i="13"/>
  <c r="H71" i="4"/>
  <c r="G737" i="3"/>
  <c r="I737" i="3" s="1"/>
  <c r="G731" i="3"/>
  <c r="I731" i="3" s="1"/>
  <c r="G620" i="3"/>
  <c r="I620" i="3" s="1"/>
  <c r="G663" i="3"/>
  <c r="I663" i="3" s="1"/>
  <c r="G725" i="3"/>
  <c r="I725" i="3" s="1"/>
  <c r="H69" i="4"/>
  <c r="G719" i="3"/>
  <c r="I719" i="3" s="1"/>
  <c r="G711" i="3"/>
  <c r="I711" i="3" s="1"/>
  <c r="H76" i="4"/>
  <c r="G623" i="3"/>
  <c r="I623" i="3" s="1"/>
  <c r="M234" i="3"/>
  <c r="G234" i="3"/>
  <c r="F40" i="19"/>
  <c r="F41" i="19" s="1"/>
  <c r="F49" i="19" s="1"/>
  <c r="V85" i="13"/>
  <c r="V99" i="13"/>
  <c r="V100" i="13"/>
  <c r="V83" i="13"/>
  <c r="V91" i="13"/>
  <c r="V86" i="13"/>
  <c r="V84" i="13"/>
  <c r="V101" i="13"/>
  <c r="P578" i="3"/>
  <c r="N36" i="13"/>
  <c r="O36" i="13" s="1"/>
  <c r="O35" i="13" s="1"/>
  <c r="H12" i="14" s="1"/>
  <c r="J42" i="13"/>
  <c r="K42" i="13" s="1"/>
  <c r="N60" i="13"/>
  <c r="O60" i="13" s="1"/>
  <c r="L42" i="13"/>
  <c r="M42" i="13" s="1"/>
  <c r="P42" i="13"/>
  <c r="Q42" i="13" s="1"/>
  <c r="N59" i="13"/>
  <c r="O59" i="13" s="1"/>
  <c r="G132" i="3"/>
  <c r="G148" i="3" s="1"/>
  <c r="P604" i="3"/>
  <c r="G184" i="3"/>
  <c r="I184" i="3" s="1"/>
  <c r="G604" i="3"/>
  <c r="G599" i="3"/>
  <c r="I599" i="3" s="1"/>
  <c r="L592" i="3" s="1"/>
  <c r="I59" i="4"/>
  <c r="F59" i="4" s="1"/>
  <c r="F70" i="4"/>
  <c r="G339" i="3" s="1"/>
  <c r="I339" i="3" s="1"/>
  <c r="G338" i="3" s="1"/>
  <c r="G151" i="13" s="1"/>
  <c r="H151" i="13" s="1"/>
  <c r="F91" i="4"/>
  <c r="H91" i="4" s="1"/>
  <c r="F98" i="4"/>
  <c r="H98" i="4" s="1"/>
  <c r="F105" i="4"/>
  <c r="H105" i="4" s="1"/>
  <c r="F77" i="4"/>
  <c r="H77" i="4" s="1"/>
  <c r="F84" i="4"/>
  <c r="H84" i="4" s="1"/>
  <c r="H55" i="4"/>
  <c r="G600" i="3"/>
  <c r="I600" i="3" s="1"/>
  <c r="O592" i="3" s="1"/>
  <c r="H53" i="4"/>
  <c r="F82" i="4"/>
  <c r="H82" i="4" s="1"/>
  <c r="F96" i="4"/>
  <c r="F75" i="4"/>
  <c r="F89" i="4"/>
  <c r="F103" i="4"/>
  <c r="F68" i="4"/>
  <c r="I149" i="3"/>
  <c r="G218" i="3"/>
  <c r="G578" i="3"/>
  <c r="G601" i="3"/>
  <c r="I601" i="3" s="1"/>
  <c r="G134" i="3"/>
  <c r="G156" i="3"/>
  <c r="I156" i="3" s="1"/>
  <c r="I139" i="3"/>
  <c r="T169" i="13" l="1"/>
  <c r="U169" i="13" s="1"/>
  <c r="D214" i="11"/>
  <c r="M215" i="11" s="1"/>
  <c r="E215" i="11" s="1"/>
  <c r="T168" i="13"/>
  <c r="U168" i="13" s="1"/>
  <c r="D212" i="11"/>
  <c r="T151" i="13"/>
  <c r="U151" i="13" s="1"/>
  <c r="D190" i="11"/>
  <c r="H190" i="13"/>
  <c r="E205" i="11"/>
  <c r="M299" i="3"/>
  <c r="P299" i="3" s="1"/>
  <c r="G299" i="3"/>
  <c r="G76" i="3"/>
  <c r="I76" i="3" s="1"/>
  <c r="G64" i="3"/>
  <c r="H89" i="4"/>
  <c r="G41" i="3" s="1"/>
  <c r="I41" i="3" s="1"/>
  <c r="G779" i="3"/>
  <c r="I779" i="3" s="1"/>
  <c r="G777" i="3" s="1"/>
  <c r="G167" i="13" s="1"/>
  <c r="H167" i="13" s="1"/>
  <c r="M289" i="3"/>
  <c r="P289" i="3" s="1"/>
  <c r="Q289" i="3" s="1"/>
  <c r="G289" i="3"/>
  <c r="G157" i="13" s="1"/>
  <c r="H157" i="13" s="1"/>
  <c r="H75" i="4"/>
  <c r="G765" i="3"/>
  <c r="I765" i="3" s="1"/>
  <c r="G764" i="3" s="1"/>
  <c r="M327" i="3"/>
  <c r="P327" i="3" s="1"/>
  <c r="Q327" i="3" s="1"/>
  <c r="G327" i="3"/>
  <c r="G161" i="13" s="1"/>
  <c r="H161" i="13" s="1"/>
  <c r="M313" i="3"/>
  <c r="P313" i="3" s="1"/>
  <c r="G313" i="3"/>
  <c r="G160" i="13" s="1"/>
  <c r="H160" i="13" s="1"/>
  <c r="G261" i="3"/>
  <c r="I261" i="3" s="1"/>
  <c r="G674" i="3"/>
  <c r="I674" i="3" s="1"/>
  <c r="H103" i="4"/>
  <c r="I64" i="3" s="1"/>
  <c r="G189" i="3"/>
  <c r="H96" i="4"/>
  <c r="G35" i="3"/>
  <c r="I35" i="3" s="1"/>
  <c r="M679" i="3"/>
  <c r="G679" i="3"/>
  <c r="G147" i="13" s="1"/>
  <c r="H147" i="13" s="1"/>
  <c r="G220" i="3"/>
  <c r="I220" i="3" s="1"/>
  <c r="I151" i="3"/>
  <c r="G221" i="3"/>
  <c r="G80" i="3" s="1"/>
  <c r="I80" i="3" s="1"/>
  <c r="I147" i="3"/>
  <c r="M70" i="13"/>
  <c r="R70" i="13" s="1"/>
  <c r="O58" i="13"/>
  <c r="H18" i="14" s="1"/>
  <c r="T74" i="13"/>
  <c r="V74" i="13" s="1"/>
  <c r="R74" i="13"/>
  <c r="H70" i="13"/>
  <c r="P150" i="11"/>
  <c r="O150" i="11"/>
  <c r="N150" i="11"/>
  <c r="N151" i="11" s="1"/>
  <c r="R42" i="13"/>
  <c r="R40" i="13"/>
  <c r="E80" i="11"/>
  <c r="E114" i="11"/>
  <c r="E96" i="11"/>
  <c r="E88" i="11"/>
  <c r="E126" i="11"/>
  <c r="E102" i="11"/>
  <c r="G40" i="13"/>
  <c r="H40" i="13" s="1"/>
  <c r="T40" i="13" s="1"/>
  <c r="G42" i="13"/>
  <c r="H70" i="4"/>
  <c r="G453" i="3" s="1"/>
  <c r="I453" i="3" s="1"/>
  <c r="G698" i="3"/>
  <c r="I698" i="3" s="1"/>
  <c r="M622" i="3"/>
  <c r="G622" i="3"/>
  <c r="M730" i="3"/>
  <c r="G730" i="3"/>
  <c r="M736" i="3"/>
  <c r="P736" i="3" s="1"/>
  <c r="G736" i="3"/>
  <c r="H68" i="4"/>
  <c r="G434" i="3" s="1"/>
  <c r="I434" i="3" s="1"/>
  <c r="G705" i="3"/>
  <c r="I705" i="3" s="1"/>
  <c r="G643" i="3"/>
  <c r="I643" i="3" s="1"/>
  <c r="G652" i="3"/>
  <c r="I652" i="3" s="1"/>
  <c r="G630" i="3"/>
  <c r="I630" i="3" s="1"/>
  <c r="G637" i="3"/>
  <c r="I637" i="3" s="1"/>
  <c r="G658" i="3"/>
  <c r="I658" i="3" s="1"/>
  <c r="M710" i="3"/>
  <c r="G710" i="3"/>
  <c r="M718" i="3"/>
  <c r="G718" i="3"/>
  <c r="M724" i="3"/>
  <c r="G724" i="3"/>
  <c r="M662" i="3"/>
  <c r="G662" i="3"/>
  <c r="P234" i="3"/>
  <c r="Q234" i="3" s="1"/>
  <c r="M617" i="3"/>
  <c r="G617" i="3"/>
  <c r="N21" i="14"/>
  <c r="V81" i="13"/>
  <c r="Z74" i="13"/>
  <c r="V77" i="13"/>
  <c r="V96" i="13"/>
  <c r="V89" i="13"/>
  <c r="V79" i="13"/>
  <c r="V80" i="13"/>
  <c r="V92" i="13"/>
  <c r="P41" i="13"/>
  <c r="Q41" i="13" s="1"/>
  <c r="J41" i="13"/>
  <c r="K41" i="13" s="1"/>
  <c r="I132" i="3"/>
  <c r="G592" i="3"/>
  <c r="M592" i="3"/>
  <c r="G175" i="3"/>
  <c r="G176" i="13" s="1"/>
  <c r="H176" i="13" s="1"/>
  <c r="P175" i="3"/>
  <c r="Q578" i="3"/>
  <c r="Q604" i="3"/>
  <c r="I70" i="3"/>
  <c r="L63" i="3" s="1"/>
  <c r="J24" i="13" s="1"/>
  <c r="K24" i="13" s="1"/>
  <c r="G71" i="3"/>
  <c r="I71" i="3" s="1"/>
  <c r="O63" i="3" s="1"/>
  <c r="P24" i="13" s="1"/>
  <c r="Q24" i="13" s="1"/>
  <c r="G72" i="3"/>
  <c r="I72" i="3" s="1"/>
  <c r="M63" i="3" s="1"/>
  <c r="L24" i="13" s="1"/>
  <c r="M24" i="13" s="1"/>
  <c r="G44" i="3"/>
  <c r="I44" i="3" s="1"/>
  <c r="G46" i="3"/>
  <c r="I46" i="3" s="1"/>
  <c r="M40" i="3" s="1"/>
  <c r="G45" i="3"/>
  <c r="I45" i="3" s="1"/>
  <c r="O40" i="3" s="1"/>
  <c r="G146" i="3"/>
  <c r="I146" i="3" s="1"/>
  <c r="G163" i="3"/>
  <c r="G216" i="3"/>
  <c r="I216" i="3" s="1"/>
  <c r="G130" i="3"/>
  <c r="I130" i="3" s="1"/>
  <c r="G562" i="3"/>
  <c r="I562" i="3" s="1"/>
  <c r="G50" i="3"/>
  <c r="G115" i="3" s="1"/>
  <c r="I115" i="3" s="1"/>
  <c r="G124" i="3" s="1"/>
  <c r="I124" i="3" s="1"/>
  <c r="L114" i="3" s="1"/>
  <c r="G531" i="3"/>
  <c r="I531" i="3" s="1"/>
  <c r="H59" i="4"/>
  <c r="F74" i="4"/>
  <c r="H74" i="4" s="1"/>
  <c r="F81" i="4"/>
  <c r="H81" i="4" s="1"/>
  <c r="F95" i="4"/>
  <c r="H95" i="4" s="1"/>
  <c r="F102" i="4"/>
  <c r="H102" i="4" s="1"/>
  <c r="F109" i="4"/>
  <c r="H109" i="4" s="1"/>
  <c r="F88" i="4"/>
  <c r="H88" i="4" s="1"/>
  <c r="G66" i="3"/>
  <c r="I66" i="3" s="1"/>
  <c r="I218" i="3"/>
  <c r="G217" i="3"/>
  <c r="I148" i="3"/>
  <c r="G150" i="3"/>
  <c r="I134" i="3"/>
  <c r="T167" i="13" l="1"/>
  <c r="U167" i="13" s="1"/>
  <c r="D210" i="11"/>
  <c r="T176" i="13"/>
  <c r="U176" i="13" s="1"/>
  <c r="D224" i="11"/>
  <c r="M225" i="11" s="1"/>
  <c r="D237" i="11"/>
  <c r="H40" i="14"/>
  <c r="T161" i="13"/>
  <c r="U161" i="13" s="1"/>
  <c r="D202" i="11"/>
  <c r="O191" i="11"/>
  <c r="N191" i="11"/>
  <c r="E191" i="11" s="1"/>
  <c r="M213" i="11"/>
  <c r="N213" i="11"/>
  <c r="T160" i="13"/>
  <c r="U160" i="13" s="1"/>
  <c r="D200" i="11"/>
  <c r="T147" i="13"/>
  <c r="U147" i="13" s="1"/>
  <c r="D186" i="11"/>
  <c r="D194" i="11"/>
  <c r="E150" i="11"/>
  <c r="T157" i="13"/>
  <c r="U157" i="13" s="1"/>
  <c r="G166" i="13"/>
  <c r="H166" i="13" s="1"/>
  <c r="Q764" i="3"/>
  <c r="Q313" i="3"/>
  <c r="G83" i="3"/>
  <c r="I83" i="3" s="1"/>
  <c r="O75" i="3" s="1"/>
  <c r="G84" i="3"/>
  <c r="I84" i="3" s="1"/>
  <c r="M75" i="3" s="1"/>
  <c r="G158" i="13"/>
  <c r="H158" i="13" s="1"/>
  <c r="Q299" i="3"/>
  <c r="P679" i="3"/>
  <c r="Q679" i="3" s="1"/>
  <c r="M34" i="3"/>
  <c r="P34" i="3" s="1"/>
  <c r="G34" i="3"/>
  <c r="G128" i="13" s="1"/>
  <c r="H128" i="13" s="1"/>
  <c r="M672" i="3"/>
  <c r="G672" i="3"/>
  <c r="G146" i="13" s="1"/>
  <c r="H146" i="13" s="1"/>
  <c r="M259" i="3"/>
  <c r="G259" i="3"/>
  <c r="L40" i="3"/>
  <c r="P40" i="3" s="1"/>
  <c r="G40" i="3"/>
  <c r="I221" i="3"/>
  <c r="G68" i="3"/>
  <c r="I68" i="3" s="1"/>
  <c r="D71" i="11"/>
  <c r="N72" i="11" s="1"/>
  <c r="E72" i="11" s="1"/>
  <c r="T70" i="13"/>
  <c r="U70" i="13" s="1"/>
  <c r="U40" i="13"/>
  <c r="M69" i="13"/>
  <c r="R69" i="13" s="1"/>
  <c r="I16" i="3"/>
  <c r="G18" i="3" s="1"/>
  <c r="I18" i="3" s="1"/>
  <c r="O15" i="3" s="1"/>
  <c r="G228" i="3"/>
  <c r="I228" i="3" s="1"/>
  <c r="G231" i="3" s="1"/>
  <c r="G351" i="3"/>
  <c r="I351" i="3" s="1"/>
  <c r="G357" i="3" s="1"/>
  <c r="I357" i="3" s="1"/>
  <c r="G272" i="3"/>
  <c r="I272" i="3" s="1"/>
  <c r="G276" i="3" s="1"/>
  <c r="I276" i="3" s="1"/>
  <c r="M271" i="3" s="1"/>
  <c r="G247" i="3"/>
  <c r="I247" i="3" s="1"/>
  <c r="G255" i="3" s="1"/>
  <c r="I255" i="3" s="1"/>
  <c r="O246" i="3" s="1"/>
  <c r="G483" i="3"/>
  <c r="I483" i="3" s="1"/>
  <c r="G489" i="3" s="1"/>
  <c r="I489" i="3" s="1"/>
  <c r="L482" i="3" s="1"/>
  <c r="G462" i="3"/>
  <c r="I462" i="3" s="1"/>
  <c r="M461" i="3" s="1"/>
  <c r="G362" i="3"/>
  <c r="I362" i="3" s="1"/>
  <c r="H69" i="13"/>
  <c r="H42" i="13"/>
  <c r="O151" i="11"/>
  <c r="G280" i="3"/>
  <c r="I280" i="3" s="1"/>
  <c r="G286" i="3" s="1"/>
  <c r="I286" i="3" s="1"/>
  <c r="M279" i="3" s="1"/>
  <c r="G398" i="3"/>
  <c r="I398" i="3" s="1"/>
  <c r="G404" i="3" s="1"/>
  <c r="I404" i="3" s="1"/>
  <c r="L397" i="3" s="1"/>
  <c r="G410" i="3"/>
  <c r="I410" i="3" s="1"/>
  <c r="G417" i="3" s="1"/>
  <c r="I417" i="3" s="1"/>
  <c r="O409" i="3" s="1"/>
  <c r="G386" i="3"/>
  <c r="I386" i="3" s="1"/>
  <c r="G392" i="3" s="1"/>
  <c r="I392" i="3" s="1"/>
  <c r="L385" i="3" s="1"/>
  <c r="G422" i="3"/>
  <c r="I422" i="3" s="1"/>
  <c r="V40" i="13"/>
  <c r="D41" i="11"/>
  <c r="I42" i="11" s="1"/>
  <c r="E42" i="11" s="1"/>
  <c r="G41" i="13"/>
  <c r="H41" i="13" s="1"/>
  <c r="T41" i="13" s="1"/>
  <c r="G53" i="13"/>
  <c r="H53" i="13" s="1"/>
  <c r="T53" i="13" s="1"/>
  <c r="P710" i="3"/>
  <c r="Q710" i="3" s="1"/>
  <c r="L53" i="13"/>
  <c r="M53" i="13" s="1"/>
  <c r="R53" i="13" s="1"/>
  <c r="M657" i="3"/>
  <c r="G657" i="3"/>
  <c r="Q736" i="3"/>
  <c r="M636" i="3"/>
  <c r="G636" i="3"/>
  <c r="G67" i="13"/>
  <c r="P724" i="3"/>
  <c r="Q724" i="3" s="1"/>
  <c r="L66" i="13"/>
  <c r="M66" i="13" s="1"/>
  <c r="M629" i="3"/>
  <c r="G629" i="3"/>
  <c r="P730" i="3"/>
  <c r="Q730" i="3" s="1"/>
  <c r="L67" i="13"/>
  <c r="M67" i="13" s="1"/>
  <c r="M651" i="3"/>
  <c r="G651" i="3"/>
  <c r="G19" i="13"/>
  <c r="G56" i="13"/>
  <c r="M642" i="3"/>
  <c r="G642" i="3"/>
  <c r="P622" i="3"/>
  <c r="Q622" i="3" s="1"/>
  <c r="L19" i="13"/>
  <c r="M19" i="13" s="1"/>
  <c r="P617" i="3"/>
  <c r="Q617" i="3" s="1"/>
  <c r="P662" i="3"/>
  <c r="Q662" i="3" s="1"/>
  <c r="P718" i="3"/>
  <c r="Q718" i="3" s="1"/>
  <c r="L56" i="13"/>
  <c r="M56" i="13" s="1"/>
  <c r="R56" i="13" s="1"/>
  <c r="M704" i="3"/>
  <c r="G704" i="3"/>
  <c r="G154" i="13" s="1"/>
  <c r="H154" i="13" s="1"/>
  <c r="M697" i="3"/>
  <c r="G697" i="3"/>
  <c r="G66" i="13"/>
  <c r="M14" i="13"/>
  <c r="Q14" i="13"/>
  <c r="P592" i="3"/>
  <c r="Q592" i="3" s="1"/>
  <c r="L41" i="13"/>
  <c r="M41" i="13" s="1"/>
  <c r="K14" i="13"/>
  <c r="N129" i="3"/>
  <c r="Q175" i="3"/>
  <c r="G546" i="3"/>
  <c r="I546" i="3" s="1"/>
  <c r="G545" i="3"/>
  <c r="I545" i="3" s="1"/>
  <c r="G544" i="3"/>
  <c r="I544" i="3" s="1"/>
  <c r="I50" i="3"/>
  <c r="G456" i="3"/>
  <c r="I456" i="3" s="1"/>
  <c r="L452" i="3" s="1"/>
  <c r="G457" i="3"/>
  <c r="I457" i="3" s="1"/>
  <c r="O452" i="3" s="1"/>
  <c r="G458" i="3"/>
  <c r="I458" i="3" s="1"/>
  <c r="M452" i="3" s="1"/>
  <c r="G204" i="3"/>
  <c r="I189" i="3"/>
  <c r="I23" i="3"/>
  <c r="G140" i="3"/>
  <c r="I140" i="3" s="1"/>
  <c r="L129" i="3" s="1"/>
  <c r="G141" i="3"/>
  <c r="I141" i="3" s="1"/>
  <c r="O129" i="3" s="1"/>
  <c r="G142" i="3"/>
  <c r="I142" i="3" s="1"/>
  <c r="M129" i="3" s="1"/>
  <c r="G222" i="3"/>
  <c r="I222" i="3" s="1"/>
  <c r="L215" i="3" s="1"/>
  <c r="G224" i="3"/>
  <c r="I224" i="3" s="1"/>
  <c r="M215" i="3" s="1"/>
  <c r="G223" i="3"/>
  <c r="I223" i="3" s="1"/>
  <c r="O215" i="3" s="1"/>
  <c r="G571" i="3"/>
  <c r="I571" i="3" s="1"/>
  <c r="M561" i="3" s="1"/>
  <c r="G570" i="3"/>
  <c r="I570" i="3" s="1"/>
  <c r="O561" i="3" s="1"/>
  <c r="G569" i="3"/>
  <c r="I569" i="3" s="1"/>
  <c r="L561" i="3" s="1"/>
  <c r="I163" i="3"/>
  <c r="G446" i="3"/>
  <c r="G159" i="3"/>
  <c r="I159" i="3" s="1"/>
  <c r="M145" i="3" s="1"/>
  <c r="G158" i="3"/>
  <c r="I158" i="3" s="1"/>
  <c r="O145" i="3" s="1"/>
  <c r="G157" i="3"/>
  <c r="I157" i="3" s="1"/>
  <c r="L145" i="3" s="1"/>
  <c r="G440" i="3"/>
  <c r="I440" i="3" s="1"/>
  <c r="L433" i="3" s="1"/>
  <c r="G442" i="3"/>
  <c r="I442" i="3" s="1"/>
  <c r="M433" i="3" s="1"/>
  <c r="G441" i="3"/>
  <c r="I441" i="3" s="1"/>
  <c r="O433" i="3" s="1"/>
  <c r="I217" i="3"/>
  <c r="G65" i="3"/>
  <c r="I65" i="3" s="1"/>
  <c r="I150" i="3"/>
  <c r="N145" i="3" s="1"/>
  <c r="G219" i="3"/>
  <c r="E213" i="11" l="1"/>
  <c r="P151" i="11"/>
  <c r="O187" i="11"/>
  <c r="N187" i="11"/>
  <c r="D164" i="11"/>
  <c r="H127" i="13"/>
  <c r="N24" i="14" s="1"/>
  <c r="O24" i="14" s="1"/>
  <c r="T166" i="13"/>
  <c r="U166" i="13" s="1"/>
  <c r="D208" i="11"/>
  <c r="O209" i="11" s="1"/>
  <c r="H163" i="13"/>
  <c r="N32" i="14" s="1"/>
  <c r="O32" i="14" s="1"/>
  <c r="P201" i="11"/>
  <c r="E201" i="11" s="1"/>
  <c r="D192" i="11"/>
  <c r="H153" i="13"/>
  <c r="N30" i="14" s="1"/>
  <c r="O30" i="14" s="1"/>
  <c r="O203" i="11"/>
  <c r="E203" i="11" s="1"/>
  <c r="E225" i="11"/>
  <c r="T158" i="13"/>
  <c r="U158" i="13" s="1"/>
  <c r="D196" i="11"/>
  <c r="H156" i="13"/>
  <c r="N31" i="14" s="1"/>
  <c r="O31" i="14" s="1"/>
  <c r="M211" i="11"/>
  <c r="N211" i="11"/>
  <c r="D184" i="11"/>
  <c r="H145" i="13"/>
  <c r="N28" i="14" s="1"/>
  <c r="O28" i="14" s="1"/>
  <c r="P195" i="11"/>
  <c r="E195" i="11" s="1"/>
  <c r="T146" i="13"/>
  <c r="U146" i="13" s="1"/>
  <c r="T128" i="13"/>
  <c r="U128" i="13" s="1"/>
  <c r="T154" i="13"/>
  <c r="U154" i="13" s="1"/>
  <c r="N20" i="14"/>
  <c r="I231" i="3"/>
  <c r="O227" i="3" s="1"/>
  <c r="I79" i="3"/>
  <c r="P672" i="3"/>
  <c r="Q672" i="3" s="1"/>
  <c r="G30" i="13"/>
  <c r="H30" i="13" s="1"/>
  <c r="G143" i="13"/>
  <c r="H143" i="13" s="1"/>
  <c r="D182" i="11" s="1"/>
  <c r="G393" i="3"/>
  <c r="I393" i="3" s="1"/>
  <c r="O385" i="3" s="1"/>
  <c r="G394" i="3"/>
  <c r="I394" i="3" s="1"/>
  <c r="M385" i="3" s="1"/>
  <c r="L30" i="13"/>
  <c r="M30" i="13" s="1"/>
  <c r="P259" i="3"/>
  <c r="Q259" i="3" s="1"/>
  <c r="Q40" i="3"/>
  <c r="G17" i="3"/>
  <c r="I17" i="3" s="1"/>
  <c r="L15" i="3" s="1"/>
  <c r="G416" i="3"/>
  <c r="I416" i="3" s="1"/>
  <c r="L409" i="3" s="1"/>
  <c r="G284" i="3"/>
  <c r="I284" i="3" s="1"/>
  <c r="L279" i="3" s="1"/>
  <c r="G19" i="3"/>
  <c r="I19" i="3" s="1"/>
  <c r="M15" i="3" s="1"/>
  <c r="L10" i="13" s="1"/>
  <c r="M10" i="13" s="1"/>
  <c r="V70" i="13"/>
  <c r="F20" i="14"/>
  <c r="G256" i="3"/>
  <c r="I256" i="3" s="1"/>
  <c r="M246" i="3" s="1"/>
  <c r="G285" i="3"/>
  <c r="I285" i="3" s="1"/>
  <c r="O279" i="3" s="1"/>
  <c r="G274" i="3"/>
  <c r="I274" i="3" s="1"/>
  <c r="L271" i="3" s="1"/>
  <c r="J31" i="13" s="1"/>
  <c r="K31" i="13" s="1"/>
  <c r="G253" i="3"/>
  <c r="I253" i="3" s="1"/>
  <c r="L246" i="3" s="1"/>
  <c r="P12" i="13"/>
  <c r="Q12" i="13" s="1"/>
  <c r="G275" i="3"/>
  <c r="I275" i="3" s="1"/>
  <c r="O271" i="3" s="1"/>
  <c r="P31" i="13" s="1"/>
  <c r="Q31" i="13" s="1"/>
  <c r="G356" i="3"/>
  <c r="I356" i="3" s="1"/>
  <c r="L350" i="3" s="1"/>
  <c r="G358" i="3"/>
  <c r="I358" i="3" s="1"/>
  <c r="M350" i="3" s="1"/>
  <c r="T69" i="13"/>
  <c r="V69" i="13" s="1"/>
  <c r="G232" i="3"/>
  <c r="I232" i="3" s="1"/>
  <c r="M227" i="3" s="1"/>
  <c r="G230" i="3"/>
  <c r="U53" i="13"/>
  <c r="G374" i="3"/>
  <c r="I374" i="3" s="1"/>
  <c r="G382" i="3" s="1"/>
  <c r="I382" i="3" s="1"/>
  <c r="M373" i="3" s="1"/>
  <c r="D45" i="11"/>
  <c r="I46" i="11" s="1"/>
  <c r="T42" i="13"/>
  <c r="Z69" i="13"/>
  <c r="G418" i="3"/>
  <c r="I418" i="3" s="1"/>
  <c r="M409" i="3" s="1"/>
  <c r="L17" i="13" s="1"/>
  <c r="M17" i="13" s="1"/>
  <c r="G469" i="3"/>
  <c r="G476" i="3" s="1"/>
  <c r="I476" i="3" s="1"/>
  <c r="M475" i="3" s="1"/>
  <c r="G429" i="3"/>
  <c r="I429" i="3" s="1"/>
  <c r="O421" i="3" s="1"/>
  <c r="P39" i="13" s="1"/>
  <c r="Q39" i="13" s="1"/>
  <c r="G430" i="3"/>
  <c r="I430" i="3" s="1"/>
  <c r="M421" i="3" s="1"/>
  <c r="L39" i="13" s="1"/>
  <c r="M39" i="13" s="1"/>
  <c r="M38" i="13" s="1"/>
  <c r="F13" i="14" s="1"/>
  <c r="G428" i="3"/>
  <c r="I428" i="3" s="1"/>
  <c r="L421" i="3" s="1"/>
  <c r="J39" i="13" s="1"/>
  <c r="K39" i="13" s="1"/>
  <c r="K38" i="13" s="1"/>
  <c r="D13" i="14" s="1"/>
  <c r="G491" i="3"/>
  <c r="I491" i="3" s="1"/>
  <c r="M482" i="3" s="1"/>
  <c r="G490" i="3"/>
  <c r="I490" i="3" s="1"/>
  <c r="O482" i="3" s="1"/>
  <c r="H66" i="13"/>
  <c r="H67" i="13"/>
  <c r="H19" i="13"/>
  <c r="H56" i="13"/>
  <c r="R41" i="13"/>
  <c r="U41" i="13" s="1"/>
  <c r="G406" i="3"/>
  <c r="I406" i="3" s="1"/>
  <c r="M397" i="3" s="1"/>
  <c r="R19" i="13"/>
  <c r="G405" i="3"/>
  <c r="I405" i="3" s="1"/>
  <c r="O397" i="3" s="1"/>
  <c r="R67" i="13"/>
  <c r="R66" i="13"/>
  <c r="H52" i="13"/>
  <c r="D55" i="11"/>
  <c r="D43" i="11"/>
  <c r="J44" i="11" s="1"/>
  <c r="G27" i="13"/>
  <c r="G20" i="13"/>
  <c r="P704" i="3"/>
  <c r="Q704" i="3" s="1"/>
  <c r="L50" i="13"/>
  <c r="M50" i="13" s="1"/>
  <c r="M55" i="13"/>
  <c r="F17" i="14" s="1"/>
  <c r="G33" i="13"/>
  <c r="G21" i="13"/>
  <c r="P657" i="3"/>
  <c r="Q657" i="3" s="1"/>
  <c r="L33" i="13"/>
  <c r="M33" i="13" s="1"/>
  <c r="G46" i="13"/>
  <c r="P642" i="3"/>
  <c r="Q642" i="3" s="1"/>
  <c r="L27" i="13"/>
  <c r="M27" i="13" s="1"/>
  <c r="P636" i="3"/>
  <c r="Q636" i="3" s="1"/>
  <c r="L21" i="13"/>
  <c r="M21" i="13" s="1"/>
  <c r="P697" i="3"/>
  <c r="Q697" i="3" s="1"/>
  <c r="L46" i="13"/>
  <c r="M46" i="13" s="1"/>
  <c r="R46" i="13" s="1"/>
  <c r="P651" i="3"/>
  <c r="Q651" i="3" s="1"/>
  <c r="M52" i="13"/>
  <c r="V53" i="13"/>
  <c r="G50" i="13"/>
  <c r="H50" i="13" s="1"/>
  <c r="P629" i="3"/>
  <c r="Q629" i="3" s="1"/>
  <c r="L20" i="13"/>
  <c r="M20" i="13" s="1"/>
  <c r="L45" i="13"/>
  <c r="M45" i="13" s="1"/>
  <c r="P17" i="13"/>
  <c r="Q17" i="13" s="1"/>
  <c r="P45" i="13"/>
  <c r="Q45" i="13" s="1"/>
  <c r="L32" i="13"/>
  <c r="M32" i="13" s="1"/>
  <c r="N26" i="13"/>
  <c r="O26" i="13" s="1"/>
  <c r="J26" i="13"/>
  <c r="K26" i="13" s="1"/>
  <c r="J10" i="13"/>
  <c r="K10" i="13" s="1"/>
  <c r="P25" i="13"/>
  <c r="Q25" i="13" s="1"/>
  <c r="J32" i="13"/>
  <c r="K32" i="13" s="1"/>
  <c r="J17" i="13"/>
  <c r="K17" i="13" s="1"/>
  <c r="L25" i="13"/>
  <c r="M25" i="13" s="1"/>
  <c r="L31" i="13"/>
  <c r="M31" i="13" s="1"/>
  <c r="J25" i="13"/>
  <c r="K25" i="13" s="1"/>
  <c r="P18" i="13"/>
  <c r="Q18" i="13" s="1"/>
  <c r="N25" i="13"/>
  <c r="O25" i="13" s="1"/>
  <c r="P10" i="13"/>
  <c r="Q10" i="13" s="1"/>
  <c r="L18" i="13"/>
  <c r="M18" i="13" s="1"/>
  <c r="J36" i="13"/>
  <c r="K36" i="13" s="1"/>
  <c r="K35" i="13" s="1"/>
  <c r="D12" i="14" s="1"/>
  <c r="J18" i="13"/>
  <c r="K18" i="13" s="1"/>
  <c r="L61" i="13"/>
  <c r="M61" i="13" s="1"/>
  <c r="P32" i="13"/>
  <c r="Q32" i="13" s="1"/>
  <c r="P61" i="13"/>
  <c r="Q61" i="13" s="1"/>
  <c r="G129" i="3"/>
  <c r="G135" i="13" s="1"/>
  <c r="H135" i="13" s="1"/>
  <c r="P452" i="3"/>
  <c r="G452" i="3"/>
  <c r="P433" i="3"/>
  <c r="G15" i="3"/>
  <c r="G173" i="13" s="1"/>
  <c r="H173" i="13" s="1"/>
  <c r="P145" i="3"/>
  <c r="O350" i="3"/>
  <c r="P15" i="3"/>
  <c r="P129" i="3"/>
  <c r="P409" i="3"/>
  <c r="G463" i="3"/>
  <c r="I463" i="3" s="1"/>
  <c r="L461" i="3" s="1"/>
  <c r="G465" i="3"/>
  <c r="G464" i="3"/>
  <c r="I204" i="3"/>
  <c r="I446" i="3"/>
  <c r="G58" i="3"/>
  <c r="I58" i="3" s="1"/>
  <c r="L49" i="3" s="1"/>
  <c r="G60" i="3"/>
  <c r="I60" i="3" s="1"/>
  <c r="M49" i="3" s="1"/>
  <c r="G59" i="3"/>
  <c r="I59" i="3" s="1"/>
  <c r="O49" i="3" s="1"/>
  <c r="G433" i="3"/>
  <c r="G171" i="3"/>
  <c r="I171" i="3" s="1"/>
  <c r="O162" i="3" s="1"/>
  <c r="G170" i="3"/>
  <c r="I170" i="3" s="1"/>
  <c r="L162" i="3" s="1"/>
  <c r="G172" i="3"/>
  <c r="I172" i="3" s="1"/>
  <c r="I449" i="3" s="1"/>
  <c r="G125" i="3"/>
  <c r="I125" i="3" s="1"/>
  <c r="G126" i="3"/>
  <c r="I126" i="3" s="1"/>
  <c r="M114" i="3" s="1"/>
  <c r="L26" i="13" s="1"/>
  <c r="M26" i="13" s="1"/>
  <c r="G409" i="3"/>
  <c r="G174" i="13" s="1"/>
  <c r="H174" i="13" s="1"/>
  <c r="G368" i="3"/>
  <c r="I368" i="3" s="1"/>
  <c r="L361" i="3" s="1"/>
  <c r="G370" i="3"/>
  <c r="I370" i="3" s="1"/>
  <c r="M361" i="3" s="1"/>
  <c r="G369" i="3"/>
  <c r="I369" i="3" s="1"/>
  <c r="O361" i="3" s="1"/>
  <c r="G530" i="3"/>
  <c r="I12" i="3"/>
  <c r="N8" i="3" s="1"/>
  <c r="G279" i="3"/>
  <c r="G24" i="3"/>
  <c r="I24" i="3" s="1"/>
  <c r="L22" i="3" s="1"/>
  <c r="G26" i="3"/>
  <c r="I26" i="3" s="1"/>
  <c r="M22" i="3" s="1"/>
  <c r="G385" i="3"/>
  <c r="I198" i="3"/>
  <c r="I200" i="3"/>
  <c r="M188" i="3" s="1"/>
  <c r="G199" i="3"/>
  <c r="I199" i="3" s="1"/>
  <c r="I219" i="3"/>
  <c r="N215" i="3" s="1"/>
  <c r="G67" i="3"/>
  <c r="I67" i="3" s="1"/>
  <c r="N63" i="3" s="1"/>
  <c r="N24" i="13" s="1"/>
  <c r="O24" i="13" s="1"/>
  <c r="G145" i="3"/>
  <c r="Q151" i="11" l="1"/>
  <c r="T135" i="13"/>
  <c r="U135" i="13" s="1"/>
  <c r="D170" i="11"/>
  <c r="I171" i="11" s="1"/>
  <c r="T174" i="13"/>
  <c r="U174" i="13" s="1"/>
  <c r="D220" i="11"/>
  <c r="N221" i="11" s="1"/>
  <c r="E221" i="11" s="1"/>
  <c r="E209" i="11"/>
  <c r="T50" i="13"/>
  <c r="D53" i="11"/>
  <c r="O54" i="11" s="1"/>
  <c r="E54" i="11" s="1"/>
  <c r="O185" i="11"/>
  <c r="O228" i="11" s="1"/>
  <c r="N185" i="11"/>
  <c r="E211" i="11"/>
  <c r="H165" i="11"/>
  <c r="G165" i="11"/>
  <c r="T173" i="13"/>
  <c r="U173" i="13" s="1"/>
  <c r="D218" i="11"/>
  <c r="Q193" i="11"/>
  <c r="P193" i="11"/>
  <c r="E187" i="11"/>
  <c r="M183" i="11"/>
  <c r="L183" i="11"/>
  <c r="R197" i="11"/>
  <c r="R228" i="11" s="1"/>
  <c r="R230" i="11" s="1"/>
  <c r="Q197" i="11"/>
  <c r="E46" i="11"/>
  <c r="M23" i="13"/>
  <c r="T143" i="13"/>
  <c r="U143" i="13" s="1"/>
  <c r="H142" i="13"/>
  <c r="N27" i="14" s="1"/>
  <c r="O27" i="14" s="1"/>
  <c r="Q29" i="13"/>
  <c r="J11" i="14" s="1"/>
  <c r="T30" i="13"/>
  <c r="V30" i="13" s="1"/>
  <c r="N16" i="14"/>
  <c r="K29" i="13"/>
  <c r="D11" i="14" s="1"/>
  <c r="O23" i="13"/>
  <c r="H10" i="14" s="1"/>
  <c r="K23" i="13"/>
  <c r="D10" i="14" s="1"/>
  <c r="M29" i="13"/>
  <c r="F11" i="14" s="1"/>
  <c r="I230" i="3"/>
  <c r="L227" i="3" s="1"/>
  <c r="P227" i="3" s="1"/>
  <c r="I78" i="3"/>
  <c r="P385" i="3"/>
  <c r="I469" i="3"/>
  <c r="M468" i="3" s="1"/>
  <c r="W30" i="13"/>
  <c r="R30" i="13"/>
  <c r="P279" i="3"/>
  <c r="J61" i="13"/>
  <c r="K61" i="13" s="1"/>
  <c r="R61" i="13" s="1"/>
  <c r="R24" i="13"/>
  <c r="W24" i="13"/>
  <c r="Q9" i="13"/>
  <c r="J8" i="14" s="1"/>
  <c r="G271" i="3"/>
  <c r="G31" i="13" s="1"/>
  <c r="J45" i="13"/>
  <c r="K45" i="13" s="1"/>
  <c r="K44" i="13" s="1"/>
  <c r="D14" i="14" s="1"/>
  <c r="P271" i="3"/>
  <c r="L12" i="13"/>
  <c r="M12" i="13" s="1"/>
  <c r="P36" i="13"/>
  <c r="Q36" i="13" s="1"/>
  <c r="L36" i="13"/>
  <c r="M36" i="13" s="1"/>
  <c r="M35" i="13" s="1"/>
  <c r="F12" i="14" s="1"/>
  <c r="O114" i="3"/>
  <c r="G114" i="3"/>
  <c r="G381" i="3"/>
  <c r="I381" i="3" s="1"/>
  <c r="O373" i="3" s="1"/>
  <c r="P60" i="13" s="1"/>
  <c r="Q60" i="13" s="1"/>
  <c r="G380" i="3"/>
  <c r="I380" i="3" s="1"/>
  <c r="L373" i="3" s="1"/>
  <c r="J60" i="13" s="1"/>
  <c r="K60" i="13" s="1"/>
  <c r="G421" i="3"/>
  <c r="G39" i="13" s="1"/>
  <c r="H39" i="13" s="1"/>
  <c r="R39" i="13"/>
  <c r="Q38" i="13"/>
  <c r="Z38" i="13" s="1"/>
  <c r="P421" i="3"/>
  <c r="U69" i="13"/>
  <c r="D57" i="11"/>
  <c r="T56" i="13"/>
  <c r="U56" i="13" s="1"/>
  <c r="D15" i="11"/>
  <c r="I16" i="11" s="1"/>
  <c r="E16" i="11" s="1"/>
  <c r="T19" i="13"/>
  <c r="V42" i="13"/>
  <c r="U42" i="13"/>
  <c r="D69" i="11"/>
  <c r="M70" i="11" s="1"/>
  <c r="E70" i="11" s="1"/>
  <c r="T67" i="13"/>
  <c r="D67" i="11"/>
  <c r="L68" i="11" s="1"/>
  <c r="E68" i="11" s="1"/>
  <c r="T66" i="13"/>
  <c r="V66" i="13" s="1"/>
  <c r="P482" i="3"/>
  <c r="H55" i="13"/>
  <c r="G482" i="3"/>
  <c r="G36" i="13" s="1"/>
  <c r="P397" i="3"/>
  <c r="Q16" i="13"/>
  <c r="J9" i="14" s="1"/>
  <c r="M44" i="13"/>
  <c r="F14" i="14" s="1"/>
  <c r="K16" i="13"/>
  <c r="D9" i="14" s="1"/>
  <c r="R52" i="13"/>
  <c r="F16" i="14"/>
  <c r="F10" i="14"/>
  <c r="R18" i="13"/>
  <c r="H21" i="13"/>
  <c r="G397" i="3"/>
  <c r="H33" i="13"/>
  <c r="H20" i="13"/>
  <c r="M16" i="13"/>
  <c r="F9" i="14" s="1"/>
  <c r="H27" i="13"/>
  <c r="H46" i="13"/>
  <c r="T46" i="13" s="1"/>
  <c r="U46" i="13" s="1"/>
  <c r="R32" i="13"/>
  <c r="R10" i="13"/>
  <c r="R31" i="13"/>
  <c r="R17" i="13"/>
  <c r="R20" i="13"/>
  <c r="R25" i="13"/>
  <c r="R33" i="13"/>
  <c r="V50" i="13"/>
  <c r="R50" i="13"/>
  <c r="U50" i="13" s="1"/>
  <c r="R27" i="13"/>
  <c r="R21" i="13"/>
  <c r="R55" i="13"/>
  <c r="E44" i="11"/>
  <c r="M56" i="11"/>
  <c r="N56" i="11"/>
  <c r="G25" i="13"/>
  <c r="H25" i="13" s="1"/>
  <c r="T25" i="13" s="1"/>
  <c r="G61" i="13"/>
  <c r="G10" i="13"/>
  <c r="T52" i="13"/>
  <c r="Z52" i="13"/>
  <c r="V41" i="13"/>
  <c r="J49" i="13"/>
  <c r="K49" i="13" s="1"/>
  <c r="K48" i="13" s="1"/>
  <c r="D15" i="14" s="1"/>
  <c r="L11" i="13"/>
  <c r="M11" i="13" s="1"/>
  <c r="J11" i="13"/>
  <c r="K11" i="13" s="1"/>
  <c r="P59" i="13"/>
  <c r="Q59" i="13" s="1"/>
  <c r="L59" i="13"/>
  <c r="M59" i="13" s="1"/>
  <c r="P461" i="3"/>
  <c r="P63" i="3"/>
  <c r="P215" i="3"/>
  <c r="L60" i="13"/>
  <c r="M60" i="13" s="1"/>
  <c r="P49" i="13"/>
  <c r="J59" i="13"/>
  <c r="K59" i="13" s="1"/>
  <c r="Q129" i="3"/>
  <c r="Q409" i="3"/>
  <c r="Q452" i="3"/>
  <c r="G32" i="13"/>
  <c r="G17" i="13"/>
  <c r="G18" i="13"/>
  <c r="P361" i="3"/>
  <c r="P188" i="3"/>
  <c r="M162" i="3"/>
  <c r="G188" i="3"/>
  <c r="G139" i="13" s="1"/>
  <c r="H139" i="13" s="1"/>
  <c r="P22" i="3"/>
  <c r="Q385" i="3"/>
  <c r="Q279" i="3"/>
  <c r="P8" i="3"/>
  <c r="P49" i="3"/>
  <c r="M445" i="3"/>
  <c r="Q145" i="3"/>
  <c r="Q433" i="3"/>
  <c r="G212" i="3"/>
  <c r="I212" i="3" s="1"/>
  <c r="M203" i="3" s="1"/>
  <c r="G210" i="3"/>
  <c r="I210" i="3" s="1"/>
  <c r="L203" i="3" s="1"/>
  <c r="G211" i="3"/>
  <c r="I211" i="3" s="1"/>
  <c r="O203" i="3" s="1"/>
  <c r="G8" i="3"/>
  <c r="G361" i="3"/>
  <c r="G449" i="3"/>
  <c r="G448" i="3"/>
  <c r="G447" i="3"/>
  <c r="G478" i="3"/>
  <c r="G477" i="3"/>
  <c r="I477" i="3" s="1"/>
  <c r="L475" i="3" s="1"/>
  <c r="G479" i="3"/>
  <c r="G471" i="3"/>
  <c r="G470" i="3"/>
  <c r="I470" i="3" s="1"/>
  <c r="L468" i="3" s="1"/>
  <c r="G472" i="3"/>
  <c r="G22" i="3"/>
  <c r="G124" i="13" s="1"/>
  <c r="H124" i="13" s="1"/>
  <c r="I447" i="3"/>
  <c r="L445" i="3" s="1"/>
  <c r="G162" i="3"/>
  <c r="G565" i="3"/>
  <c r="I565" i="3" s="1"/>
  <c r="N561" i="3" s="1"/>
  <c r="G49" i="3"/>
  <c r="G461" i="3"/>
  <c r="I448" i="3"/>
  <c r="O445" i="3" s="1"/>
  <c r="G63" i="3"/>
  <c r="G177" i="13" s="1"/>
  <c r="H177" i="13" s="1"/>
  <c r="G215" i="3"/>
  <c r="R151" i="11" l="1"/>
  <c r="E193" i="11"/>
  <c r="E197" i="11"/>
  <c r="N219" i="11"/>
  <c r="M219" i="11"/>
  <c r="T139" i="13"/>
  <c r="U139" i="13" s="1"/>
  <c r="D178" i="11"/>
  <c r="E183" i="11"/>
  <c r="E165" i="11"/>
  <c r="T124" i="13"/>
  <c r="U124" i="13" s="1"/>
  <c r="D160" i="11"/>
  <c r="G161" i="11" s="1"/>
  <c r="E161" i="11" s="1"/>
  <c r="T177" i="13"/>
  <c r="U177" i="13" s="1"/>
  <c r="D226" i="11"/>
  <c r="E185" i="11"/>
  <c r="E171" i="11"/>
  <c r="U30" i="13"/>
  <c r="X30" i="13"/>
  <c r="Y30" i="13" s="1"/>
  <c r="Q49" i="13"/>
  <c r="Q48" i="13" s="1"/>
  <c r="J15" i="14" s="1"/>
  <c r="N17" i="14"/>
  <c r="J12" i="13"/>
  <c r="K12" i="13" s="1"/>
  <c r="R12" i="13" s="1"/>
  <c r="G227" i="3"/>
  <c r="N75" i="3"/>
  <c r="P75" i="3" s="1"/>
  <c r="G75" i="3"/>
  <c r="G140" i="13" s="1"/>
  <c r="H140" i="13" s="1"/>
  <c r="G137" i="13"/>
  <c r="H137" i="13" s="1"/>
  <c r="G138" i="13"/>
  <c r="H138" i="13" s="1"/>
  <c r="G26" i="13"/>
  <c r="H26" i="13" s="1"/>
  <c r="D25" i="11" s="1"/>
  <c r="J26" i="11" s="1"/>
  <c r="E26" i="11" s="1"/>
  <c r="G136" i="13"/>
  <c r="H136" i="13" s="1"/>
  <c r="G24" i="13"/>
  <c r="H24" i="13" s="1"/>
  <c r="D21" i="11" s="1"/>
  <c r="G134" i="13"/>
  <c r="H134" i="13" s="1"/>
  <c r="G123" i="13"/>
  <c r="H123" i="13" s="1"/>
  <c r="D158" i="11" s="1"/>
  <c r="G159" i="11" s="1"/>
  <c r="E159" i="11" s="1"/>
  <c r="P373" i="3"/>
  <c r="P114" i="3"/>
  <c r="Q114" i="3" s="1"/>
  <c r="P26" i="13"/>
  <c r="Q26" i="13" s="1"/>
  <c r="Q23" i="13" s="1"/>
  <c r="Q271" i="3"/>
  <c r="M9" i="13"/>
  <c r="R36" i="13"/>
  <c r="Q35" i="13"/>
  <c r="R35" i="13" s="1"/>
  <c r="G373" i="3"/>
  <c r="Q421" i="3"/>
  <c r="V56" i="13"/>
  <c r="Q482" i="3"/>
  <c r="J13" i="14"/>
  <c r="R38" i="13"/>
  <c r="T38" i="13"/>
  <c r="T39" i="13"/>
  <c r="U39" i="13" s="1"/>
  <c r="D39" i="11"/>
  <c r="H38" i="13"/>
  <c r="N58" i="11"/>
  <c r="M58" i="11"/>
  <c r="U19" i="13"/>
  <c r="V19" i="13"/>
  <c r="U67" i="13"/>
  <c r="V67" i="13"/>
  <c r="T33" i="13"/>
  <c r="U33" i="13" s="1"/>
  <c r="D17" i="11"/>
  <c r="J18" i="11" s="1"/>
  <c r="E18" i="11" s="1"/>
  <c r="T20" i="13"/>
  <c r="U20" i="13" s="1"/>
  <c r="Q397" i="3"/>
  <c r="U25" i="13"/>
  <c r="D19" i="11"/>
  <c r="J20" i="11" s="1"/>
  <c r="E20" i="11" s="1"/>
  <c r="T21" i="13"/>
  <c r="V21" i="13" s="1"/>
  <c r="T27" i="13"/>
  <c r="D27" i="11"/>
  <c r="J28" i="11" s="1"/>
  <c r="U66" i="13"/>
  <c r="V52" i="13"/>
  <c r="U52" i="13"/>
  <c r="Q58" i="13"/>
  <c r="J18" i="14" s="1"/>
  <c r="V46" i="13"/>
  <c r="K58" i="13"/>
  <c r="D18" i="14" s="1"/>
  <c r="R16" i="13"/>
  <c r="M58" i="13"/>
  <c r="F18" i="14" s="1"/>
  <c r="R29" i="13"/>
  <c r="Q44" i="13"/>
  <c r="H36" i="13"/>
  <c r="D49" i="11"/>
  <c r="H31" i="13"/>
  <c r="O14" i="13"/>
  <c r="H10" i="13"/>
  <c r="H17" i="13"/>
  <c r="H61" i="13"/>
  <c r="H18" i="13"/>
  <c r="H32" i="13"/>
  <c r="D33" i="11" s="1"/>
  <c r="J34" i="11" s="1"/>
  <c r="R11" i="13"/>
  <c r="R59" i="13"/>
  <c r="R60" i="13"/>
  <c r="E56" i="11"/>
  <c r="G11" i="13"/>
  <c r="H11" i="13" s="1"/>
  <c r="T11" i="13" s="1"/>
  <c r="V25" i="13"/>
  <c r="Z29" i="13"/>
  <c r="Q215" i="3"/>
  <c r="Z16" i="13"/>
  <c r="T29" i="13"/>
  <c r="L65" i="13"/>
  <c r="M65" i="13" s="1"/>
  <c r="M64" i="13" s="1"/>
  <c r="F19" i="14" s="1"/>
  <c r="J65" i="13"/>
  <c r="K65" i="13" s="1"/>
  <c r="K64" i="13" s="1"/>
  <c r="D19" i="14" s="1"/>
  <c r="P65" i="13"/>
  <c r="Q65" i="13" s="1"/>
  <c r="Q64" i="13" s="1"/>
  <c r="T16" i="13"/>
  <c r="P561" i="3"/>
  <c r="P475" i="3"/>
  <c r="P468" i="3"/>
  <c r="P162" i="3"/>
  <c r="Q162" i="3" s="1"/>
  <c r="L49" i="13"/>
  <c r="M49" i="13" s="1"/>
  <c r="M48" i="13" s="1"/>
  <c r="F15" i="14" s="1"/>
  <c r="G475" i="3"/>
  <c r="G49" i="13"/>
  <c r="Q63" i="3"/>
  <c r="Q188" i="3"/>
  <c r="G59" i="13"/>
  <c r="Q49" i="3"/>
  <c r="Q361" i="3"/>
  <c r="P445" i="3"/>
  <c r="P203" i="3"/>
  <c r="G468" i="3"/>
  <c r="Q461" i="3"/>
  <c r="G561" i="3"/>
  <c r="G175" i="13" s="1"/>
  <c r="H175" i="13" s="1"/>
  <c r="G203" i="3"/>
  <c r="G445" i="3"/>
  <c r="Q24" i="3"/>
  <c r="D168" i="11" l="1"/>
  <c r="I169" i="11" s="1"/>
  <c r="H133" i="13"/>
  <c r="N26" i="14" s="1"/>
  <c r="O26" i="14" s="1"/>
  <c r="N227" i="11"/>
  <c r="L179" i="11"/>
  <c r="E179" i="11" s="1"/>
  <c r="T138" i="13"/>
  <c r="U138" i="13" s="1"/>
  <c r="D176" i="11"/>
  <c r="E219" i="11"/>
  <c r="M228" i="11"/>
  <c r="T175" i="13"/>
  <c r="U175" i="13" s="1"/>
  <c r="D222" i="11"/>
  <c r="L223" i="11" s="1"/>
  <c r="H172" i="13"/>
  <c r="N33" i="14" s="1"/>
  <c r="O33" i="14" s="1"/>
  <c r="T136" i="13"/>
  <c r="U136" i="13" s="1"/>
  <c r="D172" i="11"/>
  <c r="J173" i="11" s="1"/>
  <c r="E173" i="11" s="1"/>
  <c r="T137" i="13"/>
  <c r="U137" i="13" s="1"/>
  <c r="D174" i="11"/>
  <c r="J175" i="11" s="1"/>
  <c r="T140" i="13"/>
  <c r="U140" i="13" s="1"/>
  <c r="D180" i="11"/>
  <c r="N22" i="11"/>
  <c r="E22" i="11" s="1"/>
  <c r="T134" i="13"/>
  <c r="U134" i="13" s="1"/>
  <c r="H29" i="13"/>
  <c r="V29" i="13" s="1"/>
  <c r="T123" i="13"/>
  <c r="T24" i="13"/>
  <c r="X24" i="13" s="1"/>
  <c r="Y24" i="13" s="1"/>
  <c r="H23" i="13"/>
  <c r="K9" i="13"/>
  <c r="D8" i="14" s="1"/>
  <c r="Q75" i="3"/>
  <c r="G125" i="13"/>
  <c r="H125" i="13" s="1"/>
  <c r="Q227" i="3"/>
  <c r="G12" i="13"/>
  <c r="H12" i="13" s="1"/>
  <c r="H9" i="13" s="1"/>
  <c r="Q373" i="3"/>
  <c r="G60" i="13"/>
  <c r="H60" i="13" s="1"/>
  <c r="D35" i="11"/>
  <c r="L36" i="11" s="1"/>
  <c r="R26" i="13"/>
  <c r="R23" i="13" s="1"/>
  <c r="T35" i="13"/>
  <c r="U35" i="13" s="1"/>
  <c r="Z35" i="13"/>
  <c r="J12" i="14"/>
  <c r="V33" i="13"/>
  <c r="V39" i="13"/>
  <c r="N13" i="14"/>
  <c r="V38" i="13"/>
  <c r="M40" i="11"/>
  <c r="L40" i="11"/>
  <c r="U38" i="13"/>
  <c r="U29" i="13"/>
  <c r="E58" i="11"/>
  <c r="I34" i="11"/>
  <c r="U27" i="13"/>
  <c r="V27" i="13"/>
  <c r="D23" i="11"/>
  <c r="J24" i="11" s="1"/>
  <c r="E24" i="11" s="1"/>
  <c r="T26" i="13"/>
  <c r="T10" i="13"/>
  <c r="U10" i="13" s="1"/>
  <c r="T17" i="13"/>
  <c r="U17" i="13" s="1"/>
  <c r="D37" i="11"/>
  <c r="K38" i="11" s="1"/>
  <c r="T36" i="13"/>
  <c r="U36" i="13" s="1"/>
  <c r="V20" i="13"/>
  <c r="K28" i="11"/>
  <c r="E28" i="11" s="1"/>
  <c r="U21" i="13"/>
  <c r="T32" i="13"/>
  <c r="U32" i="13" s="1"/>
  <c r="D13" i="11"/>
  <c r="I14" i="11" s="1"/>
  <c r="E14" i="11" s="1"/>
  <c r="T18" i="13"/>
  <c r="U18" i="13" s="1"/>
  <c r="T31" i="13"/>
  <c r="U31" i="13" s="1"/>
  <c r="D63" i="11"/>
  <c r="N64" i="11" s="1"/>
  <c r="T61" i="13"/>
  <c r="U61" i="13" s="1"/>
  <c r="U16" i="13"/>
  <c r="R9" i="13"/>
  <c r="U11" i="13"/>
  <c r="R14" i="13"/>
  <c r="D29" i="11"/>
  <c r="J30" i="11" s="1"/>
  <c r="H16" i="13"/>
  <c r="R58" i="13"/>
  <c r="T14" i="13"/>
  <c r="J19" i="14"/>
  <c r="R64" i="13"/>
  <c r="J14" i="14"/>
  <c r="H35" i="13"/>
  <c r="D5" i="11"/>
  <c r="G6" i="11" s="1"/>
  <c r="E6" i="11" s="1"/>
  <c r="D31" i="11"/>
  <c r="D11" i="11"/>
  <c r="H12" i="11" s="1"/>
  <c r="H49" i="13"/>
  <c r="H59" i="13"/>
  <c r="L50" i="11"/>
  <c r="O50" i="11"/>
  <c r="M50" i="11"/>
  <c r="N50" i="11"/>
  <c r="R49" i="13"/>
  <c r="R48" i="13"/>
  <c r="R65" i="13"/>
  <c r="D7" i="11"/>
  <c r="G8" i="11" s="1"/>
  <c r="G65" i="13"/>
  <c r="Z48" i="13"/>
  <c r="F8" i="14"/>
  <c r="V11" i="13"/>
  <c r="Z55" i="13"/>
  <c r="T55" i="13"/>
  <c r="U55" i="13" s="1"/>
  <c r="Z14" i="13"/>
  <c r="T58" i="13"/>
  <c r="T48" i="13"/>
  <c r="Z58" i="13"/>
  <c r="Q475" i="3"/>
  <c r="Q468" i="3"/>
  <c r="Q445" i="3"/>
  <c r="Q203" i="3"/>
  <c r="Q561" i="3"/>
  <c r="T125" i="13" l="1"/>
  <c r="U125" i="13" s="1"/>
  <c r="D162" i="11"/>
  <c r="E223" i="11"/>
  <c r="U123" i="13"/>
  <c r="L181" i="11"/>
  <c r="L228" i="11" s="1"/>
  <c r="E227" i="11"/>
  <c r="N228" i="11"/>
  <c r="K177" i="11"/>
  <c r="K228" i="11" s="1"/>
  <c r="E175" i="11"/>
  <c r="J228" i="11"/>
  <c r="E169" i="11"/>
  <c r="I228" i="11"/>
  <c r="J74" i="11"/>
  <c r="E38" i="11"/>
  <c r="E34" i="11"/>
  <c r="D35" i="14"/>
  <c r="F35" i="14"/>
  <c r="H122" i="13"/>
  <c r="N10" i="14"/>
  <c r="N8" i="14"/>
  <c r="U24" i="13"/>
  <c r="V24" i="13"/>
  <c r="T9" i="13"/>
  <c r="V9" i="13" s="1"/>
  <c r="Z9" i="13"/>
  <c r="T12" i="13"/>
  <c r="U12" i="13" s="1"/>
  <c r="D9" i="11"/>
  <c r="K36" i="11"/>
  <c r="E36" i="11" s="1"/>
  <c r="J10" i="14"/>
  <c r="Z23" i="13"/>
  <c r="T23" i="13"/>
  <c r="U23" i="13" s="1"/>
  <c r="E40" i="11"/>
  <c r="U26" i="13"/>
  <c r="V26" i="13"/>
  <c r="U48" i="13"/>
  <c r="V18" i="13"/>
  <c r="V31" i="13"/>
  <c r="V36" i="13"/>
  <c r="V17" i="13"/>
  <c r="V61" i="13"/>
  <c r="M64" i="11"/>
  <c r="T49" i="13"/>
  <c r="U49" i="13" s="1"/>
  <c r="V10" i="13"/>
  <c r="H14" i="13"/>
  <c r="T60" i="13"/>
  <c r="U60" i="13" s="1"/>
  <c r="V32" i="13"/>
  <c r="D59" i="11"/>
  <c r="M60" i="11" s="1"/>
  <c r="E60" i="11" s="1"/>
  <c r="T59" i="13"/>
  <c r="U59" i="13" s="1"/>
  <c r="U14" i="13"/>
  <c r="U58" i="13"/>
  <c r="H48" i="13"/>
  <c r="I30" i="11"/>
  <c r="E30" i="11" s="1"/>
  <c r="N9" i="14"/>
  <c r="V16" i="13"/>
  <c r="V35" i="13"/>
  <c r="N12" i="14"/>
  <c r="N11" i="14"/>
  <c r="D61" i="11"/>
  <c r="N62" i="11" s="1"/>
  <c r="E12" i="11"/>
  <c r="E50" i="11"/>
  <c r="H65" i="13"/>
  <c r="K32" i="11"/>
  <c r="L32" i="11"/>
  <c r="H58" i="13"/>
  <c r="E8" i="11"/>
  <c r="V55" i="13"/>
  <c r="T64" i="13"/>
  <c r="U64" i="13" s="1"/>
  <c r="Z64" i="13"/>
  <c r="E181" i="11" l="1"/>
  <c r="N23" i="14"/>
  <c r="O23" i="14" s="1"/>
  <c r="E177" i="11"/>
  <c r="H163" i="11"/>
  <c r="H228" i="11" s="1"/>
  <c r="G163" i="11"/>
  <c r="I74" i="11"/>
  <c r="E64" i="11"/>
  <c r="K74" i="11"/>
  <c r="J35" i="14"/>
  <c r="V58" i="13"/>
  <c r="V48" i="13"/>
  <c r="H10" i="11"/>
  <c r="G10" i="11"/>
  <c r="G74" i="11" s="1"/>
  <c r="V12" i="13"/>
  <c r="V23" i="13"/>
  <c r="N15" i="14"/>
  <c r="N18" i="14"/>
  <c r="V14" i="13"/>
  <c r="V59" i="13"/>
  <c r="V49" i="13"/>
  <c r="V60" i="13"/>
  <c r="T65" i="13"/>
  <c r="U65" i="13" s="1"/>
  <c r="M62" i="11"/>
  <c r="D65" i="11"/>
  <c r="J230" i="11"/>
  <c r="H64" i="13"/>
  <c r="E32" i="11"/>
  <c r="E163" i="11" l="1"/>
  <c r="G228" i="11"/>
  <c r="H74" i="11"/>
  <c r="N66" i="11"/>
  <c r="E66" i="11" s="1"/>
  <c r="E10" i="11"/>
  <c r="V64" i="13"/>
  <c r="N19" i="14"/>
  <c r="V65" i="13"/>
  <c r="E62" i="11"/>
  <c r="I230" i="11"/>
  <c r="K230" i="11"/>
  <c r="H230" i="11" l="1"/>
  <c r="G230" i="11"/>
  <c r="G75" i="11"/>
  <c r="X65" i="13"/>
  <c r="X11" i="13"/>
  <c r="W58" i="13"/>
  <c r="X58" i="13"/>
  <c r="X14" i="13"/>
  <c r="X49" i="13"/>
  <c r="X26" i="13"/>
  <c r="W48" i="13"/>
  <c r="W64" i="13"/>
  <c r="X23" i="13"/>
  <c r="W11" i="13"/>
  <c r="W14" i="13"/>
  <c r="W49" i="13"/>
  <c r="X55" i="13"/>
  <c r="X18" i="13"/>
  <c r="X36" i="13"/>
  <c r="O6" i="14"/>
  <c r="W65" i="13"/>
  <c r="W60" i="13"/>
  <c r="W55" i="13"/>
  <c r="W39" i="13"/>
  <c r="X39" i="13"/>
  <c r="W29" i="13"/>
  <c r="W9" i="13"/>
  <c r="X10" i="13"/>
  <c r="W10" i="13"/>
  <c r="X64" i="13"/>
  <c r="X48" i="13"/>
  <c r="X29" i="13"/>
  <c r="W36" i="13"/>
  <c r="X67" i="13"/>
  <c r="W16" i="13"/>
  <c r="X17" i="13"/>
  <c r="W26" i="13"/>
  <c r="X59" i="13"/>
  <c r="W23" i="13"/>
  <c r="W35" i="13"/>
  <c r="X9" i="13"/>
  <c r="X16" i="13"/>
  <c r="X60" i="13"/>
  <c r="W59" i="13"/>
  <c r="X32" i="13"/>
  <c r="W41" i="13"/>
  <c r="X40" i="13"/>
  <c r="X53" i="13"/>
  <c r="W18" i="13"/>
  <c r="W56" i="13"/>
  <c r="W40" i="13"/>
  <c r="X38" i="13"/>
  <c r="X42" i="13"/>
  <c r="W12" i="13"/>
  <c r="X61" i="13"/>
  <c r="W25" i="13"/>
  <c r="W42" i="13"/>
  <c r="X56" i="13"/>
  <c r="X33" i="13"/>
  <c r="X35" i="13"/>
  <c r="X41" i="13"/>
  <c r="W17" i="13"/>
  <c r="X52" i="13"/>
  <c r="X21" i="13"/>
  <c r="W46" i="13"/>
  <c r="X46" i="13"/>
  <c r="X31" i="13"/>
  <c r="W61" i="13"/>
  <c r="W32" i="13"/>
  <c r="W31" i="13"/>
  <c r="W38" i="13"/>
  <c r="X12" i="13"/>
  <c r="W52" i="13"/>
  <c r="X66" i="13"/>
  <c r="W27" i="13"/>
  <c r="X25" i="13"/>
  <c r="X19" i="13"/>
  <c r="X27" i="13"/>
  <c r="W53" i="13"/>
  <c r="W33" i="13"/>
  <c r="X50" i="13"/>
  <c r="W50" i="13"/>
  <c r="X20" i="13"/>
  <c r="W19" i="13"/>
  <c r="W91" i="13"/>
  <c r="W34" i="13"/>
  <c r="W20" i="13"/>
  <c r="W54" i="13"/>
  <c r="X95" i="13"/>
  <c r="W67" i="13"/>
  <c r="W66" i="13"/>
  <c r="W75" i="13"/>
  <c r="W79" i="13"/>
  <c r="W21" i="13"/>
  <c r="W95" i="13"/>
  <c r="W43" i="13"/>
  <c r="W13" i="13"/>
  <c r="W99" i="13"/>
  <c r="X22" i="13"/>
  <c r="W62" i="13"/>
  <c r="X62" i="13"/>
  <c r="W63" i="13"/>
  <c r="X83" i="13"/>
  <c r="W83" i="13"/>
  <c r="W22" i="13"/>
  <c r="W87" i="13"/>
  <c r="X79" i="13"/>
  <c r="W47" i="13"/>
  <c r="X87" i="13"/>
  <c r="W88" i="13"/>
  <c r="X99" i="13"/>
  <c r="X43" i="13"/>
  <c r="W96" i="13"/>
  <c r="X54" i="13"/>
  <c r="X92" i="13"/>
  <c r="X100" i="13"/>
  <c r="W80" i="13"/>
  <c r="X51" i="13"/>
  <c r="X76" i="13"/>
  <c r="X84" i="13"/>
  <c r="W85" i="13"/>
  <c r="W76" i="13"/>
  <c r="X80" i="13"/>
  <c r="W101" i="13"/>
  <c r="X34" i="13"/>
  <c r="X91" i="13"/>
  <c r="W84" i="13"/>
  <c r="X88" i="13"/>
  <c r="X93" i="13"/>
  <c r="W92" i="13"/>
  <c r="X47" i="13"/>
  <c r="X96" i="13"/>
  <c r="X75" i="13"/>
  <c r="W51" i="13"/>
  <c r="W100" i="13"/>
  <c r="X63" i="13"/>
  <c r="W28" i="13"/>
  <c r="W94" i="13"/>
  <c r="W74" i="13"/>
  <c r="X77" i="13"/>
  <c r="W89" i="13"/>
  <c r="X28" i="13"/>
  <c r="W57" i="13"/>
  <c r="X57" i="13"/>
  <c r="W93" i="13"/>
  <c r="X81" i="13"/>
  <c r="W78" i="13"/>
  <c r="W97" i="13"/>
  <c r="X85" i="13"/>
  <c r="W82" i="13"/>
  <c r="W69" i="13"/>
  <c r="X89" i="13"/>
  <c r="W90" i="13"/>
  <c r="W77" i="13"/>
  <c r="X97" i="13"/>
  <c r="W98" i="13"/>
  <c r="W81" i="13"/>
  <c r="X13" i="13"/>
  <c r="X101" i="13"/>
  <c r="W37" i="13"/>
  <c r="X69" i="13"/>
  <c r="W102" i="13"/>
  <c r="X70" i="13"/>
  <c r="X37" i="13"/>
  <c r="W86" i="13"/>
  <c r="X74" i="13"/>
  <c r="X78" i="13"/>
  <c r="X86" i="13"/>
  <c r="X90" i="13"/>
  <c r="X94" i="13"/>
  <c r="X98" i="13"/>
  <c r="W70" i="13"/>
  <c r="X102" i="13"/>
  <c r="X82" i="13"/>
  <c r="H75" i="11" l="1"/>
  <c r="O10" i="14"/>
  <c r="O16" i="14"/>
  <c r="O19" i="14"/>
  <c r="O18" i="14"/>
  <c r="O13" i="14"/>
  <c r="O11" i="14"/>
  <c r="O20" i="14"/>
  <c r="O9" i="14"/>
  <c r="O21" i="14"/>
  <c r="O15" i="14"/>
  <c r="Y49" i="13"/>
  <c r="O12" i="14"/>
  <c r="O17" i="14"/>
  <c r="O8" i="14"/>
  <c r="Y53" i="13"/>
  <c r="Y20" i="13"/>
  <c r="Y59" i="13"/>
  <c r="Y16" i="13"/>
  <c r="Y48" i="13"/>
  <c r="Y65" i="13"/>
  <c r="Y11" i="13"/>
  <c r="Y64" i="13"/>
  <c r="Y18" i="13"/>
  <c r="Y23" i="13"/>
  <c r="Y58" i="13"/>
  <c r="Y60" i="13"/>
  <c r="Y67" i="13"/>
  <c r="Y29" i="13"/>
  <c r="Y38" i="13"/>
  <c r="Y55" i="13"/>
  <c r="Y14" i="13"/>
  <c r="Y40" i="13"/>
  <c r="Y41" i="13"/>
  <c r="Y10" i="13"/>
  <c r="Y36" i="13"/>
  <c r="Y35" i="13"/>
  <c r="Y26" i="13"/>
  <c r="Y56" i="13"/>
  <c r="Y17" i="13"/>
  <c r="Y9" i="13"/>
  <c r="Y31" i="13"/>
  <c r="Y32" i="13"/>
  <c r="Y39" i="13"/>
  <c r="Y52" i="13"/>
  <c r="Y25" i="13"/>
  <c r="Y66" i="13"/>
  <c r="Y33" i="13"/>
  <c r="Y61" i="13"/>
  <c r="Y21" i="13"/>
  <c r="Y12" i="13"/>
  <c r="Y27" i="13"/>
  <c r="Y42" i="13"/>
  <c r="Y79" i="13"/>
  <c r="Y19" i="13"/>
  <c r="Y91" i="13"/>
  <c r="Y95" i="13"/>
  <c r="Y46" i="13"/>
  <c r="Y50" i="13"/>
  <c r="Y75" i="13"/>
  <c r="Y54" i="13"/>
  <c r="Y87" i="13"/>
  <c r="Y83" i="13"/>
  <c r="Y99" i="13"/>
  <c r="Y88" i="13"/>
  <c r="Y96" i="13"/>
  <c r="Y100" i="13"/>
  <c r="Y92" i="13"/>
  <c r="Y80" i="13"/>
  <c r="Y76" i="13"/>
  <c r="Y101" i="13"/>
  <c r="Y94" i="13"/>
  <c r="Y93" i="13"/>
  <c r="Y84" i="13"/>
  <c r="Y97" i="13"/>
  <c r="Y98" i="13"/>
  <c r="Y85" i="13"/>
  <c r="Y89" i="13"/>
  <c r="Y77" i="13"/>
  <c r="Y78" i="13"/>
  <c r="Y82" i="13"/>
  <c r="Y81" i="13"/>
  <c r="Y74" i="13"/>
  <c r="Y69" i="13"/>
  <c r="Y57" i="13"/>
  <c r="Y90" i="13"/>
  <c r="Y86" i="13"/>
  <c r="Y102" i="13"/>
  <c r="Y70" i="13"/>
  <c r="I75" i="11" l="1"/>
  <c r="O7" i="14"/>
  <c r="J75" i="11" l="1"/>
  <c r="E33" i="11"/>
  <c r="K75" i="11" l="1"/>
  <c r="G251" i="3"/>
  <c r="I251" i="3" s="1"/>
  <c r="N246" i="3" s="1"/>
  <c r="G355" i="3"/>
  <c r="I355" i="3" s="1"/>
  <c r="G350" i="3" s="1"/>
  <c r="P246" i="3" l="1"/>
  <c r="N45" i="13"/>
  <c r="O45" i="13" s="1"/>
  <c r="N350" i="3"/>
  <c r="G246" i="3"/>
  <c r="G150" i="13" s="1"/>
  <c r="H150" i="13" s="1"/>
  <c r="D188" i="11" l="1"/>
  <c r="H149" i="13"/>
  <c r="T150" i="13"/>
  <c r="G45" i="13"/>
  <c r="H45" i="13" s="1"/>
  <c r="T45" i="13" s="1"/>
  <c r="X45" i="13" s="1"/>
  <c r="Q246" i="3"/>
  <c r="R45" i="13"/>
  <c r="W45" i="13"/>
  <c r="D51" i="11"/>
  <c r="P350" i="3"/>
  <c r="Q350" i="3" s="1"/>
  <c r="O44" i="13"/>
  <c r="R44" i="13" s="1"/>
  <c r="U150" i="13" l="1"/>
  <c r="T178" i="13"/>
  <c r="N29" i="14"/>
  <c r="O29" i="14" s="1"/>
  <c r="Q189" i="11"/>
  <c r="Q228" i="11" s="1"/>
  <c r="Q230" i="11" s="1"/>
  <c r="P189" i="11"/>
  <c r="D228" i="11"/>
  <c r="R110" i="13"/>
  <c r="U45" i="13"/>
  <c r="Y45" i="13"/>
  <c r="W44" i="13"/>
  <c r="Z44" i="13"/>
  <c r="T44" i="13"/>
  <c r="H14" i="14"/>
  <c r="O52" i="11"/>
  <c r="O74" i="11" s="1"/>
  <c r="D47" i="11"/>
  <c r="D73" i="11" s="1"/>
  <c r="H44" i="13"/>
  <c r="V45" i="13"/>
  <c r="E189" i="11" l="1"/>
  <c r="E228" i="11" s="1"/>
  <c r="P228" i="11"/>
  <c r="P230" i="11" s="1"/>
  <c r="H35" i="14"/>
  <c r="X44" i="13"/>
  <c r="Y44" i="13" s="1"/>
  <c r="U44" i="13"/>
  <c r="E52" i="11"/>
  <c r="H112" i="13"/>
  <c r="H186" i="13" s="1"/>
  <c r="V44" i="13"/>
  <c r="N14" i="14"/>
  <c r="L48" i="11"/>
  <c r="L74" i="11" s="1"/>
  <c r="M48" i="11"/>
  <c r="N48" i="11"/>
  <c r="N74" i="11" l="1"/>
  <c r="M74" i="11"/>
  <c r="H114" i="13"/>
  <c r="O14" i="14"/>
  <c r="N37" i="14"/>
  <c r="O230" i="11"/>
  <c r="E48" i="11"/>
  <c r="E74" i="11" s="1"/>
  <c r="M230" i="11" l="1"/>
  <c r="N230" i="11"/>
  <c r="E73" i="11"/>
  <c r="L75" i="11"/>
  <c r="M75" i="11" l="1"/>
  <c r="C32" i="5"/>
  <c r="L230" i="11"/>
  <c r="N75" i="11" l="1"/>
  <c r="O75" i="11" l="1"/>
  <c r="P75" i="11" l="1"/>
  <c r="Q75" i="11" l="1"/>
  <c r="R75" i="11" l="1"/>
  <c r="M237" i="11" l="1"/>
  <c r="R22" i="14" l="1"/>
  <c r="R237" i="11"/>
  <c r="N237" i="11"/>
  <c r="J237" i="11"/>
  <c r="P237" i="11"/>
  <c r="G237" i="11"/>
  <c r="G238" i="11" s="1"/>
  <c r="K237" i="11"/>
  <c r="H237" i="11"/>
  <c r="L237" i="11"/>
  <c r="I237" i="11"/>
  <c r="Q237" i="11"/>
  <c r="O237" i="11"/>
  <c r="E176" i="11"/>
  <c r="H238" i="11" l="1"/>
  <c r="I238" i="11" l="1"/>
  <c r="J238" i="11"/>
  <c r="K238" i="11" l="1"/>
  <c r="L238" i="11" l="1"/>
  <c r="M238" i="11" l="1"/>
  <c r="N238" i="11" l="1"/>
  <c r="O238" i="11" l="1"/>
  <c r="P238" i="11" l="1"/>
  <c r="Q238" i="11" l="1"/>
  <c r="R238" i="11" l="1"/>
  <c r="H188" i="13"/>
  <c r="I183" i="13" s="1"/>
  <c r="H8" i="54"/>
  <c r="I17" i="54" l="1"/>
  <c r="I15" i="54"/>
  <c r="D30" i="54"/>
  <c r="I37" i="54"/>
  <c r="I14" i="54"/>
  <c r="I38" i="54"/>
  <c r="D24" i="54"/>
  <c r="H24" i="54" s="1"/>
  <c r="D27" i="54"/>
  <c r="H27" i="54" s="1"/>
  <c r="I27" i="54" s="1"/>
  <c r="D25" i="54"/>
  <c r="H25" i="54" s="1"/>
  <c r="I25" i="54" s="1"/>
  <c r="I41" i="54"/>
  <c r="I40" i="54" s="1"/>
  <c r="D26" i="54"/>
  <c r="H26" i="54" s="1"/>
  <c r="I26" i="54" s="1"/>
  <c r="D28" i="54"/>
  <c r="H28" i="54" s="1"/>
  <c r="I28" i="54" s="1"/>
  <c r="H43" i="54"/>
  <c r="I16" i="54"/>
  <c r="I21" i="54"/>
  <c r="I20" i="54" s="1"/>
  <c r="I36" i="54" l="1"/>
  <c r="D31" i="54"/>
  <c r="H30" i="54"/>
  <c r="I30" i="54" s="1"/>
  <c r="I24" i="54"/>
  <c r="I13" i="54"/>
  <c r="H31" i="54" l="1"/>
  <c r="I31" i="54" s="1"/>
  <c r="D32" i="54"/>
  <c r="D33" i="54" l="1"/>
  <c r="H32" i="54"/>
  <c r="D34" i="54" l="1"/>
  <c r="H34" i="54" s="1"/>
  <c r="I34" i="54" s="1"/>
  <c r="H33" i="54"/>
  <c r="I33" i="54" s="1"/>
  <c r="H23" i="54"/>
  <c r="I32" i="54"/>
  <c r="I23" i="54" l="1"/>
  <c r="I11" i="54" s="1"/>
  <c r="H46" i="54"/>
  <c r="D229" i="11" l="1"/>
  <c r="I46" i="54"/>
  <c r="G115" i="13"/>
  <c r="D44" i="14"/>
  <c r="E21" i="14" s="1"/>
  <c r="H229" i="11" l="1"/>
  <c r="H231" i="11" s="1"/>
  <c r="O229" i="11"/>
  <c r="O231" i="11" s="1"/>
  <c r="M229" i="11"/>
  <c r="M231" i="11" s="1"/>
  <c r="L229" i="11"/>
  <c r="L231" i="11" s="1"/>
  <c r="I229" i="11"/>
  <c r="I231" i="11" s="1"/>
  <c r="J229" i="11"/>
  <c r="J231" i="11" s="1"/>
  <c r="N229" i="11"/>
  <c r="N231" i="11" s="1"/>
  <c r="K229" i="11"/>
  <c r="K231" i="11" s="1"/>
  <c r="G229" i="11"/>
  <c r="G231" i="11" s="1"/>
  <c r="G232" i="11" s="1"/>
  <c r="P229" i="11"/>
  <c r="P231" i="11" s="1"/>
  <c r="R229" i="11"/>
  <c r="R231" i="11" s="1"/>
  <c r="Q229" i="11"/>
  <c r="Q231" i="11" s="1"/>
  <c r="C33" i="5"/>
  <c r="C34" i="5" s="1"/>
  <c r="C35" i="5" s="1"/>
  <c r="C39" i="5" s="1"/>
  <c r="G181" i="13"/>
  <c r="H181" i="13" s="1"/>
  <c r="D43" i="14"/>
  <c r="G116" i="13"/>
  <c r="N152" i="11"/>
  <c r="I74" i="13"/>
  <c r="Q21" i="14" s="1"/>
  <c r="I113" i="13"/>
  <c r="R152" i="11"/>
  <c r="O152" i="11"/>
  <c r="Q152" i="11"/>
  <c r="M152" i="11"/>
  <c r="P152" i="11"/>
  <c r="H115" i="13"/>
  <c r="D234" i="11"/>
  <c r="H232" i="11" l="1"/>
  <c r="I232" i="11" s="1"/>
  <c r="J232" i="11" s="1"/>
  <c r="C42" i="5"/>
  <c r="C40" i="5"/>
  <c r="C41" i="5"/>
  <c r="O38" i="14"/>
  <c r="G19" i="14"/>
  <c r="E31" i="14"/>
  <c r="I28" i="14"/>
  <c r="K23" i="14"/>
  <c r="G23" i="14"/>
  <c r="E23" i="14"/>
  <c r="E16" i="14"/>
  <c r="E17" i="14"/>
  <c r="I29" i="14"/>
  <c r="E20" i="14"/>
  <c r="G21" i="14"/>
  <c r="K10" i="14"/>
  <c r="E8" i="14"/>
  <c r="E11" i="14"/>
  <c r="G9" i="14"/>
  <c r="I18" i="14"/>
  <c r="E18" i="14"/>
  <c r="K28" i="14"/>
  <c r="G31" i="14"/>
  <c r="K17" i="14"/>
  <c r="G25" i="14"/>
  <c r="I17" i="14"/>
  <c r="G29" i="14"/>
  <c r="I15" i="14"/>
  <c r="I30" i="14"/>
  <c r="G12" i="14"/>
  <c r="K8" i="14"/>
  <c r="G14" i="14"/>
  <c r="I8" i="14"/>
  <c r="G33" i="14"/>
  <c r="G32" i="14"/>
  <c r="K24" i="14"/>
  <c r="G27" i="14"/>
  <c r="E33" i="14"/>
  <c r="E15" i="14"/>
  <c r="G30" i="14"/>
  <c r="K33" i="14"/>
  <c r="G15" i="14"/>
  <c r="K26" i="14"/>
  <c r="I24" i="14"/>
  <c r="E24" i="14"/>
  <c r="K32" i="14"/>
  <c r="K31" i="14"/>
  <c r="I10" i="14"/>
  <c r="I16" i="14"/>
  <c r="K29" i="14"/>
  <c r="K19" i="14"/>
  <c r="K13" i="14"/>
  <c r="I11" i="14"/>
  <c r="G17" i="14"/>
  <c r="I19" i="14"/>
  <c r="K15" i="14"/>
  <c r="I33" i="14"/>
  <c r="K27" i="14"/>
  <c r="I32" i="14"/>
  <c r="I9" i="14"/>
  <c r="E32" i="14"/>
  <c r="E26" i="14"/>
  <c r="K11" i="14"/>
  <c r="E13" i="14"/>
  <c r="I21" i="14"/>
  <c r="K9" i="14"/>
  <c r="I27" i="14"/>
  <c r="I12" i="14"/>
  <c r="I25" i="14"/>
  <c r="K20" i="14"/>
  <c r="G24" i="14"/>
  <c r="K12" i="14"/>
  <c r="K14" i="14"/>
  <c r="G10" i="14"/>
  <c r="I20" i="14"/>
  <c r="G20" i="14"/>
  <c r="K16" i="14"/>
  <c r="I26" i="14"/>
  <c r="E12" i="14"/>
  <c r="G18" i="14"/>
  <c r="E25" i="14"/>
  <c r="E10" i="14"/>
  <c r="E30" i="14"/>
  <c r="E9" i="14"/>
  <c r="E19" i="14"/>
  <c r="I23" i="14"/>
  <c r="G8" i="14"/>
  <c r="I13" i="14"/>
  <c r="G13" i="14"/>
  <c r="K25" i="14"/>
  <c r="G16" i="14"/>
  <c r="I14" i="14"/>
  <c r="I31" i="14"/>
  <c r="G11" i="14"/>
  <c r="E28" i="14"/>
  <c r="E29" i="14"/>
  <c r="E14" i="14"/>
  <c r="K30" i="14"/>
  <c r="K21" i="14"/>
  <c r="G26" i="14"/>
  <c r="K18" i="14"/>
  <c r="E27" i="14"/>
  <c r="G28" i="14"/>
  <c r="I38" i="13"/>
  <c r="Q13" i="14" s="1"/>
  <c r="I133" i="13"/>
  <c r="Q26" i="14" s="1"/>
  <c r="I172" i="13"/>
  <c r="Q33" i="14" s="1"/>
  <c r="M76" i="11"/>
  <c r="M233" i="11" s="1"/>
  <c r="I122" i="13"/>
  <c r="I69" i="13"/>
  <c r="Q20" i="14" s="1"/>
  <c r="I163" i="13"/>
  <c r="Q32" i="14" s="1"/>
  <c r="I110" i="13"/>
  <c r="I48" i="13"/>
  <c r="Q15" i="14" s="1"/>
  <c r="I127" i="13"/>
  <c r="Q24" i="14" s="1"/>
  <c r="L76" i="11"/>
  <c r="L233" i="11" s="1"/>
  <c r="Q76" i="11"/>
  <c r="Q233" i="11" s="1"/>
  <c r="I16" i="13"/>
  <c r="Q9" i="14" s="1"/>
  <c r="K76" i="11"/>
  <c r="K233" i="11" s="1"/>
  <c r="I64" i="13"/>
  <c r="Q19" i="14" s="1"/>
  <c r="N76" i="11"/>
  <c r="N233" i="11" s="1"/>
  <c r="H116" i="13"/>
  <c r="I44" i="13"/>
  <c r="Q14" i="14" s="1"/>
  <c r="I55" i="13"/>
  <c r="Q17" i="14" s="1"/>
  <c r="I58" i="13"/>
  <c r="Q18" i="14" s="1"/>
  <c r="P76" i="11"/>
  <c r="P233" i="11" s="1"/>
  <c r="I142" i="13"/>
  <c r="Q27" i="14" s="1"/>
  <c r="G76" i="11"/>
  <c r="G233" i="11" s="1"/>
  <c r="G242" i="11" s="1"/>
  <c r="I156" i="13"/>
  <c r="Q31" i="14" s="1"/>
  <c r="I9" i="13"/>
  <c r="I112" i="13"/>
  <c r="J76" i="11"/>
  <c r="J233" i="11" s="1"/>
  <c r="I76" i="11"/>
  <c r="I233" i="11" s="1"/>
  <c r="I29" i="13"/>
  <c r="Q11" i="14" s="1"/>
  <c r="I23" i="13"/>
  <c r="Q10" i="14" s="1"/>
  <c r="H76" i="11"/>
  <c r="H233" i="11" s="1"/>
  <c r="O76" i="11"/>
  <c r="O233" i="11" s="1"/>
  <c r="I145" i="13"/>
  <c r="Q28" i="14" s="1"/>
  <c r="I149" i="13"/>
  <c r="Q29" i="14" s="1"/>
  <c r="I130" i="13"/>
  <c r="Q25" i="14" s="1"/>
  <c r="I153" i="13"/>
  <c r="Q30" i="14" s="1"/>
  <c r="R76" i="11"/>
  <c r="R233" i="11" s="1"/>
  <c r="I35" i="13"/>
  <c r="Q12" i="14" s="1"/>
  <c r="I52" i="13"/>
  <c r="Q16" i="14" s="1"/>
  <c r="I180" i="13"/>
  <c r="R234" i="11"/>
  <c r="Q234" i="11"/>
  <c r="P234" i="11"/>
  <c r="O234" i="11"/>
  <c r="N234" i="11"/>
  <c r="M234" i="11"/>
  <c r="I242" i="11" l="1"/>
  <c r="H242" i="11"/>
  <c r="L20" i="14"/>
  <c r="L21" i="14"/>
  <c r="L11" i="14"/>
  <c r="L23" i="14"/>
  <c r="P23" i="14" s="1"/>
  <c r="L16" i="14"/>
  <c r="L18" i="14"/>
  <c r="L24" i="14"/>
  <c r="L13" i="14"/>
  <c r="H117" i="13"/>
  <c r="H119" i="13" s="1"/>
  <c r="H189" i="13"/>
  <c r="H192" i="13" s="1"/>
  <c r="L8" i="14"/>
  <c r="E35" i="14"/>
  <c r="Q23" i="14"/>
  <c r="I178" i="13"/>
  <c r="Q8" i="14"/>
  <c r="I114" i="13"/>
  <c r="L32" i="14"/>
  <c r="L26" i="14"/>
  <c r="L12" i="14"/>
  <c r="L25" i="14"/>
  <c r="L10" i="14"/>
  <c r="L30" i="14"/>
  <c r="L9" i="14"/>
  <c r="L19" i="14"/>
  <c r="G35" i="14"/>
  <c r="L28" i="14"/>
  <c r="L29" i="14"/>
  <c r="L14" i="14"/>
  <c r="L27" i="14"/>
  <c r="C43" i="5"/>
  <c r="C44" i="5" s="1"/>
  <c r="L31" i="14"/>
  <c r="L17" i="14"/>
  <c r="K35" i="14"/>
  <c r="I35" i="14"/>
  <c r="L33" i="14"/>
  <c r="L15" i="14"/>
  <c r="I191" i="13"/>
  <c r="K232" i="11"/>
  <c r="J242" i="11"/>
  <c r="R23" i="14" l="1"/>
  <c r="R20" i="14"/>
  <c r="P20" i="14"/>
  <c r="R18" i="14"/>
  <c r="P18" i="14"/>
  <c r="R21" i="14"/>
  <c r="P21" i="14"/>
  <c r="R11" i="14"/>
  <c r="P11" i="14"/>
  <c r="P16" i="14"/>
  <c r="R16" i="14"/>
  <c r="R24" i="14"/>
  <c r="P24" i="14"/>
  <c r="R13" i="14"/>
  <c r="P13" i="14"/>
  <c r="L35" i="14"/>
  <c r="F39" i="14" s="1"/>
  <c r="H42" i="14" s="1"/>
  <c r="R8" i="14"/>
  <c r="P8" i="14"/>
  <c r="R32" i="14"/>
  <c r="P32" i="14"/>
  <c r="P26" i="14"/>
  <c r="R26" i="14"/>
  <c r="P12" i="14"/>
  <c r="R12" i="14"/>
  <c r="R25" i="14"/>
  <c r="P25" i="14"/>
  <c r="R10" i="14"/>
  <c r="P10" i="14"/>
  <c r="P30" i="14"/>
  <c r="R30" i="14"/>
  <c r="P9" i="14"/>
  <c r="R9" i="14"/>
  <c r="R19" i="14"/>
  <c r="P19" i="14"/>
  <c r="P28" i="14"/>
  <c r="R28" i="14"/>
  <c r="R29" i="14"/>
  <c r="P29" i="14"/>
  <c r="R14" i="14"/>
  <c r="P14" i="14"/>
  <c r="P27" i="14"/>
  <c r="R27" i="14"/>
  <c r="P31" i="14"/>
  <c r="R31" i="14"/>
  <c r="R17" i="14"/>
  <c r="P17" i="14"/>
  <c r="R33" i="14"/>
  <c r="P33" i="14"/>
  <c r="P15" i="14"/>
  <c r="R15" i="14"/>
  <c r="Q35" i="14"/>
  <c r="K242" i="11"/>
  <c r="L232" i="11"/>
  <c r="L242" i="11" l="1"/>
  <c r="M232" i="11"/>
  <c r="N232" i="11" l="1"/>
  <c r="M242" i="11"/>
  <c r="O232" i="11" l="1"/>
  <c r="N242" i="11"/>
  <c r="O242" i="11" l="1"/>
  <c r="P232" i="11"/>
  <c r="P242" i="11" l="1"/>
  <c r="Q232" i="11"/>
  <c r="Q242" i="11" l="1"/>
  <c r="R232" i="11"/>
  <c r="R242" i="11" s="1"/>
  <c r="D122" i="11" l="1"/>
  <c r="C122" i="11"/>
  <c r="D50" i="11"/>
  <c r="C50" i="11"/>
  <c r="D138" i="11"/>
  <c r="C138" i="11"/>
  <c r="D221" i="11"/>
  <c r="C221" i="11"/>
  <c r="C191" i="11"/>
  <c r="D191" i="11"/>
  <c r="D187" i="11"/>
  <c r="C187" i="11"/>
  <c r="C88" i="11"/>
  <c r="D88" i="11"/>
  <c r="D207" i="11"/>
  <c r="C207" i="11"/>
  <c r="D177" i="11"/>
  <c r="C177" i="11"/>
  <c r="D165" i="11"/>
  <c r="C165" i="11"/>
  <c r="C128" i="11"/>
  <c r="D128" i="11"/>
  <c r="D100" i="11"/>
  <c r="C100" i="11"/>
  <c r="C70" i="11"/>
  <c r="D70" i="11"/>
  <c r="C58" i="11"/>
  <c r="D58" i="11"/>
  <c r="C199" i="11"/>
  <c r="D199" i="11"/>
  <c r="C185" i="11"/>
  <c r="D185" i="11"/>
  <c r="D18" i="11"/>
  <c r="C18" i="11"/>
  <c r="D163" i="11"/>
  <c r="C163" i="11"/>
  <c r="D144" i="11"/>
  <c r="C144" i="11"/>
  <c r="D219" i="11"/>
  <c r="C219" i="11"/>
  <c r="D161" i="11"/>
  <c r="C161" i="11"/>
  <c r="C136" i="11"/>
  <c r="D136" i="11"/>
  <c r="C104" i="11"/>
  <c r="D104" i="11"/>
  <c r="C159" i="11"/>
  <c r="D159" i="11"/>
  <c r="C46" i="11"/>
  <c r="D46" i="11"/>
  <c r="C201" i="11"/>
  <c r="D201" i="11"/>
  <c r="D36" i="11"/>
  <c r="C36" i="11"/>
  <c r="C32" i="11"/>
  <c r="D32" i="11"/>
  <c r="C38" i="11"/>
  <c r="D38" i="11"/>
  <c r="C195" i="11"/>
  <c r="D195" i="11"/>
  <c r="C20" i="11"/>
  <c r="D20" i="11"/>
  <c r="C40" i="11"/>
  <c r="D40" i="11"/>
  <c r="C146" i="11"/>
  <c r="D146" i="11"/>
  <c r="D225" i="11"/>
  <c r="C225" i="11"/>
  <c r="D26" i="11"/>
  <c r="C26" i="11"/>
  <c r="D213" i="11"/>
  <c r="C213" i="11"/>
  <c r="D48" i="11"/>
  <c r="C48" i="11"/>
  <c r="C68" i="11"/>
  <c r="D68" i="11"/>
  <c r="D12" i="11"/>
  <c r="C12" i="11"/>
  <c r="D34" i="11"/>
  <c r="C34" i="11"/>
  <c r="C64" i="11"/>
  <c r="D64" i="11"/>
  <c r="D28" i="11"/>
  <c r="C28" i="11"/>
  <c r="D124" i="11"/>
  <c r="C124" i="11"/>
  <c r="D96" i="11"/>
  <c r="C96" i="11"/>
  <c r="D72" i="11"/>
  <c r="C72" i="11"/>
  <c r="D140" i="11"/>
  <c r="C140" i="11"/>
  <c r="C108" i="11"/>
  <c r="D108" i="11"/>
  <c r="C90" i="11"/>
  <c r="D90" i="11"/>
  <c r="D183" i="11"/>
  <c r="C183" i="11"/>
  <c r="C203" i="11"/>
  <c r="D203" i="11"/>
  <c r="C189" i="11"/>
  <c r="D189" i="11"/>
  <c r="C86" i="11"/>
  <c r="D86" i="11"/>
  <c r="D16" i="11"/>
  <c r="C16" i="11"/>
  <c r="C181" i="11"/>
  <c r="D181" i="11"/>
  <c r="D14" i="11"/>
  <c r="C14" i="11"/>
  <c r="C6" i="11"/>
  <c r="D6" i="11"/>
  <c r="D74" i="11"/>
  <c r="D211" i="11"/>
  <c r="C211" i="11"/>
  <c r="C98" i="11"/>
  <c r="D98" i="11"/>
  <c r="C92" i="11"/>
  <c r="D92" i="11"/>
  <c r="C8" i="11"/>
  <c r="D8" i="11"/>
  <c r="D173" i="11"/>
  <c r="C173" i="11"/>
  <c r="C94" i="11"/>
  <c r="D94" i="11"/>
  <c r="D66" i="11"/>
  <c r="C66" i="11"/>
  <c r="C44" i="11"/>
  <c r="D44" i="11"/>
  <c r="C114" i="11"/>
  <c r="D114" i="11"/>
  <c r="C148" i="11"/>
  <c r="D148" i="11"/>
  <c r="C106" i="11"/>
  <c r="D106" i="11"/>
  <c r="C56" i="11"/>
  <c r="D56" i="11"/>
  <c r="C134" i="11"/>
  <c r="D134" i="11"/>
  <c r="D142" i="11"/>
  <c r="C142" i="11"/>
  <c r="C62" i="11"/>
  <c r="D62" i="11"/>
  <c r="D227" i="11"/>
  <c r="C227" i="11"/>
  <c r="C30" i="11"/>
  <c r="D30" i="11"/>
  <c r="D60" i="11"/>
  <c r="C60" i="11"/>
  <c r="D84" i="11"/>
  <c r="C84" i="11"/>
  <c r="C223" i="11"/>
  <c r="D223" i="11"/>
  <c r="D175" i="11"/>
  <c r="C175" i="11"/>
  <c r="C10" i="11"/>
  <c r="D10" i="11"/>
  <c r="C118" i="11"/>
  <c r="D118" i="11"/>
  <c r="C82" i="11"/>
  <c r="D82" i="11"/>
  <c r="D205" i="11"/>
  <c r="C205" i="11"/>
  <c r="D167" i="11"/>
  <c r="C167" i="11"/>
  <c r="D132" i="11"/>
  <c r="C132" i="11"/>
  <c r="D52" i="11"/>
  <c r="C52" i="11"/>
  <c r="C22" i="11"/>
  <c r="D22" i="11"/>
  <c r="D130" i="11"/>
  <c r="C130" i="11"/>
  <c r="D209" i="11"/>
  <c r="C209" i="11"/>
  <c r="D120" i="11"/>
  <c r="C120" i="11"/>
  <c r="C197" i="11"/>
  <c r="D197" i="11"/>
  <c r="D116" i="11"/>
  <c r="C116" i="11"/>
  <c r="C112" i="11"/>
  <c r="D112" i="11"/>
  <c r="C80" i="11"/>
  <c r="D80" i="11"/>
  <c r="D217" i="11"/>
  <c r="C217" i="11"/>
  <c r="D169" i="11"/>
  <c r="C169" i="11"/>
  <c r="D171" i="11"/>
  <c r="C171" i="11"/>
  <c r="D215" i="11"/>
  <c r="C215" i="11"/>
  <c r="D179" i="11"/>
  <c r="C179" i="11"/>
  <c r="D193" i="11"/>
  <c r="C193" i="11"/>
  <c r="C54" i="11"/>
  <c r="D54" i="11"/>
  <c r="D126" i="11"/>
  <c r="C126" i="11"/>
  <c r="C110" i="11"/>
  <c r="D110" i="11"/>
  <c r="C102" i="11"/>
  <c r="D102" i="11"/>
  <c r="C24" i="11"/>
  <c r="D24" i="11"/>
  <c r="D42" i="11"/>
  <c r="C42" i="11"/>
</calcChain>
</file>

<file path=xl/comments1.xml><?xml version="1.0" encoding="utf-8"?>
<comments xmlns="http://schemas.openxmlformats.org/spreadsheetml/2006/main">
  <authors>
    <author>Autor</author>
  </authors>
  <commentList>
    <comment ref="B26" authorId="0">
      <text>
        <r>
          <rPr>
            <b/>
            <sz val="9"/>
            <color indexed="81"/>
            <rFont val="Tahoma"/>
            <family val="2"/>
          </rPr>
          <t>Autor:</t>
        </r>
        <r>
          <rPr>
            <sz val="9"/>
            <color indexed="81"/>
            <rFont val="Tahoma"/>
            <family val="2"/>
          </rPr>
          <t xml:space="preserve">
Depende del valor de los impuestos en cada entidad territorial</t>
        </r>
      </text>
    </comment>
    <comment ref="B27" authorId="0">
      <text>
        <r>
          <rPr>
            <b/>
            <sz val="9"/>
            <color indexed="81"/>
            <rFont val="Tahoma"/>
            <family val="2"/>
          </rPr>
          <t>Autor:</t>
        </r>
        <r>
          <rPr>
            <sz val="9"/>
            <color indexed="81"/>
            <rFont val="Tahoma"/>
            <family val="2"/>
          </rPr>
          <t xml:space="preserve">
Depende del valor de los impuestos en cada entidad territorial</t>
        </r>
      </text>
    </comment>
    <comment ref="B28" authorId="0">
      <text>
        <r>
          <rPr>
            <b/>
            <sz val="9"/>
            <color indexed="81"/>
            <rFont val="Tahoma"/>
            <family val="2"/>
          </rPr>
          <t>Autor:</t>
        </r>
        <r>
          <rPr>
            <sz val="9"/>
            <color indexed="81"/>
            <rFont val="Tahoma"/>
            <family val="2"/>
          </rPr>
          <t xml:space="preserve">
Depende del valor de los impuestos en cada entidad territorial</t>
        </r>
      </text>
    </comment>
    <comment ref="B29" authorId="0">
      <text>
        <r>
          <rPr>
            <b/>
            <sz val="9"/>
            <color indexed="81"/>
            <rFont val="Tahoma"/>
            <family val="2"/>
          </rPr>
          <t>Autor:</t>
        </r>
        <r>
          <rPr>
            <sz val="9"/>
            <color indexed="81"/>
            <rFont val="Tahoma"/>
            <family val="2"/>
          </rPr>
          <t xml:space="preserve">
Depende del valor de los impuestos en cada entidad territorial</t>
        </r>
      </text>
    </comment>
  </commentList>
</comments>
</file>

<file path=xl/sharedStrings.xml><?xml version="1.0" encoding="utf-8"?>
<sst xmlns="http://schemas.openxmlformats.org/spreadsheetml/2006/main" count="19752" uniqueCount="5323">
  <si>
    <t>ALTO</t>
  </si>
  <si>
    <t>LONGITUD</t>
  </si>
  <si>
    <t>CANTIDAD</t>
  </si>
  <si>
    <t>VOLUMEN</t>
  </si>
  <si>
    <t>m2</t>
  </si>
  <si>
    <t>I03</t>
  </si>
  <si>
    <t>M03</t>
  </si>
  <si>
    <t>I26</t>
  </si>
  <si>
    <t>TIPO</t>
  </si>
  <si>
    <t>DESCRIPCIÓN</t>
  </si>
  <si>
    <t>ITEM</t>
  </si>
  <si>
    <t>UNIDAD</t>
  </si>
  <si>
    <t xml:space="preserve">VALOR UNITARIO </t>
  </si>
  <si>
    <t>RENDIMIENTO/DESPERDICIOS/USOS</t>
  </si>
  <si>
    <t>VALOR PARCIAL</t>
  </si>
  <si>
    <t>M.O</t>
  </si>
  <si>
    <t>M04</t>
  </si>
  <si>
    <t>M05</t>
  </si>
  <si>
    <t>ACARREO INTERNO</t>
  </si>
  <si>
    <t>Días del año</t>
  </si>
  <si>
    <t>Riesgo Alto</t>
  </si>
  <si>
    <t>Riesgo Bajo</t>
  </si>
  <si>
    <t>Datos Básicos</t>
  </si>
  <si>
    <t>Número días trabajados</t>
  </si>
  <si>
    <t>Salario Básico</t>
  </si>
  <si>
    <t>1-2 SMMLV</t>
  </si>
  <si>
    <t>&gt;2 SMMLV</t>
  </si>
  <si>
    <t>Prestaciones Sociales</t>
  </si>
  <si>
    <t>Subsidio de Transporte</t>
  </si>
  <si>
    <t>Cesantías</t>
  </si>
  <si>
    <t>Intereses cesantías</t>
  </si>
  <si>
    <t>Prima</t>
  </si>
  <si>
    <t>Vacaciones</t>
  </si>
  <si>
    <t>Dotaciones</t>
  </si>
  <si>
    <t>Servicio Medico Primer Mes</t>
  </si>
  <si>
    <t>Examenes medicos</t>
  </si>
  <si>
    <t>Examenes de ingreso y egreso</t>
  </si>
  <si>
    <t>Certificados para trabajos</t>
  </si>
  <si>
    <t>Certificado en trabajo de alturas</t>
  </si>
  <si>
    <t>Salud. Pension y ARP</t>
  </si>
  <si>
    <t>Salud</t>
  </si>
  <si>
    <t>Pensión</t>
  </si>
  <si>
    <t>ARL</t>
  </si>
  <si>
    <t>SENA</t>
  </si>
  <si>
    <t>ICBF</t>
  </si>
  <si>
    <t>Parafiscales</t>
  </si>
  <si>
    <t>FIC</t>
  </si>
  <si>
    <t>Caja de compensacion</t>
  </si>
  <si>
    <t>TOTAL</t>
  </si>
  <si>
    <t>ANALISIS INGRESO BASE DE COTIIZACION - IBC 
(Solo aplica para contratistas personas naturales)</t>
  </si>
  <si>
    <t>Descripcion</t>
  </si>
  <si>
    <t>Valor</t>
  </si>
  <si>
    <t>Costo directo del contrato</t>
  </si>
  <si>
    <t>AIU en porcentaje</t>
  </si>
  <si>
    <t>AIU en pesos</t>
  </si>
  <si>
    <t>Costo total del contrato antes de iva</t>
  </si>
  <si>
    <t>Plazo (meses)</t>
  </si>
  <si>
    <t>Valor del salario minimo</t>
  </si>
  <si>
    <t>Valor del IBC según el Decreto 510 de 2003 (smmlv&lt;=IBC&lt;=25 smmlv)</t>
  </si>
  <si>
    <t>IBC</t>
  </si>
  <si>
    <t>Valor total de aportes mensual</t>
  </si>
  <si>
    <t>Valor total de aporte durante el  contrato</t>
  </si>
  <si>
    <r>
      <rPr>
        <b/>
        <sz val="10"/>
        <rFont val="Arial"/>
        <family val="2"/>
      </rPr>
      <t>Nota:</t>
    </r>
    <r>
      <rPr>
        <sz val="10"/>
        <rFont val="Arial"/>
        <family val="2"/>
      </rPr>
      <t xml:space="preserve"> La ARL la debe pagar la entidad contratante al contratista de acuerdo a lo estipulado en la ley 723 de 2013 y el art 2 de la ley 1562 de 2012.</t>
    </r>
  </si>
  <si>
    <t>ANALISIS DE MANO DE OBRA</t>
  </si>
  <si>
    <t>Mano de Obra AA - Albañileria</t>
  </si>
  <si>
    <t>Trabajador</t>
  </si>
  <si>
    <t>Valor Base 
Mes</t>
  </si>
  <si>
    <t>Valor Base 
Dia</t>
  </si>
  <si>
    <t>Valor Base Hora</t>
  </si>
  <si>
    <t>Factor 
Prestacional</t>
  </si>
  <si>
    <t>Valor Total
Hora</t>
  </si>
  <si>
    <t>Oficial</t>
  </si>
  <si>
    <t>Ayudante</t>
  </si>
  <si>
    <t>Cuadrilla 1 Oficial + 1 Ayudante</t>
  </si>
  <si>
    <t>Mano de Obra BB - Instalaciones</t>
  </si>
  <si>
    <t>Mano de Obra CC - Pintura</t>
  </si>
  <si>
    <t>Mano de Obra DD - Carpinteria</t>
  </si>
  <si>
    <t>Mano de Obra EE - Muros Secos</t>
  </si>
  <si>
    <t>Mano de Obra FF - Instalaciones Electricas Internas</t>
  </si>
  <si>
    <t>Mano de Obra GG - Instalaciones Alumbrado Publico</t>
  </si>
  <si>
    <t>CODIGO</t>
  </si>
  <si>
    <t>PERSONAL O CUADRILLA</t>
  </si>
  <si>
    <t>VALOR TOTAL</t>
  </si>
  <si>
    <t>VALOR BASE</t>
  </si>
  <si>
    <t>FACTOR 
PRESTACIONAL</t>
  </si>
  <si>
    <t>ANALISIS
CALCULO</t>
  </si>
  <si>
    <t>FECHA DE 
ACTUALIZACION</t>
  </si>
  <si>
    <t>I65</t>
  </si>
  <si>
    <t>OFICIAL AA (Albañileria)</t>
  </si>
  <si>
    <t>hr</t>
  </si>
  <si>
    <t>VER ANALISIS MANO DE OBRA</t>
  </si>
  <si>
    <t>I66</t>
  </si>
  <si>
    <t>OFICIAL BB (Instalaciones)</t>
  </si>
  <si>
    <t>I67</t>
  </si>
  <si>
    <t>OFICIAL CC (Pintura)</t>
  </si>
  <si>
    <t>I68</t>
  </si>
  <si>
    <t>OFICIAL DD (Carpinteria)</t>
  </si>
  <si>
    <t>I69</t>
  </si>
  <si>
    <t>OFICIAL EE (Dry Wall)</t>
  </si>
  <si>
    <t>I70</t>
  </si>
  <si>
    <t>OFICIAL FF (Electricas)</t>
  </si>
  <si>
    <t>I71</t>
  </si>
  <si>
    <t>OFICIAL GG (Alumbrado Publico)</t>
  </si>
  <si>
    <t>I72</t>
  </si>
  <si>
    <t>AYUDANTE AA (Albañileria)</t>
  </si>
  <si>
    <t>I73</t>
  </si>
  <si>
    <t>AYUDANTE BB (Instalaciones)</t>
  </si>
  <si>
    <t>I74</t>
  </si>
  <si>
    <t>AYUDANTE CC (Pintura)</t>
  </si>
  <si>
    <t>I75</t>
  </si>
  <si>
    <t>AYUDANTE DD (Carpinteria)</t>
  </si>
  <si>
    <t>I76</t>
  </si>
  <si>
    <t>AYUDANTE EE (Dry Wall)</t>
  </si>
  <si>
    <t>I77</t>
  </si>
  <si>
    <t>AYUDANTE FF (Electricas)</t>
  </si>
  <si>
    <t>I78</t>
  </si>
  <si>
    <t>AYUDANTE GG (Alumbrado Publico)</t>
  </si>
  <si>
    <t>I79</t>
  </si>
  <si>
    <t>REGULADOR DE TRANSITO</t>
  </si>
  <si>
    <t>CUADRILLA AA TIPO 1 (1 OFICIAL + 1 AYUDANTE) (Albañileria)</t>
  </si>
  <si>
    <t>I04</t>
  </si>
  <si>
    <t>CUADRILLA BB TIPO 1 (1 OFICIAL + 1 AYUDANTE) (Instalaciones)</t>
  </si>
  <si>
    <t>I05</t>
  </si>
  <si>
    <t>CUADRILLA CC TIPO 1 (1 OFICIAL + 1 AYUDANTE) (Pintura)</t>
  </si>
  <si>
    <t>I06</t>
  </si>
  <si>
    <t>CUADRILLA DD TIPO 1 (1 OFICIAL + 1 AYUDANTE) (Carpinteria)</t>
  </si>
  <si>
    <t>I07</t>
  </si>
  <si>
    <t>CUADRILLA EE TIPO 1 (1 OFICIAL + 1 AYUDANTE) (Dry Wall)</t>
  </si>
  <si>
    <t>I08</t>
  </si>
  <si>
    <t>CUADRILLA FF TIPO 1 (1 OFICIAL + 1 AYUDANTE) (Electricas)</t>
  </si>
  <si>
    <t>I19</t>
  </si>
  <si>
    <t>CUADRILLA GG TIPO 1 (1 OFICIAL + 1 AYUDANTE) (Alumbrado Publico)</t>
  </si>
  <si>
    <t>I30</t>
  </si>
  <si>
    <t>CUADRILLA AA TIPO 2 (1 OFICIAL + 2 AYUDANTE) (Albañileria)</t>
  </si>
  <si>
    <t>I31</t>
  </si>
  <si>
    <t>CUADRILLA BB TIPO 2 (1 OFICIAL + 2 AYUDANTE) (Instalaciones)</t>
  </si>
  <si>
    <t>I32</t>
  </si>
  <si>
    <t>CUADRILLA CC TIPO 2 (1 OFICIAL + 2 AYUDANTE) (Pintura)</t>
  </si>
  <si>
    <t>I33</t>
  </si>
  <si>
    <t>CUADRILLA DD TIPO 2 (1 OFICIAL + 2 AYUDANTE) (Carpinteria)</t>
  </si>
  <si>
    <t>I34</t>
  </si>
  <si>
    <t>CUADRILLA EE TIPO 2 (1 OFICIAL + 2 AYUDANTE) (Dry Wall)</t>
  </si>
  <si>
    <t>I35</t>
  </si>
  <si>
    <t>CUADRILLA FF TIPO 2 (1 OFICIAL + 2 AYUDANTE) (Electricas)</t>
  </si>
  <si>
    <t>I36</t>
  </si>
  <si>
    <t>CUADRILLA GG TIPO 2 (1 OFICIAL + 2 AYUDANTE) (Alumbrado Publico)</t>
  </si>
  <si>
    <t>I37</t>
  </si>
  <si>
    <t>CUADRILLA AA TIPO 3 (1 OFICIAL + 3 AYUDANTE) (Albañileria)</t>
  </si>
  <si>
    <t>I38</t>
  </si>
  <si>
    <t>CUADRILLA BB TIPO 3 (1 OFICIAL + 3 AYUDANTE) (Instalaciones)</t>
  </si>
  <si>
    <t>I39</t>
  </si>
  <si>
    <t>CUADRILLA CC TIPO 3 (1 OFICIAL + 3 AYUDANTE) (Pintura)</t>
  </si>
  <si>
    <t>I40</t>
  </si>
  <si>
    <t>CUADRILLA DD TIPO 3 (1 OFICIAL + 3 AYUDANTE) (Carpinteria)</t>
  </si>
  <si>
    <t>I41</t>
  </si>
  <si>
    <t>CUADRILLA EE TIPO 3 (1 OFICIAL + 3 AYUDANTE) (Dry Wall)</t>
  </si>
  <si>
    <t>I42</t>
  </si>
  <si>
    <t>CUADRILLA FF TIPO 3 (1 OFICIAL + 3 AYUDANTE) (Electricas)</t>
  </si>
  <si>
    <t>I43</t>
  </si>
  <si>
    <t>CUADRILLA GG TIPO 3 (1 OFICIAL + 3 AYUDANTE) (Alumbrado Publico)</t>
  </si>
  <si>
    <t>I44</t>
  </si>
  <si>
    <t>CUADRILLA AA TIPO 4 (1 OFICIAL + 4 AYUDANTE) (Albañileria)</t>
  </si>
  <si>
    <t>I45</t>
  </si>
  <si>
    <t>CUADRILLA BB TIPO 4 (1 OFICIAL + 4 AYUDANTE) (Instalaciones)</t>
  </si>
  <si>
    <t>I46</t>
  </si>
  <si>
    <t>CUADRILLA CC TIPO 4 (1 OFICIAL + 4 AYUDANTE) (Pintura)</t>
  </si>
  <si>
    <t>I47</t>
  </si>
  <si>
    <t>CUADRILLA DD TIPO 4 (1 OFICIAL + 4 AYUDANTE) (Carpinteria)</t>
  </si>
  <si>
    <t>I48</t>
  </si>
  <si>
    <t>CUADRILLA EE TIPO 4 (1 OFICIAL + 4 AYUDANTE) (Dry Wall)</t>
  </si>
  <si>
    <t>I49</t>
  </si>
  <si>
    <t>CUADRILLA FF TIPO 4 (1 OFICIAL + 4 AYUDANTE) (Electricas)</t>
  </si>
  <si>
    <t>I50</t>
  </si>
  <si>
    <t>CUADRILLA GG TIPO 4 (1 OFICIAL + 4 AYUDANTE) (Alumbrado Publico)</t>
  </si>
  <si>
    <t>I51</t>
  </si>
  <si>
    <t>CUADRILLA AA TIPO 5 (1 OFICIAL + 5 AYUDANTE) (Albañileria)</t>
  </si>
  <si>
    <t>I52</t>
  </si>
  <si>
    <t>CUADRILLA BB TIPO 5 (1 OFICIAL + 5 AYUDANTE) (Instalaciones)</t>
  </si>
  <si>
    <t>I53</t>
  </si>
  <si>
    <t>CUADRILLA CC TIPO 5 (1 OFICIAL + 5 AYUDANTE) (Pintura)</t>
  </si>
  <si>
    <t>I54</t>
  </si>
  <si>
    <t>CUADRILLA DD TIPO 5 (1 OFICIAL + 5 AYUDANTE) (Carpinteria)</t>
  </si>
  <si>
    <t>I55</t>
  </si>
  <si>
    <t>CUADRILLA EE TIPO 5 (1 OFICIAL + 5 AYUDANTE) (Dry Wall)</t>
  </si>
  <si>
    <t>I56</t>
  </si>
  <si>
    <t>CUADRILLA FF TIPO 5 (1 OFICIAL + 5 AYUDANTE) (Electricas)</t>
  </si>
  <si>
    <t>I57</t>
  </si>
  <si>
    <t>CUADRILLA GG TIPO 5 (1 OFICIAL + 5 AYUDANTE) (Alumbrado Publico)</t>
  </si>
  <si>
    <t>I58</t>
  </si>
  <si>
    <t>CUADRILLA AA TIPO 6 (1 OFICIAL + 6 AYUDANTE) (Albañileria)</t>
  </si>
  <si>
    <t>I59</t>
  </si>
  <si>
    <t>CUADRILLA BB TIPO 6 (1 OFICIAL + 6 AYUDANTE) (Instalaciones)</t>
  </si>
  <si>
    <t>I60</t>
  </si>
  <si>
    <t>CUADRILLA CC TIPO 6 (1 OFICIAL + 6 AYUDANTE) (Pintura)</t>
  </si>
  <si>
    <t>I61</t>
  </si>
  <si>
    <t>CUADRILLA DD TIPO 6 (1 OFICIAL + 6 AYUDANTE) (Carpinteria)</t>
  </si>
  <si>
    <t>I62</t>
  </si>
  <si>
    <t>CUADRILLA EE TIPO 6 (1 OFICIAL + 6 AYUDANTE) (Dry Wall)</t>
  </si>
  <si>
    <t>I63</t>
  </si>
  <si>
    <t>CUADRILLA FF TIPO 6 (1 OFICIAL + 6 AYUDANTE) (Electricas)</t>
  </si>
  <si>
    <t>I64</t>
  </si>
  <si>
    <t>CUADRILLA GG TIPO 6 (1 OFICIAL + 6 AYUDANTE) (Alumbrado Publico)</t>
  </si>
  <si>
    <t>DIA</t>
  </si>
  <si>
    <t>%M.O</t>
  </si>
  <si>
    <t>TRANS.</t>
  </si>
  <si>
    <t>EQU.</t>
  </si>
  <si>
    <t>EMPRESAS</t>
  </si>
  <si>
    <t>CODIGO
INSUMO</t>
  </si>
  <si>
    <t>INSUMO, EQUIPO O HERRAMIENTA</t>
  </si>
  <si>
    <t>UNIIDAD</t>
  </si>
  <si>
    <t>VR.
IVA INCLUIDO</t>
  </si>
  <si>
    <t>VR. 
ANTES DE IVA</t>
  </si>
  <si>
    <t>IMPUESTO IVA</t>
  </si>
  <si>
    <t>ALCALDIA</t>
  </si>
  <si>
    <t>AGUAS</t>
  </si>
  <si>
    <t>INVAMA</t>
  </si>
  <si>
    <t>CAJA VIVIENDA</t>
  </si>
  <si>
    <t>FICHA
TECNICA</t>
  </si>
  <si>
    <t>ANALISIS CALCULOS</t>
  </si>
  <si>
    <t>FECHA ACTUALIZACION</t>
  </si>
  <si>
    <t>ID CRYSTAL</t>
  </si>
  <si>
    <t>A</t>
  </si>
  <si>
    <t>ACERO DE REFUERZO</t>
  </si>
  <si>
    <t>ACTUAL</t>
  </si>
  <si>
    <t>A10</t>
  </si>
  <si>
    <t>ACERO 37.000 PSI</t>
  </si>
  <si>
    <t>Insumo</t>
  </si>
  <si>
    <t>kg</t>
  </si>
  <si>
    <t>X</t>
  </si>
  <si>
    <t>aceros,mallas,tubo estructural, y catalogo de producto 2012 acesco</t>
  </si>
  <si>
    <t>ALM PARIS ENRO 2016</t>
  </si>
  <si>
    <t>A01</t>
  </si>
  <si>
    <t>ACERO 60.000 PSI</t>
  </si>
  <si>
    <t>A11</t>
  </si>
  <si>
    <t>ALAMBRE NEGRO NO. 18</t>
  </si>
  <si>
    <t>A02</t>
  </si>
  <si>
    <t xml:space="preserve">GRAFIL 5.5 MM </t>
  </si>
  <si>
    <t>A04</t>
  </si>
  <si>
    <t>MALLA ELECTROSOLDADA H-084  R-2.1  4 MM  15 X 25 CM.</t>
  </si>
  <si>
    <t>A05</t>
  </si>
  <si>
    <t>MALLA ELECTROSOLDADA M-084  Q-2  4 MM  15 X 15 CM.</t>
  </si>
  <si>
    <t>A03</t>
  </si>
  <si>
    <t>MALLA ELECTROSOLDADA M-106  Q-3  4.5 MM 15 X 15 CM.</t>
  </si>
  <si>
    <t>A14</t>
  </si>
  <si>
    <t>MALLA ELECTROSOLDADA M-131  Q-3.1  5.0 MM 15 X 15 CM.</t>
  </si>
  <si>
    <t>A06</t>
  </si>
  <si>
    <t xml:space="preserve">MALLA ELECTROSOLDADA M-159  Q-4  5.5 MM 15 X 15 CM. </t>
  </si>
  <si>
    <t>A07</t>
  </si>
  <si>
    <t>MALLA ELECTROSOLDADA M-188. Q-5  6.0MM  15 X 15CM.</t>
  </si>
  <si>
    <t>A08</t>
  </si>
  <si>
    <t>MALLA ELECTROSOLDADA M-221  Q-6  6.5 MM  15 X 15 CM.</t>
  </si>
  <si>
    <t>A63</t>
  </si>
  <si>
    <t>MALLA ELECTROSOLDADA M-257  Φ 7,0MM C/.15M EN AMBOS SENTIDOS</t>
  </si>
  <si>
    <t>A09</t>
  </si>
  <si>
    <t xml:space="preserve">VARILLA LISA 5/8" </t>
  </si>
  <si>
    <t>m</t>
  </si>
  <si>
    <t>A09A</t>
  </si>
  <si>
    <t xml:space="preserve">VARILLA LISA 3/8" </t>
  </si>
  <si>
    <t>A09B</t>
  </si>
  <si>
    <t xml:space="preserve">VARILLA LISA 1/2" </t>
  </si>
  <si>
    <t>A15</t>
  </si>
  <si>
    <t xml:space="preserve">CONECTORES EN LAMINA </t>
  </si>
  <si>
    <t>und</t>
  </si>
  <si>
    <t>A16</t>
  </si>
  <si>
    <t>BARRAS CORRUGADAS W60X6M D: 1/4"</t>
  </si>
  <si>
    <t>A17</t>
  </si>
  <si>
    <t>BARRAS CORRUGADAS W60X6M D: 8.5 MM</t>
  </si>
  <si>
    <t>A18</t>
  </si>
  <si>
    <t>BARRAS CORRUGADAS W60X6M D: 9MM</t>
  </si>
  <si>
    <t>A19</t>
  </si>
  <si>
    <t>BARRAS CORRUGADAS W60X6M D: 3/8"</t>
  </si>
  <si>
    <t>A55</t>
  </si>
  <si>
    <t>GANCHO DE AGARRE DE 5/8" DE FY 420 MPA</t>
  </si>
  <si>
    <t>A56</t>
  </si>
  <si>
    <t>ESCALONES EN 3/8 DE FY 420 MPA</t>
  </si>
  <si>
    <t>A57</t>
  </si>
  <si>
    <t>MARCO REJA DE VARILLA 1" A.R/ ANGULO/PLATINA</t>
  </si>
  <si>
    <t>A58</t>
  </si>
  <si>
    <t>ARO-TAPA HD DE 0,60 M SELLO ELASTICO- LLAVE-ANTIRUIDO</t>
  </si>
  <si>
    <t>Anexo especificaciones tecnicas aguas</t>
  </si>
  <si>
    <t>A59</t>
  </si>
  <si>
    <t>ARO-TAPA HD DE 0,58 M SELLO ELASTICO- LLAVE-ANTIRUIDO</t>
  </si>
  <si>
    <t>A60</t>
  </si>
  <si>
    <t>TAPA D 0.58 M EN POLIPROPILENO RECICLADO Y ARO EN HF</t>
  </si>
  <si>
    <t>A61</t>
  </si>
  <si>
    <t>HIERRO LISO (DOVELAS)</t>
  </si>
  <si>
    <t>aceros,mallas,tubo estructural</t>
  </si>
  <si>
    <t>A62</t>
  </si>
  <si>
    <t>ANCLAJES 1/2" X 8" (INCLUYE PERFORACIÓN Y ADHESIVO EPÓXICO)</t>
  </si>
  <si>
    <t>Manual de producto sika</t>
  </si>
  <si>
    <t>A64</t>
  </si>
  <si>
    <t>CABLE 1/2" x 3 - ALTA RESISTENCIA</t>
  </si>
  <si>
    <t>ml</t>
  </si>
  <si>
    <t>cable de acero, toron</t>
  </si>
  <si>
    <t>A65</t>
  </si>
  <si>
    <t>ALAMBRE DE PUA X 350 MTS CL 12</t>
  </si>
  <si>
    <t>rollo</t>
  </si>
  <si>
    <t>B</t>
  </si>
  <si>
    <t>AGREGADOS, BASES Y SUB BASES</t>
  </si>
  <si>
    <t>B01</t>
  </si>
  <si>
    <t xml:space="preserve">ARENA DE PEÑA </t>
  </si>
  <si>
    <t>m3</t>
  </si>
  <si>
    <t>no aplica</t>
  </si>
  <si>
    <t>B06</t>
  </si>
  <si>
    <t>ARENA LAVADA DE RIO</t>
  </si>
  <si>
    <t>B00</t>
  </si>
  <si>
    <t>ARENA GRUESA</t>
  </si>
  <si>
    <t>B02</t>
  </si>
  <si>
    <t>GRAVILLA COMUN DE RIO</t>
  </si>
  <si>
    <t>B07</t>
  </si>
  <si>
    <t>GRAVILLA FINA 1/2"</t>
  </si>
  <si>
    <t>B09</t>
  </si>
  <si>
    <t>MATERIAL SELECCIONADO DE 4"</t>
  </si>
  <si>
    <t>B03</t>
  </si>
  <si>
    <t>PIEDRA MEDIA ZONGA</t>
  </si>
  <si>
    <t>B16</t>
  </si>
  <si>
    <t>PIEDRA DE MANO</t>
  </si>
  <si>
    <t>B05</t>
  </si>
  <si>
    <t>BASE GRANULAR B-200 NORMA INVIAS</t>
  </si>
  <si>
    <t>B04</t>
  </si>
  <si>
    <t>BASE GRANULAR B-400 NORMA INVIAS</t>
  </si>
  <si>
    <t>B08</t>
  </si>
  <si>
    <t>BASE GRANULAR B-600 NORMA INVIAS</t>
  </si>
  <si>
    <t>B12</t>
  </si>
  <si>
    <t>BASE GRANULAR BG-1  NORMA INVIAS</t>
  </si>
  <si>
    <t>B11</t>
  </si>
  <si>
    <t>SUB BASE GRANULAR SBG-1 NORMA INVIAS</t>
  </si>
  <si>
    <t>B10</t>
  </si>
  <si>
    <t>SUB BASE GRANULAR SBG-4 NORMA INVIAS</t>
  </si>
  <si>
    <t>B13</t>
  </si>
  <si>
    <t>AGUA M3</t>
  </si>
  <si>
    <t>B14</t>
  </si>
  <si>
    <t>MATERIAL COMÚN DE CANTERA DE PRÉSTAMO EN SITIO DE TRANSPORTE/INSTALACIÓN EN OBRA</t>
  </si>
  <si>
    <t>B15</t>
  </si>
  <si>
    <t>MATERIAL DE PRESTAMO CARGADO Y PUESTO EN OBRA</t>
  </si>
  <si>
    <t>B18</t>
  </si>
  <si>
    <t>PIEDRA FILTRO</t>
  </si>
  <si>
    <t>B19</t>
  </si>
  <si>
    <t>AGUA LITRO</t>
  </si>
  <si>
    <t>lt</t>
  </si>
  <si>
    <t>B20</t>
  </si>
  <si>
    <t>AFIRMADO NORMA INVIAS</t>
  </si>
  <si>
    <t>B21</t>
  </si>
  <si>
    <t>ARENA LIMPIA SIN SOBRETAMAÑOS</t>
  </si>
  <si>
    <t>B22</t>
  </si>
  <si>
    <t>SUCIO DE RIO PARA AFIRMADOS</t>
  </si>
  <si>
    <t>C</t>
  </si>
  <si>
    <t>APARATOS SANITARIOS, GRIFERIAS Y ACCESORIOS</t>
  </si>
  <si>
    <t>C15</t>
  </si>
  <si>
    <t>ACCESORIOS DE CONEXION POR ENCIMA PARA SANITARIO TIPO INSTITUCIONAL ELONGADO TIPO TOTO REF. TCDS O SIMILAR</t>
  </si>
  <si>
    <t>Catalogo baño 2013, y catalogo linea institucional.</t>
  </si>
  <si>
    <t>C15A</t>
  </si>
  <si>
    <t>ACCESORIOS DE CONEXION POSTERIOR PARA SANITARIOS MARCA A&amp;A Y MANCESA</t>
  </si>
  <si>
    <t>accesorio de baño</t>
  </si>
  <si>
    <t>C01</t>
  </si>
  <si>
    <t>ACCESORIOS PARA CONECTAR VÁLVULA ORINAL MEDIANO TIPO DOCOL REF. 4 AA TCDO1 O SIMILAR</t>
  </si>
  <si>
    <t>combos de baño</t>
  </si>
  <si>
    <t>C30</t>
  </si>
  <si>
    <t>BOTON ANTIVANDALICO CON PALANCA PARA MINUSVALIDO METÁLICO CROMADO PARA ACCIONAR VÁLVULA DE DESCARGA TIPO DOCOL REF. 4 AA 0184906 O SIMILAR.</t>
  </si>
  <si>
    <t>Catalogo baño 2013</t>
  </si>
  <si>
    <t>C03</t>
  </si>
  <si>
    <t>BOTON ANTIVANDALICO METÁLICO CROMADO PARA ACCIONAR VÁLVULA DE DESCARGA TIPO DOCOL REF. 4 AA 01505006 O SIMILAR.</t>
  </si>
  <si>
    <t>C24</t>
  </si>
  <si>
    <t>CEPILLERO EN PORCELANA TIPO ELITE DE CORONA REF. 06150100-1 O SIMILAR.</t>
  </si>
  <si>
    <t>C16</t>
  </si>
  <si>
    <t>CEPILLERO EN PORCELANA TIPO ESPACIO DE CORONA REF. 04250100-1 O SIMILAR.</t>
  </si>
  <si>
    <t>C39</t>
  </si>
  <si>
    <t>COMBO TIPO ACUACER COLOR BLANCO REF. 92639100K DE CORONA O SIMILAR (INCLUYE SANITARIO ACUACER CON TAPA Y TANQUE, LAVAMANOS DE COLGAR ACUACER CON SIFÓN BOTELLA Y DESAGUE SENCILLO, GRIFERÍA PISCIS, GRAPAS).</t>
  </si>
  <si>
    <t>C40</t>
  </si>
  <si>
    <t>COMBO TIPO AVANTI COLOR BLANCO REF. 30336100K DE CORONA O SIMILAR (INCLUYE SANITARIO AVANTI CON TAPA Y TANQUE, LAVAMANOS DE PEDESTAL AVANTI).</t>
  </si>
  <si>
    <t>C04</t>
  </si>
  <si>
    <t>CONJUNTO GRIFERIA LAVAMANOS CROMADA 8" GALAXIA TIPO GRIVAL  O SIMILAR ( MEZCLADOR CIERRE COMPRESIÓN, DESAGUE AUTOMATICO, SIFÓN BOTELLA, GRAPAS 2 UND.</t>
  </si>
  <si>
    <t>griferia 2013,  catalogo baño 2013</t>
  </si>
  <si>
    <t>C04A</t>
  </si>
  <si>
    <t>GRIFERÍA LAVAMANOS ANTIVANDÁLICO CON PISO EXPUESTO REF:701310001 CORONA O SIMILAR</t>
  </si>
  <si>
    <t>C41</t>
  </si>
  <si>
    <t>CONJUNTO GRIFERIA LAVAMANOS PRYSMA 4" CROMO TIPO GRIVAL REF. 54130 O SIMILAR (INCLUYE DESAGUE, SIFÓN BOTELLA Y GRAPAS).</t>
  </si>
  <si>
    <t>griferia 2013,  catalogo baño 2013, accesorios baño</t>
  </si>
  <si>
    <t>C27</t>
  </si>
  <si>
    <t>CONJUNTO SANITARIO TIPO ACUACER COLOR BLANCO REF. 30038100-1 DE CORONA O SIMILAR (INCLUYE SANITARIO, TAPA, TANQUE, GRIFERIA, ACCESORIOS DE CONEXIÓN E INSTALACIÓN.)</t>
  </si>
  <si>
    <t>C29</t>
  </si>
  <si>
    <t>CONJUNTO SANITARIO TIPO MONTECARLO ELONGADO COLOR BLANCO REF. 02641100-1 DE CORONA O SIMILAR (INCLUYE SANITARIO ONE PIECE, TAPA, GRIFERIA, ACCESORIOS DE CONEXIÓN E INSTALACIÓN.)</t>
  </si>
  <si>
    <t>C29A</t>
  </si>
  <si>
    <t>SANITARIO TIPO ERIE  DE COLGAR BAJO CONSUMO TIPO PUSH ANTIVANDÁLICO COLOR BLANCO, COLGADO AL MURO CON SIFÓN OCULTO CORONA O SIMILAR, CORONA O SIMILAR</t>
  </si>
  <si>
    <t>C28</t>
  </si>
  <si>
    <t>CONJUNTO SANITARIO TIPO MONTECARLO REDONDO COLOR BLANCO REF. 02618100-1 DE CORONA O SIMILAR (INCLUYE SANITARIO ONE PIECE, TAPA, GRIFERIA, ACCESORIOS DE CONEXIÓN E INSTALACIÓN.)</t>
  </si>
  <si>
    <t>C05</t>
  </si>
  <si>
    <t>DUCHA MEZCLADORA CROMADA 8" TIPO GALAXIA DE GRIVAL SIN SALIDA BAÑERA REF. 50400001 O SIMILAR (INCLUYE UNIVERSAL, MEZCLADOR Y REGADERA)</t>
  </si>
  <si>
    <t>Catalogo baño 2013, griferia 2013</t>
  </si>
  <si>
    <t>C05A</t>
  </si>
  <si>
    <t>DUCHA ANTIVANDÁLICA CON REGADERA TUBULAR REF: 754000001 CORONA O SIMILAR</t>
  </si>
  <si>
    <t>C42</t>
  </si>
  <si>
    <t>DUCHA SENCILLA GALAXIA REF. 50430001 TIPO GRIVAL O SIMILAR. (INCLUYE UNIVERSAL Y REGADERA)</t>
  </si>
  <si>
    <t>C23</t>
  </si>
  <si>
    <t>GANCHOS  EN PORCELANA TIPO ELITE REF. 06170100-1 DE CORONA O SIMILAR. (JUEGO DE 2 UND)</t>
  </si>
  <si>
    <t>juego</t>
  </si>
  <si>
    <t>C06</t>
  </si>
  <si>
    <t>GANCHOS  EN PORCELANA TIPO ESPACIO REF. 04270100-1 DE CORONA O SIMILAR. (JUEGO DE 2 UND)</t>
  </si>
  <si>
    <t>C26</t>
  </si>
  <si>
    <t>JABONERA DUCHA EN PORCELANA TIPO ELITE REF. 06110100-1 DE CORONA O SIMILAR.</t>
  </si>
  <si>
    <t>C20</t>
  </si>
  <si>
    <t>JABONERA DUCHA EN PORCELANA TIPO ESPACIO REF. 04210100-1 DE CORONA O SIMILAR.</t>
  </si>
  <si>
    <t>C22</t>
  </si>
  <si>
    <t>JABONERA LAVAMANOS EN PORCELANA TIPO ELITE REF. 06130100-1 DE CORONA O SIMILAR.</t>
  </si>
  <si>
    <t>C07</t>
  </si>
  <si>
    <t>JABONERA LAVAMANOS EN PORCELANA TIPO ESPACIO REF. 04230100-1 DE CORONA O SIMILAR.</t>
  </si>
  <si>
    <t>C18</t>
  </si>
  <si>
    <t>JUEGO INCRUSTACIONES X 6 UND TIPO ELITE PORCELANA DE CORONA REF.06610100-1 O SIMILAR (PAPELERA, JABONERA LAVAMANOS, 2 GANCHOS, CEPILLERA, JABONERA DUCHA Y TOALLERO).</t>
  </si>
  <si>
    <t>C18A</t>
  </si>
  <si>
    <t>JUEGO INCRUSTACIONES X 4 UND TIPO PORCELANA DE CORONA-1 O SIMILAR (JABONERA LAVAMANOS, 2 GANCHOS, CEPILLERA, JABONERA DUCHA Y TOALLERO).</t>
  </si>
  <si>
    <t>C17</t>
  </si>
  <si>
    <t>JUEGO INCRUSTACIONES X 6 UND TIPO ESPACIO PORCELANA DE CORONA REF.04400100-1 O SIMILAR (PAPELERA, JABONERA LAVAMANOS, 2 GANCHOS, CEPILLERA, JABONERA DUCHA Y TOALLERO).</t>
  </si>
  <si>
    <t>C38</t>
  </si>
  <si>
    <t>KIT GRIFERIA LAVAPLATOS SENCILLO GALAXIA CROMO REF. 50960 GRIVAL O SIMILAR (INCLUYE SIFON EN P, CANASTILLA 4" Y GRIVALFLEX)</t>
  </si>
  <si>
    <t>catalogo lavaplatos</t>
  </si>
  <si>
    <t>C12</t>
  </si>
  <si>
    <t>LAVAMANOS SOBREPONER LINEA MARSELLA COLOR BLANCO DE CORONA REF. .13011000 O SIMILAR.</t>
  </si>
  <si>
    <t>catalogo de baño</t>
  </si>
  <si>
    <t>C33</t>
  </si>
  <si>
    <t>LAVAMANOS SOBREPONER LINEA STILO COLOR BLANCO DE CORONA REF. 072591001 O SIMILAR.</t>
  </si>
  <si>
    <t>C33A</t>
  </si>
  <si>
    <t>LAVAMANOS NOVARA DE SOBREPONER (INCLUYE ACCESORIOS) TIPO CORONA  O SIMILAR.</t>
  </si>
  <si>
    <t>C37</t>
  </si>
  <si>
    <t>LAVAPLATOS DE EMPOTRAR DOBLE EN ACERO INOXIDABLE - TIPO SOCODA O SIMILAR - DIMENSIONES 81 X 51 CM.</t>
  </si>
  <si>
    <t>C36</t>
  </si>
  <si>
    <t>LAVAPLATOS DE EMPOTRAR EN ACERO INOXIDABLE - TIPO SOCODA O SIMILAR - DIMENSIONES 45 X 49 CM.</t>
  </si>
  <si>
    <t>C02</t>
  </si>
  <si>
    <t>MUEBLE ABIERTO PARA TAZA INSTITUCIONAL ELONGADA TIPO TOTO COLOR BLANCO REF. 5 AA SC534 O SIMILAR.</t>
  </si>
  <si>
    <t>Catalogo linea institucional</t>
  </si>
  <si>
    <t>C02A</t>
  </si>
  <si>
    <t>C13</t>
  </si>
  <si>
    <t xml:space="preserve">ORINAL MEDIANO DE COLGAR CON DESCARGA Y SIFÓN EN PORCELANA COLOR BLANCO LINEA POLO IMPORTADO TIPO ACCESORIOS Y ACABADOS REF. 27 AA 590101 O SIMILAR. </t>
  </si>
  <si>
    <t>C32</t>
  </si>
  <si>
    <t xml:space="preserve">ORINAL MEDIANO DE COLGAR LÍNEA SANTA FÉ EN PORCELANA COLOR BLANCO TIPO CORONA REF. 00401100-1 O SIMILAR. </t>
  </si>
  <si>
    <t>C13A</t>
  </si>
  <si>
    <t xml:space="preserve">ORINAL TIPO GOTTA BAJO CONSUMO 0,5 LPF SIFON OCULTO TIPO + GRIFERIA TIPO PUSH ANTIVANDALICA,  CORONA O SIMILAR </t>
  </si>
  <si>
    <t>C21</t>
  </si>
  <si>
    <t>PAPELERA EN PORCELANA TIPO ELITE REF. 06140100-1 DE CORONA O SIMILAR.</t>
  </si>
  <si>
    <t>C08</t>
  </si>
  <si>
    <t>PAPELERA EN PORCELANA TIPO ESPACIO REF. 04240100-1 TIPO CORONA O SIMILAR.</t>
  </si>
  <si>
    <t>C34</t>
  </si>
  <si>
    <t>SANITARIO PARA DISCAPACITADO ELONGADO SIN ASIENTO COLOR BLANCO DE CONEXIÓN POR ENCIMA LINEA ADRIATICA DE CORONA REF. 21 AA 1318 O SIMILAR.</t>
  </si>
  <si>
    <t>C14</t>
  </si>
  <si>
    <t>SANITARIO TIPO INSTITUCIONAL BAJO CONSUMO 1.6 LITROS POR DESCARGA, COLOR BLANCO PARA CONEXIÓN POR DETRÁS, NO INCLUYE MUEBLE  MANCESA REF 21-AA-41</t>
  </si>
  <si>
    <t>Catalogo linea institucional y catalogo de baño</t>
  </si>
  <si>
    <t>C35</t>
  </si>
  <si>
    <t>SECADOR ELECTRICO PARA MANOS LIBRES EN ACERO INOXIDABLE 304 SATINADO TIPO ACCESORIOS &amp; ACABADOS REF. 1 AA 1318 O SIMILAR.</t>
  </si>
  <si>
    <t>secadores electricos</t>
  </si>
  <si>
    <t>C09</t>
  </si>
  <si>
    <t>SIFON P PARA ORINAL SANTA FÉ TIPO GRIVAL REF.. 93301 O SIMILAR</t>
  </si>
  <si>
    <t>sifon para orinal sanfafe</t>
  </si>
  <si>
    <t>C25</t>
  </si>
  <si>
    <t>TOALLERO EN PORCELANA TIPO ELITE REF. 09190100-1 DE CORONA O SIMILAR.</t>
  </si>
  <si>
    <t>C19</t>
  </si>
  <si>
    <t>TOALLERO EN PORCELANA TIPO ESPACIO REF. 04290100-1 DE CORONA O SIMILAR.</t>
  </si>
  <si>
    <t>C10</t>
  </si>
  <si>
    <t>VALVULA ANTIVANDALICA  PARA ORINAL TIPO DOCOL REF. 4 AA 17015106 O SIMILAR.</t>
  </si>
  <si>
    <t>C11</t>
  </si>
  <si>
    <t>VALVULA ANTIVANDALICA PARA SANITARIO ALTA PRESION TIPO DOCOL REF. 4 AA 01051300 O SIMILAR.</t>
  </si>
  <si>
    <t>C31</t>
  </si>
  <si>
    <t>VALVULA ANTIVANDALICA PARA SANITARIO BAJA PRESION TIPO DOCOL REF. 4 AA 01021500 O SIMILAR.</t>
  </si>
  <si>
    <t>C43</t>
  </si>
  <si>
    <t>DISPENSADOR PARA JABON LIQUIDO MARCA A&amp;A CUERPO EN ACERO INOXIDABLE CAPACIDAD 1.2 LITROS. REF 8-AA-600</t>
  </si>
  <si>
    <t>dispensador de jabon corona</t>
  </si>
  <si>
    <t>C44</t>
  </si>
  <si>
    <t>DISPENSADOR PARA JABON LIQUIDO PARA INSTALAR EN MESON PICO EN ACERO INOXIDABLE TIPO 304 DE 6* DE LARGO GIRATORIO, TANQUE Y VASTAGO EN ABS DE INGENIERIA, CAP. 1 LITRO, MARCA BOBRICK REF. 3AA-8226</t>
  </si>
  <si>
    <t>C45</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</si>
  <si>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</si>
  <si>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C46</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</si>
  <si>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</si>
  <si>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C47</t>
  </si>
  <si>
    <t xml:space="preserve">PROTECTOR PARA PAPEL HIGIENICO DE SOBREPONER EN LA PARED EN ACERO INOXIDABLE 304 SATINADO, PARA ROLLO DE 200/400 MTS CERRADURA CON LLAVE, IMPORTADO MARCA A&amp;A. </t>
  </si>
  <si>
    <t>dispensador de papel higienico</t>
  </si>
  <si>
    <t>C48</t>
  </si>
  <si>
    <t>BARRA DE SEGURIDAD DE PARED A PISO EN ACERO INOXIDABLE SATINADO CON TORNILLOS ESCONDIDOS PARA INSTALAR DERECHA A IZQUIERDA MARCA A &amp;A REF. 8-AA-506</t>
  </si>
  <si>
    <t>C49</t>
  </si>
  <si>
    <t>BARRA DE SEGURIDAD EN ACERO INOXIDABLE SATINADO CON TORNILLOS ESCONDIDOS PARA INSTALAR EN SANITARIO SIN TANQUE MARCA A&amp;A REF 8-AA-808</t>
  </si>
  <si>
    <t>C50</t>
  </si>
  <si>
    <t>PERCHA SENCILLA EN ACERO INOXIDABLE MARCA A&amp;A REF 8-AA210B</t>
  </si>
  <si>
    <t>C51</t>
  </si>
  <si>
    <t>PERCHA SENCILLA EN ACERO INOXIDABLE MARCA A&amp;A REF 8-AA211B</t>
  </si>
  <si>
    <t>C52</t>
  </si>
  <si>
    <t>LAVAMANOS SOBREPONER LINEA MANANTIAL DUO Color blanco Tipo Corona o similar (Incluye sifon botella, desague sencillo y accesorios de conexión e instalacion)</t>
  </si>
  <si>
    <t>C53</t>
  </si>
  <si>
    <t>SANITARIO LINEA INFANTIL COMPLETO CON FLUITMASTER Y VALVULA DE REGULACION SANITARIA</t>
  </si>
  <si>
    <t>C54</t>
  </si>
  <si>
    <t>FLUITMASTER  PARA SANITARIO</t>
  </si>
  <si>
    <t>C55</t>
  </si>
  <si>
    <t>LAVAPLATOS SOCODA 80*51 DOBLE POCETA,MEZCLADOR PISCIS DE LAVAPLATOS,KIT DE CANASTILLA Y SIFÓN</t>
  </si>
  <si>
    <t>C56</t>
  </si>
  <si>
    <t>LAVAPLATOS SOCODA 60*40,MEZCLADOR PISCIS DE LAVAPLATOS,KIT CANASTILLA Y SIFÓN</t>
  </si>
  <si>
    <t>C57</t>
  </si>
  <si>
    <t>LAVAPLATOS SOCODA 1.00*51,MEZCLADOR PISCIS DE LAVAPALTOS,KIT DE CANASTILLA Y SIFÓN</t>
  </si>
  <si>
    <t>D</t>
  </si>
  <si>
    <t>CARPINTERA EN ALUMINIO</t>
  </si>
  <si>
    <t>D23</t>
  </si>
  <si>
    <t>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t>
  </si>
  <si>
    <t>D22</t>
  </si>
  <si>
    <t>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t>
  </si>
  <si>
    <t>D20</t>
  </si>
  <si>
    <t>PUERTA DOBLE EN VIDRIO TEMPLADO 10 MM CON ZOCALO EN ALUMINIO DE PIVOTE Y PELICULA TIPO SANT BLASTING, CON CERRADURAS Y MANIJAS. INCLUYE EL SUMINISTRO DE TODOS LOS ACCESORIOS REQUERIDOS PARA EL CORRECTO MONTAJE. SEGUN DETALLE.</t>
  </si>
  <si>
    <t>D16</t>
  </si>
  <si>
    <t>PUERTA DOBLE EN VIDRIO TEMPLADO 10 MM CON ZOCALO EN ALUMINIO DE PIVOTE, CON CERRADURAS Y MANIJAS. INCLUYE EL SUMINISTRO DE TODOS LOS ACCESORIOS REQUERIDOS PARA EL CORRECTO MONTAJE. SEGUN DETALLE</t>
  </si>
  <si>
    <t>D21</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</si>
  <si>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</si>
  <si>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D17</t>
  </si>
  <si>
    <t>PUERTA DOBLE VIDRIO TEMPLADO 10 MM CON ZOCALO EN ALUMINIO CON BISAGRAS DE PISO NEUMATICAS, CON CERRADURAS Y MANIJAS. INCLUYE EL SUMINISTRO DE TODOS LOS ACCESORIOS REQUERIDOS PARA EL CORRECTO MONTAJE. SEGUN DETALLE. (SUMINISTRO E INSTALACIÓN).</t>
  </si>
  <si>
    <t>D01</t>
  </si>
  <si>
    <t>PUERTA DUCHA ACRILICO (INCLUYE MARCO EN ALUMINIO ANODIZADO, PASADOR Y TOALLERO) A TODO COSTO</t>
  </si>
  <si>
    <t>D19</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</si>
  <si>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</si>
  <si>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D15</t>
  </si>
  <si>
    <t>PUERTA EN VIDRIO TEMPLADO 10 MM CON ZOCALO EN ALUMINIO CON BISAGRAS DE PISO NEUMATICAS, CON CERRADURA Y MANIJA (HOJA SENCILLA). INCLUYE EL SUMINISTRO DE TODOS LOS ACCESORIOS REQUERIDOS PARA EL CORRECTO MONTAJE. SEGUN DETALLE. (SUMINISTRO E INSTALACIÓN).</t>
  </si>
  <si>
    <t>D18</t>
  </si>
  <si>
    <t>PUERTA EN VIDRIO TEMPLADO 10 MM CON ZOCALO EN ALUMINIO DE PIVOTE Y PELICULA TIPO SANT BLASTING, CON CERRADURA Y MANIJA (HOJA SENCILLA). INCLUYE EL SUMINISTRO DE TODOS LOS ACCESORIOS REQUERIDOS PARA EL CORRECTO MONTAJE. SEGUN DETALLE. (SUMINISTRO E INSTALACIÓN).</t>
  </si>
  <si>
    <t>D14</t>
  </si>
  <si>
    <t>PUERTA EN VIDRIO TEMPLADO 10 MM CON ZOCALO EN ALUMINIO DE PIVOTE, CON CERRADURA Y MANIJA (HOJA SENCILLA). INCLUYE EL SUMINISTRO DE TODOS LOS ACCESORIOS REQUERIDOS PARA EL CORRECTO MONTAJE. SEGUN DETALLE. (SUMINISTRO E INSTALACIÓN).</t>
  </si>
  <si>
    <t>D02</t>
  </si>
  <si>
    <t>SUMINISTRO E INSTALACION DE ESPEJO   4 MM. BISELADO Y PULIDO EN CUATRO LADOS. (INCLUYE ELEMENTOS DE FIJACIÓN AL MURO).</t>
  </si>
  <si>
    <t>D05</t>
  </si>
  <si>
    <t>SUMINISTRO E INSTALACION DE ESPEJO  6 MM. SIN BISELAR Y SIN MARCO. (INCLUYE ELEMENTOS DE FIJACIÓN AL MURO).</t>
  </si>
  <si>
    <t>D03</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</si>
  <si>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</si>
  <si>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D13</t>
  </si>
  <si>
    <t>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</si>
  <si>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D13A</t>
  </si>
  <si>
    <t>VENTANERIA APOYADA EN PERFILERIA DE ALUMINIO ANODIZADO COLOR NATURAL Y CUERPO CORREDIZO+ VIDRIO LAMINADO DE4+5 (INCLUYE EL SUMINISTRO DE TODOS LOS ACCESORIOS REQUERIDOS PARA EL CORRECTO MONTAJE).</t>
  </si>
  <si>
    <t>D13B</t>
  </si>
  <si>
    <t>VENTANERIA APOYADA EN PERFILERIA DE ALUMINIO ANODIZADO COLOR NATURAL Y REJILLA SUPERIOR EN ALUMINO+ VIDRIO LAMINADO DE4+5 (INCLUYE EL SUMINISTRO DE TODOS LOS ACCESORIOS REQUERIDOS PARA EL CORRECTO MONTAJE).</t>
  </si>
  <si>
    <t>D13C</t>
  </si>
  <si>
    <t>VENTANERIA APOYADA EN PERFILERIA DE ALUMINIO ANODIZADO COLOR NATURAL + VIDRIO LAMINADO DE4+5 (INCLUYE EL SUMINISTRO DE TODOS LOS ACCESORIOS REQUERIDOS PARA EL CORRECTO MONTAJE).</t>
  </si>
  <si>
    <t>D13D</t>
  </si>
  <si>
    <t>VENTANERIA APOYADA EN PERFILERIA DE ALUMINIO ANODIZADO COLOR NATURAL +REJILLA SUPERIOR Y CUERPOS CORREDIZOS VIDRIO LAMINADO DE4+5 (INCLUYE EL SUMINISTRO DE TODOS LOS ACCESORIOS REQUERIDOS PARA EL CORRECTO MONTAJE).</t>
  </si>
  <si>
    <t>D13E</t>
  </si>
  <si>
    <t>D13F</t>
  </si>
  <si>
    <t>D13G</t>
  </si>
  <si>
    <t>VENTANERIA APOYADA EN PERFILERIA DE ALUMINIO ANODIZADO COLOR NATURAL, REJILLA DE ALUMINIO INTEGRADA+ REJILLA SUPERIOR Y VIDRIO LAMINADO DE4+5,  (INCLUYE EL SUMINISTRO DE TODOS LOS ACCESORIOS REQUERIDOS PARA EL CORRECTO MONTAJE).</t>
  </si>
  <si>
    <t>D13H</t>
  </si>
  <si>
    <t>VENTANERIA APOYADA EN PERFILERIA DE ALUMINIO ANODIZADO COLOR NATURAL, ESTRUCTURA METALICA+ VIDRIO LAMINADO DE4+5 (INCLUYE EL SUMINISTRO DE TODOS LOS ACCESORIOS REQUERIDOS PARA EL CORRECTO MONTAJE).</t>
  </si>
  <si>
    <t>D13I</t>
  </si>
  <si>
    <t>VENTANERIA APOYADA EN PERFILERIA DE ALUMINIO ANODIZADO MATE COLOR BLANCO, VIDRIO TEMPLADO DE 8MM INCOLORO+REJILLA SUPERIOR Y PUERTA EN ALUMINIO ANODIZADO BLANCO MATE CON MANIJA GRIFOX</t>
  </si>
  <si>
    <t>D13J</t>
  </si>
  <si>
    <t>VENTANERIA APOYADA EN PERFILERIA DE ALUMINIO EMBEBIDA EN MURO Y CIELO RASO, CON VIDRIO TEMPLADO 8MM INCOLORO</t>
  </si>
  <si>
    <t>D13K</t>
  </si>
  <si>
    <t>VENTANERIA APOYADA EN PERFILERIA DE ALUMINIO ANODIZADO MATE COLOR BLANCO, VIDRIO TEMPLADO DE 8MM INCOLORO CON UNIONES A TOPE +REJILLA SUPERIOR</t>
  </si>
  <si>
    <t>D07</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</si>
  <si>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</si>
  <si>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D10</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</si>
  <si>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</si>
  <si>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D04</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</si>
  <si>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</si>
  <si>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D04A</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</si>
  <si>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</si>
  <si>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D04B</t>
  </si>
  <si>
    <t>REJILLA EN ALUMINIO ANODIZADO MATE BLANCO SU LONGUITUD ES VARIABLE, VERIFICAR EN PLANTAS GENERALES.</t>
  </si>
  <si>
    <t>D04C</t>
  </si>
  <si>
    <t>REJILLA EN ALUMINIO ANODIZADO MATE NATURAL+ALFAJIA, INCLUYEN EL SUMINISTRO DE TODOS LOS ACCESORIOS REQUERIDOS PARA EL CORRECTOMONTAJE, ASI COMO EL SUMINISTRO E INSTALACION DE LA SILICONA QUE SEA REQUERIDA PARA EL CORRECTO MONTAJE.</t>
  </si>
  <si>
    <t>D06</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</si>
  <si>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</si>
  <si>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D09</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</si>
  <si>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</si>
  <si>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D12</t>
  </si>
  <si>
    <t>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t>
  </si>
  <si>
    <t>D08</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</si>
  <si>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</si>
  <si>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D11</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</si>
  <si>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</si>
  <si>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D27</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</si>
  <si>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</si>
  <si>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D28</t>
  </si>
  <si>
    <t>ANGULO ALUMINIO 1"x1"</t>
  </si>
  <si>
    <t>D29</t>
  </si>
  <si>
    <t>TEE ALUMINIO 1"x1"</t>
  </si>
  <si>
    <t>D30</t>
  </si>
  <si>
    <t>REMACHE POP</t>
  </si>
  <si>
    <t>D31</t>
  </si>
  <si>
    <t>TUBO ALUMINIO 1" 1M</t>
  </si>
  <si>
    <t>E</t>
  </si>
  <si>
    <t>CARPINTERIA METALICA</t>
  </si>
  <si>
    <t>E01</t>
  </si>
  <si>
    <t>ANGULO  HIERRO 2" X 1/4"</t>
  </si>
  <si>
    <t>E01A</t>
  </si>
  <si>
    <t>ANGULO  HIERRO 3/4" X 1/8"</t>
  </si>
  <si>
    <t>E17</t>
  </si>
  <si>
    <t>ARO TAPA  ANGULO 1"*1" TRAMPA GRASA</t>
  </si>
  <si>
    <t>E25</t>
  </si>
  <si>
    <t>ARO Y TAPA CONO DIAMETRO 0.89 M.</t>
  </si>
  <si>
    <t>E09</t>
  </si>
  <si>
    <t>ESCALERA DE GATO EN "C" DE 6 PASOS EN TUBERIA AGUA NEGRA 3/4" TIPO COLMENA O SIMILAR. SUMINISTRO E INSTALACIÓN A TODO COSTO.</t>
  </si>
  <si>
    <t>E21</t>
  </si>
  <si>
    <t>ESCALERA METALICA TIPO CANASTA ACERO 3/4" Y 5/8"  DE 90 KILOGRAMOS (SEGUN DETALLE PLANO) A TODO COSTO. PARA TANQUE DE AGUA.</t>
  </si>
  <si>
    <t>E28</t>
  </si>
  <si>
    <t>LAMINA COLD ROLLED CAL. 18 (1.22 X 2.44 M).</t>
  </si>
  <si>
    <t>aceros,mallas,tubo estructural, y catalogo de producto 2012 acesco, lamina cold rolled</t>
  </si>
  <si>
    <t>E26</t>
  </si>
  <si>
    <t>LAMINA GALVANIZADA CAL. 20 TIPO ACESCO O SIMILAR.</t>
  </si>
  <si>
    <t>E02</t>
  </si>
  <si>
    <t>MALLA ESLABONADA CAL. 12  DE 2 X 1 1/2" +  ANGULO 1 1/2 X  1 1/2 X 1/4" + ANTICORROSIVO + PINTURA ELECTROSTATICA. SUMINISTRO E INSTALACIÓN A TODO COSTO. INCLUYE EL SUMINISTRO DE TODOS LOS ACCESORIOS REQUERIDOS PARA EL CORRECTO MONTAJE.</t>
  </si>
  <si>
    <t>malla_eslabonada</t>
  </si>
  <si>
    <t>E02A</t>
  </si>
  <si>
    <t>MALLA ESLABONADA 21/4*21/4 *2 MTS</t>
  </si>
  <si>
    <t>E02B</t>
  </si>
  <si>
    <t>CONCERTINA DIAMETRO 18" ESPIRAL ESPACIADO CADA 20 INCLUYE CABLE GALVANIZADO SUPER GX DE 1/8 Y PERROS DE SUJECION 3/16</t>
  </si>
  <si>
    <t>concertina</t>
  </si>
  <si>
    <t>E54</t>
  </si>
  <si>
    <t>MARCO METALICO PUERTAS E= 12 CM MONTANTE REJILLA EN LÁMINA CR.  H=0.30 M. EN LÁMINA COLD ROLLED CAL. 18 PARA HOJA DE PUERTA CON ANCHO 0.51 A 0.75 M. Y ALTURA 2.11 A 2.40 M. (SUMINISTRO).</t>
  </si>
  <si>
    <t>lamina cold rolled</t>
  </si>
  <si>
    <t>E55</t>
  </si>
  <si>
    <t>MARCO METALICO PUERTAS E= 12 CM MONTANTE REJILLA EN LÁMINA CR.  H=0.30 M. EN LÁMINA COLD ROLLED CAL. 18 PARA HOJA DE PUERTA CON ANCHO 0.76 A 1.10 M. Y ALTURA 2.11 A 2.40 M. (SUMINISTRO).</t>
  </si>
  <si>
    <t>E52</t>
  </si>
  <si>
    <t>MARCO METALICO PUERTAS E= 12 CM MONTANTE REJILLA EN LÁMINA CR. H=0.30 M. EN LÁMINA COLD ROLLED CAL. 18 PARA HOJA DE PUERTA CON ANCHO 0.51 A 0.75 M. Y ALTURA 1.80 A 2.10 M. (SUMINISTRO).</t>
  </si>
  <si>
    <t>E53</t>
  </si>
  <si>
    <t>MARCO METALICO PUERTAS E= 12 CM MONTANTE REJILLA EN LÁMINA CR. H=0.30 M.EN LÁMINA COLD ROLLED CAL. 18 PARA HOJA DE PUERTA CON ANCHO 0.76 A 1.10 M. Y ALTURA 1.80 A 2.10 M. (SUMINISTRO).</t>
  </si>
  <si>
    <t>E48</t>
  </si>
  <si>
    <t>MARCO METALICO PUERTAS E= 12 CM MONTANTE VIDRIO 4 MM. H=0.30 M. EN LÁMINA COLD ROLLED CAL. 18 PARA HOJA DE PUERTA CON ANCHO 0.51 A 0.75 M. Y ALTURA 1.80 A 2.10 M. (SUMINISTRO).</t>
  </si>
  <si>
    <t>E50</t>
  </si>
  <si>
    <t>MARCO METALICO PUERTAS E= 12 CM MONTANTE VIDRIO 4 MM. H=0.30 M. EN LÁMINA COLD ROLLED CAL. 18 PARA HOJA DE PUERTA CON ANCHO 0.51 A 0.75 M. Y ALTURA 2.11 A 2.40 M. (SUMINISTRO).</t>
  </si>
  <si>
    <t>E49</t>
  </si>
  <si>
    <t>MARCO METALICO PUERTAS E= 12 CM MONTANTE VIDRIO 4 MM. H=0.30 M. EN LÁMINA COLD ROLLED CAL. 18 PARA HOJA DE PUERTA CON ANCHO 0.76 A 1.10 M. Y ALTURA 1.80 A 2.10 M. (SUMINISTRO).</t>
  </si>
  <si>
    <t>E51</t>
  </si>
  <si>
    <t>MARCO METALICO PUERTAS E= 12 CM MONTANTE VIDRIO 4 MM. H=0.30 M. EN LÁMINA COLD ROLLED CAL. 18 PARA HOJA DE PUERTA CON ANCHO 0.76 A 1.10 M. Y ALTURA 2.11 A 2.40 M. (SUMINISTRO).</t>
  </si>
  <si>
    <t>E44</t>
  </si>
  <si>
    <t>MARCO METALICO PUERTAS E= 12 CM SENCILLO EN LÁMINA COLD ROLLED CAL. 18 PARA HOJA DE PUERTA CON ANCHO 0.51 A 0.75 M. Y ALTURA 1.80 A 2.10 M. (SUMINISTRO).</t>
  </si>
  <si>
    <t>E46</t>
  </si>
  <si>
    <t>MARCO METALICO PUERTAS E= 12 CM SENCILLO EN LÁMINA COLD ROLLED CAL. 18 PARA HOJA DE PUERTA CON ANCHO 0.51 A 0.75 M. Y ALTURA 2.11 A 2.40 M. (SUMINISTRO).</t>
  </si>
  <si>
    <t>E45</t>
  </si>
  <si>
    <t>MARCO METALICO PUERTAS E= 12 CM SENCILLO EN LÁMINA COLD ROLLED CAL. 18 PARA HOJA DE PUERTA CON ANCHO 0.76 A 1.10 M. Y ALTURA 1.80 A 2.10 M. (SUMINISTRO).</t>
  </si>
  <si>
    <t>E47</t>
  </si>
  <si>
    <t>MARCO METALICO PUERTAS E= 12 CM SENCILLO EN LÁMINA COLD ROLLED CAL. 18 PARA PUERTA CON ANCHO 0.76 A 1.10 M. Y ALTURA 2.11 A 2.40 M. (SUMINISTRO).</t>
  </si>
  <si>
    <t>E42</t>
  </si>
  <si>
    <t>MARCO METALICO PUERTAS E= 8.5 CM MONTANTE REJILLA EN LÁMINA CR.  H=0.30 M. EN LÁMINA COLD ROLLED CAL. 18 PARA HOJA DE PUERTA CON ANCHO 0.51 A 0.75 M. Y ALTURA 2.11 A 2.40 M. (SUMINISTRO).</t>
  </si>
  <si>
    <t>E43</t>
  </si>
  <si>
    <t>MARCO METALICO PUERTAS E= 8.5 CM MONTANTE REJILLA EN LÁMINA CR.  H=0.30 M. EN LÁMINA COLD ROLLED CAL. 18 PARA HOJA DE PUERTA CON ANCHO 0.76 A 1.10 M. Y ALTURA 2.11 A 2.40 M. (SUMINISTRO).</t>
  </si>
  <si>
    <t>E40</t>
  </si>
  <si>
    <t>MARCO METALICO PUERTAS E= 8.5 CM MONTANTE REJILLA EN LÁMINA CR. H=0.30 M. EN LÁMINA COLD ROLLED CAL. 18 PARA HOJA DE PUERTA CON ANCHO 0.51 A 0.75 M. Y ALTURA 1.80 A 2.10 M. (SUMINISTRO).</t>
  </si>
  <si>
    <t>E41</t>
  </si>
  <si>
    <t>MARCO METALICO PUERTAS E= 8.5 CM MONTANTE REJILLA EN LÁMINA CR. H=0.30 M.EN LÁMINA COLD ROLLED CAL. 18 PARA HOJA DE PUERTA CON ANCHO 0.76 A 1.10 M. Y ALTURA 1.80 A 2.10 M. (SUMINISTRO).</t>
  </si>
  <si>
    <t>E36</t>
  </si>
  <si>
    <t>MARCO METALICO PUERTAS E= 8.5 CM MONTANTE VIDRIO 4 MM. H=0.30 M. EN LÁMINA COLD ROLLED CAL. 18 PARA HOJA DE PUERTA CON ANCHO 0.51 A 0.75 M. Y ALTURA 1.80 A 2.10 M. (SUMINISTRO).</t>
  </si>
  <si>
    <t>E38</t>
  </si>
  <si>
    <t>MARCO METALICO PUERTAS E= 8.5 CM MONTANTE VIDRIO 4 MM. H=0.30 M. EN LÁMINA COLD ROLLED CAL. 18 PARA HOJA DE PUERTA CON ANCHO 0.51 A 0.75 M. Y ALTURA 2.11 A 2.40 M. (SUMINISTRO).</t>
  </si>
  <si>
    <t>E39</t>
  </si>
  <si>
    <t>MARCO METALICO PUERTAS E= 8.5 CM MONTANTE VIDRIO 4 MM. H=0.30 M. EN LÁMINA COLD ROLLED CAL. 18 PARA HOJA DE PUERTA CON ANCHO 0.76 A 1.10 M. Y ALTURA 2.11 A 2.40 M. (SUMINISTRO).</t>
  </si>
  <si>
    <t>E37</t>
  </si>
  <si>
    <t>MARCO METALICO PUERTAS E= 8.5 CM MONTANTE VIDRIO 4 MM. H=0.30 M.EN LÁMINA COLD ROLLED CAL. 18 PARA HOJA DE PUERTA CON ANCHO 0.76 A 1.10 M. Y ALTURA 1.80 A 2.10 M. (SUMINISTRO).</t>
  </si>
  <si>
    <t>E32</t>
  </si>
  <si>
    <t>MARCO METALICO PUERTAS E= 8.5 CM SENCILLO EN LÁMINA COLD ROLLED CAL. 18 PARA HOJA DE PUERTA CON ANCHO 0.51 A 0.75 M. Y ALTURA 1.80 A 2.10 M. (SUMINISTRO)</t>
  </si>
  <si>
    <t>E34</t>
  </si>
  <si>
    <t>MARCO METALICO PUERTAS E= 8.5 CM SENCILLO EN LÁMINA COLD ROLLED CAL. 18 PARA HOJA DE PUERTA CON ANCHO 0.51 A 0.75 M. Y ALTURA 2.11 A 2.40 M. (SUMINISTRO).</t>
  </si>
  <si>
    <t>E33</t>
  </si>
  <si>
    <t>MARCO METALICO PUERTAS E= 8.5 CM SENCILLO EN LÁMINA COLD ROLLED CAL. 18 PARA HOJA DE PUERTA CON ANCHO 0.76 A 1.10 M. Y ALTURA 1.80 A 2.10 M. (SUMINISTRO).</t>
  </si>
  <si>
    <t>E35</t>
  </si>
  <si>
    <t>MARCO METALICO PUERTAS E= 8.5 CM SENCILLO EN LÁMINA COLD ROLLED CAL. 18 PARA PUERTA CON ANCHO 0.76 A 1.10 M. Y ALTURA 2.11 A 2.40 M. (SUMINISTRO).</t>
  </si>
  <si>
    <t>E03</t>
  </si>
  <si>
    <t>MARCO SENCILLO EN ANGULO EN ACERO A-37</t>
  </si>
  <si>
    <t>E23</t>
  </si>
  <si>
    <t>MARCO Y TAPA CAJA INSPECCION DE 0.30 X 0.30 M. (MARCO EN ANGULO 1 1/2 X 1 1/2 * 1/8", TAPA REFORZADA EN PLATINA DE 2 * 1/8" CON PARRILLA EN VARILLA 3/8 CADA 10 CM.).</t>
  </si>
  <si>
    <t>E22</t>
  </si>
  <si>
    <t>MARCO Y TAPA CAJA INSPECCION DE 0.40 X 0.40 M. (MARCO EN ANGULO 1 1/2 X 1 1/2 * 1/8", TAPA REFORZADA EN PLATINA DE 2 * 1/8" CON PARRILLA EN VARILLA 3/8 CADA 10 CM.).</t>
  </si>
  <si>
    <t>E04</t>
  </si>
  <si>
    <t>MARCO Y TAPA CAJA INSPECCION DE 0.60 X 0.60 CM. (MARCO EN ANGULO 2 1/2 X 2 1/2 * 3/16", TAPA REFORZADA EN PLATINA DE 3 * 3/16" CON PARRILLA EN VARILLA 3/8 CADA 10 CM.).</t>
  </si>
  <si>
    <t>E05</t>
  </si>
  <si>
    <t>MARCO Y TAPA CAJA INSPECCION DE 0.80 X 0.80 CM. (MARCO EN ANGULO 2 1/2 X 2 1/2 * 3/16", TAPA REFORZADA EN PLATINA DE 3 * 3/16" CON PARRILLA EN VARILLA 3/8 CADA 10 CM.).</t>
  </si>
  <si>
    <t>E24</t>
  </si>
  <si>
    <t>MARCO Y TAPA CAJA INSPECCION DE 1.00 X 1.00 M. (MARCO EN ANGULO 2 1/2 X 2 1/2 * 3/16", TAPA REFORZADA EN PLATINA DE 3 * 3/16" CON PARRILLA EN VARILLA 3/8 CADA 10 CM.).</t>
  </si>
  <si>
    <t>E68</t>
  </si>
  <si>
    <t>MARCO Y TAPA CAJA INSPECCION SEGÚN NORMA CS 274 DE 0.72 X 0.72 M. (MARCO EN ANGULO 2 1/2 X 2 1/2 * 3/16", TAPA REFORZADA EN PLATINA DE 2 1/2 * 3/16" CON PARRILLA EN VARILLA 3/8 CADA 10 CM.).</t>
  </si>
  <si>
    <t>E69</t>
  </si>
  <si>
    <t>MARCO Y TAPA CAJA INSPECCION SEGÚN NORMA CS 275 DE 0.805 X 1.305 M. (MARCO EN ANGULO 2 1/2 X 2 1/2 * 3/16", TAPA REFORZADA EN PLATINA DE 2 1/2 * 3/16" CON PARRILLA EN VARILLA 1/2" CADA 10 CM.).</t>
  </si>
  <si>
    <t>E70</t>
  </si>
  <si>
    <t>MARCO Y TAPA CAJA INSPECCION SEGÚN NORMA CS 276-2 DE 1.305 X 1.61 M. (MARCO EN ANGULO 2 1/2 X 2 1/2 * 3/16", TAPA REFORZADA EN PLATINA DE 2 1/2 * 3/16" CON PARRILLA EN VARILLA 1/2" CADA 10 CM.).</t>
  </si>
  <si>
    <t>E71</t>
  </si>
  <si>
    <t>MARCO Y TAPA CAJA INSPECCION SEGÚN NORMA CS 280-3 CON DIAMETRO DE 0.685 M. INCLUYE CONCRETO DE 4.000 PSI.</t>
  </si>
  <si>
    <t>E06</t>
  </si>
  <si>
    <t>PLATINA  2'' X 1/4''</t>
  </si>
  <si>
    <t>E07</t>
  </si>
  <si>
    <t>PLATINA 5 X 5 CM</t>
  </si>
  <si>
    <t>E08</t>
  </si>
  <si>
    <t>PLATINA SOPORTE 3 MM</t>
  </si>
  <si>
    <t>E31</t>
  </si>
  <si>
    <t>PUERTA CABINAS SANITARIAS SISTEMA CANTILIVER EN ACERO INOXIDABLE CAL. 18. SEGÚN DETALLE. INCLUYE SUMINISTRO, INSTALACIÓN, PASADOR DE CIERRE.</t>
  </si>
  <si>
    <t>E30</t>
  </si>
  <si>
    <t>PUERTA CABINAS SANITARIAS SISTEMA CANTILIVER EN ACERO INOXIDABLE CAL. 20. SEGÚN DETALLE. INCLUYE SUMINISTRO, INSTALACIÓN, PASADOR DE CIERRE .</t>
  </si>
  <si>
    <t>E30A</t>
  </si>
  <si>
    <t>PUERTA ACERO INOXIDABLE CAL. 20. SEGÚN DETALLE. INCLUYE SUMINISTRO E INSTALACIÓN .</t>
  </si>
  <si>
    <t>E10</t>
  </si>
  <si>
    <t xml:space="preserve">PUERTA CABINAS SANITARIAS SISTEMA CANTILIVER EN LÁMINA GALVANIZADA CAL. 18 ENTAMBORADA. TIPO GRIJALBA O SIMILAR. INCLUYE PINTURA ELECTROSTATICA COLOR GRIS PLATA, SUMINISTRO, INSTALACIÓN, MARCO, CHAPETAS, PASADOR DE CIERRE Y PLATINAS SEGÚN DETALLE. </t>
  </si>
  <si>
    <t>E29</t>
  </si>
  <si>
    <t xml:space="preserve">PUERTA CABINAS SANITARIAS SISTEMA CANTILIVER EN LÁMINA GALVANIZADA CAL. 20 ENTAMBORADA. TIPO GRIJALBA O SIMILAR. INCLUYE PINTURA ELECTROSTATICA COLOR GRIS PLATA, SUMINISTRO, INSTALACIÓN, MARCO, CHAPETAS, PASADOR DE CIERRE Y PLATINAS SEGÚN DETALLE. </t>
  </si>
  <si>
    <t>E11</t>
  </si>
  <si>
    <t>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t>
  </si>
  <si>
    <t>E60</t>
  </si>
  <si>
    <t>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t>
  </si>
  <si>
    <t>E61</t>
  </si>
  <si>
    <t>PUERTA METALICA LÁMINA COLD ROLLED CAL. 18 TIPO PANEL CON MARCO MONTANTE EN REJILLA. ( INCLUYE ANTICORROSIVO + PINTURA ESMALTE + MARCO COLD ROLLED CAL. 18 CARGADOS EN CONCRETO). INCLUYE EL SUMINISTRO DE TODOS LOS ACCESORIOS REQUERIDOS PARA EL CORRECTO MONTAJE. (SUMINISTRO E INSTALACIÓN).</t>
  </si>
  <si>
    <t>E58</t>
  </si>
  <si>
    <t>PUERTA METALICA LÁMINA COLD ROLLED CAL. 18 TIPO PANEL CON MARCO MONTANTE EN VIDRIO 4 MM. ( INCLUYE ANTICORROSIVO + PINTURA ELECTROSTATICA + MARCO COLD ROLLED CAL. 18 CARGADOS EN CONCRETO). INCLUYE EL SUMINISTRO DE TODOS LOS ACCESORIOS REQUERIDOS PARA EL CORRECTO MONTAJE. (SUMINISTRO E INSTALACIÓN).</t>
  </si>
  <si>
    <t>E59</t>
  </si>
  <si>
    <t>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t>
  </si>
  <si>
    <t>E56</t>
  </si>
  <si>
    <t>PUERTA METALICA LÁMINA COLD ROLLED CAL. 18 TIPO PANEL CON MARCO SENCILLO ( INCLUYE ANTICORROSIVO + PINTURA ELECTROSTATICA + MARCO COLD ROLLED CAL. 18 CARGADOS EN CONCRETO). INCLUYE EL SUMINISTRO DE TODOS LOS ACCESORIOS REQUERIDOS PARA EL CORRECTO MONTAJE. (SUMINISTRO E INSTALACIÓN).</t>
  </si>
  <si>
    <t>E57</t>
  </si>
  <si>
    <t>PUERTA METALICA LÁMINA COLD ROLLED CAL. 18 TIPO PANEL CON MARCO SENCILLO ( INCLUYE ANTICORROSIVO + PINTURA ESMALTE + MARCO COLD ROLLED CAL. 18 CARGADOS EN CONCRETO). INCLUYE EL SUMINISTRO DE TODOS LOS ACCESORIOS REQUERIDOS PARA EL CORRECTO MONTAJE. (SUMINISTRO E INSTALACIÓN).</t>
  </si>
  <si>
    <t>E66</t>
  </si>
  <si>
    <t>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t>
  </si>
  <si>
    <t>E67</t>
  </si>
  <si>
    <t>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t>
  </si>
  <si>
    <t>E67A</t>
  </si>
  <si>
    <t>PUERTA POLVORIN METALICA LÁMINA COLD ROLLED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t>
  </si>
  <si>
    <t>E67B</t>
  </si>
  <si>
    <t>PUERTA EN ALUMINIO ANODIZADO MATE NATURAL. VIDRIO LAMINADO 4+4 CON PELICULA SAND BLASTING, SEGUN PLANOS. SEGÚN DETALLE  INCLUYEN EL SUMINISTRO DE TODOS LOS ACCESORIOS REQUERIDOS PARA EL CORRECTO MONTAJE</t>
  </si>
  <si>
    <t>E64</t>
  </si>
  <si>
    <t>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t>
  </si>
  <si>
    <t>E65</t>
  </si>
  <si>
    <t>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t>
  </si>
  <si>
    <t>E62</t>
  </si>
  <si>
    <t>PUERTA METALICA LÁMINA COLD ROLLED CAL. 18 TIPO REJILLA CON MARCO SENCILLO ( INCLUYE ANTICORROSIVO + PINTURA ELECTROSTATICA + MARCO COLD ROLLED CAL. 18 CARGADOS EN CONCRETO). INCLUYE EL SUMINISTRO DE TODOS LOS ACCESORIOS REQUERIDOS PARA EL CORRECTO MONTAJE. (SUMINISTRO E INSTALACIÓN).</t>
  </si>
  <si>
    <t>E63</t>
  </si>
  <si>
    <t>PUERTA METALICA LÁMINA COLD ROLLED CAL. 18 TIPO REJILLA CON MARCO SENCILLO ( INCLUYE ANTICORROSIVO + PINTURA ESMALTE + MARCO COLD ROLLED CAL. 18 CARGADOS EN CONCRETO). INCLUYE EL SUMINISTRO DE TODOS LOS ACCESORIOS REQUERIDOS PARA EL CORRECTO MONTAJE. (SUMINISTRO E INSTALACIÓN).</t>
  </si>
  <si>
    <t>E13</t>
  </si>
  <si>
    <t>PUERTA METALICA TIPO CORTINA LÁMINA COLD ROLLED CAL. 18 (INCLUYE ANTICORROSIVO + PINTURA ELECTROSTATICA+ MARCO COLD ROLLED CAL. 18 CARGADOS EN CONCRETO). INCLUYE EL SUMINISTRO DE TODOS LOS ACCESORIOS REQUERIDOS PARA EL CORRECTO MONTAJE. (SUMINISTRO E INSTALACIÓN).</t>
  </si>
  <si>
    <t>E12</t>
  </si>
  <si>
    <t>PUERTA METALICA VAIVEN LÁMINA COLD ROLLED CAL.18 PIVOTE (INCLUYE PINTURA ELECTROSTATICA, ANTICORROSIVO Y MARCO COLD ROLLED CAL. 18 CARGADO EN CONCRETO) INCLUYE EL SUMINISTRO DE TODOS LOS ACCESORIOS REQUERIDOS PARA EL CORRECTO MONTAJE. (SUMINISTRO E INSTALACIÓN).</t>
  </si>
  <si>
    <t>E14</t>
  </si>
  <si>
    <t>REJILLA CUNETA METALICA (A = 0.50 M) MARCO CONTRAMARCO EN ANGULO DE 1 1/2 X 3/16 CELOSIAS EN PLATINA DE 1/4 X 3/16 ACERO A36 CON ANTICORROSIVO Y PINTURA NEGRO MATE.</t>
  </si>
  <si>
    <t>E15</t>
  </si>
  <si>
    <t>SOPORTE METALICO EN ANGULO PARA MESON ANCLADO A MURO CON CHAZOS EXPANSIVOS</t>
  </si>
  <si>
    <t>E16</t>
  </si>
  <si>
    <t>TAPA COLD ROLLED CAL.16" ANGULO 1"*1" TRAMPA GRASA</t>
  </si>
  <si>
    <t>E18</t>
  </si>
  <si>
    <t>TAPA EN LÁMINA DE ALFAJOR 6MM  0.80*0.80 M. MARCO EN ÁNGULO DE 2 X 1/8". (INCLUYE GANCHO EN ACERO Y MARCO) SEGÚN DISEÑO. SUMINISTRO E INSTALACIÓN.</t>
  </si>
  <si>
    <t>lamina de alfajor</t>
  </si>
  <si>
    <t>E19</t>
  </si>
  <si>
    <t>TAPA EN LÁMINA DE ALFAJOR 6MM 1.00*1.00 M. MARCO EN ÁNGULO DE 2 X 1/8". (INCLUYE GANCHO EN ACERO Y MARCO) SEGÚN DISEÑO. SUMINISTRO E INSTALACIÓN.</t>
  </si>
  <si>
    <t>E27</t>
  </si>
  <si>
    <t>TUBERIA MUEBLE RECTANGULAR 20 X 40 MM 0.90 MM ESPESOR CALIBRE 20</t>
  </si>
  <si>
    <t>E20</t>
  </si>
  <si>
    <t>TUBO AGUAS NEGRAS DIAMETRO 2" CAL. 0.080</t>
  </si>
  <si>
    <t>E20A</t>
  </si>
  <si>
    <t>TUBO HG 2"</t>
  </si>
  <si>
    <t>E20B</t>
  </si>
  <si>
    <t>TUBO HG 3"</t>
  </si>
  <si>
    <t>E72</t>
  </si>
  <si>
    <t>ANGULO 2"* 2"*3/16"</t>
  </si>
  <si>
    <t>E72A</t>
  </si>
  <si>
    <t>ANGULO 1-1/2"1-1/2"*3/16"</t>
  </si>
  <si>
    <t>E76</t>
  </si>
  <si>
    <t>PLATINA 2"*3/16*</t>
  </si>
  <si>
    <t>E77</t>
  </si>
  <si>
    <t xml:space="preserve">MALLA GALVANIZADA 12-2" </t>
  </si>
  <si>
    <t>E78</t>
  </si>
  <si>
    <t>ALAMBRE GALVANIZADO CAL 12</t>
  </si>
  <si>
    <t>alambre negro recocido</t>
  </si>
  <si>
    <t>E79</t>
  </si>
  <si>
    <t>PLATINA 50X50 DE 1/16 "</t>
  </si>
  <si>
    <t>E80</t>
  </si>
  <si>
    <t>PLATINA 80X80 DE 1/16 "</t>
  </si>
  <si>
    <t>E81</t>
  </si>
  <si>
    <t xml:space="preserve">RIEL LAMINA COLD ROLLED CAL 16. </t>
  </si>
  <si>
    <t>E82</t>
  </si>
  <si>
    <t xml:space="preserve">TUBULAR 15*8 CAL 16 </t>
  </si>
  <si>
    <t>E83</t>
  </si>
  <si>
    <t>PERFIL ESTRUCTURAL EN U 160*60</t>
  </si>
  <si>
    <t>E84</t>
  </si>
  <si>
    <t xml:space="preserve">LAMINA COLD ROLLED CAL 16. </t>
  </si>
  <si>
    <t>E85</t>
  </si>
  <si>
    <t xml:space="preserve">LAMINA COLD ROLLED CAL 18. </t>
  </si>
  <si>
    <t>E86</t>
  </si>
  <si>
    <t>CERROJO DOBLE LLAVE REF 148582</t>
  </si>
  <si>
    <t>herrajes</t>
  </si>
  <si>
    <t>E87</t>
  </si>
  <si>
    <t>RODACHINAS ACERO</t>
  </si>
  <si>
    <t>rodachinas</t>
  </si>
  <si>
    <t>E88</t>
  </si>
  <si>
    <t>PLATINA  25 x 25 CM X 1"</t>
  </si>
  <si>
    <t>E89</t>
  </si>
  <si>
    <t>BOLARDO LISO HF</t>
  </si>
  <si>
    <t>E90</t>
  </si>
  <si>
    <t>DEFENSA DE PROTECCIÓN VIAL TIPO INVIAS</t>
  </si>
  <si>
    <t>E91</t>
  </si>
  <si>
    <t>CARRETEL DE HIERRO</t>
  </si>
  <si>
    <t>F</t>
  </si>
  <si>
    <t>CERRAJERIA</t>
  </si>
  <si>
    <t>F09</t>
  </si>
  <si>
    <t>BARRA ANTIPANICO HORIZONTAL SOLO SALIDA - TIPO AZBE REF. B0950 O SIMILAR.</t>
  </si>
  <si>
    <t>CATALOGO CERRADURA Y HERRAJES</t>
  </si>
  <si>
    <t>F02</t>
  </si>
  <si>
    <t>CERRADURA BELL WOOD POMO MADERA - ALCOBA TIPO SCHALAGE REF. A50WS O SIMILAR. ACABADO SEGÚN DISEÑO.</t>
  </si>
  <si>
    <t>F01</t>
  </si>
  <si>
    <t>CERRADURA BELL WOOD POMO MADERA - BAÑO TIPO SCHALAGE REF. A40S O SIMILAR. ACABADO SEGÚN DISEÑO.</t>
  </si>
  <si>
    <t>F03</t>
  </si>
  <si>
    <t>CERRADURA BELL WOOD POMO MADERA - ENTRADA TIPO SCHALAGE REF. A80PD O SIMILAR. ACABADO SEGÚN DISEÑO.</t>
  </si>
  <si>
    <t>F07</t>
  </si>
  <si>
    <t>CERRADURA CERROJO DOBLE LLAVE - TIPO SCHALAGE REF. B362PX O SIMILAR. ACABADO SEGÚN DISEÑO.</t>
  </si>
  <si>
    <t>F08</t>
  </si>
  <si>
    <t>CERRADURA CERROJO LLAVE VOLTEADOR - TIPO SCHALAGE REF. B360PX O SIMILAR. ACABADO SEGÚN DISEÑO.</t>
  </si>
  <si>
    <t>F05</t>
  </si>
  <si>
    <t>CERRADURA ORBIT POMO METALICO - ALCOBA TIPO SCHALAGE REF. A50PD O SIMILAR. ACABADO SEGÚN DISEÑO.</t>
  </si>
  <si>
    <t>F04</t>
  </si>
  <si>
    <t>CERRADURA ORBIT POMO METALICO - BAÑO TIPO SCHALAGE REF. A40S O SIMILAR. ACABADO SEGÚN DISEÑO.</t>
  </si>
  <si>
    <t>F06</t>
  </si>
  <si>
    <t>CERRADURA ORBIT POMO METALICO - ENTRADA TIPO SCHALAGE REF. A80PD O SIMILAR. ACABADO SEGÚN DISEÑO.</t>
  </si>
  <si>
    <t>F10</t>
  </si>
  <si>
    <t>MANILLA Y CILINDRO EXTERIOR PARA BARRA ANTIPANICO HORIZONTAL - TIPO AZBE REF. 9510M O SIMILAR.</t>
  </si>
  <si>
    <t>F13</t>
  </si>
  <si>
    <t>CERRADURA ENTRADA PRINCIPAL  - TIPO SCHALAGE REF. H387  O SIMILAR. ACABADO SEGÚN DISEÑO.</t>
  </si>
  <si>
    <t>F14</t>
  </si>
  <si>
    <t xml:space="preserve">CERRADURA ENTRADA PRINCIPAL HE-380 TIPO SCHALAGE O SIMILAR. ACABADO SEGÚN DISEÑO. (INCLUYE SUMINISTRO E INSTALACIÓN) </t>
  </si>
  <si>
    <t>F15</t>
  </si>
  <si>
    <t>CERRADURA YALE TRES MACHUELOS</t>
  </si>
  <si>
    <t>G</t>
  </si>
  <si>
    <t>COMBUSTIBLES Y LUBRICANTES</t>
  </si>
  <si>
    <t>G1</t>
  </si>
  <si>
    <t>ACPM</t>
  </si>
  <si>
    <t>gal</t>
  </si>
  <si>
    <t>G2</t>
  </si>
  <si>
    <t>GASOLINA CORRIENTE</t>
  </si>
  <si>
    <t>G3</t>
  </si>
  <si>
    <t>LUBRICANTE PARA PVC CORRUGADA</t>
  </si>
  <si>
    <t xml:space="preserve">catalogo pvc </t>
  </si>
  <si>
    <t>G4</t>
  </si>
  <si>
    <t>GRASA ECON X 370 GRS</t>
  </si>
  <si>
    <t>catalogo</t>
  </si>
  <si>
    <t>H</t>
  </si>
  <si>
    <t>CONCRETOS, CEMENTO Y MORTEROS PREMEZCLADOS</t>
  </si>
  <si>
    <t>H01</t>
  </si>
  <si>
    <t>CEMENTO GRIS</t>
  </si>
  <si>
    <t>cemento gris ft</t>
  </si>
  <si>
    <t>H16</t>
  </si>
  <si>
    <t>CONCRETO PREMEZCLADO PARA PAVIMENTO MR 43 KG/CM2</t>
  </si>
  <si>
    <t>catalogo concreto premezclado</t>
  </si>
  <si>
    <t>H05</t>
  </si>
  <si>
    <t>GROUTING 17.5 MPA</t>
  </si>
  <si>
    <t>H17</t>
  </si>
  <si>
    <t>CAL</t>
  </si>
  <si>
    <t>cal hidratada</t>
  </si>
  <si>
    <t>H42</t>
  </si>
  <si>
    <t>MORTERO DE NIVELACION SIKAGROUT O SIMILAR</t>
  </si>
  <si>
    <t>H43</t>
  </si>
  <si>
    <t xml:space="preserve">ADOQUIN DE CONCRETO (8*10*20) </t>
  </si>
  <si>
    <t>adoquin en concreto</t>
  </si>
  <si>
    <t>H48</t>
  </si>
  <si>
    <t>ADOQUIN ECOLOGICO</t>
  </si>
  <si>
    <t>adoquin ecologico</t>
  </si>
  <si>
    <t>H44</t>
  </si>
  <si>
    <t>CAL HIDRATADA</t>
  </si>
  <si>
    <t>H45</t>
  </si>
  <si>
    <t>SUELO CEMENTO 10:1</t>
  </si>
  <si>
    <t>H46</t>
  </si>
  <si>
    <t>CONCRETO PREMEZCLADO PARA PAVIMENTO MR 45 KG/CM2</t>
  </si>
  <si>
    <t>H47</t>
  </si>
  <si>
    <t>BOLARDO EN CONCRETO DIAMETRO 18cm Y ALTURA LIBRE 62 cm</t>
  </si>
  <si>
    <t>Prefabricados</t>
  </si>
  <si>
    <t>H46A</t>
  </si>
  <si>
    <t>CONCRETO PREMEZCLADO PARA PAVIMENTO MR 42 KG/CM2</t>
  </si>
  <si>
    <t>H46B</t>
  </si>
  <si>
    <t>CONCRETO PREMEZCLADO 4000 PSI - 28MPA</t>
  </si>
  <si>
    <t>H46C</t>
  </si>
  <si>
    <t>CONCRETO PREMEZCLADO 3000 PSI - 21MPA</t>
  </si>
  <si>
    <t>J</t>
  </si>
  <si>
    <t>CUBIERTA  Y  FACHADAS</t>
  </si>
  <si>
    <t>J02</t>
  </si>
  <si>
    <t>CABALLETE LISO TEJA TIPO CINDULIT / CINDURIB  L=3.05 M. O SIMILAR.  COLOR VERDE, AZUL O ROJO SEGÚN DISEÑO.</t>
  </si>
  <si>
    <t>catalogoproductos 2012acesco</t>
  </si>
  <si>
    <t>J06</t>
  </si>
  <si>
    <t>FACHADA F MULTIPANEL 300FS TIPO HUNTER DOUGLAS ALUZINC 0,6 MM Y ALUMINIO 0,7 MM. O SIMILAR</t>
  </si>
  <si>
    <t>J12</t>
  </si>
  <si>
    <t>LIMAHOYA LISA TEJA TIPO CINDULIT / CINDURIB  L=3.05 M. O SIMILAR. COLOR VERDE, AZUL O ROJO SEGÚN DISEÑO.</t>
  </si>
  <si>
    <t>catalogocinduandina</t>
  </si>
  <si>
    <t>J01</t>
  </si>
  <si>
    <t>PERFIL ACERO ESTRUCTURAL PHR ASTM A500 GRADO 50 - TIPO ACESCO O SIMILAR</t>
  </si>
  <si>
    <t>J08</t>
  </si>
  <si>
    <t>PERFIL HEA  A-36</t>
  </si>
  <si>
    <t>J07</t>
  </si>
  <si>
    <t>PERFIL IPE  A-36</t>
  </si>
  <si>
    <t>J07A</t>
  </si>
  <si>
    <t xml:space="preserve">PERFIL EN LAMINA DELGADA EN C  GRADO 40 </t>
  </si>
  <si>
    <t>J05</t>
  </si>
  <si>
    <t xml:space="preserve">PLATINAS ACERO A-36  </t>
  </si>
  <si>
    <t>J11</t>
  </si>
  <si>
    <t>TEJA TERMOACUSTICA TIPO CINDURIB O SIMILAR A=0.78 M. E = 0.35 MM. COLOR VERDE, AZUL O ROJO SEGÚN DISEÑO.</t>
  </si>
  <si>
    <t>J11A</t>
  </si>
  <si>
    <t>TEJA TRASLUCIDA TIPO CINDURIB  A=0.78 M E=0.35 MM O SIMILAR. CRISTAL O OPAL  SEGÚN DISEÑO.</t>
  </si>
  <si>
    <t>J11B</t>
  </si>
  <si>
    <t>TEJA TERMOACUSTICA TIPO CINDULIT 180 O SIMILAR A=0.78 M. E = 0.35 MM. COLOR VERDE, AZUL O ROJO SEGÚN DISEÑO.</t>
  </si>
  <si>
    <t>J10</t>
  </si>
  <si>
    <t xml:space="preserve">TORNILLO AUTOPERFORANTE TEJA TIPO CINDU O SIMILAR. DIAM. 2 1/2". </t>
  </si>
  <si>
    <t>tornilleria</t>
  </si>
  <si>
    <t>J04</t>
  </si>
  <si>
    <t>TORNILLO AUTOPERFORANTE TEJA TIPO CINDU O SIMILAR. DIAM. 3/4".</t>
  </si>
  <si>
    <t>J09</t>
  </si>
  <si>
    <t>TUBERIA ESTRUCTURAL A.S.T.M.  A-500 GRADO C - REDONDA, CUADRADA O RECTANGULAR SEGÚN DISEÑO - TIPO COLMENA O SIMILAR</t>
  </si>
  <si>
    <t>J15</t>
  </si>
  <si>
    <t>TEJA DE ZINC ONDULADA TZO L=2.44X0.80</t>
  </si>
  <si>
    <t>lamina de zinc ondulada</t>
  </si>
  <si>
    <t>J20</t>
  </si>
  <si>
    <t>TEJA TERMOACUSTICA  TIPO CINDURIB A=0.88 M. E=0.35 MM. O SIMILAR. COLOR VERDE, AZUL O ROJO SEGÚN DISEÑO. (INCLUYE INSTALACIÓN, GANCHOS DE FIJACIÓN Y EL SUMINISTRO DE TODOS LOS ACCESORIOS REQUERIDOS PARA EL CORRECTO MONTAJE.)</t>
  </si>
  <si>
    <t>J21</t>
  </si>
  <si>
    <t>PERFILES HEA  A-36  ( INCLUYE SOLDADURA, ANTICORROSIVO Y ESMALTE + PROTECCION ANTIFUEGO E INSTALACION)</t>
  </si>
  <si>
    <t>J22</t>
  </si>
  <si>
    <t>ALFAJIAS EN CONCRETO 2.500 PSI A=0.25 M (INCLUYE REFUERZO)</t>
  </si>
  <si>
    <t>J23</t>
  </si>
  <si>
    <t>ESCALERA METALICA PARA POLVORIN</t>
  </si>
  <si>
    <t>J24</t>
  </si>
  <si>
    <t>TEJA ONDULADA FIBROCEMENTO PERFIL 7 0,92x1,52M</t>
  </si>
  <si>
    <t>J25</t>
  </si>
  <si>
    <t>TEJA ONDULADA FIBROCEMENTO PERFIL 5 0,92x1,52M</t>
  </si>
  <si>
    <t>J26</t>
  </si>
  <si>
    <t>CABALLETE FIBROCEMENTO FIJO 15</t>
  </si>
  <si>
    <t>J27</t>
  </si>
  <si>
    <t>CABALLETE FIBROCEMENTO FIJO 15 - 20</t>
  </si>
  <si>
    <t>J28</t>
  </si>
  <si>
    <t>CABALLETE FIBROCEMENTO UNIVERSAL</t>
  </si>
  <si>
    <t>J29</t>
  </si>
  <si>
    <t>CLARABOYA FIBROCEMENTO  #6 P7</t>
  </si>
  <si>
    <t>J30</t>
  </si>
  <si>
    <t>VIDRIO TRANSPARENTE 3MM</t>
  </si>
  <si>
    <t>J31</t>
  </si>
  <si>
    <t>LIMAHOYA ASBESTO CEMENTO PERFIL 7-1000</t>
  </si>
  <si>
    <t>J32</t>
  </si>
  <si>
    <t>TEJA TRASLUCIDA PVC ONDULADA 3,66x0,83M</t>
  </si>
  <si>
    <t>J32A</t>
  </si>
  <si>
    <t>TEJA TRASLUCIDA PVC ONDULADA 2,44x0,83M</t>
  </si>
  <si>
    <t>J33</t>
  </si>
  <si>
    <t>GANCHO AMARRE ETERNIT</t>
  </si>
  <si>
    <t>J34</t>
  </si>
  <si>
    <t>LAMINA POLICARBONATO 6MM TRANSP ALVEOLAR</t>
  </si>
  <si>
    <t>J35</t>
  </si>
  <si>
    <t>REMATE U 6X20 10MM POLICARB  LATERAL-FINAL LAMINA</t>
  </si>
  <si>
    <t>J36</t>
  </si>
  <si>
    <t>CINTALAUMINIO INDUSTRIAL SELLO POLICARBONATO 32M</t>
  </si>
  <si>
    <t>J37</t>
  </si>
  <si>
    <t>TEJA TERMOACUSTICA AJOVER</t>
  </si>
  <si>
    <t>J38</t>
  </si>
  <si>
    <t>PLACA ICOPOR TEXTURIZADO 60x60</t>
  </si>
  <si>
    <t>J39</t>
  </si>
  <si>
    <t>VIDRIO TRASLUCIDO 3MM</t>
  </si>
  <si>
    <t>J40</t>
  </si>
  <si>
    <t>VIDRIO TRASLUCIDO 4MM</t>
  </si>
  <si>
    <t>J41</t>
  </si>
  <si>
    <t>VIDRIO TRASLUCIDO 6MM</t>
  </si>
  <si>
    <t>K</t>
  </si>
  <si>
    <t>DRYWALL, SUPERBOARD Y SIMILARES</t>
  </si>
  <si>
    <t>K10</t>
  </si>
  <si>
    <t>CINTA MALLA DE FIBRA DE VIDRIO ( 90 M. )</t>
  </si>
  <si>
    <t>DRywall Gyplac</t>
  </si>
  <si>
    <t>K11</t>
  </si>
  <si>
    <t>CINTA PAPEL ( 75 M.)</t>
  </si>
  <si>
    <t>K13</t>
  </si>
  <si>
    <t>FIBRA DE VIDRIO FRESCASA DE 2 1/2"</t>
  </si>
  <si>
    <t>K14</t>
  </si>
  <si>
    <t>FIBRA DE VIDRIO FRESCASA DE 3 1/2"</t>
  </si>
  <si>
    <t>K06</t>
  </si>
  <si>
    <t>MASILLA SUPERMASTIC USG</t>
  </si>
  <si>
    <t>caneca</t>
  </si>
  <si>
    <t>K07</t>
  </si>
  <si>
    <t>PERFIL CANAL CAL. 26 ( 90 MM ) - 2.44 M.</t>
  </si>
  <si>
    <t>K17</t>
  </si>
  <si>
    <t>PERFIL CANAL CAL.24 ( 90 MM ) - 2.44 M.</t>
  </si>
  <si>
    <t>K18</t>
  </si>
  <si>
    <t>PERFIL OMEGA CAL 24 - 2.44 M.</t>
  </si>
  <si>
    <t>K08</t>
  </si>
  <si>
    <t>PERFIL OMEGA CAL 26 - 2.44 M.</t>
  </si>
  <si>
    <t>K19</t>
  </si>
  <si>
    <t>PERFIL PARAL CAL 24 - 2.44 M.</t>
  </si>
  <si>
    <t>K09</t>
  </si>
  <si>
    <t>PERFIL PARAL CAL 26 - 2.44 M.</t>
  </si>
  <si>
    <t>K12</t>
  </si>
  <si>
    <t>PLACA YESO TIPO GYPLAC ESTANDAR 1/2" (12.7 MM) DE 1.22 X 2.44 MM. O SIMILAR.</t>
  </si>
  <si>
    <t>K16</t>
  </si>
  <si>
    <t xml:space="preserve">PLACA YESO TIPO GYPLAC R.H. 1/2" (12.7 MM) DE 1.22 X 2.44 MM. O SIMILAR. </t>
  </si>
  <si>
    <t>K02</t>
  </si>
  <si>
    <t>SUPERBOARD  ( 2.44 X 1.22 )  E= 10 MM</t>
  </si>
  <si>
    <t>K15</t>
  </si>
  <si>
    <t>SUPERBOARD  ( 2.44 X 1.22 )  E= 6 MM</t>
  </si>
  <si>
    <t>K01</t>
  </si>
  <si>
    <t>SUPERBOARD  ( 2.44 X 1.22 )  E= 8 MM</t>
  </si>
  <si>
    <t>K03</t>
  </si>
  <si>
    <t>TORNILLO AUTOPERFORANTE  EST.  7/16 "</t>
  </si>
  <si>
    <t>K04</t>
  </si>
  <si>
    <t>TORNILLO AUTOPERFORANTE YESO 6 X1</t>
  </si>
  <si>
    <t>K05</t>
  </si>
  <si>
    <t>TORNILLO PTA BROCA EXTRAPL. EST 8 X 1/2" ( 13MM )</t>
  </si>
  <si>
    <t>K20</t>
  </si>
  <si>
    <t>PERFIL METALICO CAL 12 - 2,5MM. - 2,44M.</t>
  </si>
  <si>
    <t>K21</t>
  </si>
  <si>
    <t>MASILLA PLASTICA</t>
  </si>
  <si>
    <t>L</t>
  </si>
  <si>
    <t>ESPECIALES</t>
  </si>
  <si>
    <t>L12</t>
  </si>
  <si>
    <t>INSTALACIÓN Y PUESTA EN FUNCIONAMIENTO EQUIPO DE PRESIÓN.</t>
  </si>
  <si>
    <t>L02</t>
  </si>
  <si>
    <t>SUMINISTRO, TRANSPORTE E INSTALACION SISTEMA HIDRAULICO DE PRESION PREENSAMBLADO  - INCLUYE 2 BOMBAS DE 1.5 HP CAUDAL DE 20 GPM C/U,  RANGO DE PRESIÓN DE 30 - 50 PSI, TANQUE DE 100 LTS., TABLERO DE CONTROL  Y ACCESORIOS CONECCION A SISTEMA HIDRÁULICO Y ELÉCTRICO.</t>
  </si>
  <si>
    <t>L01</t>
  </si>
  <si>
    <t>SUMINISTRO, TRANSPORTE E INSTALACION SISTEMA HIDRAULICO DE PRESION PREENSAMBLADO  - INCLUYE 2 BOMBAS DE 1.5 HP CAUDAL DE 30 GPM C/U,  RANGO DE PRESIÓN DE 20 - 40 PSI, TANQUE DE 100 LTS., TABLERO DE CONTROL  Y ACCESORIOS CONECCION A SISTEMA HIDRÁULICO Y ELÉCTRICO.</t>
  </si>
  <si>
    <t>L11</t>
  </si>
  <si>
    <t>SUMINISTRO, TRANSPORTE E INSTALACION SISTEMA HIDRAULICO DE PRESION PREENSAMBLADO  - INCLUYE 2 BOMBAS DE 10 HP CAUDAL DE 160 GPM C/U,  RANGO DE PRESIÓN DE 70 - 90 PSI, TANQUE DE 500 LTS., TABLERO DE CONTROL  Y ACCESORIOS CONECCION A SISTEMA HIDRÁULICO Y ELÉCTRICO.</t>
  </si>
  <si>
    <t>L03</t>
  </si>
  <si>
    <t>SUMINISTRO, TRANSPORTE E INSTALACION SISTEMA HIDRAULICO DE PRESION PREENSAMBLADO  - INCLUYE 2 BOMBAS DE 2 HP CAUDAL DE 45 GPM C/U,  RANGO DE PRESIÓN DE 20 - 40 PSI, TANQUE DE 200 LTS., TABLERO DE CONTROL  Y ACCESORIOS CONECCION A SISTEMA HIDRÁULICO Y ELÉCTRICO.</t>
  </si>
  <si>
    <t>L04</t>
  </si>
  <si>
    <t>SUMINISTRO, TRANSPORTE E INSTALACION SISTEMA HIDRAULICO DE PRESION PREENSAMBLADO  - INCLUYE 2 BOMBAS DE 2 HP CAUDAL DE 56 GPM C/U,  RANGO DE PRESIÓN DE 30 - 50 PSI, TANQUE DE 200 LTS., TABLERO DE CONTROL  Y ACCESORIOS CONECCION A SISTEMA HIDRÁULICO Y ELÉCTRICO.</t>
  </si>
  <si>
    <t>L05</t>
  </si>
  <si>
    <t>SUMINISTRO, TRANSPORTE E INSTALACION SISTEMA HIDRAULICO DE PRESION PREENSAMBLADO  - INCLUYE 2 BOMBAS DE 2 HP CAUDAL DE 90 GPM C/U,  RANGO DE PRESIÓN DE 30 - 50 PSI, TANQUE DE 200 LTS., TABLERO DE CONTROL  Y ACCESORIOS CONECCION A SISTEMA HIDRÁULICO Y ELÉCTRICO.</t>
  </si>
  <si>
    <t>L06</t>
  </si>
  <si>
    <t>SUMINISTRO, TRANSPORTE E INSTALACION SISTEMA HIDRAULICO DE PRESION PREENSAMBLADO  - INCLUYE 2 BOMBAS DE 3 HP CAUDAL DE 30 GPM C/U,  RANGO DE PRESIÓN DE 30 - 50 PSI, TANQUE DE 200 LTS., TABLERO DE CONTROL  Y ACCESORIOS CONECCION A SISTEMA HIDRÁULICO Y ELÉCTRICO.</t>
  </si>
  <si>
    <t>L07</t>
  </si>
  <si>
    <t>SUMINISTRO, TRANSPORTE E INSTALACION SISTEMA HIDRAULICO DE PRESION PREENSAMBLADO  - INCLUYE 2 BOMBAS DE 3 HP CAUDAL DE 55 GPM C/U,  RANGO DE PRESIÓN DE 30 - 50 PSI, TANQUE DE 200 LTS., TABLERO DE CONTROL  Y ACCESORIOS CONECCION A SISTEMA HIDRÁULICO Y ELÉCTRICO.</t>
  </si>
  <si>
    <t>L08</t>
  </si>
  <si>
    <t>SUMINISTRO, TRANSPORTE E INSTALACION SISTEMA HIDRAULICO DE PRESION PREENSAMBLADO  - INCLUYE 2 BOMBAS DE 5 HP CAUDAL DE 100 GPM C/U,  RANGO DE PRESIÓN DE 40 - 60 PSI, TANQUE DE 300 LTS., TABLERO DE CONTROL  Y ACCESORIOS CONECCION A SISTEMA HIDRÁULICO Y ELÉCTRICO.</t>
  </si>
  <si>
    <t>L09</t>
  </si>
  <si>
    <t>SUMINISTRO, TRANSPORTE E INSTALACION SISTEMA HIDRAULICO DE PRESION PREENSAMBLADO  - INCLUYE 2 BOMBAS DE 5 HP CAUDAL DE 180 GPM C/U,  RANGO DE PRESIÓN DE 30 - 50 PSI, TANQUE DE 300 LTS., TABLERO DE CONTROL  Y ACCESORIOS CONECCION A SISTEMA HIDRÁULICO Y ELÉCTRICO.</t>
  </si>
  <si>
    <t>L10</t>
  </si>
  <si>
    <t>SUMINISTRO, TRANSPORTE E INSTALACION SISTEMA HIDRAULICO DE PRESION PREENSAMBLADO  - INCLUYE 2 BOMBAS DE 7.5 HP CAUDAL DE 140 GPM C/U,  RANGO DE PRESIÓN DE 40 - 60 PSI, TANQUE DE 500 LTS., TABLERO DE CONTROL  Y ACCESORIOS CONECCION A SISTEMA HIDRÁULICO Y ELÉCTRICO.</t>
  </si>
  <si>
    <t>L13</t>
  </si>
  <si>
    <t>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</si>
  <si>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L14</t>
  </si>
  <si>
    <t>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</si>
  <si>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L15</t>
  </si>
  <si>
    <t>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</si>
  <si>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L18</t>
  </si>
  <si>
    <t>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t>
  </si>
  <si>
    <t>L19</t>
  </si>
  <si>
    <t>SUMINISTRO, TRANSPORTE E INSTALACIÓN DE ASCENSOR TIPO PASAJEROS, PARA 8 PERSONAS O 630 KILOGRAMOS, 3 PARADAS MAQUINA LATERAL 1.10 * 1.40 * 2.20</t>
  </si>
  <si>
    <t>L20</t>
  </si>
  <si>
    <t>SUMINISTRO, TRANSPORTE E INSTALACIÓN SISTEMA DE PRESION PARA RED CONTRA INCENDIOS</t>
  </si>
  <si>
    <t>L21</t>
  </si>
  <si>
    <t>SUMINISTRO, TRANSPORTE E INSTALACIÓN EQUIPO DE PRESION CONSTANTE</t>
  </si>
  <si>
    <t>M</t>
  </si>
  <si>
    <t>EQUIPOS Y HERRAMIENTAS</t>
  </si>
  <si>
    <t>M01</t>
  </si>
  <si>
    <t>ANDAMIO METALICO CERTIFICADO, INCLUYE ESCALERILLA CON BARANDAS Y PLATAFORMAS DE TRABAJO</t>
  </si>
  <si>
    <t>Equipo</t>
  </si>
  <si>
    <t>dia</t>
  </si>
  <si>
    <t>M02</t>
  </si>
  <si>
    <t>BULLDOZER D-5</t>
  </si>
  <si>
    <t>M19</t>
  </si>
  <si>
    <t>CARROTANQUE DE AGUA 10.000 LTS.</t>
  </si>
  <si>
    <t>M23</t>
  </si>
  <si>
    <t>CARROTANQUE IRRIGADOR DE ASFALTO</t>
  </si>
  <si>
    <t>M12</t>
  </si>
  <si>
    <t>COMPACTADOR DE ASFALTO</t>
  </si>
  <si>
    <t>M24</t>
  </si>
  <si>
    <t>COMPRESOR (BARRIDO Y/O SOPLADO DE LA SUPERFICIE PAVIMENTO)</t>
  </si>
  <si>
    <t>M14</t>
  </si>
  <si>
    <t>COMPRESOR 2 MARTILLOS (INCLUYE ACPM Y TRANSPORTE)</t>
  </si>
  <si>
    <t>M11</t>
  </si>
  <si>
    <t xml:space="preserve">CORTADORA INCLUYE DISCO </t>
  </si>
  <si>
    <t>M16</t>
  </si>
  <si>
    <t>PLUMA  GRUA 250KG CON BALDE</t>
  </si>
  <si>
    <t>M21</t>
  </si>
  <si>
    <t xml:space="preserve">EQUIPO DE TERMOFUSION </t>
  </si>
  <si>
    <t>M17</t>
  </si>
  <si>
    <t>EQUIPO HIDROLAVADORA</t>
  </si>
  <si>
    <t>M18</t>
  </si>
  <si>
    <t>EQUIPO DE TRANSPORTE</t>
  </si>
  <si>
    <t>M22</t>
  </si>
  <si>
    <t>GRUA CON BRAZO HIDRAULICO</t>
  </si>
  <si>
    <t>M09</t>
  </si>
  <si>
    <t>MEZCLADORA A GASOLINA 1 SACO</t>
  </si>
  <si>
    <t>M13</t>
  </si>
  <si>
    <t>MOTONIVELADORA 120 HP.</t>
  </si>
  <si>
    <t>M26</t>
  </si>
  <si>
    <t>REGLA VIBRATORIA</t>
  </si>
  <si>
    <t>RETIRO DE ESCOMBROS (TRANSPORTE HORIZONTAL, CARGUE Y DESCARGUE).</t>
  </si>
  <si>
    <t>RETROEXCAVADORA SOBRE ORUGAS</t>
  </si>
  <si>
    <t>M15</t>
  </si>
  <si>
    <t>TALADRO ROTO PERCUTOR</t>
  </si>
  <si>
    <t>M25</t>
  </si>
  <si>
    <t>TERMINADORA DE ASFALTO</t>
  </si>
  <si>
    <t>M06</t>
  </si>
  <si>
    <t>VIBRADOR A GASOLINA</t>
  </si>
  <si>
    <t>M20</t>
  </si>
  <si>
    <t>VIBROCOMPACTADOR DE SUELO</t>
  </si>
  <si>
    <t>M07</t>
  </si>
  <si>
    <t>VIBROCOMPACTADOR MANUAL SALTARÍN</t>
  </si>
  <si>
    <t>M08</t>
  </si>
  <si>
    <t>VOLQUETA  6M3 (CARGUE A MANO)</t>
  </si>
  <si>
    <t>vje</t>
  </si>
  <si>
    <t>M75</t>
  </si>
  <si>
    <t>VOLQUETA  6M3 (CARGUE MECÁNICO)</t>
  </si>
  <si>
    <t>M27</t>
  </si>
  <si>
    <t>EQUIPO COLOCACION CONCRETO (BOMBEO)</t>
  </si>
  <si>
    <t>M28</t>
  </si>
  <si>
    <t>VOLQUETA  6M3 (CARGUE A MANO) RETIRO INTERNO</t>
  </si>
  <si>
    <t>M29</t>
  </si>
  <si>
    <t>VOLQUETA  6M3 (CARGUE A MECANICO) RETIRO INTERNO</t>
  </si>
  <si>
    <t>M30</t>
  </si>
  <si>
    <t>CORTADORA DE CONCRETO</t>
  </si>
  <si>
    <t>M53</t>
  </si>
  <si>
    <t>CORTADORA CON DISCO DIAMANTADO (INCLUYE OPERARIO)</t>
  </si>
  <si>
    <t>M31</t>
  </si>
  <si>
    <t>DISCO DIAMANTADO DE 14"</t>
  </si>
  <si>
    <t>M32</t>
  </si>
  <si>
    <t>ALLANADORA MECANICA CON CUCHILLAS</t>
  </si>
  <si>
    <t>M33</t>
  </si>
  <si>
    <t>MONTACARGA</t>
  </si>
  <si>
    <t>M34</t>
  </si>
  <si>
    <t>CAMABAJA</t>
  </si>
  <si>
    <t>M35</t>
  </si>
  <si>
    <t>TABLERO  1.40 X 0,70</t>
  </si>
  <si>
    <t>M36</t>
  </si>
  <si>
    <t>EQUIPO MANEJO DE AGUAS DIFERENTE A AGUAS RESIDUALES</t>
  </si>
  <si>
    <t>M37</t>
  </si>
  <si>
    <t>MOTOBOMBA DE 2" A GASOLINA</t>
  </si>
  <si>
    <t>M38</t>
  </si>
  <si>
    <t>EXPLOSIVOS (INCLUYE PERFORACIÓN, ESTOPINES, CORDON DETONANTE, MECHA LENTA Y DINAMITA)</t>
  </si>
  <si>
    <t>tiro</t>
  </si>
  <si>
    <t>M39</t>
  </si>
  <si>
    <t>EQUIPOS-HERRAMIENTA /PRUEBA HIDROSTATICA</t>
  </si>
  <si>
    <t>M40</t>
  </si>
  <si>
    <t>EQUIPOS-HERRAMIENTA P/FUSION DE TUBERIA</t>
  </si>
  <si>
    <t>M41</t>
  </si>
  <si>
    <t>FUSION TUBERIA SOCKET</t>
  </si>
  <si>
    <t>M42</t>
  </si>
  <si>
    <t>MATERIALES VARIOS PARA LA MOVILIZACION Y ALINEACION DEL MEDIDOR</t>
  </si>
  <si>
    <t>M43</t>
  </si>
  <si>
    <t>RETROCARGADORA DE LLANTAS</t>
  </si>
  <si>
    <t>M44</t>
  </si>
  <si>
    <t xml:space="preserve">EQUIPO DE COMPACTACION </t>
  </si>
  <si>
    <t>M45</t>
  </si>
  <si>
    <t>RETROEXCAVADORA CARGADORA JD-510</t>
  </si>
  <si>
    <t>M46</t>
  </si>
  <si>
    <t>COMPRESOR 175 Q 2 MARTILLOS</t>
  </si>
  <si>
    <t>M47</t>
  </si>
  <si>
    <t>VIBROCOMPACTADOR TIPO RANA</t>
  </si>
  <si>
    <t>M48</t>
  </si>
  <si>
    <t>CANGURO</t>
  </si>
  <si>
    <t>M49</t>
  </si>
  <si>
    <t>CILINDRO COMPACTADOR 6 TONELADAS</t>
  </si>
  <si>
    <t>M50</t>
  </si>
  <si>
    <t>MOTONIVELADORA CAT-12 -F</t>
  </si>
  <si>
    <t>M51</t>
  </si>
  <si>
    <t>VIBROCOMPACTADOR  TANDEM</t>
  </si>
  <si>
    <t>M52</t>
  </si>
  <si>
    <t>VIBRADOR</t>
  </si>
  <si>
    <t>M54</t>
  </si>
  <si>
    <t>CANASTILLA SOPORTE DOVELAS EN HIERRO DE 1/4"</t>
  </si>
  <si>
    <t>M55</t>
  </si>
  <si>
    <t xml:space="preserve">EQUIPO DE EXCAVACION </t>
  </si>
  <si>
    <t>M56</t>
  </si>
  <si>
    <t>PLANCHON Y REMOLCADOR</t>
  </si>
  <si>
    <t>M57</t>
  </si>
  <si>
    <t>OBRA FALSA Y PUNTALES PARA PILOTES</t>
  </si>
  <si>
    <t>M58</t>
  </si>
  <si>
    <t>MIXER DE 6 M3 CONCRETO PREMEZCLADO</t>
  </si>
  <si>
    <t>M59</t>
  </si>
  <si>
    <t>ANDAMIOS METALICO CERTIFICADO Y FORMALETA PARA SUPERESTRUCTURA</t>
  </si>
  <si>
    <t>M60</t>
  </si>
  <si>
    <t>EQUIPO DE SOLDADURA</t>
  </si>
  <si>
    <t>M61</t>
  </si>
  <si>
    <t>TALADRO DE PERCUCION</t>
  </si>
  <si>
    <t>M62</t>
  </si>
  <si>
    <t>GATO PARA TENSIONAMIENTO</t>
  </si>
  <si>
    <t>M63</t>
  </si>
  <si>
    <t>BOMBA PARA INYECTAR LECHADA</t>
  </si>
  <si>
    <t>M65</t>
  </si>
  <si>
    <t>CUÑAS</t>
  </si>
  <si>
    <t>M66</t>
  </si>
  <si>
    <t>BLOQUE (GALLETA) PARA POSTENSADO 12 TORONES N° 15 E= 75 MM D=170MM</t>
  </si>
  <si>
    <t>M67</t>
  </si>
  <si>
    <t>TORON N°15  GRADO 1860 D =0,6"</t>
  </si>
  <si>
    <t>M68</t>
  </si>
  <si>
    <t>DUCTO METALICO D = 87 MM PARA CLABLE</t>
  </si>
  <si>
    <t>M69</t>
  </si>
  <si>
    <t>PLACA DE 270MM X270 MM X 40 MM</t>
  </si>
  <si>
    <t>M70</t>
  </si>
  <si>
    <t>TROMPETA LONG 460 MM D1=118 MM D2 = 87 MM</t>
  </si>
  <si>
    <t>M71</t>
  </si>
  <si>
    <t>TUBO DE INYECCION</t>
  </si>
  <si>
    <t>M72</t>
  </si>
  <si>
    <t>RANA COMPACTADORA (INCLUYE COMBUSTIBLE)</t>
  </si>
  <si>
    <t>M73</t>
  </si>
  <si>
    <t>CARRETA O BUGGY</t>
  </si>
  <si>
    <t>M74</t>
  </si>
  <si>
    <t>M76</t>
  </si>
  <si>
    <t>ACARREO CAMIONETA</t>
  </si>
  <si>
    <t>M77</t>
  </si>
  <si>
    <t>DESTRONCADORA DE PISOS 10HP</t>
  </si>
  <si>
    <t>M78</t>
  </si>
  <si>
    <t>PULIDORA PISOS</t>
  </si>
  <si>
    <t>M79</t>
  </si>
  <si>
    <t>BRILLADORA</t>
  </si>
  <si>
    <t>M80</t>
  </si>
  <si>
    <t>MOTOSIERRA GRANDE</t>
  </si>
  <si>
    <t>M81</t>
  </si>
  <si>
    <t>EQUIPO DE PERFORACION 6"</t>
  </si>
  <si>
    <t>M82</t>
  </si>
  <si>
    <t>COMPRESOR</t>
  </si>
  <si>
    <t>M83</t>
  </si>
  <si>
    <t>ANDAMIO COLGANTE</t>
  </si>
  <si>
    <t>M84</t>
  </si>
  <si>
    <t>ALQUILER DE MULA</t>
  </si>
  <si>
    <t>M85</t>
  </si>
  <si>
    <t>VEHICULO DE APOYO DEMARCACION VIAS</t>
  </si>
  <si>
    <t>M86</t>
  </si>
  <si>
    <t>ESCALERA CERTIFICADA</t>
  </si>
  <si>
    <t>M87</t>
  </si>
  <si>
    <t>SOPLETE GAS CON GATILLO QUEMADOR 25-35-50MM</t>
  </si>
  <si>
    <t>M88</t>
  </si>
  <si>
    <t>CAMIONETA ALQUILER</t>
  </si>
  <si>
    <t>M89</t>
  </si>
  <si>
    <t>EQUIPO DE TRANSPORTE PARA MAQUINARIA PESADA</t>
  </si>
  <si>
    <t>M90</t>
  </si>
  <si>
    <t>PULIDORA INDUSTRIAL</t>
  </si>
  <si>
    <t>M91</t>
  </si>
  <si>
    <t>BALDE DE CONSTRUCCIÓN</t>
  </si>
  <si>
    <t>M92</t>
  </si>
  <si>
    <t xml:space="preserve">CUÑETE </t>
  </si>
  <si>
    <t>M93</t>
  </si>
  <si>
    <t>MARTILLO HIDRAULICO BOBCAT</t>
  </si>
  <si>
    <t>M94</t>
  </si>
  <si>
    <t>BARRENO</t>
  </si>
  <si>
    <t>M95</t>
  </si>
  <si>
    <t>EQUIPO DE PINTURA DE ALTA PRESION</t>
  </si>
  <si>
    <t>M96</t>
  </si>
  <si>
    <t>EQUIPO DE LIMPIEZA MECANICA</t>
  </si>
  <si>
    <t>N</t>
  </si>
  <si>
    <t>EXTERIORES Y VIAS</t>
  </si>
  <si>
    <t>N04</t>
  </si>
  <si>
    <t>EMULSION ASFALTICA TIPO CRL-1</t>
  </si>
  <si>
    <t>emulsiones_asfalticas</t>
  </si>
  <si>
    <t>N05</t>
  </si>
  <si>
    <t>EMULSION ASFALTICA TIPO CRR-1</t>
  </si>
  <si>
    <t>N06</t>
  </si>
  <si>
    <t>MEZCLA ASFALTICA TIPO MDC-1</t>
  </si>
  <si>
    <t>diseñosMDC</t>
  </si>
  <si>
    <t>N07</t>
  </si>
  <si>
    <t xml:space="preserve">MEZCLA ASFALTICA TIPO MDC-2 </t>
  </si>
  <si>
    <t>N08</t>
  </si>
  <si>
    <t>MEZCLA ASFALTICA TIPO MDC-3</t>
  </si>
  <si>
    <t>N02</t>
  </si>
  <si>
    <t>PASTO KIKUYO (CORTADO)</t>
  </si>
  <si>
    <t>pasto kikuyo</t>
  </si>
  <si>
    <t>N03</t>
  </si>
  <si>
    <t>PLANTAS ORNAMENTALES VARIAS</t>
  </si>
  <si>
    <t>catalogo plantas ornamentales</t>
  </si>
  <si>
    <t>N01</t>
  </si>
  <si>
    <t>TIERRA NEGRA</t>
  </si>
  <si>
    <t>N09</t>
  </si>
  <si>
    <t>GRAMA TIPO BERMUDA GRASS</t>
  </si>
  <si>
    <t>N10</t>
  </si>
  <si>
    <t>AISLADOR SISMICO DIS DI=650</t>
  </si>
  <si>
    <t>N11</t>
  </si>
  <si>
    <t>PERNOS, TUERCA Y ARANDELA PARA FIJACION DE AISLADORES</t>
  </si>
  <si>
    <t>N12</t>
  </si>
  <si>
    <t>PLANTILLA PARA UBICACIÓN DE PERNOS PARA FIJAR AISLADOR SISMICO</t>
  </si>
  <si>
    <t>N13</t>
  </si>
  <si>
    <t>AISLADOR SISMICO DIS DI=1000</t>
  </si>
  <si>
    <t>N14</t>
  </si>
  <si>
    <t>TUBO GALVANIZADO 4"</t>
  </si>
  <si>
    <t>N15</t>
  </si>
  <si>
    <t>LAMINA METALICA DE 1/2"</t>
  </si>
  <si>
    <t>N16</t>
  </si>
  <si>
    <t>JUNTA TIPO VSL T -100 O SIMILAR</t>
  </si>
  <si>
    <t>N17</t>
  </si>
  <si>
    <t>BLOQUES DE CESPED</t>
  </si>
  <si>
    <t>N18</t>
  </si>
  <si>
    <t>ARBOL DE GRAN PORTE</t>
  </si>
  <si>
    <t>N19</t>
  </si>
  <si>
    <t>CANECA METALICA PARA BASUREROS</t>
  </si>
  <si>
    <t>N20</t>
  </si>
  <si>
    <t>TUBO PVC CONDUIT 2"</t>
  </si>
  <si>
    <t>Centelsa</t>
  </si>
  <si>
    <t>N21</t>
  </si>
  <si>
    <t>SOLUCION</t>
  </si>
  <si>
    <t>N22</t>
  </si>
  <si>
    <t>VARILLA DE 1" ROSCADA PARA ANCLAJES DE LUMINARIA</t>
  </si>
  <si>
    <t>N23</t>
  </si>
  <si>
    <t xml:space="preserve">PLANTILLA PARA UBICACIÓN  DE PERNOS BASES LUMINARIAS </t>
  </si>
  <si>
    <t>N24</t>
  </si>
  <si>
    <t>POSTE EN CONCRETO PREFABRICADO</t>
  </si>
  <si>
    <t>postes prefabricados</t>
  </si>
  <si>
    <t>N25</t>
  </si>
  <si>
    <t>PLANTULA DE  LIMONCILLO Y/O CITRONELA O SIMILAR</t>
  </si>
  <si>
    <t>filtros vivos</t>
  </si>
  <si>
    <t>N26</t>
  </si>
  <si>
    <t>REPOSICION PLANTULAS</t>
  </si>
  <si>
    <t>N27</t>
  </si>
  <si>
    <t>SEMILLAS PARA BIOMANTO</t>
  </si>
  <si>
    <t>N28</t>
  </si>
  <si>
    <t>GALLINAZA</t>
  </si>
  <si>
    <t>N29</t>
  </si>
  <si>
    <t>PLANTULA DE CAÑABRAVA O SIMILAR</t>
  </si>
  <si>
    <t>N30</t>
  </si>
  <si>
    <t>ESTACAS DE MARATON</t>
  </si>
  <si>
    <t>N31</t>
  </si>
  <si>
    <t>ESTACAS DE GUADUA</t>
  </si>
  <si>
    <t>O</t>
  </si>
  <si>
    <t>FERRETERIA Y OTROS</t>
  </si>
  <si>
    <t>O36</t>
  </si>
  <si>
    <t>ALFALISTO BLANCO O SIMILAR</t>
  </si>
  <si>
    <t>alfalisto</t>
  </si>
  <si>
    <t>O12</t>
  </si>
  <si>
    <t>ALFALISTO GRIS O SIMILAR.</t>
  </si>
  <si>
    <t>O32</t>
  </si>
  <si>
    <t>ALFALISTOPLUS O SIMILAR.</t>
  </si>
  <si>
    <t>O39</t>
  </si>
  <si>
    <t>BISAGRAS ALUMINIO 3"</t>
  </si>
  <si>
    <t>O28</t>
  </si>
  <si>
    <t>BROCA PARA MURO 5/8" X 8"</t>
  </si>
  <si>
    <t>herramienta electrica y accesorios</t>
  </si>
  <si>
    <t>O28A</t>
  </si>
  <si>
    <t>BROCA PARA MURO 7/8" X 8"</t>
  </si>
  <si>
    <t>O01</t>
  </si>
  <si>
    <t>CEMENTO BLANCO</t>
  </si>
  <si>
    <t>cemento blanco</t>
  </si>
  <si>
    <t>O33</t>
  </si>
  <si>
    <t>CHAZO PUNTILLA</t>
  </si>
  <si>
    <t>fijaciones mecanicas</t>
  </si>
  <si>
    <t>O24</t>
  </si>
  <si>
    <t xml:space="preserve">CHAZOS 3/8 X 2" </t>
  </si>
  <si>
    <t>O02</t>
  </si>
  <si>
    <t>CINTA DE DEMARCACION * 10 M.</t>
  </si>
  <si>
    <t>DEL3M</t>
  </si>
  <si>
    <t>O03</t>
  </si>
  <si>
    <t>COLOR MINERAL</t>
  </si>
  <si>
    <t>O22</t>
  </si>
  <si>
    <t>DILATACION EN BRONCE PC09</t>
  </si>
  <si>
    <t>Dilatacionesbronce</t>
  </si>
  <si>
    <t>O06</t>
  </si>
  <si>
    <t>ENDURECEDOR COLOR GRIS  TIPO ROCKTOP DE TOXEMENT O SIMILAR.</t>
  </si>
  <si>
    <t>rocktop</t>
  </si>
  <si>
    <t>O27</t>
  </si>
  <si>
    <t>ESTOPA</t>
  </si>
  <si>
    <t>O26</t>
  </si>
  <si>
    <t>EXTRACTOR EOLICO VERTICAL DE 12"</t>
  </si>
  <si>
    <t>O07</t>
  </si>
  <si>
    <t>GRAVILLA MONA ( 25 KILOS )</t>
  </si>
  <si>
    <t>bul</t>
  </si>
  <si>
    <t>O08</t>
  </si>
  <si>
    <t xml:space="preserve">LAMINA METAL DECK  LAMINA 2"  CAL.16  - TIPO ACESCO O SIMILAR. </t>
  </si>
  <si>
    <t>O08A</t>
  </si>
  <si>
    <t xml:space="preserve">LAMINA CORPALOSA </t>
  </si>
  <si>
    <t>corpalosa</t>
  </si>
  <si>
    <t>O09</t>
  </si>
  <si>
    <t>LLAVE TERMINAL MANGUERA 1/2"</t>
  </si>
  <si>
    <t>llave terminal</t>
  </si>
  <si>
    <t>O10</t>
  </si>
  <si>
    <t>PABMERIL PLIEGO 9" X 11"</t>
  </si>
  <si>
    <t>O11</t>
  </si>
  <si>
    <t>PEGACOR BLANCO</t>
  </si>
  <si>
    <t>pegacor</t>
  </si>
  <si>
    <t>O38</t>
  </si>
  <si>
    <t>PEGANTE BOXER</t>
  </si>
  <si>
    <t>boxer</t>
  </si>
  <si>
    <t>O29</t>
  </si>
  <si>
    <t>PISTOLA INYECTOR PARA EPOXICO</t>
  </si>
  <si>
    <t>otros</t>
  </si>
  <si>
    <t>O05</t>
  </si>
  <si>
    <t>PLACA DE IDENTIFICACION EN ALUMINIO ALTO RELIEVE DE 12 X 5 CM. SEGÚN NORMA CS 278-1</t>
  </si>
  <si>
    <t>O31</t>
  </si>
  <si>
    <t>PLASTOCRETE DM DE SIKA IMPERMEABILIZANTE PARA CONCRETOS O SIMILAR.</t>
  </si>
  <si>
    <t>O13</t>
  </si>
  <si>
    <t>POLIETILENO NO. 6</t>
  </si>
  <si>
    <t>tubosistemas pead pavco</t>
  </si>
  <si>
    <t>O14</t>
  </si>
  <si>
    <t>PUNTILLA CON CABEZA 1"</t>
  </si>
  <si>
    <t>lb</t>
  </si>
  <si>
    <t>puntillas</t>
  </si>
  <si>
    <t>O15</t>
  </si>
  <si>
    <t>PUNTILLA CON CABEZA 2"</t>
  </si>
  <si>
    <t>O04</t>
  </si>
  <si>
    <t>PUNTILLA CON CABEZA 3"</t>
  </si>
  <si>
    <t>O16</t>
  </si>
  <si>
    <t>SIKA-1 IMPERMEABILIZANTE INTEGRAL MORTEROS O SIMILAR.</t>
  </si>
  <si>
    <t>O17</t>
  </si>
  <si>
    <t>SIKADUR -42  ANCLAJE O SIMILAR.</t>
  </si>
  <si>
    <t>O17A</t>
  </si>
  <si>
    <t>SIKADUR -32 PRIMER</t>
  </si>
  <si>
    <t>O30</t>
  </si>
  <si>
    <t>SIKADUR PANEL O SIMILAR.</t>
  </si>
  <si>
    <t>O35</t>
  </si>
  <si>
    <t>SIKAFLEX 1A TUBO 305 CC O SIMILAR.</t>
  </si>
  <si>
    <t>O25</t>
  </si>
  <si>
    <t>SIKAFLEX PRO 3 WF TUBO 600 CC O SIMILAR.</t>
  </si>
  <si>
    <t>O18</t>
  </si>
  <si>
    <t>SILICONA TUBO 280 ML</t>
  </si>
  <si>
    <t>O34</t>
  </si>
  <si>
    <t>SOLDADURA DE ESTAÑO 60-40 250GR 1/16"  (1.6 MM)</t>
  </si>
  <si>
    <t>soldadura</t>
  </si>
  <si>
    <t>O19</t>
  </si>
  <si>
    <t>SOLDADURA ELECTRICA TIPO WESTARCO SUPER E- 6013  DE 1/8 O SIMILAR.</t>
  </si>
  <si>
    <t>O20</t>
  </si>
  <si>
    <t>SOLDADURA EXOTERMICA TIPO CADWELD O SIMILAR  DE 115 GRADOS</t>
  </si>
  <si>
    <t>O20A</t>
  </si>
  <si>
    <t xml:space="preserve">SOLDADURA E 6013 </t>
  </si>
  <si>
    <t>O20B</t>
  </si>
  <si>
    <t>SOLDADURA Y LIMPIADOR</t>
  </si>
  <si>
    <t>O20C</t>
  </si>
  <si>
    <t>SOLDADURA E7018</t>
  </si>
  <si>
    <t>O21</t>
  </si>
  <si>
    <t>WIN PLASTICO</t>
  </si>
  <si>
    <t>O23</t>
  </si>
  <si>
    <t xml:space="preserve">SIKA ANTISOL ROJO </t>
  </si>
  <si>
    <t>O40</t>
  </si>
  <si>
    <t xml:space="preserve">SIKA SEPAROL </t>
  </si>
  <si>
    <t>O41</t>
  </si>
  <si>
    <t xml:space="preserve">POLIETILENO NEGRO CAL 3.5 </t>
  </si>
  <si>
    <t>O42</t>
  </si>
  <si>
    <t>FALLEBA +PORTA CANDADO</t>
  </si>
  <si>
    <t>O43</t>
  </si>
  <si>
    <t xml:space="preserve">BISAGRA EN TUBO </t>
  </si>
  <si>
    <t>O44</t>
  </si>
  <si>
    <t>BISAGRAS ALUMINIO VAIVEN 3"</t>
  </si>
  <si>
    <t>O45</t>
  </si>
  <si>
    <t>FIBRA PARA CERRAMIENTO PROVISIONAL H=2,1M</t>
  </si>
  <si>
    <t>O46</t>
  </si>
  <si>
    <t>VALLA EN LONA</t>
  </si>
  <si>
    <t>O47</t>
  </si>
  <si>
    <t>VALLA EN LONA TIPO TRIPODE (3 USOS)</t>
  </si>
  <si>
    <t>O48</t>
  </si>
  <si>
    <t>SEÑAL PREVENTIVA, REGLAMENTARIA E INFORMATIVA (2 USOS)</t>
  </si>
  <si>
    <t>048A</t>
  </si>
  <si>
    <t xml:space="preserve">SEÑAL PREVENTIVA, REGLAMENTARIA E INFORMATIVA (4 USOS) tipo invias minimo 0,70 m </t>
  </si>
  <si>
    <t>O49</t>
  </si>
  <si>
    <t>DELINEADOR PLASTICO ( 8  USOS)</t>
  </si>
  <si>
    <t>O50</t>
  </si>
  <si>
    <t>CINTA REFLECTIVA DE SEGURIDAD (2 HILERAS)</t>
  </si>
  <si>
    <t>O51</t>
  </si>
  <si>
    <t>ESTRUCTURA EN GUADUA-CUARTÓN</t>
  </si>
  <si>
    <t>O52</t>
  </si>
  <si>
    <t>PASAMANOS EN LISTÓN</t>
  </si>
  <si>
    <t>O53</t>
  </si>
  <si>
    <t>ESTRUCTURA EN GUADUA</t>
  </si>
  <si>
    <t>O54</t>
  </si>
  <si>
    <t>PLÁSTICO TRANSPARENTE CALIBRE 6</t>
  </si>
  <si>
    <t>O55</t>
  </si>
  <si>
    <t>MATERIALES VARIOS PARA RANSPORTE/INSTALACION/FIJACION  DE CAMARAS CIRCULARES</t>
  </si>
  <si>
    <t>O56</t>
  </si>
  <si>
    <t>ARO-TAPA HD DE 0.58 M - SELLO ELASTICO - LLAVE SEGURIDAD</t>
  </si>
  <si>
    <t>O57</t>
  </si>
  <si>
    <t>ARO-TAPA HFDE 0.60X 100 KG</t>
  </si>
  <si>
    <t>O58</t>
  </si>
  <si>
    <t>ARO EN POLIPROPILENO RECICLADO CUELLO 13 CM</t>
  </si>
  <si>
    <t>O59</t>
  </si>
  <si>
    <t>TAPA D= 0,70 M POLIPROPILENO RECICLADO</t>
  </si>
  <si>
    <t>O60</t>
  </si>
  <si>
    <t>ARO EN POLIPROPILENO RECICLADO CUELLO 20 CM</t>
  </si>
  <si>
    <t>O60A</t>
  </si>
  <si>
    <t>LAMINA DE POLIPROPILENO PARA CAMARAS DE INSPECCION</t>
  </si>
  <si>
    <t>O61</t>
  </si>
  <si>
    <t>HIDROSELLO DE 24 "</t>
  </si>
  <si>
    <t>Tuberia novafort y novaloc</t>
  </si>
  <si>
    <t>PAVCO NOV 2015</t>
  </si>
  <si>
    <t>O62</t>
  </si>
  <si>
    <t>HIDROSELLO DE 27 "</t>
  </si>
  <si>
    <t>O63</t>
  </si>
  <si>
    <t>HIDROSELLO DE 30 "</t>
  </si>
  <si>
    <t>O64</t>
  </si>
  <si>
    <t>HIDROSELLO DE 33"</t>
  </si>
  <si>
    <t>O65</t>
  </si>
  <si>
    <t>HIDROSELLO DE 36 "</t>
  </si>
  <si>
    <t>O66</t>
  </si>
  <si>
    <t>HIDROSELLO DE 39 "</t>
  </si>
  <si>
    <t>O67</t>
  </si>
  <si>
    <t>HIDROSELLO DE 42 "</t>
  </si>
  <si>
    <t>O68</t>
  </si>
  <si>
    <t>HIDROSELLO DE 45 "</t>
  </si>
  <si>
    <t>O69</t>
  </si>
  <si>
    <t>HIDROSELLO DE 48 "</t>
  </si>
  <si>
    <t>O70</t>
  </si>
  <si>
    <t>HIDROSELLO DE 51 "</t>
  </si>
  <si>
    <t>O71</t>
  </si>
  <si>
    <t>HIDROSELLO DE 57 "</t>
  </si>
  <si>
    <t>O72</t>
  </si>
  <si>
    <t>HIDROSELLO DE 60 "</t>
  </si>
  <si>
    <t>O73</t>
  </si>
  <si>
    <t>HIDROSELLO DE 68 "</t>
  </si>
  <si>
    <t>O74</t>
  </si>
  <si>
    <t>PUNTILLA CC PUMA 2.1/2 X 500</t>
  </si>
  <si>
    <t>O75</t>
  </si>
  <si>
    <t>ADITIVO PARA CURAR EL CONCRETO</t>
  </si>
  <si>
    <t>O76</t>
  </si>
  <si>
    <t>SELLO ELASTOMERICO</t>
  </si>
  <si>
    <t>O77</t>
  </si>
  <si>
    <t>BENTONITA</t>
  </si>
  <si>
    <t>espacio publico titan</t>
  </si>
  <si>
    <t>O78</t>
  </si>
  <si>
    <t>RIGIDIZADORES</t>
  </si>
  <si>
    <t>O79</t>
  </si>
  <si>
    <t>PASARELA</t>
  </si>
  <si>
    <t>O80</t>
  </si>
  <si>
    <t>OXIGENO</t>
  </si>
  <si>
    <t>O81</t>
  </si>
  <si>
    <t>MUERTOS Y BOYAS</t>
  </si>
  <si>
    <t>O82</t>
  </si>
  <si>
    <t>CABOS</t>
  </si>
  <si>
    <t>O83</t>
  </si>
  <si>
    <t>EMBARCADERO</t>
  </si>
  <si>
    <t>O84</t>
  </si>
  <si>
    <t>TORNILLO DE FIJACION M-24 INCLUYE TUERCA, ARANDELA Y RESINATIPO SIKA DUR 42 O SIMILAR</t>
  </si>
  <si>
    <t>O85</t>
  </si>
  <si>
    <t>LOSETA TACTIL GUIA</t>
  </si>
  <si>
    <t>O86</t>
  </si>
  <si>
    <t>POLIETILENO 1/2"</t>
  </si>
  <si>
    <t>O87</t>
  </si>
  <si>
    <t>SIKAFLUID</t>
  </si>
  <si>
    <t>O88</t>
  </si>
  <si>
    <t>COSTAL</t>
  </si>
  <si>
    <t>O89</t>
  </si>
  <si>
    <t>ESTACAS PARA ANCLAJE</t>
  </si>
  <si>
    <t>O90</t>
  </si>
  <si>
    <t>COSTAL BIODEGRADABLE</t>
  </si>
  <si>
    <t>O91</t>
  </si>
  <si>
    <t>PLASTICO DE PROTECCION</t>
  </si>
  <si>
    <t>O92</t>
  </si>
  <si>
    <t>MOLDES GUIA METALICOS PINTURA</t>
  </si>
  <si>
    <t>O93</t>
  </si>
  <si>
    <t>PEGANTE CERAMICO GRIS</t>
  </si>
  <si>
    <t>O94</t>
  </si>
  <si>
    <t>LOSETA PREFABRICADA LISA</t>
  </si>
  <si>
    <t>O95</t>
  </si>
  <si>
    <t>SIKA SET X 5KG</t>
  </si>
  <si>
    <t>O96</t>
  </si>
  <si>
    <t>BROCA 1*21 DW5819</t>
  </si>
  <si>
    <t>O97</t>
  </si>
  <si>
    <t>BROCA 1/2*21 HILTI</t>
  </si>
  <si>
    <t>O98</t>
  </si>
  <si>
    <t>BROCA 3/4*21 HILTI</t>
  </si>
  <si>
    <t>ft_metcer</t>
  </si>
  <si>
    <t>O99</t>
  </si>
  <si>
    <t>BOMBON</t>
  </si>
  <si>
    <t xml:space="preserve">Insumo </t>
  </si>
  <si>
    <t>O100</t>
  </si>
  <si>
    <t>MANGUERA PLASTICA LAVAMANOS - SANITARIOS</t>
  </si>
  <si>
    <t>O101</t>
  </si>
  <si>
    <t>CHAZO PLASTICO 1/4" ESTRIADO - BOLSA 100 UND</t>
  </si>
  <si>
    <t>P</t>
  </si>
  <si>
    <t>FORMALETAS</t>
  </si>
  <si>
    <t>P12</t>
  </si>
  <si>
    <t>CAMILLA MADERA  0.35 X 1.40 M.</t>
  </si>
  <si>
    <t>P11</t>
  </si>
  <si>
    <t>CAMILLA MADERA  0.70 X 1.40 M.</t>
  </si>
  <si>
    <t>P09</t>
  </si>
  <si>
    <t>CASETON DE GUADUA 80 X 27 CM. ( PLACA H=0.35 M. )</t>
  </si>
  <si>
    <t>P01</t>
  </si>
  <si>
    <t>CASETON DE GUADUA 80 X 32 CM. ( PLACA H=0.40 M.)</t>
  </si>
  <si>
    <t>P16</t>
  </si>
  <si>
    <t>CASETON DE GUADUA 80 X 37 CM. ( PLACA H=0.45 M.)</t>
  </si>
  <si>
    <t>P17</t>
  </si>
  <si>
    <t>CASETON DE GUADUA 80 X 42 CM. ( PLACA H=0.50 M.)</t>
  </si>
  <si>
    <t>P15</t>
  </si>
  <si>
    <t xml:space="preserve">CERCHA METALICA L=3 M. </t>
  </si>
  <si>
    <t>P02</t>
  </si>
  <si>
    <t>FORMALETA ENTREPISOS CON PARAL CORTO DE 1.50 A 2.50 M</t>
  </si>
  <si>
    <t>mes</t>
  </si>
  <si>
    <t>P04</t>
  </si>
  <si>
    <t>FORMALETA ENTREPISOS CON PARAL EXTRALARGO DE 3.00 A 4.50 M</t>
  </si>
  <si>
    <t>P03</t>
  </si>
  <si>
    <t>FORMALETA ENTREPISOS CON PARAL LARGO DE 2.00 A 3.50 M.</t>
  </si>
  <si>
    <t>P10</t>
  </si>
  <si>
    <t>FORMALETA METALICA - CARA DE CONTACTO</t>
  </si>
  <si>
    <t>P05</t>
  </si>
  <si>
    <t>FORMALETA SARDINEL DESDE 0.20 HASTA 0.60 M. DE ALTURA POR 2.00 M. DE LONGITUD</t>
  </si>
  <si>
    <t>P07</t>
  </si>
  <si>
    <t>MORDAZA METALICA</t>
  </si>
  <si>
    <t>P13</t>
  </si>
  <si>
    <t>PARAL CORTO 1.50 A 2.50 M</t>
  </si>
  <si>
    <t>P14</t>
  </si>
  <si>
    <t>PARAL EXTRALARGO 3.00 A 4.50 M</t>
  </si>
  <si>
    <t>P06</t>
  </si>
  <si>
    <t>PARAL LARGO 2.00 A 3.50 M</t>
  </si>
  <si>
    <t>P08</t>
  </si>
  <si>
    <t xml:space="preserve">FORMALETA TABLEMAC 4MM SUPER T O EQUIVALENTE </t>
  </si>
  <si>
    <t>P18</t>
  </si>
  <si>
    <t xml:space="preserve">FORMALETA BORDE VIGAS AEREAS INCLUYE PARAL </t>
  </si>
  <si>
    <t>P19</t>
  </si>
  <si>
    <t>FORMALETA PARA BASE DE CONCRETO</t>
  </si>
  <si>
    <t>P20</t>
  </si>
  <si>
    <t>FORMALETA METALICA PARA CAMARA CIRCULAR</t>
  </si>
  <si>
    <t>P21</t>
  </si>
  <si>
    <t>PELDAÑOS  EN 3/4 DE FC=420 MPA INCLUYE PERFORACION Y ANCLAJE</t>
  </si>
  <si>
    <t>P22</t>
  </si>
  <si>
    <t>FORMALETA METALICA PARA CAISSONS</t>
  </si>
  <si>
    <t>P23</t>
  </si>
  <si>
    <t>LAMINA  DE SUPER T FORMALETA</t>
  </si>
  <si>
    <t>P24</t>
  </si>
  <si>
    <t>FORMALETA PARA PILARES DEL PUENTE</t>
  </si>
  <si>
    <t>P25</t>
  </si>
  <si>
    <t>CERCHA VIGA METALICA</t>
  </si>
  <si>
    <t>P26</t>
  </si>
  <si>
    <t>IGOL IMPRIMANTE 3KG</t>
  </si>
  <si>
    <t>P27</t>
  </si>
  <si>
    <t>MANILA 13 MM ECON</t>
  </si>
  <si>
    <t>Q</t>
  </si>
  <si>
    <t>GEOSINTETICOS</t>
  </si>
  <si>
    <t>Q06</t>
  </si>
  <si>
    <t>GEODREN PLANAR 0,5 M. PAVCO O SIMILAR</t>
  </si>
  <si>
    <t>ficha tecnica geodren planar</t>
  </si>
  <si>
    <t>Q02</t>
  </si>
  <si>
    <t>GEODREN PLANAR 1,0 M. PAVCO O SIMILAR</t>
  </si>
  <si>
    <t>Q03</t>
  </si>
  <si>
    <t>GEODREN VIAL TB 100 MM. 1,0 M. PAVCO O SIMILAR</t>
  </si>
  <si>
    <t>Q05</t>
  </si>
  <si>
    <t>GEODREN VIAL TB 160 MM. 1,0 M. PAVCO O SIMILAR</t>
  </si>
  <si>
    <t>Q01</t>
  </si>
  <si>
    <t>GEOTEXTIL NO TEJIDO  1600 PAVCO O SIMILAR</t>
  </si>
  <si>
    <t>geotextiles</t>
  </si>
  <si>
    <t>Q01A</t>
  </si>
  <si>
    <t>GEOTEXTIL NO TEJIDO  2000 PAVCO O SIMILAR</t>
  </si>
  <si>
    <t>Q04</t>
  </si>
  <si>
    <t>GEOTEXTIL NO TEJIDO  3000 PAVCO O SIMILAR</t>
  </si>
  <si>
    <t>Q07</t>
  </si>
  <si>
    <t>GEOTEXTIL TEJIDO (RESITENCIA ULTIMA 60 KN/M)</t>
  </si>
  <si>
    <t>Q08</t>
  </si>
  <si>
    <t>GEOTEXTIL NO TEJIDO  4000 PAVCO O SIMILAR</t>
  </si>
  <si>
    <t>Q09</t>
  </si>
  <si>
    <t>GEODREN CIRCULAR 1,0 M PAVCO O SIMILAR</t>
  </si>
  <si>
    <t>ficha tecnica geodren circular</t>
  </si>
  <si>
    <t>R</t>
  </si>
  <si>
    <t>IMPERMEABILIZANTES Y LAVADOS</t>
  </si>
  <si>
    <t>R02</t>
  </si>
  <si>
    <t>IMPERMEABILIZACION TIPO MANTO MORTER PLAS AL - 300 E=3 MM O SIMILAR.</t>
  </si>
  <si>
    <t>R01</t>
  </si>
  <si>
    <t>IMPERMEABILIZACION TIPO MANTO MORTER PLAS AL - 80 E=3.5 MM O SIMILAR.</t>
  </si>
  <si>
    <t>R03</t>
  </si>
  <si>
    <t>IMPERMEABILIZACION FIBER GLASS PLAS P-3  CON REFUERZO EN POLIESTER . (REMATES, PINTURA BITUMINOSA)</t>
  </si>
  <si>
    <t>R04</t>
  </si>
  <si>
    <t>LAVADO E IMPERMEABILIZADO CON PRODUCTO HIDROFUGADO</t>
  </si>
  <si>
    <t>S</t>
  </si>
  <si>
    <t>INSTALACIONES HIDROSANITARIAS</t>
  </si>
  <si>
    <t>S108</t>
  </si>
  <si>
    <t>ABRAZADERA EN ACERO</t>
  </si>
  <si>
    <t>accesorios union mecanica</t>
  </si>
  <si>
    <t>S122</t>
  </si>
  <si>
    <t>ABRAZADERA PLASTICA 5/8</t>
  </si>
  <si>
    <t>S169</t>
  </si>
  <si>
    <t>ACCESORIOS CPVC  1/2" ( CODO , UNIÓN Y TAPÓN )</t>
  </si>
  <si>
    <t>S170</t>
  </si>
  <si>
    <t>ACCESORIOS CPVC  3/4" ( CODO , UNIÓN Y TAPÓN )</t>
  </si>
  <si>
    <t>S90</t>
  </si>
  <si>
    <t>ACCESORIOS PVC-P  1 1/2"  ( CODO , UNIÓN Y TAPÓN )</t>
  </si>
  <si>
    <t>S163</t>
  </si>
  <si>
    <t>ACCESORIOS PVC-P  1 1/4" ( CODO , UNIÓN Y TAPÓN )</t>
  </si>
  <si>
    <t>S91</t>
  </si>
  <si>
    <t>ACCESORIOS PVC-P  1" ( CODO, UNIÓN Y TAPÓN )</t>
  </si>
  <si>
    <t>S89</t>
  </si>
  <si>
    <t>ACCESORIOS PVC-P  1/2" ( CODO , UNIÓN Y TAPÓN )</t>
  </si>
  <si>
    <t>S235</t>
  </si>
  <si>
    <t>ACCESORIOS PVC-P  2 1/2" ( CODO , UNIÓN Y TAPÓN )</t>
  </si>
  <si>
    <t>S92</t>
  </si>
  <si>
    <t>ACCESORIOS PVC-P  2" ( CODO , UNIÓN Y TAPÓN )</t>
  </si>
  <si>
    <t>S177</t>
  </si>
  <si>
    <t>ACCESORIOS PVC-P  3" ( CODO , UNIÓN Y TAPÓN )</t>
  </si>
  <si>
    <t>S93</t>
  </si>
  <si>
    <t>ACCESORIOS PVC-P  3/4" ( CODO , UNIÓN Y TAPÓN )</t>
  </si>
  <si>
    <t>S178</t>
  </si>
  <si>
    <t>ACCESORIOS PVC-P  4" ( CODO , UNIÓN Y TAPÓN )</t>
  </si>
  <si>
    <t>S01</t>
  </si>
  <si>
    <t>ACONDICIONADOR NOVAFORT  TARRO 500 GRS. O SIMILAR.</t>
  </si>
  <si>
    <t>S01A</t>
  </si>
  <si>
    <t>ADHESIVO NOVAFORT 300 ML</t>
  </si>
  <si>
    <t>S02</t>
  </si>
  <si>
    <t>ACOPLE 1/2"  PARA LAVAMANOS EN ACERO DE 40 CM.</t>
  </si>
  <si>
    <t>S130</t>
  </si>
  <si>
    <t>ACOPLE 3" A PVC</t>
  </si>
  <si>
    <t>S133</t>
  </si>
  <si>
    <t>ACOPLE 6" A PVC</t>
  </si>
  <si>
    <t>S98</t>
  </si>
  <si>
    <t>ADAPTADOR DE LIMPIEZA PVC  - 3"</t>
  </si>
  <si>
    <t>S99</t>
  </si>
  <si>
    <t>ADAPTADOR DE LIMPIEZA PVC  - 4"</t>
  </si>
  <si>
    <t>tubosistemas pavco</t>
  </si>
  <si>
    <t>S136</t>
  </si>
  <si>
    <t>ADAPTADOR DE LIMPIEZA PVC  - 6"</t>
  </si>
  <si>
    <t>S117</t>
  </si>
  <si>
    <t>ADAPTADOR MACHO PRESION PVC - 1 1/2"</t>
  </si>
  <si>
    <t>S116</t>
  </si>
  <si>
    <t>ADAPTADOR MACHO PRESION PVC - 1 1/4"</t>
  </si>
  <si>
    <t>S04</t>
  </si>
  <si>
    <t>ADAPTADOR MACHO PRESION PVC - 1"</t>
  </si>
  <si>
    <t>S115</t>
  </si>
  <si>
    <t>ADAPTADOR MACHO PRESION PVC - 1/2</t>
  </si>
  <si>
    <t>S03</t>
  </si>
  <si>
    <t>ADAPTADOR MACHO PRESION PVC - 2 1/2"</t>
  </si>
  <si>
    <t>S05</t>
  </si>
  <si>
    <t>ADAPTADOR MACHO PRESION PVC - 2"1</t>
  </si>
  <si>
    <t>S145</t>
  </si>
  <si>
    <t>ADAPTADOR MACHO PRESION PVC - 3"</t>
  </si>
  <si>
    <t>S06</t>
  </si>
  <si>
    <t>ADAPTADOR MACHO PRESION PVC - 3/4"</t>
  </si>
  <si>
    <t>S146</t>
  </si>
  <si>
    <t>ADAPTADOR MACHO PRESION PVC - 4"</t>
  </si>
  <si>
    <t>S147</t>
  </si>
  <si>
    <t xml:space="preserve">ADAPTADOR HEMBRA </t>
  </si>
  <si>
    <t>S10</t>
  </si>
  <si>
    <t xml:space="preserve">ADHESIVO NOVAFORT 500 GRS. </t>
  </si>
  <si>
    <t>S196</t>
  </si>
  <si>
    <t>BRIDAS LOCAS 10"</t>
  </si>
  <si>
    <t>accesorios bridados</t>
  </si>
  <si>
    <t>S113</t>
  </si>
  <si>
    <t>CAJA MEDIDOR DE AGUA 60 X 60 X 14 A TODO COSTO CON TAPA HG</t>
  </si>
  <si>
    <t>S11</t>
  </si>
  <si>
    <t>CAJA MEDIDOR DE AGUA 80 X 80 X 14 A TODO COSTO CON TAPA HG</t>
  </si>
  <si>
    <t>S188</t>
  </si>
  <si>
    <t>CAJA PARA VALVULA TIPO CHOROTE EN HIERRO DUCTIL</t>
  </si>
  <si>
    <t>S152</t>
  </si>
  <si>
    <t>CHEQUE TIPO R&amp;W ROSCADO  1 1/2" REF. 236 O SIMILAR</t>
  </si>
  <si>
    <t>helbert 2013</t>
  </si>
  <si>
    <t>S152A</t>
  </si>
  <si>
    <t>CHEQUE TIPO R&amp;W ROSCADO  1 1/4" REF. 236 O SIMILAR</t>
  </si>
  <si>
    <t>S151</t>
  </si>
  <si>
    <t>CHEQUE TIPO R&amp;W ROSCADO  1" REF. 236 O SIMILAR</t>
  </si>
  <si>
    <t>S149</t>
  </si>
  <si>
    <t>CHEQUE TIPO R&amp;W ROSCADO  1/2" REF. 236 O SIMILAR</t>
  </si>
  <si>
    <t>S239</t>
  </si>
  <si>
    <t>CHEQUE TIPO R&amp;W ROSCADO  2 1/2" REF. 236 O SIMILAR</t>
  </si>
  <si>
    <t>S153</t>
  </si>
  <si>
    <t>CHEQUE TIPO R&amp;W ROSCADO  2" REF. 236 O SIMILAR</t>
  </si>
  <si>
    <t>S234</t>
  </si>
  <si>
    <t>CHEQUE TIPO R&amp;W ROSCADO  3" REF. 236 O SIMILAR</t>
  </si>
  <si>
    <t>S150</t>
  </si>
  <si>
    <t>CHEQUE TIPO R&amp;W ROSCADO  3/4" REF. 236 O SIMILAR</t>
  </si>
  <si>
    <t>S217</t>
  </si>
  <si>
    <t>CHEQUE TIPO R&amp;W ROSCADO  4" REF. 236 O SIMILAR</t>
  </si>
  <si>
    <t>S94</t>
  </si>
  <si>
    <t>CINTA SIKA PVC V - 15 CINTA FLEXIBLE SELLO DE JUNTAS</t>
  </si>
  <si>
    <t>S292</t>
  </si>
  <si>
    <t xml:space="preserve">CINTA SIKA PVC V - 10 CINTA FLEXIBLE SELLO DE JUNTAS </t>
  </si>
  <si>
    <t>S293</t>
  </si>
  <si>
    <t xml:space="preserve">CINTA SIKA PVC O - 22 CINTA SELLO DE JUNTAS </t>
  </si>
  <si>
    <t>S37</t>
  </si>
  <si>
    <t>CINTA TEFLON 10 M 1/2"</t>
  </si>
  <si>
    <t>S100</t>
  </si>
  <si>
    <t>CODO 45° 1/8 CXE SANITARIO 3''</t>
  </si>
  <si>
    <t>S101</t>
  </si>
  <si>
    <t>CODO 45° 1/8 CXE SANITARIO 4''</t>
  </si>
  <si>
    <t>S135</t>
  </si>
  <si>
    <t>CODO 45° 1/8 CXE SANITARIO 6''</t>
  </si>
  <si>
    <t>S233</t>
  </si>
  <si>
    <t>CODO 90° 1/4 CXC SANITARIO 1 1/2''</t>
  </si>
  <si>
    <t>S12</t>
  </si>
  <si>
    <t>CODO 90° 1/4 CXC SANITARIO 2''</t>
  </si>
  <si>
    <t>S13</t>
  </si>
  <si>
    <t>CODO 90° 1/4 CXC SANITARIO 3''</t>
  </si>
  <si>
    <t>S14</t>
  </si>
  <si>
    <t>CODO 90° 1/4 CXC SANITARIO 4''</t>
  </si>
  <si>
    <t>S123</t>
  </si>
  <si>
    <t>CODO 90° 1/4 CXC SANITARIO 6''</t>
  </si>
  <si>
    <t>S15</t>
  </si>
  <si>
    <t>CODO 90° 1/4 CXE SANITARIO 2''</t>
  </si>
  <si>
    <t>S138</t>
  </si>
  <si>
    <t>CODO 90° 1/4 CXE SANITARIO 3''</t>
  </si>
  <si>
    <t>S139</t>
  </si>
  <si>
    <t>CODO 90° 1/4 CXE SANITARIO 4''</t>
  </si>
  <si>
    <t>S140</t>
  </si>
  <si>
    <t>CODO 90° 1/4 CXE SANITARIO 6''</t>
  </si>
  <si>
    <t>S173</t>
  </si>
  <si>
    <t xml:space="preserve">CODO 90° ACERO GALVANIZADO  -  3/4'' </t>
  </si>
  <si>
    <t>S16</t>
  </si>
  <si>
    <t>CODO 90° ACERO GALVANIZADO  - 1/2''</t>
  </si>
  <si>
    <t>S17</t>
  </si>
  <si>
    <t>CODO 90° PRESION PVC  - 1''</t>
  </si>
  <si>
    <t>S18</t>
  </si>
  <si>
    <t>CODO 90° PRESION PVC  - 1 1/2"</t>
  </si>
  <si>
    <t>S08</t>
  </si>
  <si>
    <t>CODO 90° PRESION PVC  - 1 1/4"</t>
  </si>
  <si>
    <t>S19</t>
  </si>
  <si>
    <t>CODO 90° PRESION PVC  - 1/2''</t>
  </si>
  <si>
    <t>S219</t>
  </si>
  <si>
    <t>CODO 90° PRESION PVC  - 2"</t>
  </si>
  <si>
    <t>S111</t>
  </si>
  <si>
    <t>CODO 90° PRESION PVC  - 3/4''</t>
  </si>
  <si>
    <t>S165</t>
  </si>
  <si>
    <t>CODO 90° ULTRATEMP  - 1/2''</t>
  </si>
  <si>
    <t>genfor_cpvc</t>
  </si>
  <si>
    <t>S213</t>
  </si>
  <si>
    <t>CODO DE 11 1/4º GRAN RADIO RDE 21 PVC 10" 200PSI - UNIÓN PLATINO</t>
  </si>
  <si>
    <t>tuberia union platino</t>
  </si>
  <si>
    <t>S211</t>
  </si>
  <si>
    <t>CODO DE 11 1/4º GRAN RADIO RDE 21 PVC 4" 200PSI - UNIÓN PLATINO</t>
  </si>
  <si>
    <t>S212</t>
  </si>
  <si>
    <t>CODO DE 11 1/4º GRAN RADIO RDE 21 PVC 6" 200PSI - UNIÓN PLATINO</t>
  </si>
  <si>
    <t>S210</t>
  </si>
  <si>
    <t>CODO DE 22 1/2º GRAN RADIO RDE 21 PVC 10" 200PSI - UNIÓN PLATINO</t>
  </si>
  <si>
    <t>S207</t>
  </si>
  <si>
    <t>CODO DE 22 1/2º GRAN RADIO RDE 21 PVC 2" 200PSI - UNIÓN PLATINO</t>
  </si>
  <si>
    <t>S208</t>
  </si>
  <si>
    <t>CODO DE 22 1/2º GRAN RADIO RDE 21 PVC 4" 200PSI - UNIÓN PLATINO</t>
  </si>
  <si>
    <t>S209</t>
  </si>
  <si>
    <t>CODO DE 22 1/2º GRAN RADIO RDE 21 PVC 6" 200PSI - UNIÓN PLATINO</t>
  </si>
  <si>
    <t>S206</t>
  </si>
  <si>
    <t>CODO DE 45º GRAN RADIO RDE 21 PVC 10" 200PSI - UNIÓN PLATINO</t>
  </si>
  <si>
    <t>S203</t>
  </si>
  <si>
    <t>CODO DE 45º GRAN RADIO RDE 21 PVC 2" 200PSI - UNIÓN PLATINO</t>
  </si>
  <si>
    <t>S204</t>
  </si>
  <si>
    <t>CODO DE 45º GRAN RADIO RDE 21 PVC 4" 200PSI - UNIÓN PLATINO</t>
  </si>
  <si>
    <t>S205</t>
  </si>
  <si>
    <t>CODO DE 45º GRAN RADIO RDE 21 PVC 6" 200PSI - UNIÓN PLATINO</t>
  </si>
  <si>
    <t>S202</t>
  </si>
  <si>
    <t>CODO DE 90º GRAN RADIO RDE 21 PVC 10" 200PSI - UNIÓN PLATINO</t>
  </si>
  <si>
    <t>S200</t>
  </si>
  <si>
    <t>CODO DE 90º GRAN RADIO RDE 21 PVC 4" 200PSI - UNIÓN PLATINO</t>
  </si>
  <si>
    <t>S201</t>
  </si>
  <si>
    <t>CODO DE 90º GRAN RADIO RDE 21 PVC 6" 200PSI - UNIÓN PLATINO</t>
  </si>
  <si>
    <t>S156</t>
  </si>
  <si>
    <t>COLLAR DERIVACION  2 X 1/2"</t>
  </si>
  <si>
    <t>tuberia pead pavco</t>
  </si>
  <si>
    <t>S21</t>
  </si>
  <si>
    <t>COLLAR DERIVACION  3 X 1/2"</t>
  </si>
  <si>
    <t>S155</t>
  </si>
  <si>
    <t>COLLAR DERIVACION  4 X 1/2"</t>
  </si>
  <si>
    <t>S124</t>
  </si>
  <si>
    <t>DISIPADOR DE ENERGIA BAJANTE TALUD  CAIDA SECCIÓN RECTANGULAR  ( 0.50*0.40 M.) PREFABRICADO REF. CU005 TIPO TITAN O SIMILAR.</t>
  </si>
  <si>
    <t>S186</t>
  </si>
  <si>
    <t>ESE DE NIVELACION EXT. GARRA DE TIGRE 3" L=40 CM</t>
  </si>
  <si>
    <t>S187</t>
  </si>
  <si>
    <t>ESE DE NIVELACION EXT. GARRA DE TIGRE 4" L=40 CM</t>
  </si>
  <si>
    <t>S106</t>
  </si>
  <si>
    <t>FILTRO ANAEROBICO PREFABRICADO DE 2000 LTS. TIPO COLEMPAQUES CON TAPA Y ACCESORIOS OVOIDE - VERDE REF. 2 O SIMILAR.</t>
  </si>
  <si>
    <t>S179</t>
  </si>
  <si>
    <t>HIDRANTE CHICAGO 3" MEGA EXTREMO LISO</t>
  </si>
  <si>
    <t>hidrantes</t>
  </si>
  <si>
    <t>S180</t>
  </si>
  <si>
    <t xml:space="preserve">HIDRANTE CHICAGO 4" MEGA EXTREMO LISO </t>
  </si>
  <si>
    <t>R89</t>
  </si>
  <si>
    <t>HIDRANTE  3" MEGA EXTREMO LISO 2 salidas</t>
  </si>
  <si>
    <t>R90</t>
  </si>
  <si>
    <t>HIDRANTE  4" MEGA EXTREMO LISO 2 salidas</t>
  </si>
  <si>
    <t>S22</t>
  </si>
  <si>
    <t>LIMPIADOR REM PVC 760 GRMS. (1/4)</t>
  </si>
  <si>
    <t>S195</t>
  </si>
  <si>
    <t>LLAVE PARA OPERAR VALVULA DE COMPUERTA ELASTICA</t>
  </si>
  <si>
    <t>S218</t>
  </si>
  <si>
    <t xml:space="preserve">MEDIDOR DE AGUA 1 1/2" VELOCIDAD CLASE C A ACCESORIOS Y ELEMENTOS DE CONECCION TODO COSTO </t>
  </si>
  <si>
    <t>medidorvolumentricorrp</t>
  </si>
  <si>
    <t>S23</t>
  </si>
  <si>
    <t xml:space="preserve">MEDIDOR DE AGUA 1" VELOCIDAD CLASE C A ACCESORIOS Y ELEMENTOS DE CONECCION TODO COSTO </t>
  </si>
  <si>
    <t>S157</t>
  </si>
  <si>
    <t xml:space="preserve">MEDIDOR DE AGUA 1/2" VELOCIDAD CLASE C A ACCESORIOS Y ELEMENTOS DE CONECCION TODO COSTO </t>
  </si>
  <si>
    <t>S157A</t>
  </si>
  <si>
    <t>MEDIDOR DE AGUA  VOLUMETRICO DE 1/2" TRANSMISION MAGNETICA</t>
  </si>
  <si>
    <t>S112</t>
  </si>
  <si>
    <t xml:space="preserve">MEDIDOR DE AGUA 3/4" VELOCIDAD CLASE C A ACCESORIOS Y ELEMENTOS DE CONECCION TODO COSTO </t>
  </si>
  <si>
    <t>S24</t>
  </si>
  <si>
    <t xml:space="preserve">REGISTRO DE BOLA - 1/2'' PARA GAS TIPO NOVASFER REF. 372 O SIMILAR </t>
  </si>
  <si>
    <t>S25</t>
  </si>
  <si>
    <t>REGISTRO TIPO R&amp;W - 1'' (DE CORTINA) REF. 206 O SIMILAR</t>
  </si>
  <si>
    <t>catalogo rw</t>
  </si>
  <si>
    <t>S27</t>
  </si>
  <si>
    <t>REGISTRO TIPO R&amp;W - 1 1/2''  (DE CORTINA) REF. 206 O SIMILAR</t>
  </si>
  <si>
    <t>S118</t>
  </si>
  <si>
    <t>REGISTRO TIPO R&amp;W - 1 1/4''  (DE CORTINA) REF. 206 O SIMILAR</t>
  </si>
  <si>
    <t>S26</t>
  </si>
  <si>
    <t>REGISTRO TIPO R&amp;W - 1/2''  (DE CORTINA ) REF. 206 O SIMILAR</t>
  </si>
  <si>
    <t>S28</t>
  </si>
  <si>
    <t>REGISTRO TIPO R&amp;W - 2'' (DE CORTINA) REF. 206 O SIMILAR</t>
  </si>
  <si>
    <t>S142</t>
  </si>
  <si>
    <t>REGISTRO TIPO R&amp;W - 2 1/2'' (DE CORTINA) REF. 206 O SIMILAR</t>
  </si>
  <si>
    <t>S143</t>
  </si>
  <si>
    <t>REGISTRO TIPO R&amp;W - 3'' (DE CORTINA) REF. 206 O SIMILAR</t>
  </si>
  <si>
    <t>S29</t>
  </si>
  <si>
    <t>REGISTRO TIPO R&amp;W - 3/4'' (DE CORTINA) REF. 206 O SIMILAR</t>
  </si>
  <si>
    <t>S144</t>
  </si>
  <si>
    <t>REGISTRO TIPO R&amp;W - 4'' (DE CORTINA) REF. 206 O SIMILAR</t>
  </si>
  <si>
    <t>S30</t>
  </si>
  <si>
    <t xml:space="preserve">REGULADOR EXTERNO BAJO PRESIÓN, CAUDAL 15 M3/H, PRESION DE SALIDA 23MBAR </t>
  </si>
  <si>
    <t>valvula regulacion automatica</t>
  </si>
  <si>
    <t>S109</t>
  </si>
  <si>
    <t>REJILLA  ALUMINIO  3" X 2"  CON SOSCO ANTICUCARACHAS - REF. TA-3"X2" TIPO COLREJILLAS O SIMILAR</t>
  </si>
  <si>
    <t>Rejilla</t>
  </si>
  <si>
    <t>S31</t>
  </si>
  <si>
    <t>REJILLA  ALUMINIO  3" X 2"  CON SOSCO TRADICIONAL - REF. T-3"X2" TIPO COLREJILLAS O O SIMILAR</t>
  </si>
  <si>
    <t>S243</t>
  </si>
  <si>
    <t>REJILLA ALUMINIO 4" X 2" CÚPULA TRADICIONAL CON SOSCO - REF. C-4"X2" TIPO COLREJILLAS O SIMILAR</t>
  </si>
  <si>
    <t>S32</t>
  </si>
  <si>
    <t>REJILLA ALUMINIO 4" X 3" CON SOSCO ANTICUCARACHAS - REF. HA-4"X3" TIPO COLREJILLAS O SIMILAR</t>
  </si>
  <si>
    <t>S33</t>
  </si>
  <si>
    <t>REJILLA ALUMINIO 4" X 3" CON SOSCO TRADICIONAL - REF. H-4"X3" TIPO COLREJILLAS O SIMILAR</t>
  </si>
  <si>
    <t>S102</t>
  </si>
  <si>
    <t>REJILLA ALUMINIO 6" X 4" CON SOSCO ANTICUCARACHAS - REF. TA-6"X4" TIPO COLREJILLAS O SIMILAR</t>
  </si>
  <si>
    <t>S110</t>
  </si>
  <si>
    <t>REJILLA ALUMINIO 6" X 4" CÚPULA TRADICIONAL CON SOSCO - REF. C-6"X4" TIPO COLREJILLAS O SIMILAR</t>
  </si>
  <si>
    <t>S232</t>
  </si>
  <si>
    <t>REJILLA CARCAMO EN FUNDICIÓN DE HIERRO GRIS REF. CAR-30 X 50 CM. TIPO COLREJILLAS O SIMILAR</t>
  </si>
  <si>
    <t>S231</t>
  </si>
  <si>
    <t>REJILLA CARCAMO EN FUNDICIÓN DE HIERRO GRIS REF. CAR-50 X 120 CM. TIPO COLREJILLAS O SIMILAR</t>
  </si>
  <si>
    <t>S34</t>
  </si>
  <si>
    <t>SIFON PVC SANITARIO 3"</t>
  </si>
  <si>
    <t>tubosistema pavco</t>
  </si>
  <si>
    <t>S34A</t>
  </si>
  <si>
    <t>SIFON PVC SANITARIO 2"</t>
  </si>
  <si>
    <t>S125</t>
  </si>
  <si>
    <t>SILLA YEE ALCANTARILLDO  TIPO FORT  160 X 110  (6" X 4")</t>
  </si>
  <si>
    <t>S126</t>
  </si>
  <si>
    <t>SILLA YEE ALCANTARILLDO  TIPO FORT  200 X 160  (8" X 6")</t>
  </si>
  <si>
    <t>S65</t>
  </si>
  <si>
    <t>SILLA YEE ALCANTARILLDO  TIPO FORT  250 X 200  (10" X 8")</t>
  </si>
  <si>
    <t>S35</t>
  </si>
  <si>
    <t>SILLA YEE ALCANTARILLDO  TIPO FORT  315 X 200  (12" X 8")</t>
  </si>
  <si>
    <t>S167</t>
  </si>
  <si>
    <t>SOLDADURA LIQUIDA AGUA CALIENTE 1/4</t>
  </si>
  <si>
    <t>S36</t>
  </si>
  <si>
    <t>SOLDADURA PVC LIQUIDA 1/4</t>
  </si>
  <si>
    <t>S221</t>
  </si>
  <si>
    <t>TANQUE AGUA POTABLE PLASTICO CAP. 1.000 LTS, INCLUYE: TAPA, ACCESORIOS Y MANGUERA FLEXIBLE. A TODO COSTO.</t>
  </si>
  <si>
    <t>tanqueaguapotable</t>
  </si>
  <si>
    <t>S222</t>
  </si>
  <si>
    <t>TANQUE AGUA POTABLE PLASTICO CAP. 20.000 LTS, INCLUYE: TAPA, ACCESORIOS Y MANGUERA FLEXIBLE. A TODO COSTO.</t>
  </si>
  <si>
    <t>S222A</t>
  </si>
  <si>
    <t>TANQUE AGUA POTABLE PLASTICO CAP. 10.000 LTS, INCLUYE: TAPA, ACCESORIOS Y MANGUERA FLEXIBLE. A TODO COSTO.</t>
  </si>
  <si>
    <t>S224</t>
  </si>
  <si>
    <t>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t>
  </si>
  <si>
    <t>tanqueseptico</t>
  </si>
  <si>
    <t>S105</t>
  </si>
  <si>
    <t>TANQUE SEPTICO INTEGRADO PREFABRICADO TIPO IMHOFF SUBTERRANEO DE 2000 LTS. TIPO COLEMPAQUES CON TAPA Y ACCESORIOS OVOIDE - VERDE REF. 2 O SIMILAR</t>
  </si>
  <si>
    <t>S107</t>
  </si>
  <si>
    <t xml:space="preserve">TANQUE TRATAMIENTO AGUAS GRISES OVOIDE DE 2000 LTS. TIPO COLEMPAQUES  O SIMILAR </t>
  </si>
  <si>
    <t>S60</t>
  </si>
  <si>
    <t>TAPA DE INSPECCION TI - 5*3" ALUMINIO  COLREJILLAS O SIMILAR</t>
  </si>
  <si>
    <t>S225</t>
  </si>
  <si>
    <t>TAPA DE INSPECCION TI - 6*4" ALUMINIO COLREJILLAS O SIMILAR</t>
  </si>
  <si>
    <t>S226</t>
  </si>
  <si>
    <t>TAPA DE INSPECCION TI - 8*6" ALUMINIO COLREJILLAS O SIMILAR</t>
  </si>
  <si>
    <t>S131</t>
  </si>
  <si>
    <t>TAPA REJILLA EN HIERRO GALVANIZADO 3"</t>
  </si>
  <si>
    <t>S134</t>
  </si>
  <si>
    <t>TAPA REJILLA EN HIERRO GALVANIZADO 6"</t>
  </si>
  <si>
    <t>S134A</t>
  </si>
  <si>
    <t>CRUCES HG 2"</t>
  </si>
  <si>
    <t>S134B</t>
  </si>
  <si>
    <t>CRUCES HG 3"</t>
  </si>
  <si>
    <t>S134C</t>
  </si>
  <si>
    <t>TEE HG 2"</t>
  </si>
  <si>
    <t>S134D</t>
  </si>
  <si>
    <t>TEE HG 3"</t>
  </si>
  <si>
    <t>S134E</t>
  </si>
  <si>
    <t>CODO HG 2"</t>
  </si>
  <si>
    <t>S134F</t>
  </si>
  <si>
    <t>CODO HG 3"</t>
  </si>
  <si>
    <t>S181</t>
  </si>
  <si>
    <t xml:space="preserve">TEE 4"  X  3" HD EXTREMO LISO </t>
  </si>
  <si>
    <t>S182</t>
  </si>
  <si>
    <t xml:space="preserve">TEE 6"  X  4" HD EXTREMO LISO </t>
  </si>
  <si>
    <t>S172</t>
  </si>
  <si>
    <t>TEE ACERO GALNAVIZADO  3/4''</t>
  </si>
  <si>
    <t>S38</t>
  </si>
  <si>
    <t>TEE ACERO GALVANIZADO  1/2''</t>
  </si>
  <si>
    <t>S183</t>
  </si>
  <si>
    <t xml:space="preserve">TEE HIERRO DUCTIL  3 X 3" </t>
  </si>
  <si>
    <t>S39</t>
  </si>
  <si>
    <t>TEE PRESION  - 1''</t>
  </si>
  <si>
    <t>S159</t>
  </si>
  <si>
    <t>TEE PRESION  - 1 1/2''</t>
  </si>
  <si>
    <t>S07</t>
  </si>
  <si>
    <t>TEE PRESION  - 1 1/4''</t>
  </si>
  <si>
    <t>S40</t>
  </si>
  <si>
    <t>TEE PRESION  - 1/2''</t>
  </si>
  <si>
    <t>S158</t>
  </si>
  <si>
    <t>TEE PRESION -  3/4''</t>
  </si>
  <si>
    <t>S129</t>
  </si>
  <si>
    <t>TEE SANITARIA - 6"</t>
  </si>
  <si>
    <t>S166</t>
  </si>
  <si>
    <t>TEE ULTRATEMP - 1/2"</t>
  </si>
  <si>
    <t>S103</t>
  </si>
  <si>
    <t>TRAMPA DE GRASA PLASTICA CAP.  250 LTS. TIPO COLEMPAQUES  O SIMILAR</t>
  </si>
  <si>
    <t>S104</t>
  </si>
  <si>
    <t>TRAMPA DE GRASA PLASTICA CAP.  95 LTS. TIPO COLEMPAQUES O SIMILAR</t>
  </si>
  <si>
    <t>S160</t>
  </si>
  <si>
    <t xml:space="preserve">TUBO ACERO GALVANIZADO AGUA 1 1/2" - NIC 505 - 001  - TIPO COLMENA O SIMILAR. </t>
  </si>
  <si>
    <t>tuberia_mecanicoestructural</t>
  </si>
  <si>
    <t>S160A</t>
  </si>
  <si>
    <t xml:space="preserve">TUBO ACERO AGUA NEGRA PARA CERRAMIENTO  1 1/2" -   - TIPO COLMENA O SIMILAR. </t>
  </si>
  <si>
    <t>S46</t>
  </si>
  <si>
    <t xml:space="preserve">TUBO ACERO GALVANIZADO AGUA 1" - NIC 505 - 001  - TIPO COLMENA O SIMILAR. </t>
  </si>
  <si>
    <t>S47</t>
  </si>
  <si>
    <t xml:space="preserve">TUBO ACERO GALVANIZADO AGUA 2 1/2" - NIC 505 - 001  - TIPO COLMENA O SIMILAR. </t>
  </si>
  <si>
    <t>S48</t>
  </si>
  <si>
    <t xml:space="preserve">TUBO ACERO GALVANIZADO AGUA 2" - NIC 505 - 001  - TIPO COLMENA O SIMILAR. </t>
  </si>
  <si>
    <t>S48A</t>
  </si>
  <si>
    <t xml:space="preserve">TUBO ACERO AGUA NEGRA PARA CERRAMIENTO  2" -   - TIPO COLMENA O SIMILAR. </t>
  </si>
  <si>
    <t>S48B</t>
  </si>
  <si>
    <t xml:space="preserve">TUBO ACERO AGUA NEGRA PARA CERRAMIENTO  3" -   - TIPO COLMENA O SIMILAR. </t>
  </si>
  <si>
    <t>S214</t>
  </si>
  <si>
    <t xml:space="preserve">TUBO ACERO GALVANIZADO AGUA 3" - NIC 505 - 001  - TIPO COLMENA O SIMILAR. </t>
  </si>
  <si>
    <t>S114</t>
  </si>
  <si>
    <t xml:space="preserve">TUBO ACERO GALVANIZADO AGUA 3/4" - NIC 505 - 001  - TIPO COLMENA O SIMILAR. </t>
  </si>
  <si>
    <t>S41</t>
  </si>
  <si>
    <t xml:space="preserve">TUBO ACERO GALVANIZADO PRESION 1/2" - CALIBRE 40 ASTM A53  - TIPO COLMENA O SIMILAR. </t>
  </si>
  <si>
    <t>S120</t>
  </si>
  <si>
    <t xml:space="preserve">TUBO ACERO GALVANIZADO PRESION 3" - CALIBRE 40 ASTM A53  - TIPO COLMENA O SIMILAR. </t>
  </si>
  <si>
    <t>S171</t>
  </si>
  <si>
    <t xml:space="preserve">TUBO ACERO GALVANIZADO PRESION 3/4" - CALIBRE 40 ASTM A53  - TIPO COLMENA O SIMILAR. </t>
  </si>
  <si>
    <t>S09</t>
  </si>
  <si>
    <t xml:space="preserve">TUBO ACERO GALVANIZADO PRESION 4" - CALIBRE 40 ASTM A53 - TIPO COLMENA O SIMILAR. </t>
  </si>
  <si>
    <t>S09A</t>
  </si>
  <si>
    <t>NIPLE EN TUBO ACERO GALVANIZADO PRESION 4" - CALIBRE 40 ASTM A53 - TIPO COLMENA O SIMILAR. 18CM</t>
  </si>
  <si>
    <t>S09B</t>
  </si>
  <si>
    <t>TEE   ACERO GALVANIZADO PRESION 4" - CALIBRE 40 ASTM A53 - TIPO COLMENA O SIMILAR. 18CM</t>
  </si>
  <si>
    <t>S09C</t>
  </si>
  <si>
    <t>CODO 90°   ACERO GALVANIZADO PRESION 4" - CALIBRE 40 ASTM A53 - TIPO COLMENA O SIMILAR. 18CM</t>
  </si>
  <si>
    <t>S132</t>
  </si>
  <si>
    <t xml:space="preserve">TUBO ACERO GALVANIZADO PRESION 6" - CALIBRE 40 ASTM A53 - TIPO COLMENA O SIMILAR. </t>
  </si>
  <si>
    <t>S242</t>
  </si>
  <si>
    <t xml:space="preserve">TUBO ACERO NEGRA CONTRA INCENDIO 2 1/2" - CALIBRE 10 ASTM A795 - TIPO COLMENA O SIMILAR. </t>
  </si>
  <si>
    <t>S241</t>
  </si>
  <si>
    <t xml:space="preserve">TUBO ACERO NEGRA CONTRA INCENDIO 4" - CALIBRE 10 ASTM A795 - TIPO COLMENA O SIMILAR. </t>
  </si>
  <si>
    <t>S42</t>
  </si>
  <si>
    <t xml:space="preserve">TUBO ALCANTARILLADO NOVAFORT  PVC  110 MM  </t>
  </si>
  <si>
    <t>S43</t>
  </si>
  <si>
    <t xml:space="preserve">TUBO ALCANTARILLADO NOVAFORT  PVC  160 MM  </t>
  </si>
  <si>
    <t>S44</t>
  </si>
  <si>
    <t xml:space="preserve">TUBO ALCANTARILLADO NOVAFORT  PVC  200 MM  </t>
  </si>
  <si>
    <t>S56</t>
  </si>
  <si>
    <t xml:space="preserve">TUBO ALCANTARILLADO NOVAFORT  PVC  250 MM </t>
  </si>
  <si>
    <t>S71</t>
  </si>
  <si>
    <t xml:space="preserve">TUBO ALCANTARILLADO NOVAFORT  PVC  315 MM </t>
  </si>
  <si>
    <t>S71A</t>
  </si>
  <si>
    <t xml:space="preserve">TUBO ALCANTARILLADO NOVAFORT  PVC  355 MM </t>
  </si>
  <si>
    <t>S71B</t>
  </si>
  <si>
    <t xml:space="preserve">TUBO ALCANTARILLADO NOVAFORT  PVC  450 MM </t>
  </si>
  <si>
    <t>S71C</t>
  </si>
  <si>
    <t xml:space="preserve">TUBO ALCANTARILLADO NOVAFORT  PVC  500 MM </t>
  </si>
  <si>
    <t>S72</t>
  </si>
  <si>
    <t xml:space="preserve">TUBO ALCANTARILLADO NOVAFORT  PVC  400 MM </t>
  </si>
  <si>
    <t>S71D</t>
  </si>
  <si>
    <t xml:space="preserve">TUBO ALCANTARILLADO NOVAFORT PVC 600 MM </t>
  </si>
  <si>
    <t>S71E</t>
  </si>
  <si>
    <t>TUBO ALCANTARILLADO NOVAFORT PVC 680 MM</t>
  </si>
  <si>
    <t>S71F</t>
  </si>
  <si>
    <t>TUBO ALCANTARILLADO NOVAFORT PVC 760 MM</t>
  </si>
  <si>
    <t>S71F1</t>
  </si>
  <si>
    <t>TUBO ALCANTARILLADO NOVAFORT PVC 840 MM</t>
  </si>
  <si>
    <t>S71F2</t>
  </si>
  <si>
    <t>TUBO ALCANTARILLADO NOVAFORT PVC 915 MM</t>
  </si>
  <si>
    <t>S71G</t>
  </si>
  <si>
    <t>TUBERIA PVC PERFILADA (24")</t>
  </si>
  <si>
    <t>S71H</t>
  </si>
  <si>
    <t>TUBERIA PVC PERFILADA (27")</t>
  </si>
  <si>
    <t>S71I</t>
  </si>
  <si>
    <t>TUBERIA PVC PERFILADA (30")</t>
  </si>
  <si>
    <t>S71J</t>
  </si>
  <si>
    <t>TUBERIA PVC PERFILADA (33")</t>
  </si>
  <si>
    <t>S71K</t>
  </si>
  <si>
    <t>TUBERIA PVC PERFILADA (36")</t>
  </si>
  <si>
    <t>S71L</t>
  </si>
  <si>
    <t>TUBERIA PVC PERFILADA (39")</t>
  </si>
  <si>
    <t>S71M</t>
  </si>
  <si>
    <t>TUBERIA PVC PERFILADA (42")</t>
  </si>
  <si>
    <t>S71N</t>
  </si>
  <si>
    <t>TUBERIA PVC PERFILADA (45")</t>
  </si>
  <si>
    <t>S71O</t>
  </si>
  <si>
    <t>TUBERIA PVC PERFILADA (48")</t>
  </si>
  <si>
    <t>S71P</t>
  </si>
  <si>
    <t>TUBERIA PVC PERFILADA (51")</t>
  </si>
  <si>
    <t>S71Q</t>
  </si>
  <si>
    <t>TUBERIA PVC PERFILADA (54")</t>
  </si>
  <si>
    <t>S71R</t>
  </si>
  <si>
    <t>TUBERIA PVC PERFILADA (57")</t>
  </si>
  <si>
    <t>S71S</t>
  </si>
  <si>
    <t>TUBERIA PVC PERFILADA (60")</t>
  </si>
  <si>
    <t>S71T</t>
  </si>
  <si>
    <t>TUBERIA PVC PERFILADA (68")</t>
  </si>
  <si>
    <t>S71V</t>
  </si>
  <si>
    <t>TUBERIA PVC SANITARIA DE 11/2"</t>
  </si>
  <si>
    <t>S71W</t>
  </si>
  <si>
    <t>TUBERIA PVC SANITARIA DE 2"</t>
  </si>
  <si>
    <t>S71Y</t>
  </si>
  <si>
    <t>TUBERIA PVC SANITARIA DE 3"</t>
  </si>
  <si>
    <t>S71Z</t>
  </si>
  <si>
    <t>TUBERIA PVC SANITARIA DE 4"</t>
  </si>
  <si>
    <t>S71AB</t>
  </si>
  <si>
    <t>TUBERIA PVC SANITARIA DE 6"</t>
  </si>
  <si>
    <t>S45</t>
  </si>
  <si>
    <t>TUBO DRENAJE  CORRUGADA PVC 100 MM ( 4") SIN FILTRO. TRAMOS DE 5 M. CON UNIÓN.</t>
  </si>
  <si>
    <t>S45A</t>
  </si>
  <si>
    <t>TUBO DRENAJE  CORRUGADA PVC 65 MM ( 3") SIN FILTRO.</t>
  </si>
  <si>
    <t>S121</t>
  </si>
  <si>
    <t>TUBO DRENAJE  CORRUGADA PVC 160 MM ( 6") SIN FILTRO. TRAMOS DE 5 M. CON UNIÓN.</t>
  </si>
  <si>
    <t>S228</t>
  </si>
  <si>
    <t>TUBO POLIETILENO ALTA DENSIDAD - PEAD 110 MM PE 100 / PN 10 RDE 17 TIPO ACUAFLEX O SIMILAR ROLLO - 50</t>
  </si>
  <si>
    <t>S229</t>
  </si>
  <si>
    <t>TUBO POLIETILENO ALTA DENSIDAD - PEAD 160 MM PE 100 / PN 10 RDE 17 TIPO ACUAFLEX O SIMILAR PRECIOS X TRAMO, TRAMO-6</t>
  </si>
  <si>
    <t>S230</t>
  </si>
  <si>
    <t>TUBO POLIETILENO ALTA DENSIDAD - PEAD 200 MM PE 100 / PN 10 RDE 17 TIPO ACUAFLEX O SIMILAR PRECIOS X TRAMO, TRAMO-6</t>
  </si>
  <si>
    <t>S20</t>
  </si>
  <si>
    <t>TUBO POLIETILENO ALTA DENSIDAD - PEAD 63 MM PE 100 / PN 10 RDE 17 TIPO ACUAFLEX O SIMILAR ROLLO-100</t>
  </si>
  <si>
    <t>S227</t>
  </si>
  <si>
    <t>TUBO POLIETILENO ALTA DENSIDAD - PEAD 90 MM PE 100 / PN 10 RDE 17 TIPO ACUAFLEX O SIMILAR ROLLO-100</t>
  </si>
  <si>
    <t>S50</t>
  </si>
  <si>
    <t xml:space="preserve">TUBO PRESION RDE 21 PVC  200 PSI  -  1 1/2" </t>
  </si>
  <si>
    <t>S162</t>
  </si>
  <si>
    <t xml:space="preserve">TUBO PRESION RDE 21 PVC  200 PSI  -  1 1/4" </t>
  </si>
  <si>
    <t>S51</t>
  </si>
  <si>
    <t xml:space="preserve">TUBO PRESION RDE 21 PVC  200 PSI  -  2"  </t>
  </si>
  <si>
    <t>S49</t>
  </si>
  <si>
    <t>TUBO PRESION RDE 21 PVC  200 PSI  -  3/4"</t>
  </si>
  <si>
    <t>S52</t>
  </si>
  <si>
    <t xml:space="preserve">TUBO PRESION RDE 21 PVC 200 PSI  -  1" </t>
  </si>
  <si>
    <t>S53</t>
  </si>
  <si>
    <t>TUBO PRESION RDE 21 PVC 200 PSI  -  2 1/2"</t>
  </si>
  <si>
    <t>S54</t>
  </si>
  <si>
    <t xml:space="preserve">TUBO PRESION RDE 21 PVC 200 PSI  -  3"  </t>
  </si>
  <si>
    <t>S154</t>
  </si>
  <si>
    <t xml:space="preserve">TUBO PRESION RDE 21 PVC 200 PSI  -  4" </t>
  </si>
  <si>
    <t>S55</t>
  </si>
  <si>
    <t xml:space="preserve">TUBO PRESION RDE 9 PVC 500 PSI  -  1/2" </t>
  </si>
  <si>
    <t>S59</t>
  </si>
  <si>
    <t xml:space="preserve">TUBO PVC A.LL-VENTILACION  1 1/2'' </t>
  </si>
  <si>
    <t>S58</t>
  </si>
  <si>
    <t xml:space="preserve">TUBO PVC A.LL-VENTILACION  2'' </t>
  </si>
  <si>
    <t>S96</t>
  </si>
  <si>
    <t xml:space="preserve">TUBO PVC A.LL-VENTILACION  3'' </t>
  </si>
  <si>
    <t>S97</t>
  </si>
  <si>
    <t xml:space="preserve">TUBO PVC A.LL-VENTILACION  4'' </t>
  </si>
  <si>
    <t>S57</t>
  </si>
  <si>
    <t xml:space="preserve">TUBO PVC SANITARIO 2'' </t>
  </si>
  <si>
    <t>S62</t>
  </si>
  <si>
    <t>TUBO PVC SANITARIO 3"</t>
  </si>
  <si>
    <t>S63</t>
  </si>
  <si>
    <t xml:space="preserve">TUBO PVC SANITARIO 4" </t>
  </si>
  <si>
    <t>S61</t>
  </si>
  <si>
    <t xml:space="preserve">TUBO PVC SANITARIO 6" </t>
  </si>
  <si>
    <t>S164</t>
  </si>
  <si>
    <t>TUBO ULTRATEMP 1/2"</t>
  </si>
  <si>
    <t>S168</t>
  </si>
  <si>
    <t>TUBO ULTRATEMP 3/4"</t>
  </si>
  <si>
    <t>S199</t>
  </si>
  <si>
    <t>TUBO UNION PLATINO RDE 21 PVC  10" 200 PSI</t>
  </si>
  <si>
    <t>S197</t>
  </si>
  <si>
    <t>TUBO UNION PLATINO RDE 21 PVC  4" 200 PSI</t>
  </si>
  <si>
    <t>S198</t>
  </si>
  <si>
    <t>TUBO UNION PLATINO RDE 21 PVC  6" 200 PSI</t>
  </si>
  <si>
    <t>S75</t>
  </si>
  <si>
    <t>UNIIVERSAL 1"  GALVANIZADO</t>
  </si>
  <si>
    <t>tuberia y accesorios galvanizados</t>
  </si>
  <si>
    <t>S141</t>
  </si>
  <si>
    <t>UNION ACERO GALVANIZAD0  3/4"</t>
  </si>
  <si>
    <t>S161</t>
  </si>
  <si>
    <t>UNION ACERO GALVANIZADO  1 1/2"</t>
  </si>
  <si>
    <t>S66</t>
  </si>
  <si>
    <t>UNION ACERO GALVANIZADO  1"</t>
  </si>
  <si>
    <t>S67</t>
  </si>
  <si>
    <t>UNION ACERO GALVANIZADO  1/2"</t>
  </si>
  <si>
    <t>S68</t>
  </si>
  <si>
    <t>UNION ACERO GALVANIZADO  2 1/2"</t>
  </si>
  <si>
    <t>S69</t>
  </si>
  <si>
    <t>UNION ACERO GALVANIZADO  2"</t>
  </si>
  <si>
    <t>S215</t>
  </si>
  <si>
    <t>UNION ACERO GALVANIZADO  3"</t>
  </si>
  <si>
    <t>S240</t>
  </si>
  <si>
    <t>UNION ACERO GALVANIZADO  4"</t>
  </si>
  <si>
    <t>S127</t>
  </si>
  <si>
    <t xml:space="preserve">UNION ALCANTARILLADO PVC 160 MM.  </t>
  </si>
  <si>
    <t>S128</t>
  </si>
  <si>
    <t xml:space="preserve">UNION ALCANTARILLADO PVC 200 MM. </t>
  </si>
  <si>
    <t>S64</t>
  </si>
  <si>
    <t>UNION ALCANTARILLADO PVC 315 MM</t>
  </si>
  <si>
    <t>S64A</t>
  </si>
  <si>
    <t>UNION ALCANTARILLADO PVC 110 MM</t>
  </si>
  <si>
    <t>S64B</t>
  </si>
  <si>
    <t>UNION ALCANTARILLADO PVC 250 MM</t>
  </si>
  <si>
    <t>S64C</t>
  </si>
  <si>
    <t>S64D</t>
  </si>
  <si>
    <t>UNION ALCANTARILLADO PVC 355 MM</t>
  </si>
  <si>
    <t>S64E</t>
  </si>
  <si>
    <t>UNION ALCANTARILLADO PVC 400 MM</t>
  </si>
  <si>
    <t>S64F</t>
  </si>
  <si>
    <t>UNION ALCANTARILLADO PVC 450 MM</t>
  </si>
  <si>
    <t>S64G</t>
  </si>
  <si>
    <t>UNION ALCANTARILLADO PVC 500 MM</t>
  </si>
  <si>
    <t>S64H</t>
  </si>
  <si>
    <t>UNION ALCANTARILLADO PVC 600MM</t>
  </si>
  <si>
    <t>S64I</t>
  </si>
  <si>
    <t>UNION 27"</t>
  </si>
  <si>
    <t>S64J</t>
  </si>
  <si>
    <t>UNION 30"</t>
  </si>
  <si>
    <t>S64K</t>
  </si>
  <si>
    <t>UNION 33"</t>
  </si>
  <si>
    <t>S64L</t>
  </si>
  <si>
    <t>UNION 36"</t>
  </si>
  <si>
    <t>S64M</t>
  </si>
  <si>
    <t>UNION 39"</t>
  </si>
  <si>
    <t>S64N</t>
  </si>
  <si>
    <t>UNION 42"</t>
  </si>
  <si>
    <t>S64P</t>
  </si>
  <si>
    <t>UNION 45</t>
  </si>
  <si>
    <t>S64Q</t>
  </si>
  <si>
    <t>UNION 48</t>
  </si>
  <si>
    <t>S64R</t>
  </si>
  <si>
    <t>UNION 51</t>
  </si>
  <si>
    <t>S64S</t>
  </si>
  <si>
    <t>UNION 57</t>
  </si>
  <si>
    <t>S64T</t>
  </si>
  <si>
    <t>UNION 60</t>
  </si>
  <si>
    <t>S64V</t>
  </si>
  <si>
    <t>UNION 68</t>
  </si>
  <si>
    <t>S70</t>
  </si>
  <si>
    <t>UNION SANITARIA  2'' PVC</t>
  </si>
  <si>
    <t>S73</t>
  </si>
  <si>
    <t>UNION SANITARIA 3" PVC</t>
  </si>
  <si>
    <t>S74</t>
  </si>
  <si>
    <t>UNION SANITARIA 4" PVC</t>
  </si>
  <si>
    <t>S95</t>
  </si>
  <si>
    <t>UNION SANITARIA 6" PVC</t>
  </si>
  <si>
    <t>S95A</t>
  </si>
  <si>
    <t>UNION SANITARIA 1 1/2" PVC</t>
  </si>
  <si>
    <t>S184</t>
  </si>
  <si>
    <t>UNION UNIVERSAL 3" HIERRO DUCTIL</t>
  </si>
  <si>
    <t>S185</t>
  </si>
  <si>
    <t>UNION UNIVERSAL 4" HIERRO DUCTIL</t>
  </si>
  <si>
    <t>S238</t>
  </si>
  <si>
    <t>UNION UNIVERSAL 6" HIERRO DUCTIL</t>
  </si>
  <si>
    <t>S77</t>
  </si>
  <si>
    <t>UNIVERSAL ACERO GALVANIZADO - 1 1/2"</t>
  </si>
  <si>
    <t>S119</t>
  </si>
  <si>
    <t xml:space="preserve">UNIVERSAL ACERO GALVANIZADO - 1 1/4" </t>
  </si>
  <si>
    <t>S76</t>
  </si>
  <si>
    <t>UNIVERSAL ACERO GALVANIZADO - 1/2"</t>
  </si>
  <si>
    <t>S80</t>
  </si>
  <si>
    <t>UNIVERSAL ACERO GALVANIZADO - 2 1/2 "</t>
  </si>
  <si>
    <t>S78</t>
  </si>
  <si>
    <t xml:space="preserve">UNIVERSAL ACERO GALVANIZADO - 2" </t>
  </si>
  <si>
    <t>UNIVERSAL ACERO GALVANIZADO - 3 "</t>
  </si>
  <si>
    <t>S79</t>
  </si>
  <si>
    <t>UNIVERSAL ACERO GALVANIZADO - 3/4"</t>
  </si>
  <si>
    <t>S148</t>
  </si>
  <si>
    <t>UNIVERSAL ACERO GALVANIZADO - 4 "</t>
  </si>
  <si>
    <t>S194</t>
  </si>
  <si>
    <t xml:space="preserve">VALVULA CHEQUE 4"  (HIERRO DUCTIL ASTM A-536 CLASE 65-48-18). </t>
  </si>
  <si>
    <t>S216</t>
  </si>
  <si>
    <t>VALVULA DE PIE CANASTILLA BRONCE 3" HBVP</t>
  </si>
  <si>
    <t>S236</t>
  </si>
  <si>
    <t>VALVULA DE PIE CON COLADERA - 1 1/2"</t>
  </si>
  <si>
    <t>valvula de pie</t>
  </si>
  <si>
    <t>S81</t>
  </si>
  <si>
    <t>VALVULA DE PIE CON COLADERA - 2 1/2"</t>
  </si>
  <si>
    <t>S82</t>
  </si>
  <si>
    <t>VALVULA DE VENTOSA AIRE  2" TIPO ARI MOD. D-0400 O SIMILAR</t>
  </si>
  <si>
    <t>S190</t>
  </si>
  <si>
    <t>VALVULA DOBLE COMPUERTA ELASTICA EXTREMO LISO, H.D ASTM 536   3"</t>
  </si>
  <si>
    <t>valvula de compuerta elastica</t>
  </si>
  <si>
    <t>S191</t>
  </si>
  <si>
    <t>VALVULA DOBLE COMPUERTA ELASTICA EXTREMO LISO, H.D ASTM 536   4"</t>
  </si>
  <si>
    <t>valvula de compuerta extremoliso</t>
  </si>
  <si>
    <t>S237</t>
  </si>
  <si>
    <t>VALVULA DOBLE COMPUERTA ELASTICA EXTREMO LISO, H.D ASTM 536  6"</t>
  </si>
  <si>
    <t>S192</t>
  </si>
  <si>
    <t>VALVULA DOBLE COMPUERTA ELASTICA EXTREMOS BRIDAS, H.D ASTM 536  10"</t>
  </si>
  <si>
    <t>valvulas bridadas</t>
  </si>
  <si>
    <t>S189</t>
  </si>
  <si>
    <t>VALVULA DOBLE COMPUERTA ELASTICA, EXTREMOS BRIDAS, H.D ASTM 536  2"</t>
  </si>
  <si>
    <t>S223</t>
  </si>
  <si>
    <t>VALVULA FLOTADORA DE 1" COBRE</t>
  </si>
  <si>
    <t>S83</t>
  </si>
  <si>
    <t>VALVULA REGULADORA DE PRESION 1"</t>
  </si>
  <si>
    <t>S176</t>
  </si>
  <si>
    <t>VALVULA TIPO BOLA PARA GAS DE  1 1/2"</t>
  </si>
  <si>
    <t>S175</t>
  </si>
  <si>
    <t>VALVULA TIPO BOLA PARA GAS DE 1"</t>
  </si>
  <si>
    <t>S174</t>
  </si>
  <si>
    <t>VALVULA TIPO BOLA PARA GAS DE 3/4"</t>
  </si>
  <si>
    <t>S193</t>
  </si>
  <si>
    <t>VENTOSA 3" DOBLE CAMARA TRIPLE EFECTO BRIDADA .</t>
  </si>
  <si>
    <t>S84</t>
  </si>
  <si>
    <t xml:space="preserve">YEE SANITARIA 2'' </t>
  </si>
  <si>
    <t>S85</t>
  </si>
  <si>
    <t xml:space="preserve">YEE SANITARIA 3'' </t>
  </si>
  <si>
    <t>S86</t>
  </si>
  <si>
    <t xml:space="preserve">YEE SANITARIA 4'' </t>
  </si>
  <si>
    <t>S137</t>
  </si>
  <si>
    <t xml:space="preserve">YEE SANITARIA 6'' </t>
  </si>
  <si>
    <t>S244</t>
  </si>
  <si>
    <t>TRAMITE ANTE LA EMPRESA DE ACUEDUCTO Y ALCANTARILLADO  PARA ACCEDER AL SERVICIO DE EVACUACIÓN DE AGUAS LLUVIAS Y RESIDUALES DEL PROYECTO.</t>
  </si>
  <si>
    <t>S291</t>
  </si>
  <si>
    <t>REJILLA MINICELL 5X 5  ALUMINIO</t>
  </si>
  <si>
    <t>SY1</t>
  </si>
  <si>
    <t>KIT SILLA YEE PVC CORRUGADA DE 200X160 MM</t>
  </si>
  <si>
    <t>SY2</t>
  </si>
  <si>
    <t>KIT SILLA YEE PVC CORRUGADA DE 250X160 MM</t>
  </si>
  <si>
    <t>SY3</t>
  </si>
  <si>
    <t xml:space="preserve">KIT SILLA YEE PVC  CORRUGADA DE  315 X 160 M.M. </t>
  </si>
  <si>
    <t>SY3A</t>
  </si>
  <si>
    <t xml:space="preserve">KIT SILLA YEE PVC  CORRUGADA DE  355 X 160 M.M. </t>
  </si>
  <si>
    <t>SY4</t>
  </si>
  <si>
    <t>KIT SILLA TEE PVC CORRUGADA DE 200X160 M.M</t>
  </si>
  <si>
    <t>SY5</t>
  </si>
  <si>
    <t>KIT SILLA TEE PVC CORRUGADA DE 250X160 M.M</t>
  </si>
  <si>
    <t>SY6</t>
  </si>
  <si>
    <t>KIT SILLA TEE PVC CORRUGADA DE 315X160 M.M</t>
  </si>
  <si>
    <t>SY7</t>
  </si>
  <si>
    <t xml:space="preserve"> SILLA YEE PVC CORRUGADA DE 400X160 MM</t>
  </si>
  <si>
    <t>SY8</t>
  </si>
  <si>
    <t xml:space="preserve"> SILLA YEE PVC CORRUGADA DE 450X160 MM</t>
  </si>
  <si>
    <t>SY9</t>
  </si>
  <si>
    <t xml:space="preserve"> SILLA YEE PVC CORRUGADA DE 500X160 MM</t>
  </si>
  <si>
    <t>SY10</t>
  </si>
  <si>
    <t xml:space="preserve"> SILLA YEE PVC CORRUGADA DE 24"X160 MM</t>
  </si>
  <si>
    <t>SY11</t>
  </si>
  <si>
    <t xml:space="preserve"> SILLA YEE PVC CORRUGADA DE 27"X160 MM</t>
  </si>
  <si>
    <t>SY12</t>
  </si>
  <si>
    <t>HIPOCLORITO DE SODIO - CLORO LIQUIDO CONC 5 AL 8%</t>
  </si>
  <si>
    <t>SY13</t>
  </si>
  <si>
    <t>UNION DE REPARACION DE 3"</t>
  </si>
  <si>
    <t>R1</t>
  </si>
  <si>
    <t>TUBERIA PVC TIPO UNION MECANICA RDE 21 DE 2"</t>
  </si>
  <si>
    <t>R2</t>
  </si>
  <si>
    <t>TUBERIA PVC TIPO UNION MECANICA RDE 21 DE 3"</t>
  </si>
  <si>
    <t>R3</t>
  </si>
  <si>
    <t>TUBERIA PVC TIPO UNION MECANICA RDE 21 DE 4"</t>
  </si>
  <si>
    <t>R4</t>
  </si>
  <si>
    <t>TUBERIA PVC TIPO UNION MECANICA RDE 21 DE 6"</t>
  </si>
  <si>
    <t>R5</t>
  </si>
  <si>
    <t>TUBERIA PVC TIPO UNION MECANICA RDE 21 DE 8"</t>
  </si>
  <si>
    <t>R6</t>
  </si>
  <si>
    <t>TUBERIA PVC TIPO UNION MECANICA RDE 21 DE 10"</t>
  </si>
  <si>
    <t>R7</t>
  </si>
  <si>
    <t>TUBERIA PVC TIPO UNION MECANICA RDE 21 DE 12"</t>
  </si>
  <si>
    <t>R8</t>
  </si>
  <si>
    <t>TUBERIA PVC TIPO UNION MECANICA RDE 21 DE 14"</t>
  </si>
  <si>
    <t>R9</t>
  </si>
  <si>
    <t>TUBERIA PVC TIPO UNION MECANICA RDE 21 DE 16"</t>
  </si>
  <si>
    <t>R10</t>
  </si>
  <si>
    <t>TUBERIA PVC TIPO UNION MECANICA RDE 21 DE 18"</t>
  </si>
  <si>
    <t>R11</t>
  </si>
  <si>
    <t>TUBERIA PVC TIPO UNION MECANICA RDE 21 DE 20"</t>
  </si>
  <si>
    <t>R12</t>
  </si>
  <si>
    <t>TUBERIA PVC TIPO UNION MECANICA RDE 21 DE 24"</t>
  </si>
  <si>
    <t>R13</t>
  </si>
  <si>
    <t>TUBERIA PVC BIAXIAL PR 200 DE 3"</t>
  </si>
  <si>
    <t>tuberia biaxial</t>
  </si>
  <si>
    <t>R14</t>
  </si>
  <si>
    <t>TUBERIA PVC BIAXIAL PR 200 DE 4"</t>
  </si>
  <si>
    <t>R15</t>
  </si>
  <si>
    <t>TUBERIA PVC BIAXIAL PR 200 DE 6"</t>
  </si>
  <si>
    <t>R16</t>
  </si>
  <si>
    <t>TUBERIA PVC BIAXIAL PR 200 DE 8"</t>
  </si>
  <si>
    <t>R17</t>
  </si>
  <si>
    <t>TUBERIA PVC BIAXIAL PR 200 DE 10"</t>
  </si>
  <si>
    <t>R18</t>
  </si>
  <si>
    <t>TUBERIA PVC BIAXIAL PR 200 DE 12"</t>
  </si>
  <si>
    <t>R19</t>
  </si>
  <si>
    <t>TUBERIA PVC BIAXIAL PR 200 DE 14"</t>
  </si>
  <si>
    <t>R20</t>
  </si>
  <si>
    <t>TUBERIA PVC BIAXIAL PR 200 DE 16"</t>
  </si>
  <si>
    <t>R21</t>
  </si>
  <si>
    <t>TUBERIA PVC BIAXIAL PR 200 DE 18"</t>
  </si>
  <si>
    <t>R22</t>
  </si>
  <si>
    <t>TUBERIA PVC BIAXIAL PR 200 DE 20"</t>
  </si>
  <si>
    <t>R23</t>
  </si>
  <si>
    <t xml:space="preserve">TUBERIA PF + UAD DE 3/4 " </t>
  </si>
  <si>
    <t>R24</t>
  </si>
  <si>
    <t xml:space="preserve">TUBERIA PF + UAD DE 1/2" </t>
  </si>
  <si>
    <t>R25</t>
  </si>
  <si>
    <t>COLLARIN DE DERIVACION  PVC 6"X1/2" PARA ACUEDUCTO</t>
  </si>
  <si>
    <t>R26</t>
  </si>
  <si>
    <t>COLLARIN DE DERIVACION  PVC 4"X3/4" PARA ACUEDUCTO</t>
  </si>
  <si>
    <t>R27</t>
  </si>
  <si>
    <t>COLLARIN DE DERIVACION  PVC 4"X1/2" PARA ACUEDUCTO</t>
  </si>
  <si>
    <t>R28</t>
  </si>
  <si>
    <t>COLLARIN DE DERIVACION  PVC 3"X3/4" PARA ACUEDUCTO</t>
  </si>
  <si>
    <t>R29</t>
  </si>
  <si>
    <t>COLLARIN DE DERIVACION  PVC 3"X1/2" PARA ACUEDUCTO</t>
  </si>
  <si>
    <t>R30</t>
  </si>
  <si>
    <t>COLLARIN DE DERIVACION  PVC 2"X1/2" PARA ACUEDUCTO</t>
  </si>
  <si>
    <t>R31</t>
  </si>
  <si>
    <t>COLLARIN DE DERIVACION  PVC 2"X3/4" PARA ACUEDUCTO</t>
  </si>
  <si>
    <t>R32</t>
  </si>
  <si>
    <t>REGISTRO DE CORTE INCORPORACION DE 1/2" PARA ACUEDUCTO</t>
  </si>
  <si>
    <t>ferreteria ficha tecnica</t>
  </si>
  <si>
    <t>R33</t>
  </si>
  <si>
    <t>REGISTRO DE CORTE INCORPORACION DE 2" PARA ACUEDUCTO</t>
  </si>
  <si>
    <t>R34</t>
  </si>
  <si>
    <t xml:space="preserve">REGISTRO O LLAVE DE PASO TIPO RED WHITE 1/2" ACUEDUCTO </t>
  </si>
  <si>
    <t>R35</t>
  </si>
  <si>
    <t>REGISTRO O LLAVE DE PASO TIPO RED WHITE 1 1/2" ACUEDUCTO</t>
  </si>
  <si>
    <t>R36</t>
  </si>
  <si>
    <t>REGISTRO O LLAVE DE PASO TIPO RED WHITE 1" ACUEDUCTO</t>
  </si>
  <si>
    <t>R37</t>
  </si>
  <si>
    <t>REGISTRO O LLAVE DE PASO TIPO RED WHITE 3" ACUEDUCTO</t>
  </si>
  <si>
    <t>R38</t>
  </si>
  <si>
    <t>REGISTRO O LLAVE DE PASO TIPO RED WHITE 2" ACUEDUCTO</t>
  </si>
  <si>
    <t>R35A</t>
  </si>
  <si>
    <t>COLLARIN DE DERIVACION ACERO INOXIDABLE  6"X1/2" PARA ACUEDUCTO</t>
  </si>
  <si>
    <t>R36A</t>
  </si>
  <si>
    <t>COLLARIN DE DERIVACION ACERO INOXIDABLE  8"X1/2" PARA ACUEDUCTO</t>
  </si>
  <si>
    <t>R37A</t>
  </si>
  <si>
    <t>TUBO DE POLIETILENO PE 100 A.D PN 10 DE 355 MM 14"</t>
  </si>
  <si>
    <t>R38A</t>
  </si>
  <si>
    <t>TUBO DE POLIETILENO PE 100 A.D PN 12,5 DE 355 MM 14"</t>
  </si>
  <si>
    <t>R39</t>
  </si>
  <si>
    <t>TUBO DE POLIETILENO PE 100 A.D PN 16 DE 355 MM 14"</t>
  </si>
  <si>
    <t>R40</t>
  </si>
  <si>
    <t>TUBO DE POLIETILENO PE 100 A.D PN 10 DE 315 MM 12"</t>
  </si>
  <si>
    <t>R41</t>
  </si>
  <si>
    <t>TUBO DE POLIETILENO PE 100 A.D PN 12,5 DE 315 MM 12"</t>
  </si>
  <si>
    <t>R42</t>
  </si>
  <si>
    <t>TUBO DE POLIETILENO PE 100 A.D PN 16 DE 315 MM 12"</t>
  </si>
  <si>
    <t>R43</t>
  </si>
  <si>
    <t>TUBO DE POLIETILENO PE 100 A.D PN 10 DE 250 MM 10"</t>
  </si>
  <si>
    <t>R44</t>
  </si>
  <si>
    <t>TUBO DE POLIETILENO PE 100 A.D PN 12,5 DE 250 MM 10"</t>
  </si>
  <si>
    <t>R45</t>
  </si>
  <si>
    <t>TUBO DE POLIETILENO PE 100 A.D PN 16 DE 250 MM 10"</t>
  </si>
  <si>
    <t>R46</t>
  </si>
  <si>
    <t>TUBO DE POLIETILENO PE 100 A.D PN 10 DE 200 MM 8"</t>
  </si>
  <si>
    <t>R47</t>
  </si>
  <si>
    <t>TUBO DE POLIETILENO PE 100 A.D PN 12,5 DE 200 MM 8"</t>
  </si>
  <si>
    <t>R48</t>
  </si>
  <si>
    <t>TUBO DE POLIETILENO PE 100 A.D PN 16 DE 200 MM 8"</t>
  </si>
  <si>
    <t>R49</t>
  </si>
  <si>
    <t>TUBO DE POLIETILENO PE 100 A.D PN 10 DE 160 MM 6"</t>
  </si>
  <si>
    <t>R50</t>
  </si>
  <si>
    <t>TUBO DE POLIETILENO PE 100 A.D PN 12,5 DE 160 MM 6"</t>
  </si>
  <si>
    <t>R51</t>
  </si>
  <si>
    <t>TUBO DE POLIETILENO PE 100 A.D PN 16 DE 160 MM 6"</t>
  </si>
  <si>
    <t>R52</t>
  </si>
  <si>
    <t>TUBO DE POLIETILENO PE 100 A.D PN 10 DE 110 MM 4"</t>
  </si>
  <si>
    <t>R53</t>
  </si>
  <si>
    <t>TUBO DE POLIETILENO PE 100 A.D PN 12,5 DE 110 MM 4"</t>
  </si>
  <si>
    <t>R54</t>
  </si>
  <si>
    <t>TUBO DE POLIETILENO PE 100 A.D PN 16 DE 110 MM 4"</t>
  </si>
  <si>
    <t>R55</t>
  </si>
  <si>
    <t>TUBO DE POLIETILENO PE 100 A.D. PN 10 DE 90 M.M. (3,5")</t>
  </si>
  <si>
    <t>R56</t>
  </si>
  <si>
    <t>TUBO DE POLIETILENO PE 100 A.D. PN 12,5 DE 90 M.M. (3,5")</t>
  </si>
  <si>
    <t>R57</t>
  </si>
  <si>
    <t>TUBO DE POLIETILENO PE 100 A.D. PN 16 DE 90 M.M. (3,5")</t>
  </si>
  <si>
    <t>R58</t>
  </si>
  <si>
    <t>TUBO DE POLIETILENO PE 100 A.D. PN 10 DE 75 M.M. (3")</t>
  </si>
  <si>
    <t>R59</t>
  </si>
  <si>
    <t>TUBO DE POLIETILENO PE 100 A.D. PN 12,5 DE 75 M.M. (3")</t>
  </si>
  <si>
    <t>R60</t>
  </si>
  <si>
    <t>TUBO DE POLIETILENO PE 100 A.D. PN 16 DE 75 M.M. (3")</t>
  </si>
  <si>
    <t>R61</t>
  </si>
  <si>
    <t>TUBO DE POLIETILENO PE 100 A.D. PN 10 DE 63 M.M. (2.5")</t>
  </si>
  <si>
    <t>R62</t>
  </si>
  <si>
    <t>TUBO DE POLIETILENO PE 100 A.D. PN 12,5 DE 63 M.M. (2.5")</t>
  </si>
  <si>
    <t>R63</t>
  </si>
  <si>
    <t>TUBO DE POLIETILENO PE 100 A.D. PN 16 DE 63 M.M. (2.5")</t>
  </si>
  <si>
    <t>R64</t>
  </si>
  <si>
    <t>TUBO DE POLIETILENO PE 100 A.D. PN 10 DE 50 M.M. (2")</t>
  </si>
  <si>
    <t>R65</t>
  </si>
  <si>
    <t>TUBO DE POLIETILENO PE 100 A.D. PN 12,5 DE 50 M.M. (2")</t>
  </si>
  <si>
    <t>R66</t>
  </si>
  <si>
    <t>TUBO DE POLIETILENO PE 100 A.D. PN 16 DE 50 M.M. (2")</t>
  </si>
  <si>
    <t>R67</t>
  </si>
  <si>
    <t>TUBO DE POLIETILENO PE 80  A.D. PN 16 DE 20 M.M PARA ACOMETIDA</t>
  </si>
  <si>
    <t>R68</t>
  </si>
  <si>
    <t>TUBO DE POLIETILENO   PE 80 A.D PN 16 RDE 9  DE 32 M.M PARA ACOMETIDA</t>
  </si>
  <si>
    <t>R69</t>
  </si>
  <si>
    <t>SILLETA POLIETILENO PE 110 X 20 MM PARA SOCKET</t>
  </si>
  <si>
    <t>R70</t>
  </si>
  <si>
    <t>SILLETA POLIETILENO PE 110 X 32 MM PARA SOCKET</t>
  </si>
  <si>
    <t>R71</t>
  </si>
  <si>
    <t>RACOR  Y OTROS MATERIALES</t>
  </si>
  <si>
    <t>R72</t>
  </si>
  <si>
    <t xml:space="preserve">ADAPTADOR MACHO PE 32 MM </t>
  </si>
  <si>
    <t>Pavco</t>
  </si>
  <si>
    <t>R73</t>
  </si>
  <si>
    <t>VÁLVULA DE COMPUERTA ELÁSTICA VÁSTAGO NO ASCENDENTE HF DE 6" PARA ACUEDUCTO E.L</t>
  </si>
  <si>
    <t>R74</t>
  </si>
  <si>
    <t>VÁLVULA DE COMPUERTA ELÁSTICA VÁSTAGO NO ASCENDENTE HF DE 4" PARA ACUEDUCTO E.L</t>
  </si>
  <si>
    <t>R75</t>
  </si>
  <si>
    <t>VÁLVULA DE COMPUERTA ELÁSTICA VÁSTAGO NO ASCENDENTE HF DE 3" PARA ACUEDUCTO E.L</t>
  </si>
  <si>
    <t>R76</t>
  </si>
  <si>
    <t>VÁLVULA DE COMPUERTA ELÁSTICA VÁSTAGO NO ASCENDENTE HF DE 8" PARA ACUEDUCTO BRIDADA</t>
  </si>
  <si>
    <t>R77</t>
  </si>
  <si>
    <t>VÁLVULA DE COMPUERTA ELÁSTICA VÁSTAGO NO ASCENDENTE HF DE 6" PARA ACUEDUCTO BRIDADA</t>
  </si>
  <si>
    <t>R78</t>
  </si>
  <si>
    <t>VÁLVULA DE COMPUERTA ELÁSTICA VÁSTAGO NO ASCENDENTE HF DE 4" PARA ACUEDUCTO BRIDADA</t>
  </si>
  <si>
    <t>R79</t>
  </si>
  <si>
    <t>VÁLVULA DE COMPUERTA ELÁSTICA VÁSTAGO NO ASCENDENTE HF DE 3" PARA ACUEDUCTO BRIDADA</t>
  </si>
  <si>
    <t>R80</t>
  </si>
  <si>
    <t>VÁLVULA DE COMPUERTA ELÁSTICA VÁSTAGO NO ASCENDENTE HF DE 2" PARA ACUEDUCTO BRIDADA</t>
  </si>
  <si>
    <t>R81</t>
  </si>
  <si>
    <t>HIDRANTE BRIDADO HF TIPO TRÁFICO DE 4"</t>
  </si>
  <si>
    <t>R82</t>
  </si>
  <si>
    <t xml:space="preserve">HIDRANTE BRIDADO HF TIPO MILÁN DE 3" </t>
  </si>
  <si>
    <t>R83</t>
  </si>
  <si>
    <t>TAPA PORTAVÁLVULA HD</t>
  </si>
  <si>
    <t>R84</t>
  </si>
  <si>
    <t>CAJA RECTANGULAR HD CON LOGOTIPO DE AGUAS DE MZALES</t>
  </si>
  <si>
    <t>R85</t>
  </si>
  <si>
    <t>TAPON ROSCADO DE= 4" (100 MM) PVC PRESION</t>
  </si>
  <si>
    <t>R86</t>
  </si>
  <si>
    <t>REDUCCION 6"X4"</t>
  </si>
  <si>
    <t>R87</t>
  </si>
  <si>
    <t>TUBERIA MUEBLE RECTANGULARX 6M. ACERO LAMINADO EN FRIO; 76MMX38MM, ESPESOR 0.9MM, CALIBRE 20, CON TAPAS LATERALES</t>
  </si>
  <si>
    <t>R88</t>
  </si>
  <si>
    <t>TUBERIA GALVANIZADA 2" X 6M</t>
  </si>
  <si>
    <t>T</t>
  </si>
  <si>
    <t>MAMPOSTERIA</t>
  </si>
  <si>
    <t>T13</t>
  </si>
  <si>
    <t>BLOQUE CONCRETO COMUN</t>
  </si>
  <si>
    <t>bloque de concreto y catalogo indural</t>
  </si>
  <si>
    <t>T14</t>
  </si>
  <si>
    <t xml:space="preserve">BLOQUE CONCRETO DECORATIVO CATALÁN LISO GRIS VERDE OLIVA 15*10*30 </t>
  </si>
  <si>
    <t>catalogo indural</t>
  </si>
  <si>
    <t>T15</t>
  </si>
  <si>
    <t>BLOQUE ESTRUCTURAL CONCRETO LISO 12*20*40  CM. TIPO ADOQUINAR O SIMILAR.</t>
  </si>
  <si>
    <t>T02</t>
  </si>
  <si>
    <t>LADRILLO TOLETE COMUN</t>
  </si>
  <si>
    <t>ladrillo tolete</t>
  </si>
  <si>
    <t>T03</t>
  </si>
  <si>
    <t>BLOQUE DIVISORIO Nº 5 ( 33 X 23 X 11.5 CM) ARCILLA TIPO SANTAFÉ O SIMILAR.</t>
  </si>
  <si>
    <t>divisiorio bloque No 5 santafe</t>
  </si>
  <si>
    <t>T12</t>
  </si>
  <si>
    <t>BLOQUE ESTRUCTURAL CONCRETO LISO 15*20*40 CM. TIPO ADOQUINAR O SIMILAR.</t>
  </si>
  <si>
    <t>T01</t>
  </si>
  <si>
    <t>LADRILLO 1/4 X 26  TONO OCRE ( 26 X 6 CM) TIPO MOORE O SIMILAR</t>
  </si>
  <si>
    <t>T05</t>
  </si>
  <si>
    <t>LADRILLO TOLETE RECOCIDO (24,5 X 12 X 6 CM)</t>
  </si>
  <si>
    <t>T09</t>
  </si>
  <si>
    <t>LADRILLO ESTRUCTURAL PORTANTE PRENSADO 30 X 6 CM. (29 X 12 X 9 CM) ARCILLA TIPO SANTAFÉ O SIMILAR.</t>
  </si>
  <si>
    <t>ladrillo estructural portante santafe</t>
  </si>
  <si>
    <t>T10</t>
  </si>
  <si>
    <t>LADRILLO ESTRUCTURAL PORTANTE PRENSADO 30 X 9 CM. (29 X 14.5 X 9 CM) ARCILLA TIPO SANTAFÉ O SIMILAR.</t>
  </si>
  <si>
    <t>T11</t>
  </si>
  <si>
    <t>LADRILLO FACHADA PRENSADO LIVIANO (24.5 X 12 X 6 CM) ARCILLA TIPO SANTAFÉ O SIMILAR.</t>
  </si>
  <si>
    <t>T06</t>
  </si>
  <si>
    <t>LADRILLO FACHADA PRENSADO MACIZO (24.5 X 12 X 5.5 CM) ARCILLA TIPO SANTAFÉ O SIMILAR.</t>
  </si>
  <si>
    <t>ladrillo fachada presado liviano</t>
  </si>
  <si>
    <t>T07</t>
  </si>
  <si>
    <t>PIEZA ESPECIAL EN "L"  25 X 12.5 X 6 CM. TONO OCRE TIPO MOORE O SIMILAR.</t>
  </si>
  <si>
    <t>T04</t>
  </si>
  <si>
    <t>ADOQUIN DE ARCILLA COLOR ( 8*10*20) PUESTO EN OBRA</t>
  </si>
  <si>
    <t>adoquin arcilla</t>
  </si>
  <si>
    <t>T16</t>
  </si>
  <si>
    <t xml:space="preserve">BLOQUE  Nº 4 ARCILLA </t>
  </si>
  <si>
    <t>bloque No 4 santafe</t>
  </si>
  <si>
    <t>T17</t>
  </si>
  <si>
    <t>BLOQUE ESTRUCTURAL CONCRETO LISO 20*20*40 CM. TIPO ADOQUINAR O SIMILAR.</t>
  </si>
  <si>
    <t>W</t>
  </si>
  <si>
    <t>MADERAS</t>
  </si>
  <si>
    <t>W13</t>
  </si>
  <si>
    <t>CERCO ORDINARIO 8 CM X 8 CM X 4 M.</t>
  </si>
  <si>
    <t>W21</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</si>
  <si>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</si>
  <si>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W22</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</si>
  <si>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</si>
  <si>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W01</t>
  </si>
  <si>
    <t xml:space="preserve">DURMIENTE  4*4  </t>
  </si>
  <si>
    <t>W02</t>
  </si>
  <si>
    <t>LISTON 2 X 4</t>
  </si>
  <si>
    <t>W04</t>
  </si>
  <si>
    <t>LISTON CEDRO MACHO 5 CM X 2.5 CM X 3 M.</t>
  </si>
  <si>
    <t>W34</t>
  </si>
  <si>
    <t>MARCO EN MADECOR SENCILLO - KIT DE MARKO MADECOR TIPO PIZANO O SIMILAR (2 LARGUEROS DE 2,40 M Y UN CABEZAL DE 1,20 M.) ANCHO MURO: 10 A 18 CM.</t>
  </si>
  <si>
    <t>W33</t>
  </si>
  <si>
    <t>MARCO EN MADECOR SENCILLO - KIT DE MARKO MADECOR TIPO PIZANO O SIMILAR (2 LARGUEROS DE 2,40 M Y UN CABEZAL DE 1,20 M.) ANCHO MURO: 8 CM.</t>
  </si>
  <si>
    <t>W32</t>
  </si>
  <si>
    <t>MARCO EN MADERA CHINGALE SENCILLO - KIT DE MARKO MADERA TIPO PIZANO O SIMILAR. (2 LARGUEROS DE 2,40 M Y UN CABEZAL DE 1,20 M.) ANCHO MURO: 8 CM.</t>
  </si>
  <si>
    <t>W31</t>
  </si>
  <si>
    <t>MARCO EN TABLEX ENCHAPADO OKUME (25 MM.) SENCILLO - KIT DE MARKO CLASSICO TIPO PIZANO O SIMILAR. (2 LARGUEROS DE 2,40 M Y UN CABEZAL DE 1,20 M.) ANCHO MURO: 10 A 18 CM.</t>
  </si>
  <si>
    <t>W36</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</si>
  <si>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</si>
  <si>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W35</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</si>
  <si>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</si>
  <si>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W20</t>
  </si>
  <si>
    <t>PERSIANA  EN MADERA ZAPÁN DE 2CM X 15 CM CADA 7,5 CM  ( INCLUYE PINTURA DE ACABADO, INMUNIZADO, PERFILERIA DE ANCLAJE TIPO MUEBLE DE 2"X1/8", SOPORTE VERTICAL, CADA  METRO, Y ANCLAJES PERSIANA.)</t>
  </si>
  <si>
    <t>W05</t>
  </si>
  <si>
    <t>TELERA 20 CM X 4 CM X 3 M.</t>
  </si>
  <si>
    <t>W25</t>
  </si>
  <si>
    <t xml:space="preserve">PUERTA ENTAMBORADA EN LAMINA TRIPLEX OKUME - TIPO PIZANO OKUMÉ O SIMILAR. ANCHO: 0,51A 0,75 M. ALTO: 1,80 A 2,40 M. HOJA LISA CON 4 RANURAS HORIZONTALES Y CON MARQUETE CHAPACANTO OKUMÉ. </t>
  </si>
  <si>
    <t>W23</t>
  </si>
  <si>
    <t xml:space="preserve">PUERTA ENTAMBORADA EN LAMINA TRIPLEX OKUME - TIPO PIZANO OKUMÉ O SIMILAR. ANCHO: 0,51A 0,75 M. ALTO: 1,80 A 2,40 M. HOJA LISA CON MARQUETE CHAPACANTO OKUMÉ. </t>
  </si>
  <si>
    <t>W26</t>
  </si>
  <si>
    <t xml:space="preserve">PUERTA ENTAMBORADA EN LAMINA TRIPLEX OKUME - TIPO PIZANO OKUMÉ O SIMILAR. ANCHO: 0,76 A 1,10 M. ALTO: 1,80 A 2,40 M. HOJA LISA CON 4 RANURAS HORIZONTALES Y CON MARQUETE CHAPACANTO OKUMÉ. </t>
  </si>
  <si>
    <t>W24</t>
  </si>
  <si>
    <t xml:space="preserve">PUERTA ENTAMBORADA EN LAMINA TRIPLEX OKUME - TIPO PIZANO OKUMÉ O SIMILAR. ANCHO: 0,76 A 1,10 M. ALTO: 1,80 A 2,40 M. HOJA LISA CON MARQUETE CHAPACANTO OKUMÉ. </t>
  </si>
  <si>
    <t>W29</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</si>
  <si>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</si>
  <si>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W27</t>
  </si>
  <si>
    <t xml:space="preserve">PUERTA ENTAMBORADA EN MADEFONDO - TIPO PIZANO ARQUITECTÓNICA O SIMILAR. ANCHO: 0,51 A 0,75 M. ALTO: 1,80 A 2,40 M. HOJA LISA CON MARQUETE EN CANTO DECORATIVO. ACABADO: SEGÚN PINTA SELECCIONADA DE CARTA COLORES MADECOR. </t>
  </si>
  <si>
    <t>W30</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</si>
  <si>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</si>
  <si>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W28</t>
  </si>
  <si>
    <t xml:space="preserve">PUERTA ENTAMBORADA EN MADEFONDO - TIPO PIZANO ARQUITECTÓNICA O SIMILAR. ANCHO: 0,76 A 1,10 M. ALTO: 1,80 A 2,40 M. HOJA LISA CON MARQUETE EN CANTO DECORATIVO. ACABADO: SEGÚN PINTA SELECCIONADA DE CARTA COLORES MADECOR. </t>
  </si>
  <si>
    <t>W12</t>
  </si>
  <si>
    <t>CUARTON 8 CM * 4 CM * 3 M</t>
  </si>
  <si>
    <t>W06</t>
  </si>
  <si>
    <t>CUARTON ORDINARIO 8 CM *4 CM *3M</t>
  </si>
  <si>
    <t>W09</t>
  </si>
  <si>
    <t>TABLA BURRA 30 CM * 2.5 CM * 3 M</t>
  </si>
  <si>
    <t>W17</t>
  </si>
  <si>
    <t>TABLA CHAPA EN CEDRO MACHO 30 CM X 2 CM X 3 M.</t>
  </si>
  <si>
    <t>W16</t>
  </si>
  <si>
    <t>TABLA CHAPA ORDINARIO 30 CM X 2 CM X 3 M.</t>
  </si>
  <si>
    <t>W18</t>
  </si>
  <si>
    <t>TIRAS ALISTADO 3 X 3 X 3</t>
  </si>
  <si>
    <t>W19</t>
  </si>
  <si>
    <t>VARA DE CLAVO</t>
  </si>
  <si>
    <t>W37</t>
  </si>
  <si>
    <t xml:space="preserve">TABLA BURRA EN CEDRO MACHO 0,23 X 3 MTS </t>
  </si>
  <si>
    <t>W38</t>
  </si>
  <si>
    <t>W39</t>
  </si>
  <si>
    <t>ESTERILLA DE GUADUA</t>
  </si>
  <si>
    <t>W40</t>
  </si>
  <si>
    <t>TELERA 0,05X0,22X2,90 M (3 USOS)</t>
  </si>
  <si>
    <t>W41</t>
  </si>
  <si>
    <t>GUADUA CEPA DE 5 VARAS</t>
  </si>
  <si>
    <t>W42</t>
  </si>
  <si>
    <t>VARILLÓN DE 0,02 X 0,05 X 2,80</t>
  </si>
  <si>
    <t>W43</t>
  </si>
  <si>
    <t>VARILLON DE SAJO</t>
  </si>
  <si>
    <t>W44</t>
  </si>
  <si>
    <t>GUADUA SOBREBASA L= 1.50 MT. 3 USOS</t>
  </si>
  <si>
    <t>W45</t>
  </si>
  <si>
    <t>TABLA 1"X10"X3M</t>
  </si>
  <si>
    <t>W46</t>
  </si>
  <si>
    <t>CUARTON 2"X4"X3M</t>
  </si>
  <si>
    <t>W47</t>
  </si>
  <si>
    <t>GUADUA PARA FILTRO</t>
  </si>
  <si>
    <t>W48</t>
  </si>
  <si>
    <t>RASTROJO PARA FILTROS VIVOS</t>
  </si>
  <si>
    <t>W49</t>
  </si>
  <si>
    <t>GUADUILLA</t>
  </si>
  <si>
    <t>W50</t>
  </si>
  <si>
    <t>VIGUETA CHANUL 3 MTRS</t>
  </si>
  <si>
    <t>W51</t>
  </si>
  <si>
    <t>TABLA X 3 CHANUL</t>
  </si>
  <si>
    <t>W52</t>
  </si>
  <si>
    <t>CUARTON CHANUL 3 MTRS</t>
  </si>
  <si>
    <t>W53</t>
  </si>
  <si>
    <t>LATA DE GUADUA</t>
  </si>
  <si>
    <t>W54</t>
  </si>
  <si>
    <t>POSTE DE MADERA DE CHANUL</t>
  </si>
  <si>
    <t>PINTURAS</t>
  </si>
  <si>
    <t>X17</t>
  </si>
  <si>
    <t>AJUSTADOR PARA DILUSION DE PINTURA EPOXI POLIAMIDA CON CATALIZADOR - TIPO PINTUCO REF. 125290 O SIMILAR</t>
  </si>
  <si>
    <t>FTP Pint Epoxica</t>
  </si>
  <si>
    <t>X01</t>
  </si>
  <si>
    <t>ANTICORROSIVO PREMIUM - TIPO PINTUCO REF. 513 O SIMILAR</t>
  </si>
  <si>
    <t>anticorrosivo</t>
  </si>
  <si>
    <t>X04</t>
  </si>
  <si>
    <t>ESMALTE SINTETICO PINTULUX - TIPO PINTUCO REF. SEGÚN COLOR DISEÑO O SIMILAR</t>
  </si>
  <si>
    <t>pintulux</t>
  </si>
  <si>
    <t>X03</t>
  </si>
  <si>
    <t>ESTUCO PARA EXTERIORES - TIPO PINTUCO REF. 27060 O SIMILAR.</t>
  </si>
  <si>
    <t>estucoplasticocorona</t>
  </si>
  <si>
    <t>X02</t>
  </si>
  <si>
    <t>ESTUCO PARA INTERIORES - TIPO PINTUCO REF. 117060 O SIMILAR.</t>
  </si>
  <si>
    <t>X05</t>
  </si>
  <si>
    <t>GRANIPLAS (ESGRAFIADO) FACHADA COLOR PASTEL</t>
  </si>
  <si>
    <t>graniplast</t>
  </si>
  <si>
    <t>X06</t>
  </si>
  <si>
    <t>GRANIPLAS (ESGRAFIADO) FACHADA COLORES INTERMEDIOS Y FUERTES</t>
  </si>
  <si>
    <t>X15</t>
  </si>
  <si>
    <t>HIDROFUGO TIPO SILICONITE DE PINTUCO O SIMILAR.</t>
  </si>
  <si>
    <t>hidrofugo</t>
  </si>
  <si>
    <t>X12</t>
  </si>
  <si>
    <t>INTERVINILO - TIPO PINTUCO REF. SEGÚN COLOR DISEÑO O SIMILAR</t>
  </si>
  <si>
    <t>vinilcor tipo 1</t>
  </si>
  <si>
    <t>X11</t>
  </si>
  <si>
    <t>KORAZA - TIPO PINTUCO REF. 2650 SEGÚN COLOR DISEÑO O SIMILAR</t>
  </si>
  <si>
    <t>koraza</t>
  </si>
  <si>
    <t>X22</t>
  </si>
  <si>
    <t>LACA PINTULACA - TIPO PINTUCO O SIMILAR</t>
  </si>
  <si>
    <t>X07</t>
  </si>
  <si>
    <t>MARMOLINA (40 KILOS)</t>
  </si>
  <si>
    <t>marmolina</t>
  </si>
  <si>
    <t>X23</t>
  </si>
  <si>
    <t>PINTURA ACABADO KIT MARKO MADERA CHINGALE SENCILLO. ANCHO PUERTA: 0,51 X 0,75 M. (TINTILLA, SELLADOR Y LACA)</t>
  </si>
  <si>
    <t>tintilla-recol-dr-131</t>
  </si>
  <si>
    <t>X24</t>
  </si>
  <si>
    <t>PINTURA ACABADO KIT MARKO MADERA CHINGALE SENCILLO. ANCHO PUERTA: 0,76 X 1,10 M. (TINTILLA, SELLADOR Y LACA)</t>
  </si>
  <si>
    <t>X25</t>
  </si>
  <si>
    <t>PINTURA ACRILICA A BASE SOLVENTES DE RAPIDO SECAMIENTO TIPO PINTUCO (ACRILICO MANTENIMIENTO) O SIMILAR - COLORES: BLANCO, AMARILLO O NEGRO SEGÚN DISEÑO.</t>
  </si>
  <si>
    <t>sellador-pintura</t>
  </si>
  <si>
    <t>X14</t>
  </si>
  <si>
    <t>PINTURA ACRILICA PARA TRAFICO TIPO PINTUCO (PINTUTRÁFICO) O SIMILAR - COLORES: BLANCO, AMARILLO O NEGRO SEGÚN DISEÑO.</t>
  </si>
  <si>
    <t>pintura acrilica fachada</t>
  </si>
  <si>
    <t>X08</t>
  </si>
  <si>
    <t>PINTURA BITUMINOSA - TIPO  PINTUCO REF. ECP-100 O SIMILAR</t>
  </si>
  <si>
    <t>bituminosa</t>
  </si>
  <si>
    <t>X09</t>
  </si>
  <si>
    <t>PINTURA ELECTROESTATICA</t>
  </si>
  <si>
    <t>pintura electrostatica</t>
  </si>
  <si>
    <t>X16</t>
  </si>
  <si>
    <t>PINTURA EPOXI POLIAMIDA CON CATALIZADOR - TIPO PINTUCO REF. 113243 COLOR SEGÚN DISEÑO O SIMILAR</t>
  </si>
  <si>
    <t xml:space="preserve"> EPOXI POLIAMIDA</t>
  </si>
  <si>
    <t>X21</t>
  </si>
  <si>
    <t>SELLADOR LIJABLE  - TIPO PINTUCO O SIMILAR</t>
  </si>
  <si>
    <t>sellador lijable</t>
  </si>
  <si>
    <t>X20</t>
  </si>
  <si>
    <t>TINTILLA SELLADORA - TIPO MINWAX O SIMILAR.</t>
  </si>
  <si>
    <t>X10</t>
  </si>
  <si>
    <t xml:space="preserve">VINILTEX - TIPO PINTUCO REF. SEGÚN COLOR DISEÑO O SIMILAR. </t>
  </si>
  <si>
    <t>viniltex</t>
  </si>
  <si>
    <t>X18</t>
  </si>
  <si>
    <t xml:space="preserve">WASH PRIMER COMPONENTE A - 1/4 GL  REF. 509A O SIMILAR </t>
  </si>
  <si>
    <t>wash primer</t>
  </si>
  <si>
    <t>X19</t>
  </si>
  <si>
    <t>WASH PRIMER COMPONENTE B - 1/4 GL REF. 509B O SIMILAR</t>
  </si>
  <si>
    <t>X13</t>
  </si>
  <si>
    <t xml:space="preserve">YESO CORRIENTE TIPO VENCEDOR O SIMILAR </t>
  </si>
  <si>
    <t>X27</t>
  </si>
  <si>
    <t>RECUBRIMIENTO EPOXICO DURALCOTE 240</t>
  </si>
  <si>
    <t>durakolte</t>
  </si>
  <si>
    <t>X28</t>
  </si>
  <si>
    <t>PINTURA EPOXICA</t>
  </si>
  <si>
    <t>pintura epoxica</t>
  </si>
  <si>
    <t>X28A</t>
  </si>
  <si>
    <t>PINTURA ATOXICA EPOXICA ROJO</t>
  </si>
  <si>
    <t>X28B</t>
  </si>
  <si>
    <t>PINTURA ATOXICA EPOXICA BLANCO</t>
  </si>
  <si>
    <t>X28C</t>
  </si>
  <si>
    <t>IMPRIMANTE EPOXICO</t>
  </si>
  <si>
    <t>X28D</t>
  </si>
  <si>
    <t>COLMASOLVENTE EPOXICO AL 12,5%</t>
  </si>
  <si>
    <t>X29</t>
  </si>
  <si>
    <t>PINTURA PLASTICO EN FRIO DOS COMPONENTES</t>
  </si>
  <si>
    <t>Pintura plastico</t>
  </si>
  <si>
    <t>X30</t>
  </si>
  <si>
    <t>CARBURO</t>
  </si>
  <si>
    <t>X31</t>
  </si>
  <si>
    <t>ALUMOL</t>
  </si>
  <si>
    <t>X32</t>
  </si>
  <si>
    <t>SIKAGUARD</t>
  </si>
  <si>
    <t>X33</t>
  </si>
  <si>
    <t>SIKA QUARZ TOP</t>
  </si>
  <si>
    <t>X34</t>
  </si>
  <si>
    <t>WASH PRIMER</t>
  </si>
  <si>
    <t>X35</t>
  </si>
  <si>
    <t>PINTURA ALUMINIO PINTUCO  P 153</t>
  </si>
  <si>
    <t>X36</t>
  </si>
  <si>
    <t>ACRONAL LIGANTE</t>
  </si>
  <si>
    <t>Acronal</t>
  </si>
  <si>
    <t>Y</t>
  </si>
  <si>
    <t>PISOS Y ENCHAPES</t>
  </si>
  <si>
    <t>Y19</t>
  </si>
  <si>
    <t>BALDOSA GRANO TRADICIONAL BLANCO HUILA BH5 DE 30 X 30 CM. TIPO ALFA O SIMILAR. FONDO BLANCO</t>
  </si>
  <si>
    <t>PISO CERAMICA</t>
  </si>
  <si>
    <t>Y18</t>
  </si>
  <si>
    <t>BALDOSA GRANO TRADICIONAL PAYANDE P5 DE 30 X 30 CM. TIPO ALFA O SIMILAR. FONDO BLANCO</t>
  </si>
  <si>
    <t>Y01</t>
  </si>
  <si>
    <t xml:space="preserve">BALDOSA GRANO TRADICIONAL PERLATO CLARO PCL 5 DE 40 X 40 CM. TIPO ALFA O SIMILAR. FONDO CREMA </t>
  </si>
  <si>
    <t>Y02</t>
  </si>
  <si>
    <t>BALDOSA GRANO TRADICIONAL VILLA DE LEYVA DE 30 X 30 CM. FONDO CAFÉ</t>
  </si>
  <si>
    <t>Y04</t>
  </si>
  <si>
    <t>BOQUILLA ALFACOLOR 1-3</t>
  </si>
  <si>
    <t>Y05</t>
  </si>
  <si>
    <t>BOQUILLA ALFACOLOR 3-15</t>
  </si>
  <si>
    <t>Y37</t>
  </si>
  <si>
    <t>CENEFA MALLA SQUARE MESH POMPEI MOCCA 30.5 X 10 CM. TIPO ALFA O SIMILAR.</t>
  </si>
  <si>
    <t>Corona - 2011 Catalogo Portafolio Profesional</t>
  </si>
  <si>
    <t>Y37A</t>
  </si>
  <si>
    <t>CENEFA PRECORTADO OXIDO 10*30,5-1. TIPO ALFA O SIMILAR.</t>
  </si>
  <si>
    <t>Y37D</t>
  </si>
  <si>
    <t xml:space="preserve">LISTON SAN REMO TIPO CORONA O SIMILAR </t>
  </si>
  <si>
    <t>Y37B</t>
  </si>
  <si>
    <t>CENEFA ROMANICA POMPEI AGA/CORAL ALPES TABACO</t>
  </si>
  <si>
    <t>Y37C</t>
  </si>
  <si>
    <t>CENEFA PRECORTADO ROJO 10*30,5-1. TIPO ALFA O SIMILAR.</t>
  </si>
  <si>
    <t>Y15</t>
  </si>
  <si>
    <t>CENEFA MALLA SQUARE MESH POMPEI MOCCA 30.5 X 5 CM. TIPO ALFA O SIMILAR.</t>
  </si>
  <si>
    <t>Y06</t>
  </si>
  <si>
    <t xml:space="preserve">CENEFA TIPO ROMANICO GRIS DORADO ROYAL   22 X 6 CM. TIPO ALFA O SIMILAR. </t>
  </si>
  <si>
    <t>Y07</t>
  </si>
  <si>
    <t>CERAMICA PARED TIPO ANTIQUE 15 *15 CM. TIPO ALFA O SIMILAR. COLOR BEIGE O BLANCO</t>
  </si>
  <si>
    <t>Y14</t>
  </si>
  <si>
    <t xml:space="preserve">CERAMICA PARED TIPO FERRARA 20.3 X 30.5 CM.TIPO ALFA O SIMILAR. COLOR BLANCO O CAFÉ. </t>
  </si>
  <si>
    <t>Y35</t>
  </si>
  <si>
    <t>CERAMICA PARED TIPO POMPEI  30.5 X 20.3 CM. TIPO ALFA O SIMILAR. COLOR CORAL O SHELL</t>
  </si>
  <si>
    <t>Y36</t>
  </si>
  <si>
    <t>CERAMICA PARED TIPO STONE  20.3 X 30.5 CM. TIPO ALFA O SIMILAR. COLOR BLANCO O CAFÉ.</t>
  </si>
  <si>
    <t>Y03</t>
  </si>
  <si>
    <t>CERAMICA PISO ANTIQUE 30.5 X 30.5 CM.TIPO ALFA O SIMILAR. COLOR BLANCO O BEIGE</t>
  </si>
  <si>
    <t>Y03A</t>
  </si>
  <si>
    <t xml:space="preserve">PIEDRACID NEGRO 45*45 TIPO ALFA O SIMILAR COLOR NEGRO </t>
  </si>
  <si>
    <t>PisoPiedraCid</t>
  </si>
  <si>
    <t>Y17</t>
  </si>
  <si>
    <t>CERAMICA PISO ECOCERAMICA  20 X 20 CM. TIPO ALFA O SIMILAR. COLOR BLANCO</t>
  </si>
  <si>
    <t>Y17D</t>
  </si>
  <si>
    <t xml:space="preserve">PORCELANTO ARTICO BLANCO 46,1X46,1 </t>
  </si>
  <si>
    <t>FICHA TECNICA PORCELANATO</t>
  </si>
  <si>
    <t>Y17E</t>
  </si>
  <si>
    <t>CERAMICA PARED EGEO BLANCO 30X60</t>
  </si>
  <si>
    <t>Y17B</t>
  </si>
  <si>
    <t>CERAMICA PISO PIEDRACID DESERSTONE 45*45. TIPO ALFA O SIMILAR. COLOR BLANCO</t>
  </si>
  <si>
    <t>Y17C</t>
  </si>
  <si>
    <t>CERAMICA PISO PIEDRACID CAYONRED 45*45. TIPO ALFA O SIMILAR. COLOR BLANCO</t>
  </si>
  <si>
    <t>Y16</t>
  </si>
  <si>
    <t>CERAMICA PISO POMPEI  30.5 X 30.5 CM. TIPO ALFA O SIMILAR. COLOR CORAL O SHELL</t>
  </si>
  <si>
    <t>Y11</t>
  </si>
  <si>
    <t>CERAMICA PISO STONE 30.5 X 30.5 CM. TIPO ALFA O SIMILAR. COLOR BLANCO O CAFÉ</t>
  </si>
  <si>
    <t>Y39</t>
  </si>
  <si>
    <t>MESON EN MARMOL CAFE PINTO A=0.60 M.  SALPICADERO DE H=10 CM. Y BABERO DE H=10 CM.</t>
  </si>
  <si>
    <t>marmolromanico</t>
  </si>
  <si>
    <t>Y38</t>
  </si>
  <si>
    <t xml:space="preserve">MESON EN MARMOL NEGRO CARACOL A=0.60 M.  SALPICADERO DE H=10 CM. Y BABERO DE H=10 CM. </t>
  </si>
  <si>
    <t>Y41</t>
  </si>
  <si>
    <t xml:space="preserve">MESON EN MARMOL NEGRO SAN GIL  A=0.60 M.  SALPICADERO DE H=10 CM. Y BABERO DE H=10 CM. </t>
  </si>
  <si>
    <t>Y09</t>
  </si>
  <si>
    <t>MESON EN MARMOL TRAVERTINO VILLA DE LEYVA A=0.60 M.  SALPICADERO DE H=10 CM. Y BABERO DE H=10 CM</t>
  </si>
  <si>
    <t>Y40</t>
  </si>
  <si>
    <t>PISO TIPO PROQUINAL CONFORT O SIMILAR COLOR GRIS ANCHO 1.40 M. E= 2.7 MM (PISO ESPUMADO BASE TEXTIL TIPO PROQUINAL O SIMILAR.)</t>
  </si>
  <si>
    <t>Y30</t>
  </si>
  <si>
    <t>PORCELANATTO BRILLANTE LISBOA  50 X 50 CM. TIPO ALFA O SIMILAR. COLOR BEIGE CON BETAS</t>
  </si>
  <si>
    <t>Y28</t>
  </si>
  <si>
    <t>PORCELANATTO CONSTELLAZIONE BRILLANTE BLANCO 38.2 X 38.2 CM. TIPO ALFA O SIMILAR</t>
  </si>
  <si>
    <t>Y26</t>
  </si>
  <si>
    <t>PORCELANATTO CONSTELLAZIONE BRILLANTE GRIS O NEGRO 38.2 X 38.2 CM. TIPO ALFA O SIMILAR</t>
  </si>
  <si>
    <t>Y29</t>
  </si>
  <si>
    <t>PORCELANATTO CONSTELLAZIONE MATE BLANCO 38.2 X 38.2 CM. TIPO ALFA O SIMILAR</t>
  </si>
  <si>
    <t>Y27</t>
  </si>
  <si>
    <t>PORCELANATTO CONSTELLAZIONE MATE GRIS O NEGRO 50 X 50 CM. TIPO ALFA O SIMILAR</t>
  </si>
  <si>
    <t>Y21</t>
  </si>
  <si>
    <t>TABLON DE GRES LATINO LISO 20 X 20 CM. TIPO ALFA O SIMILAR. COLORES ROJO, SALMÓN O SAHARA.</t>
  </si>
  <si>
    <t>TablonGres</t>
  </si>
  <si>
    <t>Y12</t>
  </si>
  <si>
    <t>TABLON DE GRES LATINO PIRAMIDAL 20 X 20 CM. TIPO ALFA O SIMILAR. COLORES ROJO O SAHARA.</t>
  </si>
  <si>
    <t>Y25</t>
  </si>
  <si>
    <t>TABLON DE GRES PORTAL LISO 30 X 15 CM. TIPO ALFA O SIMILAR. COLORES ROJO, SALMÓN O SAHARA.</t>
  </si>
  <si>
    <t>Y23</t>
  </si>
  <si>
    <t>TABLON DE GRES TRADICION GRAFILADO 30 X 30 CM. TIPO ALFA O SIMILAR. COLOR ROJO</t>
  </si>
  <si>
    <t>Y20</t>
  </si>
  <si>
    <t>TABLON DE GRES TRADICION LISO 30 X 30 CM. TIPO ALFA O SIMILAR. COLOR MOCCA.</t>
  </si>
  <si>
    <t>Y13</t>
  </si>
  <si>
    <t>TABLON DE GRES TRADICION LISO 30 X 30 CM. TIPO ALFA O SIMILAR. COLORES ROJO, SALMÓN O SAHARA.</t>
  </si>
  <si>
    <t>Y24</t>
  </si>
  <si>
    <t>TABLON DE GRES TUNEZ ABRASIVO 15 X 15 CM. TIPO ALFA O SIMILAR. COLORES ROJO, SALMÓN O SAHARA.</t>
  </si>
  <si>
    <t>Y22</t>
  </si>
  <si>
    <t>TABLON DE GRES TUNEZ LISO 15 X 15 CM. TIPO ALFA O SIMILAR. COLORES ROJO, SALMÓN O SAHARA.</t>
  </si>
  <si>
    <t>Y34</t>
  </si>
  <si>
    <t>ZOCALO GRANO DE MARMOL BLANCO HUILA BH5 DE 30 X 7.2 CM. TIPO ALFA O SIMILAR. FONDO BLANCO</t>
  </si>
  <si>
    <t>Y33</t>
  </si>
  <si>
    <t>ZOCALO GRANO DE MARMOL PAYANDE P5 DE 30 X 7.2 CM. TIPO ALFA O SIMILAR. FONDO BLANCO</t>
  </si>
  <si>
    <t>Y31</t>
  </si>
  <si>
    <t xml:space="preserve">ZOCALO GRANO DE MARMOL PERLATO CLARO PCL 5 DE 30 X 7.2 CM. TIPO ALFA O SIMILAR. FONDO CREMA </t>
  </si>
  <si>
    <t>Y32</t>
  </si>
  <si>
    <t>ZOCALO GRANO DE MARMOL VILLA DE LEYVA G5E DE 30 X 7.2 CM. TIPO ALFA O SIMILAR. FONDO CAFÉ</t>
  </si>
  <si>
    <t>Y42</t>
  </si>
  <si>
    <t>CERAMICA PARED BOTICCINO SAND 28*43-1. TIPO ALFA O SIMILAR. COLOR.</t>
  </si>
  <si>
    <t>Y43</t>
  </si>
  <si>
    <t>CERAMICA IMPORTADA  NEVADA BLANCA BR 30*45-1. TIPO ALFA O SIMILAR. COLOR.</t>
  </si>
  <si>
    <t>Y22A</t>
  </si>
  <si>
    <t>LOSETA INDUSTRIAL 24.5*12 COLOR SAHARA TIPO ALFA O SIMILAR</t>
  </si>
  <si>
    <t>Y44</t>
  </si>
  <si>
    <t>CERA POLIMERICA</t>
  </si>
  <si>
    <t>Cera polimerica</t>
  </si>
  <si>
    <t>Y45</t>
  </si>
  <si>
    <t>GRANITO BLANCO HUILA  Nº 1,2 Y 3 (25 KG)</t>
  </si>
  <si>
    <t>MARMOLINA</t>
  </si>
  <si>
    <t>Y46</t>
  </si>
  <si>
    <t>CERAMICA SENCILLA</t>
  </si>
  <si>
    <t>Y47</t>
  </si>
  <si>
    <t>TABLILLA PARA PISO</t>
  </si>
  <si>
    <t>Z</t>
  </si>
  <si>
    <t>PREFABRICADOS</t>
  </si>
  <si>
    <t>Z02</t>
  </si>
  <si>
    <t>SARDINEL PREFABRICADO AH=20 CM, B=10  CM, L=100CM</t>
  </si>
  <si>
    <t>Z03</t>
  </si>
  <si>
    <t xml:space="preserve">LAVADERO PREFABRICADO EN GRANITO 80 X 60 X 50 CM. </t>
  </si>
  <si>
    <t>Z06</t>
  </si>
  <si>
    <t>REJILLA SUMIDERO EAAB (LATERAL) A=83.5 CM. L=45 CM. E=14 CM. REF. RE017 TIPO TITAN O SIMILAR</t>
  </si>
  <si>
    <t>Z05</t>
  </si>
  <si>
    <t>REJILLA SUMIDERO PLAQUETA (PEATONAL) A=40 CM. L=40 CM. E=6 CM. REF. P40402 TIPO TITAN O SIMILAR</t>
  </si>
  <si>
    <t>Z04</t>
  </si>
  <si>
    <t>REJILLA SUMIDERO TRANSVERSAL (TRANSVERSAL) B=50 CM. L=50 CM. E=15 CM. REF. RE 009 TIPO TITAN O SIMILAR</t>
  </si>
  <si>
    <t>Z01</t>
  </si>
  <si>
    <t>TOPELLANTAS PREFABRICADO H=15 CM, B=20 CM Y LARGO=50 CM.</t>
  </si>
  <si>
    <t>topellantas</t>
  </si>
  <si>
    <t>Z07</t>
  </si>
  <si>
    <t xml:space="preserve">DISTANCIADORES EN MORTERO H=0.05 CMS </t>
  </si>
  <si>
    <t>BB</t>
  </si>
  <si>
    <t>INSTALACIONES ELECTRICAS</t>
  </si>
  <si>
    <t>BB01</t>
  </si>
  <si>
    <t>ABRAZADERA DE SALIDA TIPO 1</t>
  </si>
  <si>
    <t>Tuberia elecrica</t>
  </si>
  <si>
    <t>BB03</t>
  </si>
  <si>
    <t>ABRAZADERA DE SALIDA TIPO 3</t>
  </si>
  <si>
    <t>BB04</t>
  </si>
  <si>
    <t>ABRAZADERA DE SALIDA TIPO 4</t>
  </si>
  <si>
    <t>BB05</t>
  </si>
  <si>
    <t xml:space="preserve">ABRAZADERA EN  U </t>
  </si>
  <si>
    <t>BB669</t>
  </si>
  <si>
    <t>ABRAZADERA EN  U TIPO 2</t>
  </si>
  <si>
    <t>BB08</t>
  </si>
  <si>
    <t>ABRAZADERA O COLLARIN DE  7 - 8 UNA SALIDA - PL. 1/4 IDEM TIPO 3</t>
  </si>
  <si>
    <t>BB667</t>
  </si>
  <si>
    <t xml:space="preserve">ABRAZADERA O COLLARIN DE 9 - 10 DOS SALIDAS- PL. 1/4 IDEM TIPO 4 </t>
  </si>
  <si>
    <t>BB11</t>
  </si>
  <si>
    <t xml:space="preserve">ABRAZADERA O COLLARIN DE 9- 10 UNA SALIDA- PL. 1/4 IDEM TIPO 4 </t>
  </si>
  <si>
    <t>BB770</t>
  </si>
  <si>
    <t xml:space="preserve">ABRAZADERA SIN SALIDA TIPO 2 </t>
  </si>
  <si>
    <t>BB17</t>
  </si>
  <si>
    <t>ACCESORIOS DE FIJACION</t>
  </si>
  <si>
    <t>BB675</t>
  </si>
  <si>
    <t>ACCESORIOS FIJACION TUBERIA EMT 1" (ABRAZADERA, ALAMBRE)</t>
  </si>
  <si>
    <t>BB671</t>
  </si>
  <si>
    <t>ACCESORIOS FIJACION TUBERIA EMT 1/2" (ABRAZADERA, ALAMBRE)</t>
  </si>
  <si>
    <t>BB677</t>
  </si>
  <si>
    <t>ACCESORIOS FIJACION TUBERIA EMT 1_1/2" (ABRAZADERA, ALAMBRE)</t>
  </si>
  <si>
    <t>BB679</t>
  </si>
  <si>
    <t>ACCESORIOS FIJACION TUBERIA EMT 2" (ABRAZADERA, ALAMBRE)</t>
  </si>
  <si>
    <t>BB681</t>
  </si>
  <si>
    <t>ACCESORIOS FIJACION TUBERIA EMT 3" (ABRAZADERA, ALAMBRE)</t>
  </si>
  <si>
    <t>BB673</t>
  </si>
  <si>
    <t>ACCESORIOS FIJACION TUBERIA EMT 3/4" (ABRAZADERA, ALAMBRE)</t>
  </si>
  <si>
    <t>BB687</t>
  </si>
  <si>
    <t>ACCESORIOS FIJACION TUBERIA IMC Ó RIDGID 1" (ABRAZADERA, PERNOS)</t>
  </si>
  <si>
    <t>BB683</t>
  </si>
  <si>
    <t>ACCESORIOS FIJACION TUBERIA IMC Ó RIDGID 1/2" (ABRAZADERA, PERNOS)</t>
  </si>
  <si>
    <t>BB689</t>
  </si>
  <si>
    <t>ACCESORIOS FIJACION TUBERIA IMC Ó RIDGID 1_1/2" (ABRAZADERA, PERNOS)</t>
  </si>
  <si>
    <t>BB691</t>
  </si>
  <si>
    <t>ACCESORIOS FIJACION TUBERIA IMC Ó RIDGID 2" (ABRAZADERA, PERNOS)</t>
  </si>
  <si>
    <t>BB693</t>
  </si>
  <si>
    <t>ACCESORIOS FIJACION TUBERIA IMC Ó RIDGID 3" (ABRAZADERA, PERNOS)</t>
  </si>
  <si>
    <t>BB685</t>
  </si>
  <si>
    <t>ACCESORIOS FIJACION TUBERIA IMC Ó RIDGID 3/4" (ABRAZADERA, PERNOS)</t>
  </si>
  <si>
    <t>BB695</t>
  </si>
  <si>
    <t>ACCESORIOS FIJACION TUBERIA IMC Ó RIDGID 4" (ABRAZADERA, PERNOS)</t>
  </si>
  <si>
    <t>BB674</t>
  </si>
  <si>
    <t>ACCESORIOS TUBERIA EMT 1" (UNION, ADAPTADOR, CURVA)</t>
  </si>
  <si>
    <t>BB670</t>
  </si>
  <si>
    <t>ACCESORIOS TUBERIA EMT 1/2" (UNION, ADAPTADOR, CURVA)</t>
  </si>
  <si>
    <t>BB676</t>
  </si>
  <si>
    <t>ACCESORIOS TUBERIA EMT 1_1/2" (UNION, ADAPTADOR, CURVA)</t>
  </si>
  <si>
    <t>BB678</t>
  </si>
  <si>
    <t>ACCESORIOS TUBERIA EMT 2" (UNION, ADAPTADOR, CURVA)</t>
  </si>
  <si>
    <t>BB680</t>
  </si>
  <si>
    <t>ACCESORIOS TUBERIA EMT 3" (UNION, ADAPTADOR, CURVA)</t>
  </si>
  <si>
    <t>BB672</t>
  </si>
  <si>
    <t>ACCESORIOS TUBERIA EMT 3/4" (UNION Y CURVA)</t>
  </si>
  <si>
    <t>BB686</t>
  </si>
  <si>
    <t>ACCESORIOS TUBERIA IMC Ó RIDGID 1" (UNION  Y CURVA)</t>
  </si>
  <si>
    <t>BB682</t>
  </si>
  <si>
    <t>ACCESORIOS TUBERIA IMC Ó RIDGID 1/2" (UNION Y CURVA)</t>
  </si>
  <si>
    <t>BB688</t>
  </si>
  <si>
    <t xml:space="preserve">ACCESORIOS TUBERIA IMC Ó RIDGID 1_1/2" (UNION Y  CURVA ) </t>
  </si>
  <si>
    <t>BB690</t>
  </si>
  <si>
    <t>ACCESORIOS TUBERIA IMC Ó RIDGID 2" (UNION Y  CURVA)</t>
  </si>
  <si>
    <t>BB692</t>
  </si>
  <si>
    <t>ACCESORIOS TUBERIA IMC Ó RIDGID 3" (UNION, ADAPTADOR, CURVA)</t>
  </si>
  <si>
    <t>BB684</t>
  </si>
  <si>
    <t>ACCESORIOS TUBERIA IMC Ó RIDGID 3/4" (UNION Y  CURVA)</t>
  </si>
  <si>
    <t>BB694</t>
  </si>
  <si>
    <t>ACCESORIOS TUBERIA IMC Ó RIDGID 4" (UNION Y  CURVA)</t>
  </si>
  <si>
    <t>BB29</t>
  </si>
  <si>
    <t>ADAPTADOR TERMINAL PVC 3/4"</t>
  </si>
  <si>
    <t>BB31</t>
  </si>
  <si>
    <t>AISLADOR DE PIN ANSI 55-5 EN MATERIAL POLIMERICO</t>
  </si>
  <si>
    <t>BB32</t>
  </si>
  <si>
    <t>AISLADOR DE SUSPENSION ANSI 52-1, EN MATERIAL POLIMERICO</t>
  </si>
  <si>
    <t>BB43</t>
  </si>
  <si>
    <t>AISLADOR PORCELANA TIPO TENSOR ANSI 54-2</t>
  </si>
  <si>
    <t>BB47</t>
  </si>
  <si>
    <t xml:space="preserve">ALAMBRE COBRE DESNUDO Nº 10 AWG  </t>
  </si>
  <si>
    <t>BB48</t>
  </si>
  <si>
    <t>ALAMBRE COBRE DESNUDO Nº 12 AWG</t>
  </si>
  <si>
    <t>BB664</t>
  </si>
  <si>
    <t>ALAMBRE COBRE DESNUDO Nº 4 AWG</t>
  </si>
  <si>
    <t>BB51</t>
  </si>
  <si>
    <t>ALAMBRE COBRE Nº 10 THHN  AWG</t>
  </si>
  <si>
    <t>BB52</t>
  </si>
  <si>
    <t>ALAMBRE COBRE Nº 12 THHN  AWG</t>
  </si>
  <si>
    <t>BB813</t>
  </si>
  <si>
    <t>AMARRE PLÁSTICO PARA CABLE TRENZADO 20X4,8MM</t>
  </si>
  <si>
    <t>BB811</t>
  </si>
  <si>
    <t>APLIQUE TORTUGA APTO PARA USO A LA INTEMPERIE. BOMBILLO AHORRADOR 26W E27.</t>
  </si>
  <si>
    <t>BB62</t>
  </si>
  <si>
    <t>ARANDELA CUADRADA PLANA DE 4X4X5/8. PL. 1/8</t>
  </si>
  <si>
    <t>BB64</t>
  </si>
  <si>
    <t>ARANDELA PRESION GUAZA 5/8</t>
  </si>
  <si>
    <t>BB810</t>
  </si>
  <si>
    <t>BALA CUADRADA FC 2X26W HIGH LIGHTS. INCLUYE 2 BOMBILLAS AHORRADORAS 26W. E27, BALASTO ELECTRONICO Y VIDRIO DECORATIVO</t>
  </si>
  <si>
    <t>BB808</t>
  </si>
  <si>
    <t>BALA DULUX FC HIGH LIGHTS 2X26W. ARO BLANCO Y VIDRIO DECORATIVO. INCLUYE 2 BOMBILLAS AHORRADORAS 26W. E27 Y BALASTO ELECTRONICO.</t>
  </si>
  <si>
    <t>BB809</t>
  </si>
  <si>
    <t>BALA HALOGENA INYECTADA CUADRADA HIGH LIGHTS. ARO ESCUALIZABLE. INCLUYE BOMBILLO DICROICO 50W Y ADAPTADOR 12V.</t>
  </si>
  <si>
    <t>BB806</t>
  </si>
  <si>
    <t>BALA HQI RECTANGULAR EQUALIZABLE MARCA HIGH LIGHTS. INCLUYE AUTOTRANSFORMADOR Y BOMBILLA MH70W</t>
  </si>
  <si>
    <t>BB807</t>
  </si>
  <si>
    <t>BALA MINI FC HIGH LIGHTS 1X26W. INCLUYE BOMBILLA AHORRADORA 26W. E27. ARO BLANCO REFLECTOR EN ALUMINIO BRILLADO</t>
  </si>
  <si>
    <t>BB70</t>
  </si>
  <si>
    <t>BANDA PLASTICA DE SEÑALIZACION SEGUN NORMA CS-273</t>
  </si>
  <si>
    <t>BB696</t>
  </si>
  <si>
    <t>BANDEJA PORTACABLE ACERO GALVANIZADO EN CALIENTE ANCHO UTIL 10CM. INCLUYE PLATINAS DE UNION.</t>
  </si>
  <si>
    <t>BB697</t>
  </si>
  <si>
    <t>BANDEJA PORTACABLE ACERO GALVANIZADO EN CALIENTE ANCHO UTIL 20CM. INCLUYE PLATINAS DE UNION.</t>
  </si>
  <si>
    <t>BB698</t>
  </si>
  <si>
    <t>BANDEJA PORTACABLE ACERO GALVANIZADO EN CALIENTE ANCHO UTIL 30CM. INCLUYE PLATINAS DE UNION.</t>
  </si>
  <si>
    <t>BB699</t>
  </si>
  <si>
    <t>BANDEJA PORTACABLE ACERO GALVANIZADO EN CALIENTE ANCHO UTIL 40CM. INCLUYE PLATINAS DE UNION.</t>
  </si>
  <si>
    <t>BB700</t>
  </si>
  <si>
    <t>BANDEJA PORTACABLE ACERO GALVANIZADO EN CALIENTE ANCHO UTIL 50CM. INCLUYE PLATINAS DE UNION.</t>
  </si>
  <si>
    <t>BB701</t>
  </si>
  <si>
    <t>BANDEJA PORTACABLE ACERO GALVANIZADO EN CALIENTE ANCHO UTIL 60CM. INCLUYE PLATINAS DE UNION.</t>
  </si>
  <si>
    <t>BB74</t>
  </si>
  <si>
    <t>BASE Y FOTOCELDA TIPO EXTERIOR PARA ALUMBRADO INSTALADA.</t>
  </si>
  <si>
    <t>BB75</t>
  </si>
  <si>
    <t>BAYONETA PARA ANGULO  DOBLE 2 1/2 X 2 1/2 X 1/4 X 1,50 M</t>
  </si>
  <si>
    <t>BB88</t>
  </si>
  <si>
    <t>BAYONETA SENCILLA  2-1/2 X 1/4 X 1,50 M</t>
  </si>
  <si>
    <t>BB656</t>
  </si>
  <si>
    <t>BOQUILLA-TERMINAL (JUEGO DE TUERCA Y CONTRATUERCA) PARA TUBERIA IMC GALVANIZADA 2"</t>
  </si>
  <si>
    <t>BB92</t>
  </si>
  <si>
    <t>BOQUILLA-TERMINAL (JUEGO DE TUERCA Y CONTRATUERCA) PARA TUBERIA IMC GALVANIZADA 3"</t>
  </si>
  <si>
    <t>BB94</t>
  </si>
  <si>
    <t>BOQUILLA-TERMINAL (JUEGO DE TUERCA Y CONTRATUERCA) PARA TUBERIA IMC GALVANIZADA 4"</t>
  </si>
  <si>
    <t>BB97</t>
  </si>
  <si>
    <t>BORNA DE PONCHAR ESTAÑO DE DOS HUECOS Nº 4/0</t>
  </si>
  <si>
    <t>BB832</t>
  </si>
  <si>
    <t>BORNA TERMINAL PONCHAR MARCA 3M Ó PANDUIT BARRIL LARGO PARA CABLE NO.1/0AWG</t>
  </si>
  <si>
    <t>BB833</t>
  </si>
  <si>
    <t>BORNA TERMINAL PONCHAR MARCA 3M Ó PANDUIT BARRIL LARGO PARA CABLE NO.2/0AWG</t>
  </si>
  <si>
    <t>BB831</t>
  </si>
  <si>
    <t>BORNA TERMINAL PONCHAR MARCA 3M Ó PANDUIT BARRIL LARGO PARA CABLE NO.2AWG</t>
  </si>
  <si>
    <t>BB819</t>
  </si>
  <si>
    <t>BRAZO HORIZONTAL GALV. 3/4" X 1.50M</t>
  </si>
  <si>
    <t>BB114</t>
  </si>
  <si>
    <t>CABLE CUADRUPLEX AUTOSOPORTADOS 90ºC 600V  Nº  3X2/0+1X1/0 CONDUCTOR DE ALUMIIO AISLADO EN POLITILENO RETICULADO (XLP)</t>
  </si>
  <si>
    <t>BB117</t>
  </si>
  <si>
    <t>CABLE CUADRUPLEX AUTOSOPORTADOS 90ºC 600V  Nº  4X4/0 CONDUCTOR DE ALUMIIO AISLADO EN POLITILENO RETICULADO (XLP)</t>
  </si>
  <si>
    <t>BB126</t>
  </si>
  <si>
    <t>CABLE DE ALUMINIO DESNUDO CON ALMA  ACERO GALVANIZADO ACSR Nº 1/0 AWG</t>
  </si>
  <si>
    <t>BB126A</t>
  </si>
  <si>
    <t>BB128</t>
  </si>
  <si>
    <t>CABLE DE ALUMINIO DESNUDO CON ALMA  ACERO GALVANIZADO ACSR Nº 4/0 AWG</t>
  </si>
  <si>
    <t>BB157</t>
  </si>
  <si>
    <t>CABLE DE COBRE DESNUDO Nº 1/0  AWG</t>
  </si>
  <si>
    <t>BB158</t>
  </si>
  <si>
    <t>CABLE DE COBRE DESNUDO Nº 10 AWG</t>
  </si>
  <si>
    <t>BB159</t>
  </si>
  <si>
    <t>CABLE DE COBRE DESNUDO Nº 2  AWG</t>
  </si>
  <si>
    <t>BB160</t>
  </si>
  <si>
    <t>CABLE DE COBRE DESNUDO Nº 2/0  AWG</t>
  </si>
  <si>
    <t>BB161</t>
  </si>
  <si>
    <t xml:space="preserve">CABLE DE COBRE DESNUDO Nº 4 AWG </t>
  </si>
  <si>
    <t>BB162</t>
  </si>
  <si>
    <t xml:space="preserve">CABLE DE COBRE DESNUDO Nº 4/0 AWG </t>
  </si>
  <si>
    <t>BB163</t>
  </si>
  <si>
    <t xml:space="preserve">CABLE DE COBRE DESNUDO Nº 6 AWG  </t>
  </si>
  <si>
    <t>BB164</t>
  </si>
  <si>
    <t xml:space="preserve">CABLE DE COBRE DESNUDO Nº 8 AWG </t>
  </si>
  <si>
    <t>BB169</t>
  </si>
  <si>
    <t>CABLE DE COBRE ENCAUCHETADO 3 X 16 THHN</t>
  </si>
  <si>
    <t>BB170</t>
  </si>
  <si>
    <t>CABLE DE COBRE MONOPOLAR  XLPE MV-90 15KV 90ºC CON NIVEL DE AISLAMIENTO  DE 100% Nº2 AWG</t>
  </si>
  <si>
    <t>BB178</t>
  </si>
  <si>
    <t>CABLE DE COBRE Nº 1/0 THHN  AWG</t>
  </si>
  <si>
    <t>BB179</t>
  </si>
  <si>
    <t xml:space="preserve">CABLE DE COBRE Nº 10 THHN AWG  AMARILLO </t>
  </si>
  <si>
    <t>BB182</t>
  </si>
  <si>
    <t xml:space="preserve">CABLE DE COBRE Nº 2 THHN AWG NEGRO </t>
  </si>
  <si>
    <t>BB183</t>
  </si>
  <si>
    <t>CABLE DE COBRE Nº 2/0 THHN  AWG</t>
  </si>
  <si>
    <t>BB186</t>
  </si>
  <si>
    <t>CABLE DE COBRE Nº 350 THHN MCM</t>
  </si>
  <si>
    <t>BB187</t>
  </si>
  <si>
    <t xml:space="preserve">CABLE DE COBRE Nº 4 THHN AWG NEGRO </t>
  </si>
  <si>
    <t>BB188</t>
  </si>
  <si>
    <t xml:space="preserve">CABLE DE COBRE Nº 4/0 THHN  AWG NEGRO </t>
  </si>
  <si>
    <t>BB190</t>
  </si>
  <si>
    <t xml:space="preserve">CABLE DE COBRE Nº 6 THHN AWG NEGRO </t>
  </si>
  <si>
    <t>BB191</t>
  </si>
  <si>
    <t xml:space="preserve">CABLE DE COBRE Nº 8 THHN AWG  NEGRO </t>
  </si>
  <si>
    <t>BB191A</t>
  </si>
  <si>
    <t xml:space="preserve">ALAMBRE DE COBRE Nº 8 THWN </t>
  </si>
  <si>
    <t>BB191B</t>
  </si>
  <si>
    <t xml:space="preserve">ALAMBRE DE COBRE Nº 10 THWN </t>
  </si>
  <si>
    <t>BB191C</t>
  </si>
  <si>
    <t xml:space="preserve">ALAMBRE DE COBRE Nº 12 THWN </t>
  </si>
  <si>
    <t>BB191D</t>
  </si>
  <si>
    <t xml:space="preserve">CABLE DE COBRE Nº 6 THWN </t>
  </si>
  <si>
    <t>BB191E</t>
  </si>
  <si>
    <t xml:space="preserve">CABLE DE COBRE Nº 8 THWN </t>
  </si>
  <si>
    <t>BB191F</t>
  </si>
  <si>
    <t xml:space="preserve">CABLE DE COBRE Nº 10 THWN </t>
  </si>
  <si>
    <t>BB191G</t>
  </si>
  <si>
    <t xml:space="preserve">CABLE DE COBRE Nº 12 THWN </t>
  </si>
  <si>
    <t>BB198</t>
  </si>
  <si>
    <t>CABLE SUPER GX DE 9,53 MM (3/8") GALVANIZADO O CABLE PARA RETENIDA DE 3/8 GALVANIZADO</t>
  </si>
  <si>
    <t>BB651</t>
  </si>
  <si>
    <t xml:space="preserve">CAJA METALICA GALVANIZADA (REF: 2400) </t>
  </si>
  <si>
    <t>BB211</t>
  </si>
  <si>
    <t xml:space="preserve">CAJA METALICA GALVANIZADA (REF: 5800) </t>
  </si>
  <si>
    <t>BB220</t>
  </si>
  <si>
    <t>CAJA OCTOGONAL GALVANIZADA (CAJA EMP GALV.OCTAGONAL 4")</t>
  </si>
  <si>
    <t>BB226</t>
  </si>
  <si>
    <t xml:space="preserve">CAJA TRIFÁSICA TIPO INTEMPERIE PARA ACOMETIDAS DE BT </t>
  </si>
  <si>
    <t>BB227</t>
  </si>
  <si>
    <t xml:space="preserve">CAPACETE ROSCADO EN ALUMINIO PARA TUBERIA IMC GALVANIZADA DE 1" </t>
  </si>
  <si>
    <t>BB228</t>
  </si>
  <si>
    <t xml:space="preserve">CAPACETE ROSCADO EN ALUMINIO PARA TUBERIA IMC GALVANIZADA DE 2" </t>
  </si>
  <si>
    <t>BB229</t>
  </si>
  <si>
    <t xml:space="preserve">CAPACETE ROSCADO EN ALUMINIO PARA TUBERIA IMC GALVANIZADA DE 3" </t>
  </si>
  <si>
    <t>BB659</t>
  </si>
  <si>
    <t xml:space="preserve">CAPACETE ROSCADO EN ALUMINIO PARA TUBERIA IMC GALVANIZADA DE 4" </t>
  </si>
  <si>
    <t>BB233</t>
  </si>
  <si>
    <t xml:space="preserve">CINTA DE ACERO INOXIDABLE 5/8" </t>
  </si>
  <si>
    <t>BB234</t>
  </si>
  <si>
    <t>CINTA EN ACERO INOXIDABLE 1/2"</t>
  </si>
  <si>
    <t>BB794</t>
  </si>
  <si>
    <t>CLAVIJA CON SEGURO DE GIRO 2P+T 250V/20A. MARCA LEGRAND</t>
  </si>
  <si>
    <t>BB796</t>
  </si>
  <si>
    <t>CLAVIJA CON SEGURO DE GIRO 2P+T 250V/30A. MARCA LEGRAND</t>
  </si>
  <si>
    <t>BB776</t>
  </si>
  <si>
    <t>CLAVIJA RECTA PARA TOMA INDUSTRIAL 3P+N+T 250V/16A IP44. MARCA LEGRAND</t>
  </si>
  <si>
    <t>BB784</t>
  </si>
  <si>
    <t>CLAVIJA RECTA PARA TOMA INDUSTRIAL 3P+N+T 250V/16A IP67. MARCA LEGRAND</t>
  </si>
  <si>
    <t>BB780</t>
  </si>
  <si>
    <t>CLAVIJA RECTA PARA TOMA INDUSTRIAL 3P+N+T 250V/32A IP44. MARCA LEGRAND</t>
  </si>
  <si>
    <t>BB788</t>
  </si>
  <si>
    <t>CLAVIJA RECTA PARA TOMA INDUSTRIAL 3P+N+T 250V/32A IP67. MARCA LEGRAND</t>
  </si>
  <si>
    <t>BB792</t>
  </si>
  <si>
    <t>CLAVIJA RECTA PARA TOMA INDUSTRIAL 3P+N+T 250V/63A IP67. MARCA LEGRAND</t>
  </si>
  <si>
    <t>BB774</t>
  </si>
  <si>
    <t>CLAVIJA RECTA PARA TOMA INDUSTRIAL 3P+T 250V/16A IP44. MARCA LEGRAND</t>
  </si>
  <si>
    <t>BB782</t>
  </si>
  <si>
    <t>CLAVIJA RECTA PARA TOMA INDUSTRIAL 3P+T 250V/16A IP67. MARCA LEGRAND</t>
  </si>
  <si>
    <t>BB778</t>
  </si>
  <si>
    <t>CLAVIJA RECTA PARA TOMA INDUSTRIAL 3P+T 250V/32A IP44. MARCA LEGRAND</t>
  </si>
  <si>
    <t>BB786</t>
  </si>
  <si>
    <t>CLAVIJA RECTA PARA TOMA INDUSTRIAL 3P+T 250V/32A IP67. MARCA LEGRAND</t>
  </si>
  <si>
    <t>BB790</t>
  </si>
  <si>
    <t>CLAVIJA RECTA PARA TOMA INDUSTRIAL 3P+T 250V/63A IP67. MARCA LEGRAND</t>
  </si>
  <si>
    <t>BB339</t>
  </si>
  <si>
    <t>CONDULETA EN T Ó L 3/4" NPT</t>
  </si>
  <si>
    <t>BB244</t>
  </si>
  <si>
    <t>CONECTOR DE COMPRESIÓN DE RANURAS PARALELAS, TIPO 1</t>
  </si>
  <si>
    <t>BB245</t>
  </si>
  <si>
    <t>CONECTOR DE TORNILLO CON CHAQUETA AISLANTE</t>
  </si>
  <si>
    <t>BB663</t>
  </si>
  <si>
    <t>CONECTOR PARA VARILLA 5/8"</t>
  </si>
  <si>
    <t>BB662</t>
  </si>
  <si>
    <t>CONECTOR TERMINAL DE COMPRESION TIPO VASTAGO, TIPO4</t>
  </si>
  <si>
    <t>BB256</t>
  </si>
  <si>
    <t>CONECTOR TIPO CUÑA</t>
  </si>
  <si>
    <t>BB261</t>
  </si>
  <si>
    <t>CONFIGURACIÓN EQUIPO RECONECTADOR -INGENIERO ESPECIALISTA</t>
  </si>
  <si>
    <t>BB263</t>
  </si>
  <si>
    <t>CORTACIRCUITOS 15 KV-100 A</t>
  </si>
  <si>
    <t>BB719</t>
  </si>
  <si>
    <t>CRUCE PORTACABLE GALVANIZADO EN CALIENTE ANCHO UTIL 10CM. INCLUYE PLATINAS DE UNION</t>
  </si>
  <si>
    <t>BB720</t>
  </si>
  <si>
    <t>CRUCE PORTACABLE GALVANIZADO EN CALIENTE ANCHO UTIL 20CM. INCLUYE PLATINAS DE UNION</t>
  </si>
  <si>
    <t>BB721</t>
  </si>
  <si>
    <t>CRUCE PORTACABLE GALVANIZADO EN CALIENTE ANCHO UTIL 30CM. INCLUYE PLATINAS DE UNION</t>
  </si>
  <si>
    <t>BB722</t>
  </si>
  <si>
    <t>CRUCE PORTACABLE GALVANIZADO EN CALIENTE ANCHO UTIL 40CM. INCLUYE PLATINAS DE UNION</t>
  </si>
  <si>
    <t>BB723</t>
  </si>
  <si>
    <t>CRUCE PORTACABLE GALVANIZADO EN CALIENTE ANCHO UTIL 50CM. INCLUYE PLATINAS DE UNION</t>
  </si>
  <si>
    <t>BB724</t>
  </si>
  <si>
    <t>CRUCE PORTACABLE GALVANIZADO EN CALIENTE ANCHO UTIL 60CM. INCLUYE PLATINAS DE UNION</t>
  </si>
  <si>
    <t>BB264</t>
  </si>
  <si>
    <t>CRUCETA METÁLICA DE ÁNGULO GALVANIZADO DE  2 ½" X 3/16" X 2,0 M</t>
  </si>
  <si>
    <t>BB265</t>
  </si>
  <si>
    <t>CRUCETA METÁLICA DE ÁNGULO GALVANIZADO DE  2 ½" X 3/16" X 2,5 M</t>
  </si>
  <si>
    <t>BB268</t>
  </si>
  <si>
    <t>CRUCETA METALICA DE ANGULO GALVANIZADO DE 2 ½" X 1/4 "X  2,5 M</t>
  </si>
  <si>
    <t>BB294</t>
  </si>
  <si>
    <t>CURVA GRAN RADIO 90° PVC DUCTO  2"</t>
  </si>
  <si>
    <t>BB296</t>
  </si>
  <si>
    <t>CURVA GRAN RADIO 90° PVC DUCTO  3"</t>
  </si>
  <si>
    <t>BB297</t>
  </si>
  <si>
    <t>CURVA GRAN RADIO 90° PVC DUCTO  4"</t>
  </si>
  <si>
    <t>BB713</t>
  </si>
  <si>
    <t>CURVA PORTACABLE GALVANIZADA EN CALIENTE ANCHO UTIL 10CM. INCLUYE PLATINAS DE UNION</t>
  </si>
  <si>
    <t>BB714</t>
  </si>
  <si>
    <t>CURVA PORTACABLE GALVANIZADA EN CALIENTE ANCHO UTIL 20CM. INCLUYE PLATINAS DE UNION</t>
  </si>
  <si>
    <t>BB715</t>
  </si>
  <si>
    <t>CURVA PORTACABLE GALVANIZADA EN CALIENTE ANCHO UTIL 30CM. INCLUYE PLATINAS DE UNION</t>
  </si>
  <si>
    <t>BB716</t>
  </si>
  <si>
    <t>CURVA PORTACABLE GALVANIZADA EN CALIENTE ANCHO UTIL 40CM. INCLUYE PLATINAS DE UNION</t>
  </si>
  <si>
    <t>BB717</t>
  </si>
  <si>
    <t>CURVA PORTACABLE GALVANIZADA EN CALIENTE ANCHO UTIL 50CM. INCLUYE PLATINAS DE UNION</t>
  </si>
  <si>
    <t>BB718</t>
  </si>
  <si>
    <t>CURVA PORTACABLE GALVANIZADA EN CALIENTE ANCHO UTIL 60CM. INCLUYE PLATINAS DE UNION</t>
  </si>
  <si>
    <t>BB293</t>
  </si>
  <si>
    <t>CURVA PVC 90° CONDUIT C X E  1"</t>
  </si>
  <si>
    <t>BB298</t>
  </si>
  <si>
    <t>DESCARGADOR DE SOBRETENSION DE LINEA 10KV- 10KA- POLIMERICO, OXIDO DE ZINC</t>
  </si>
  <si>
    <t>BB302</t>
  </si>
  <si>
    <t>DIAGONAL RECTA DE ÁNGULO DE HIERRO GALVANIZADO DE 38X38X5 MM (1 ½" X 1 ½" X 3/16") 68 CM</t>
  </si>
  <si>
    <t>BB798</t>
  </si>
  <si>
    <t>ENCHUFE 1F+N+T 15A/250V</t>
  </si>
  <si>
    <t>BB308</t>
  </si>
  <si>
    <t>ESPARRAGO 5/8" X 10". INCLUYE 2 TUERCAS, 2 ARANDELAS.</t>
  </si>
  <si>
    <t>BB312</t>
  </si>
  <si>
    <t>ESPARRAGO 5/8" X 18". INCLUYE 2 TUERCAS, 2 ARANDELAS.</t>
  </si>
  <si>
    <t>BB313</t>
  </si>
  <si>
    <t>ESPARRAGO 5/8" X 20". INCLUYE 2 TUERCAS, 2 ARANDELAS.</t>
  </si>
  <si>
    <t>BB315</t>
  </si>
  <si>
    <t>ESPARRAGO 5/8" X 24". INCLUYE 2 TUERCAS, 2 ARANDELAS.</t>
  </si>
  <si>
    <t>BB712</t>
  </si>
  <si>
    <t>ESPARRAGO GALVANIZADO 3/8"X50CM. INCLUYE 4 TUERCAS</t>
  </si>
  <si>
    <t>BB321</t>
  </si>
  <si>
    <t>ESPIGO DE ACERO GALVANIZADO PARA CRUCETA METÁLICA</t>
  </si>
  <si>
    <t>BB323</t>
  </si>
  <si>
    <t>ESTRIBO 2 AWG CON CONECTOR CUÑA 4/0 AWG</t>
  </si>
  <si>
    <t>BB328</t>
  </si>
  <si>
    <t>GRAPA DE OPERAR EN CALIENTE</t>
  </si>
  <si>
    <t>BB329</t>
  </si>
  <si>
    <t>GRAPA DE RETENCION PARA CABLE DE GUARDA</t>
  </si>
  <si>
    <t>BB815</t>
  </si>
  <si>
    <t xml:space="preserve">GRAPA DE RETENSIÓN PARA CABLE TRENZADO DE B.T. </t>
  </si>
  <si>
    <t>BB814</t>
  </si>
  <si>
    <t xml:space="preserve">GRAPA DE SUSPENSIÓN PARA CABLE TRENZADO DE B.T. </t>
  </si>
  <si>
    <t>BB334</t>
  </si>
  <si>
    <t xml:space="preserve">GRAPA PRENSADORA DE TRES TORNILLOS </t>
  </si>
  <si>
    <t>BB337</t>
  </si>
  <si>
    <t>GRAPA TERMINAL TIPO RECTO 3/0 – 266,8</t>
  </si>
  <si>
    <t>BB665</t>
  </si>
  <si>
    <t>GRAPA TIPO GRILLETE</t>
  </si>
  <si>
    <t>BB340</t>
  </si>
  <si>
    <t>GUARDACABO PARA RETENDIDAS</t>
  </si>
  <si>
    <t>BB341</t>
  </si>
  <si>
    <t>HEBILLA DE ACERO INOXIDABLE 1/2"</t>
  </si>
  <si>
    <t>BB344</t>
  </si>
  <si>
    <t>HEBILLA DE ACERO INOXIDABLE 5/8"</t>
  </si>
  <si>
    <t>BB345</t>
  </si>
  <si>
    <t>HERRAJE PARA TEMPLETE CUERDA DE GUITARRA</t>
  </si>
  <si>
    <t>BB741</t>
  </si>
  <si>
    <t>INTERRUPTOR ATORNILLABLE DE 1  X  20A - 240V - 10KA</t>
  </si>
  <si>
    <t>BB744</t>
  </si>
  <si>
    <t>INTERRUPTOR ATORNILLABLE DE 1 X 30A - 240V - 10KA</t>
  </si>
  <si>
    <t>BB745</t>
  </si>
  <si>
    <t>INTERRUPTOR ATORNILLABLE DE 1 X 40A - 240V - 10KA</t>
  </si>
  <si>
    <t>BB746</t>
  </si>
  <si>
    <t>INTERRUPTOR ATORNILLABLE DE 1 X 50A - 240V - 10KA</t>
  </si>
  <si>
    <t>BB747</t>
  </si>
  <si>
    <t>INTERRUPTOR ATORNILLABLE DE 1 X 60A - 240V - 10KA</t>
  </si>
  <si>
    <t>BB750</t>
  </si>
  <si>
    <t>INTERRUPTOR ATORNILLABLE DE 2 X 20A - 240V - 10KA</t>
  </si>
  <si>
    <t>BB751</t>
  </si>
  <si>
    <t>INTERRUPTOR ATORNILLABLE DE 2 X 30A - 240V - 10KA</t>
  </si>
  <si>
    <t>BB752</t>
  </si>
  <si>
    <t>INTERRUPTOR ATORNILLABLE DE 2 X 40A - 240V - 10KA</t>
  </si>
  <si>
    <t>BB753</t>
  </si>
  <si>
    <t>INTERRUPTOR ATORNILLABLE DE 2 X 50A - 240V - 10KA</t>
  </si>
  <si>
    <t>BB754</t>
  </si>
  <si>
    <t>INTERRUPTOR ATORNILLABLE DE 2 X 60A - 240V - 10KA</t>
  </si>
  <si>
    <t>BB758</t>
  </si>
  <si>
    <t>INTERRUPTOR ATORNILLABLE DE 3 X 20A - 240V - 10KA</t>
  </si>
  <si>
    <t>BB759</t>
  </si>
  <si>
    <t>INTERRUPTOR ATORNILLABLE DE 3 X 30A - 240V - 10KA</t>
  </si>
  <si>
    <t>BB760</t>
  </si>
  <si>
    <t>INTERRUPTOR ATORNILLABLE DE 3 X 40A - 240V - 10KA</t>
  </si>
  <si>
    <t>BB761</t>
  </si>
  <si>
    <t>INTERRUPTOR ATORNILLABLE DE 3 X 50A - 240V - 10KA</t>
  </si>
  <si>
    <t>BB762</t>
  </si>
  <si>
    <t>INTERRUPTOR ATORNILLABLE DE 3 X 60A - 240V - 10KA</t>
  </si>
  <si>
    <t>BB353</t>
  </si>
  <si>
    <t>INTERRUPTOR DOBLE</t>
  </si>
  <si>
    <t>BB354</t>
  </si>
  <si>
    <t xml:space="preserve">INTERRUPTOR DOBLE CONMUTABLE </t>
  </si>
  <si>
    <t>BB355</t>
  </si>
  <si>
    <t>INTERRUPTOR ENCHUFABLE DE 1  X  20A - 240V - 10KA</t>
  </si>
  <si>
    <t>BB358</t>
  </si>
  <si>
    <t>INTERRUPTOR ENCHUFABLE DE 1 X 30A - 240V - 10KA</t>
  </si>
  <si>
    <t>BB359</t>
  </si>
  <si>
    <t>INTERRUPTOR ENCHUFABLE DE 1 X 40A - 240V - 10KA</t>
  </si>
  <si>
    <t>BB360</t>
  </si>
  <si>
    <t>INTERRUPTOR ENCHUFABLE DE 1 X 50A - 240V - 10KA</t>
  </si>
  <si>
    <t>BB361</t>
  </si>
  <si>
    <t>INTERRUPTOR ENCHUFABLE DE 1 X 60A - 240V - 10KA</t>
  </si>
  <si>
    <t>BB364</t>
  </si>
  <si>
    <t>INTERRUPTOR ENCHUFABLE DE 2 X 20A - 240V - 10KA</t>
  </si>
  <si>
    <t>BB365</t>
  </si>
  <si>
    <t>INTERRUPTOR ENCHUFABLE DE 2 X 30A - 240V - 10KA</t>
  </si>
  <si>
    <t>BB366</t>
  </si>
  <si>
    <t>INTERRUPTOR ENCHUFABLE DE 2 X 40A - 240V - 10KA</t>
  </si>
  <si>
    <t>BB367</t>
  </si>
  <si>
    <t>INTERRUPTOR ENCHUFABLE DE 2 X 50A - 240V - 10KA</t>
  </si>
  <si>
    <t>BB368</t>
  </si>
  <si>
    <t>INTERRUPTOR ENCHUFABLE DE 2 X 60A - 240V - 10KA</t>
  </si>
  <si>
    <t>BB372</t>
  </si>
  <si>
    <t>INTERRUPTOR ENCHUFABLE DE 3 X 20A - 240V - 10KA</t>
  </si>
  <si>
    <t>BB373</t>
  </si>
  <si>
    <t>INTERRUPTOR ENCHUFABLE DE 3 X 30A - 240V - 10KA</t>
  </si>
  <si>
    <t>BB374</t>
  </si>
  <si>
    <t>INTERRUPTOR ENCHUFABLE DE 3 X 40A - 240V - 10KA</t>
  </si>
  <si>
    <t>BB375</t>
  </si>
  <si>
    <t>INTERRUPTOR ENCHUFABLE DE 3 X 50A - 240V - 10KA</t>
  </si>
  <si>
    <t>BB376</t>
  </si>
  <si>
    <t>INTERRUPTOR ENCHUFABLE DE 3 X 60A - 240V - 10KA</t>
  </si>
  <si>
    <t>BB378</t>
  </si>
  <si>
    <t>INTERRUPTOR INDUSTRIAL GRADUABLE EN CAJA 3  X  (70 A 100A) , 50KA. CALIDAD LEGRAND, MERLIN GERIN, MITSUBISHI, SIEMENS, SQUAR D,  ABB O SUPERIOR DE MARCA RECONOCIDA Y HOMOLOGADA POR EL CIDET</t>
  </si>
  <si>
    <t>BB379</t>
  </si>
  <si>
    <t>INTERRUPTOR INDUSTRIAL GRADUABLE EN CAJA 3  X  (87 A 125A), 25KA. CALIDAD LEGRAND, MERLIN GERIN, MITSUBISHI, SIEMENS, SQUAR D, ABB O SUPERIOR DE MARCA RECONOCIDA Y HOMOLOGADA POR EL CIDET</t>
  </si>
  <si>
    <t>BB380</t>
  </si>
  <si>
    <t>INTERRUPTOR INDUSTRIAL GRADUABLE EN CAJA 3  X  (112 A 160A), 50KA. CALIDAD LEGRAND, MERLIN GERIN, MITSUBISHI, SIEMENS, SQUAR D, ABB O SUPERIOR DE MARCA RECONOCIDA Y HOMOLOGADA POR EL CIDET</t>
  </si>
  <si>
    <t>BB381</t>
  </si>
  <si>
    <t>INTERRUPTOR INDUSTRIAL GRADUABLE EN CAJA 3  X  (140 A 200 A), 50KA. CALIDAD LEGRAND, MERLIN GERIN, MITSUBISHI, SIEMENS, SQUAR D, ABB O SUPERIOR DE MARCA RECONOCIDA Y HOMOLOGADA POR EL CIDET</t>
  </si>
  <si>
    <t>BB382</t>
  </si>
  <si>
    <t>INTERRUPTOR INDUSTRIAL GRADUABLE EN CAJA 3  X  (22.4 A 32A), 25KA. CALIDAD LEGRAND, MERLIN GERIN, MITSUBISHI, SIEMENS, SQUAR D, ABB O SUPERIOR DE MARCA RECONOCIDA Y HOMOLOGADA POR EL CIDET</t>
  </si>
  <si>
    <t>BB383</t>
  </si>
  <si>
    <t>INTERRUPTOR INDUSTRIAL GRADUABLE EN CAJA 3  X  (35 A 50A), 25KA. CALIDAD LEGRAND, MERLIN GERIN, MITSUBISHI, SIEMENS, SQUAR D, ABB O SUPERIOR DE MARCA RECONOCIDA Y HOMOLOGADA POR EL CIDET</t>
  </si>
  <si>
    <t>BB384</t>
  </si>
  <si>
    <t>INTERRUPTOR INDUSTRIAL GRADUABLE EN CAJA 3  X  (35 A 50A), 25KA. CALIDAD LEGRAND, MERLIN GERIN, MITSUBISHI, SIEMENS, SQUAR D, O SUPERIOR DE MARCA RECONOCIDA Y HOMOLOGADA POR EL CIDET</t>
  </si>
  <si>
    <t>BB385</t>
  </si>
  <si>
    <t>INTERRUPTOR INDUSTRIAL GRADUABLE EN CAJA 3  X  (44.1 A 63A), 25KA. CALIDAD LEGRAND, MERLIN GERIN, MITSUBISHI, SIEMENS, SQUAR D, ABB O SUPERIOR DE MARCA RECONOCIDA Y HOMOLOGADA POR EL CIDET</t>
  </si>
  <si>
    <t>BB386</t>
  </si>
  <si>
    <t>INTERRUPTOR INDUSTRIAL GRADUABLE EN CAJA 3  X  (56 A 80A) , 25 KA. CALIDAD LEGRAND, MERLIN GERIN, MITSUBISHI, SIEMENS, SQUAR D, ABB  SUPERIOR DE MARCA RECONOCIDA Y HOMOLOGADA POR EL CIDET</t>
  </si>
  <si>
    <t>BB390</t>
  </si>
  <si>
    <t>INTERRUPTOR INDUSTRIAL GRADUABLE EN CAJA 3 X (140 A 200A), 50KA. CALIDAD LEGRAND, MERLIN GERIN, MITSUBISHI, SIEMENS, SQUAR D, ABB O SUPERIOR DE MARCA RECONOCIDA Y HOMOLOGADA POR EL CIDET</t>
  </si>
  <si>
    <t>BB393</t>
  </si>
  <si>
    <t>INTERRUPTOR INDUSTRIAL GRADUABLE EN CAJA 3 X (175 A 250A), 50KA. CALIDAD LEGRAND, MERLIN GERIN, MITSUBISHI, SIEMENS, SQUAR D, ABB O SUPERIOR DE MARCA RECONOCIDA Y HOMOLOGADA POR EL CIDET</t>
  </si>
  <si>
    <t>BB394</t>
  </si>
  <si>
    <t>INTERRUPTOR INDUSTRIAL GRADUABLE EN CAJA 3 X (128 A 320A), 85KA. CALIDAD LEGRAND, MERLIN GERIN, MITSUBISHI, SIEMENS, SQUAR D, O SUPERIOR DE MARCA RECONOCIDA Y HOMOLOGADA POR EL CIDET</t>
  </si>
  <si>
    <t>BB395</t>
  </si>
  <si>
    <t>INTERRUPTOR INDUSTRIAL GRADUABLE EN CAJA 3 X (280 A 400A), 70KA. CALIDAD LEGRAND, MERLIN GERIN, MITSUBISHI, SIEMENS, SQUAR D, ABB  O SUPERIOR DE MARCA RECONOCIDA Y HOMOLOGADA POR EL CIDET</t>
  </si>
  <si>
    <t>BB396</t>
  </si>
  <si>
    <t>INTERRUPTOR INDUSTRIAL EN CAJA 3 X 400A, 50KA. CALIDAD LEGRAND, MERLIN GERIN, MITSUBISHI, SIEMENS, SQUAR D, O SUPERIOR DE MARCA RECONOCIDA Y HOMOLOGADA POR EL CIDET</t>
  </si>
  <si>
    <t>BB764</t>
  </si>
  <si>
    <t>INTERRUPTOR INDUSTRIAL EN CAJA MOLDEADA 3  X  20A, 25KA. CALIDAD LEGRAND, MERLIN GERIN, MITSUBISHI, SIEMENS, SQUAR D, O SUPERIOR DE MARCA RECONOCIDA Y HOMOLOGADA POR EL CIDET</t>
  </si>
  <si>
    <t>BB401</t>
  </si>
  <si>
    <t>INTERRUPTOR INDUSTRIAL REGULABLE  160-250A  3 X 250A, 70KA. CALIDAD LEGRAND, MERLIN GERIN, MITSUBISHI, SIEMENS, SQUAR D, O SUPERIOR DE MARCA RECONOCIDA Y HOMOLOGADA POR EL CIDET</t>
  </si>
  <si>
    <t>BB407</t>
  </si>
  <si>
    <t>INTERRUPTOR INDUSTRIAL REGULABLE  28-40A 3 X 28A, 25KA. CALIDAD LEGRAND, MERLIN GERIN, MITSUBISHI, SIEMENS, SQUAR D, O SUPERIOR DE MARCA RECONOCIDA Y HOMOLOGADA POR EL CIDET</t>
  </si>
  <si>
    <t>BB402</t>
  </si>
  <si>
    <t>INTERRUPTOR INDUSTRIAL REGULABLE  320-400A  3 X 400A, 85KA. CALIDAD LEGRAND, MERLIN GERIN, MITSUBISHI, SIEMENS, SQUAR D, O SUPERIOR DE MARCA RECONOCIDA Y HOMOLOGADA POR EL CIDET</t>
  </si>
  <si>
    <t>BB403</t>
  </si>
  <si>
    <t>INTERRUPTOR INDUSTRIAL REGULABLE  44-63A  3 X 63A, 40KA. CALIDAD LEGRAND, MERLIN GERIN, MITSUBISHI, SIEMENS, SQUAR D, O SUPERIOR DE MARCA RECONOCIDA Y HOMOLOGADA POR EL CIDET</t>
  </si>
  <si>
    <t>BB404</t>
  </si>
  <si>
    <t>INTERRUPTOR INDUSTRIAL REGULABLE  500-630A  3 X 630A, 170KA. CALIDAD LEGRAND, MERLIN GERIN, MITSUBISHI, SIEMENS, SQUAR D, O SUPERIOR DE MARCA RECONOCIDA Y HOMOLOGADA POR EL CIDET</t>
  </si>
  <si>
    <t>BB405</t>
  </si>
  <si>
    <t>INTERRUPTOR INDUSTRIAL REGULABLE  70-100A 3 X 100A, 25KA. CALIDAD LEGRAND, MERLIN GERIN, MITSUBISHI, SIEMENS, SQUAR D, O SUPERIOR DE MARCA RECONOCIDA Y HOMOLOGADA POR EL CIDET</t>
  </si>
  <si>
    <t>BB406</t>
  </si>
  <si>
    <t>INTERRUPTOR INDUSTRIAL REGULABLE  87-125A 3 X 125A, 25KA. CALIDAD LEGRAND, MERLIN GERIN, MITSUBISHI, SIEMENS, SQUAR D, O SUPERIOR DE MARCA RECONOCIDA Y HOMOLOGADA POR EL CIDET</t>
  </si>
  <si>
    <t>BB767</t>
  </si>
  <si>
    <t>INTERRUPTOR INDUSTRIAL TIPO ABIERTO REGULABLE  1000-2500A  3 X 2500A, 65KA/240V. CALIDAD LEGRAND, MERLIN GERIN, MITSUBISHI, SIEMENS, SQUAR D, O SUPERIOR DE MARCA RECONOCIDA Y HOMOLOGADA POR EL CIDET</t>
  </si>
  <si>
    <t>BB768</t>
  </si>
  <si>
    <t>INTERRUPTOR INDUSTRIAL TIPO ABIERTO REGULABLE  1280-3200A  3 X 3200A, 65KA/240V. CALIDAD LEGRAND, MERLIN GERIN, MITSUBISHI, SIEMENS, SQUAR D, O SUPERIOR DE MARCA RECONOCIDA Y HOMOLOGADA POR EL CIDET</t>
  </si>
  <si>
    <t>BB765</t>
  </si>
  <si>
    <t>INTERRUPTOR INDUSTRIAL TIPO ABIERTO REGULABLE  640-1600A  3 X 1600A, 65KA/240V. CALIDAD LEGRAND, MERLIN GERIN, MITSUBISHI, SIEMENS, SQUAR D, O SUPERIOR DE MARCA RECONOCIDA Y HOMOLOGADA POR EL CIDET</t>
  </si>
  <si>
    <t>BB766</t>
  </si>
  <si>
    <t>INTERRUPTOR INDUSTRIAL TIPO ABIERTO REGULABLE  800-2000A  3 X 2000A, 65KA/240V. CALIDAD LEGRAND, MERLIN GERIN, MITSUBISHI, SIEMENS, SQUAR D, O SUPERIOR DE MARCA RECONOCIDA Y HOMOLOGADA POR EL CIDET</t>
  </si>
  <si>
    <t>BB429</t>
  </si>
  <si>
    <t xml:space="preserve">INTERRUPTOR SENCILLO </t>
  </si>
  <si>
    <t>BB430</t>
  </si>
  <si>
    <t xml:space="preserve">INTERRUPTOR SENCILLO CONMUTABLE </t>
  </si>
  <si>
    <t>BB431</t>
  </si>
  <si>
    <t xml:space="preserve">INTERRUPTOR TRIPLE </t>
  </si>
  <si>
    <t>BB432</t>
  </si>
  <si>
    <t xml:space="preserve">INTERRUPTOR TRIPLE CONMUTABLE </t>
  </si>
  <si>
    <t>BB802</t>
  </si>
  <si>
    <t>LAMPARA HERMETICA POLICARBONATO IP65, 2X32W. BALASTO ELECTRONICO 2X32T8. INCLUYE 2 TUBOS FLUORESCENTE 32W T8</t>
  </si>
  <si>
    <t>BB800</t>
  </si>
  <si>
    <t xml:space="preserve">LAMPARA PARALUX 2X32W. BL CM BALASTO ELECTRONICO 2X32T8. INCLUYE 2 TUBOS FLUORESCENTE 32W SOCKET T8 120 V OSR SEGURIDAD 2249 -9HS </t>
  </si>
  <si>
    <t>BB801</t>
  </si>
  <si>
    <t>LAMPARA PARALUX 4X17W. BALASTO ELECTRONICO 4X17T8. INCLUYE 4 TUBOS FLUORESCENTE 17W T8</t>
  </si>
  <si>
    <t>BB803</t>
  </si>
  <si>
    <t>LAMPARA SOBREPONER REF. FROST DE HIGH LIGHTS, 2X32W. BALASTO ELECTRONICO 2X32T8. INCLUYE 2 TUBOS FLUORESCENTE 32W T8</t>
  </si>
  <si>
    <t>BB817</t>
  </si>
  <si>
    <t>LUMINARIA 150 W SODIO R 208/240V BALASTO REACTOR 208/240V.  TIPO PE-PC -ROY ALPHA O SIMILAR EN REFERENCIA SCHREDER. COMPLETA: BOMBILLA, ARRANCADOR, CHASIS, ETC</t>
  </si>
  <si>
    <t>BB818</t>
  </si>
  <si>
    <t>LUMINARIA 70 W SODIO R 208/240V BALASTO REACTOR 208/240V.  TIPO PE-PC -ROY ALPHA O SIMILAR EN REFERENCIA SCHREDER. COMPLETA: BOMBILLA, ARRANCADOR, CHASIS, ETC</t>
  </si>
  <si>
    <t>BB804</t>
  </si>
  <si>
    <t>LUMINARIA DESCOLGAR REF. APOLO DE HIGH LIGHTS, MH70W.  INCLUYE BOMBILLERIA</t>
  </si>
  <si>
    <t>BB805</t>
  </si>
  <si>
    <t xml:space="preserve">LUMINARIA WALLPACK SODIO 70 W TIPO QUIMBAYA DE ROY ALPHA </t>
  </si>
  <si>
    <t>BB805A</t>
  </si>
  <si>
    <t>LUMINARIA LINEAL LED SERIE SAFESITE DE 60 CM, 3500 LM, EXPLOSION PROFF CLASE 1 DIV 1 GRUPOS C Y D. REF LSC3C4D3GEX DE DAYLIGHT</t>
  </si>
  <si>
    <t>BB704</t>
  </si>
  <si>
    <t>MENSULA GALVANIZADA EN CALIENTE PARA  BANDEJA DE 10CM</t>
  </si>
  <si>
    <t>BB705</t>
  </si>
  <si>
    <t>MENSULA GALVANIZADA EN CALIENTE PARA  BANDEJA DE 20CM</t>
  </si>
  <si>
    <t>BB706</t>
  </si>
  <si>
    <t>MENSULA GALVANIZADA EN CALIENTE PARA  BANDEJA DE 30CM</t>
  </si>
  <si>
    <t>BB707</t>
  </si>
  <si>
    <t>MENSULA GALVANIZADA EN CALIENTE PARA  BANDEJA DE 40CM</t>
  </si>
  <si>
    <t>BB708</t>
  </si>
  <si>
    <t>MENSULA GALVANIZADA EN CALIENTE PARA  BANDEJA DE 50CM</t>
  </si>
  <si>
    <t>BB709</t>
  </si>
  <si>
    <t>MENSULA GALVANIZADA EN CALIENTE PARA  BANDEJA DE 60CM</t>
  </si>
  <si>
    <t>BB443</t>
  </si>
  <si>
    <t>PERCHA TIPO PESADO DE 1 PUESTO</t>
  </si>
  <si>
    <t>BB711</t>
  </si>
  <si>
    <t>PERFIL LISO SENCILLO GALVANIZADO EN CALIENTE TIPO MECANO</t>
  </si>
  <si>
    <t>BB452</t>
  </si>
  <si>
    <t>PERNO DE OJO 5/8" X 10"</t>
  </si>
  <si>
    <t>BB453</t>
  </si>
  <si>
    <t>PERNO DE OJO 5/8" X 12"</t>
  </si>
  <si>
    <t>BB455</t>
  </si>
  <si>
    <t>PERNO DE OJO 5/8" X 8"</t>
  </si>
  <si>
    <t>BB459</t>
  </si>
  <si>
    <t>PERNO DE OJO CERRADO 5/8" X 20"</t>
  </si>
  <si>
    <t>BB461</t>
  </si>
  <si>
    <t>PERNO DE OJO CERRADO 5/8" X 6"</t>
  </si>
  <si>
    <t>BB462</t>
  </si>
  <si>
    <t>PERNO EN "U" DE 12 MM (1/2") PARA CABLE DE GUARDA</t>
  </si>
  <si>
    <t>BB710</t>
  </si>
  <si>
    <t>PERNO EXPANSION HEMBRA 3/8"</t>
  </si>
  <si>
    <t>BB465</t>
  </si>
  <si>
    <t>PERNO O TORNILLO DE CARRIAJE 5/8" X 1 ½” + TUERCA</t>
  </si>
  <si>
    <t>BB468</t>
  </si>
  <si>
    <t>PERNOS DE MAQUINA 1/2" X 1 ½”</t>
  </si>
  <si>
    <t>BB480</t>
  </si>
  <si>
    <t>PERNOS DE MAQUINA 5/8" X 8"</t>
  </si>
  <si>
    <t>BB812</t>
  </si>
  <si>
    <t>PLAFON LOZA BLANCO</t>
  </si>
  <si>
    <t>BB485</t>
  </si>
  <si>
    <t>PORTA AISLADOR CRUCETA METÁLICA</t>
  </si>
  <si>
    <t>BB487</t>
  </si>
  <si>
    <t>POSTE DE CONCRETO 10 METROS - 510 KG - HOMOLOGADO</t>
  </si>
  <si>
    <t>BB486</t>
  </si>
  <si>
    <t>POSTE DE CONCRETO 10 METROS -1050 KG - HOMOLOGADO</t>
  </si>
  <si>
    <t>BB488</t>
  </si>
  <si>
    <t>POSTE DE CONCRETO 10 METROS -750 KG - HOMOLOGADO</t>
  </si>
  <si>
    <t>BB489</t>
  </si>
  <si>
    <t>POSTE DE CONCRETO 12 METROS - 1050 KG - HOMOLOGADO</t>
  </si>
  <si>
    <t>BB490</t>
  </si>
  <si>
    <t>POSTE DE CONCRETO 12 METROS - 510 KG - HOMOLOGADO</t>
  </si>
  <si>
    <t>BB491</t>
  </si>
  <si>
    <t>POSTE DE CONCRETO 12 METROS - 750 KG - HOMOLOGADO</t>
  </si>
  <si>
    <t>BB493</t>
  </si>
  <si>
    <t>POSTE DE CONCRETO 8 METROS - 510 KG - HOMOLOGADO</t>
  </si>
  <si>
    <t>BB494</t>
  </si>
  <si>
    <t>POSTE DE CONCRETO 8 METROS - 750 KG - HOMOLOGADO</t>
  </si>
  <si>
    <t>BB492</t>
  </si>
  <si>
    <t>POSTE DE CONCRETO 8 METROS -1050 KG - HOMOLOGADO</t>
  </si>
  <si>
    <t>BB650</t>
  </si>
  <si>
    <t>PRENSA ESTOPA ALUMINIO 3/4" NPT</t>
  </si>
  <si>
    <t>BB827</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</si>
  <si>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</si>
  <si>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BB822</t>
  </si>
  <si>
    <t>REFLECTOR DE 1000 VATIOS - SODIO ALTA PRESION - 208/220 VOLTIOS-SODIO ALTA PRESION-CUADRADO-CERRADO - ESTRIBOS - COMPLETO: CHASIS, BOMBILLA, ARRANCADOR, ETC. ACCESORIOS DE FIJACION E INSTALACION  -REFERENCIA RCG ROY ALPHA</t>
  </si>
  <si>
    <t>BB820</t>
  </si>
  <si>
    <t>REFLECTOR DE 250 VATIOS - SODIO ALTA PRESION - 208/240 VOLTIOS-SODIO ALTA PRESION-CUADRADO-CERRADO - ESTRIBOS - COMPLETO: CHASIS, BOMBILLA, ARRANCADOR, ETC. ACCESORIOS DE FIJACION E INSTALACION  -REFERENCIA RRA ROY ALPHA</t>
  </si>
  <si>
    <t>BB821</t>
  </si>
  <si>
    <t>REFLECTOR DE 400 VATIOS - SODIO ALTA PRESION - 208/240 VOLTIOS-SODIO ALTA PRESION-CUADRADO-CERRADO - ESTRIBOS - COMPLETO: CHASIS, BOMBILLA, ARRANCADOR, ETC. ACCESORIOS DE FIJACION E INSTALACION  -REFERENCIA RRA ROY ALPHA</t>
  </si>
  <si>
    <t>BB518</t>
  </si>
  <si>
    <t>SECCIONADOR MONOPOLAR 400 A – 15 KV</t>
  </si>
  <si>
    <t>BB523</t>
  </si>
  <si>
    <t>SOLDADURA EXOTERMICA TIPO CADWELD  DE 115 GRAMOS O SIMILAR</t>
  </si>
  <si>
    <t>BB533</t>
  </si>
  <si>
    <t>SUELO ARTIFICIAL CEMENTO CONDUCTOR CELEC</t>
  </si>
  <si>
    <t>BB737</t>
  </si>
  <si>
    <t>SUJETADOR DE TAPA PARA BANDEJA PORTACABLE SEMIPESADA</t>
  </si>
  <si>
    <t>BB825</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</si>
  <si>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</si>
  <si>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BB826</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</si>
  <si>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</si>
  <si>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BB823</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</si>
  <si>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</si>
  <si>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BB824</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</si>
  <si>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</si>
  <si>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BB738</t>
  </si>
  <si>
    <t>TABLERO DE 12 CIRCUITOS 1F3H,  BARRAJE 75A, BARRA NEUTRO Y BARRA TIERRA  CALIDAD LEGRAND, SIEMENS, SQARED O SUPERIOR DE MARCA RECONOCIDA Y HOMOLOGADA POR EL CIDET</t>
  </si>
  <si>
    <t>BB537</t>
  </si>
  <si>
    <t>TABLERO DE 12 CIRCUITOS 2F4H, CON PUERTA - CON BARRAJE, BARRA NEUTRO Y BARRA TIERRA  CALIDAD LEGRAND, SIEMENS, SQARED O SUPERIOR DE MARCA RECONOCIDA Y HOMOLOGADA POR EL CIDET</t>
  </si>
  <si>
    <t>BB540</t>
  </si>
  <si>
    <t>TABLERO DE 12 CIRCUITOS 3F5H, CON PUERTA Y ESPACIO PARA TOTALIZADOR, CON  BARRA NEUTRO Y BARRA TIERRA  CALIDAD LEGRAND, SIEMENS, SQARED O SUPERIOR DE MARCA RECONOCIDA Y HOMOLOGADA POR EL CIDET</t>
  </si>
  <si>
    <t>BB541</t>
  </si>
  <si>
    <t>TABLERO DE 12 CIRCUITOS 3F5H, CON PUERTA, BARRAJE, BARRA NEUTRO Y BARRA TIERRA  CALIDAD LEGRAND, SIEMENS, SQARED O SUPERIOR DE MARCA RECONOCIDA Y HOMOLOGADA POR EL CIDET</t>
  </si>
  <si>
    <t>BB542</t>
  </si>
  <si>
    <t>TABLERO DE 18 CIRCUITOS 2F4H, CON PUERTA - CON BARRAJE, BARRA NEUTRO Y BARRA TIERRA  CALIDAD LEGRAND, SIEMENS, SQARED O SUPERIOR DE MARCA RECONOCIDA Y HOMOLOGADA POR EL CIDET</t>
  </si>
  <si>
    <t>BB543</t>
  </si>
  <si>
    <t>TABLERO DE 18 CIRCUITOS 3F5H, CON PUERTA - CON BARRAJE, BARRA NEUTRO Y BARRA TIERRA  CALIDAD LEGRAND, SIEMENS, SQARED O SUPERIOR DE MARCA RECONOCIDA Y HOMOLOGADA POR EL CIDET</t>
  </si>
  <si>
    <t>BB544</t>
  </si>
  <si>
    <t>TABLERO DE 18 CIRCUITOS 3F5H, CON PUERTA Y ESPACIO PARA TOTALIZADOR, BARRAJE , BARRA NEUTRO Y BARRA TIERRA  CALIDAD LEGRAND, SIEMENS, SQARED O SUPERIOR DE MARCA RECONOCIDA Y HOMOLOGADA POR EL CIDET</t>
  </si>
  <si>
    <t>BB546</t>
  </si>
  <si>
    <t>TABLERO DE 24 CIRCUITOS 3F5H, CON PUERTA Y ESPACIO PARA TOTALIZADOR,  BARRA NEUTRO Y BARRA TIERRA  CALIDAD LEGRAND, SIEMENS, SQARED O SUPERIOR DE MARCA RECONOCIDA Y HOMOLOGADA POR EL CIDET</t>
  </si>
  <si>
    <t>BB547</t>
  </si>
  <si>
    <t>TABLERO DE 24 CIRCUITOS 3F5H, CON PUERTA,BARRAJE , BARRA NEUTRO Y BARRA TIERRA  CALIDAD LEGRAND, SIEMENS, SQARED O SUPERIOR DE MARCA RECONOCIDA Y HOMOLOGADA POR EL CIDET</t>
  </si>
  <si>
    <t>BB548</t>
  </si>
  <si>
    <t>TABLERO DE 30 CIRCUITOS 3F5H, CON PUERTA Y ESPACIO PARA TOTALIZADOR, BARRAJE , BARRA NEUTRO Y BARRA TIERRA  CALIDAD LEGRAND, SIEMENS, SQARED O SUPERIOR DE MARCA RECONOCIDA Y HOMOLOGADA POR EL CIDET</t>
  </si>
  <si>
    <t>BB549</t>
  </si>
  <si>
    <t>TABLERO DE 30 CIRCUITOS 3F5H, CON PUERTA, BARRAJE , BARRA NEUTRO Y BARRA TIERRA  CALIDAD LEGRAND, SIEMENS, SQARED O SUPERIOR DE MARCA RECONOCIDA Y HOMOLOGADA POR EL CIDET</t>
  </si>
  <si>
    <t>BB550</t>
  </si>
  <si>
    <t>TABLERO DE 36 CIRCUITOS 3F5H, CON PUERTA Y ESPACIO PARA TOTALIZADOR, BARRAJE , BARRA NEUTRO Y BARRA TIERRA  CALIDAD LEGRAND, SIEMENS, SQARED O SUPERIOR DE MARCA RECONOCIDA Y HOMOLOGADA POR EL CIDET</t>
  </si>
  <si>
    <t>BB551</t>
  </si>
  <si>
    <t>TABLERO DE 36 CIRCUITOS 3F5H, CON PUERTA, BARRAJE , BARRA NEUTRO Y BARRA TIERRA  CALIDAD LEGRAND, SIEMENS, SQARED O SUPERIOR DE MARCA RECONOCIDA Y HOMOLOGADA POR EL CIDET</t>
  </si>
  <si>
    <t>BB552</t>
  </si>
  <si>
    <t>TABLERO DE 42 CIRCUITOS 3F5H, CON PUERTA Y ESPACIO PARA TOTALIZADOR, BARRAJE , BARRA NEUTRO Y BARRA TIERRA  CALIDAD LEGRAND, SIEMENS, SQARED O SUPERIOR DE MARCA RECONOCIDA Y HOMOLOGADA POR EL CIDET</t>
  </si>
  <si>
    <t>BB553</t>
  </si>
  <si>
    <t>TABLERO DE 42 CIRCUITOS 3F5H, CON PUERTA, BARRAJE , BARRA NEUTRO Y BARRA TIERRA  CALIDAD LEGRAND, SIEMENS, SQARED O SUPERIOR DE MARCA RECONOCIDA Y HOMOLOGADA POR EL CIDET</t>
  </si>
  <si>
    <t>BB740</t>
  </si>
  <si>
    <t>TABLERO DE 6 CIRCUITOS 1F3H,  BARRAJE 75A, BARRA NEUTRO Y BARRA TIERRA  CALIDAD LEGRAND, SIEMENS, SQARED O SUPERIOR DE MARCA RECONOCIDA Y HOMOLOGADA POR EL CIDET</t>
  </si>
  <si>
    <t>BB739</t>
  </si>
  <si>
    <t>TABLERO DE 8 CIRCUITOS 1F3H,  BARRAJE 75A, BARRA NEUTRO Y BARRA TIERRA  CALIDAD LEGRAND, SIEMENS, SQARED O SUPERIOR DE MARCA RECONOCIDA Y HOMOLOGADA POR EL CIDET</t>
  </si>
  <si>
    <t>BB739A</t>
  </si>
  <si>
    <t>TABLERO DE 10 CIRCUITOS 1F3H,  BARRAJE 75A, BARRA NEUTRO Y BARRA TIERRA  CALIDAD LEGRAND, SIEMENS, SQARED O SUPERIOR DE MARCA RECONOCIDA Y HOMOLOGADA POR EL CIDET</t>
  </si>
  <si>
    <t>BB554</t>
  </si>
  <si>
    <t>TABLERO DE 8 CIRCUITOS 2F4H, CON PUERTA - CON BARRA NEUTRO Y BARRA TIERRA  CALIDAD LEGRAND, SIEMENS, SQARED O SUPERIOR DE MARCA RECONOCIDA Y HOMOLOGADA POR EL CIDET</t>
  </si>
  <si>
    <t>BB554A</t>
  </si>
  <si>
    <t>TABLERO DE 6 CIRCUITOS 2F4H, CON PUERTA - CON BARRA NEUTRO Y BARRA TIERRA  CALIDAD LEGRAND, SIEMENS, SQARED O SUPERIOR DE MARCA RECONOCIDA Y HOMOLOGADA POR EL CIDET</t>
  </si>
  <si>
    <t>BB555</t>
  </si>
  <si>
    <t>TABLERO RIEL 4 CIRCUITOS</t>
  </si>
  <si>
    <t>BB556</t>
  </si>
  <si>
    <t>TAPA CIEGA CON IMPACTO GALVANIZADA CUADRADA 4X4"</t>
  </si>
  <si>
    <t>BB731</t>
  </si>
  <si>
    <t xml:space="preserve">TAPA PARA BANDEJA PORTACABLE GALVANIZADA EN CALIENTE DE ANCHO UTIL 10CM; LONG 1,2M. </t>
  </si>
  <si>
    <t>BB732</t>
  </si>
  <si>
    <t xml:space="preserve">TAPA PARA BANDEJA PORTACABLE GALVANIZADA EN CALIENTE DE ANCHO UTIL 20CM; LONG 1,2M. </t>
  </si>
  <si>
    <t>BB733</t>
  </si>
  <si>
    <t xml:space="preserve">TAPA PARA BANDEJA PORTACABLE GALVANIZADA EN CALIENTE DE ANCHO UTIL 30CM; LONG 1,2M. </t>
  </si>
  <si>
    <t>BB734</t>
  </si>
  <si>
    <t xml:space="preserve">TAPA PARA BANDEJA PORTACABLE GALVANIZADA EN CALIENTE DE ANCHO UTIL 40CM; LONG 1,2M. </t>
  </si>
  <si>
    <t>BB735</t>
  </si>
  <si>
    <t xml:space="preserve">TAPA PARA BANDEJA PORTACABLE GALVANIZADA EN CALIENTE DE ANCHO UTIL 50CM; LONG 1,2M. </t>
  </si>
  <si>
    <t>BB736</t>
  </si>
  <si>
    <t xml:space="preserve">TAPA PARA BANDEJA PORTACABLE GALVANIZADA EN CALIENTE DE ANCHO UTIL 60CM; LONG 1,2M. </t>
  </si>
  <si>
    <t>BB725</t>
  </si>
  <si>
    <t>TE PORTACABLE GALVANIZADA EN CALIENTE ANCHO UTIL 10CM. INCLUYE PLATINAS DE UNION</t>
  </si>
  <si>
    <t>BB726</t>
  </si>
  <si>
    <t>TE PORTACABLE GALVANIZADA EN CALIENTE ANCHO UTIL 20CM. INCLUYE PLATINAS DE UNION</t>
  </si>
  <si>
    <t>BB727</t>
  </si>
  <si>
    <t>TE PORTACABLE GALVANIZADA EN CALIENTE ANCHO UTIL 30CM. INCLUYE PLATINAS DE UNION</t>
  </si>
  <si>
    <t>BB728</t>
  </si>
  <si>
    <t>TE PORTACABLE GALVANIZADA EN CALIENTE ANCHO UTIL 40CM. INCLUYE PLATINAS DE UNION</t>
  </si>
  <si>
    <t>BB729</t>
  </si>
  <si>
    <t>TE PORTACABLE GALVANIZADA EN CALIENTE ANCHO UTIL 50CM. INCLUYE PLATINAS DE UNION</t>
  </si>
  <si>
    <t>BB730</t>
  </si>
  <si>
    <t>TE PORTACABLE GALVANIZADA EN CALIENTE ANCHO UTIL 60CM. INCLUYE PLATINAS DE UNION</t>
  </si>
  <si>
    <t>BB666</t>
  </si>
  <si>
    <t>TENSOR</t>
  </si>
  <si>
    <t>BB816</t>
  </si>
  <si>
    <t>TENSOR DE ACOMETIDAS</t>
  </si>
  <si>
    <t>BB657</t>
  </si>
  <si>
    <t>TERMINAL CAMPANA PVC DUCTO 2"</t>
  </si>
  <si>
    <t>BB654</t>
  </si>
  <si>
    <t>TERMINAL CAMPANA PVC DUCTO 3"</t>
  </si>
  <si>
    <t>BB652</t>
  </si>
  <si>
    <t>TERMINAL CAMPANA PVC DUCTO 4"</t>
  </si>
  <si>
    <t>BB660</t>
  </si>
  <si>
    <t>TERMINAL PVC CONDUIT  1"</t>
  </si>
  <si>
    <t>BB567</t>
  </si>
  <si>
    <t>TERMINALES PREMOLDEADAS PARA 15 KV - USO EXTERIOR PARA CALIBRES DE CABLES ENTRE 2 - 3/0 - JUEGO X 3 UNIDADES</t>
  </si>
  <si>
    <t>BB568</t>
  </si>
  <si>
    <t>TERMINALES PREMOLDEADAS PARA 15 KV - USO INTERIOR PARA CALIBRES DE CABLES ENTRE 2 - 3/0 - JUEGO X 3 UNIDADES</t>
  </si>
  <si>
    <t>BB570</t>
  </si>
  <si>
    <t>TOMA CORRIENTE DOBLE CON  PROTECCION FALLA A TIERRA GFCI</t>
  </si>
  <si>
    <t>BB571</t>
  </si>
  <si>
    <t xml:space="preserve">TOMA CORRIENTE DOBLE CON POLO A TIERRA  NEMA 5-15-R; </t>
  </si>
  <si>
    <t>BB775</t>
  </si>
  <si>
    <t>TOMA INDUSTRIAL DE SOBREPONER 3P+N+T 250V/16A IP44. MARCA LEGRAND</t>
  </si>
  <si>
    <t>BB783</t>
  </si>
  <si>
    <t>TOMA INDUSTRIAL DE SOBREPONER 3P+N+T 250V/16A IP67. MARCA LEGRAND</t>
  </si>
  <si>
    <t>BB779</t>
  </si>
  <si>
    <t>TOMA INDUSTRIAL DE SOBREPONER 3P+N+T 250V/32A IP44. MARCA LEGRAND</t>
  </si>
  <si>
    <t>BB787</t>
  </si>
  <si>
    <t>TOMA INDUSTRIAL DE SOBREPONER 3P+N+T 250V/32A IP67. MARCA LEGRAND</t>
  </si>
  <si>
    <t>BB791</t>
  </si>
  <si>
    <t>TOMA INDUSTRIAL DE SOBREPONER 3P+N+T 250V/63A IP67. MARCA LEGRAND</t>
  </si>
  <si>
    <t>BB773</t>
  </si>
  <si>
    <t>TOMA INDUSTRIAL DE SOBREPONER 3P+T 250V/16A IP44. MARCA LEGRAND</t>
  </si>
  <si>
    <t>BB781</t>
  </si>
  <si>
    <t>TOMA INDUSTRIAL DE SOBREPONER 3P+T 250V/16A IP67. MARCA LEGRAND</t>
  </si>
  <si>
    <t>BB777</t>
  </si>
  <si>
    <t>TOMA INDUSTRIAL DE SOBREPONER 3P+T 250V/32A IP44. MARCA LEGRAND</t>
  </si>
  <si>
    <t>BB785</t>
  </si>
  <si>
    <t>TOMA INDUSTRIAL DE SOBREPONER 3P+T 250V/32A IP67. MARCA LEGRAND</t>
  </si>
  <si>
    <t>BB789</t>
  </si>
  <si>
    <t>TOMA INDUSTRIAL DE SOBREPONER 3P+T 250V/63A IP67. MARCA LEGRAND</t>
  </si>
  <si>
    <t>BB793</t>
  </si>
  <si>
    <t>TOMACORRIENTE DE INCRUSTAR CON SEGURO DE GIRO 2P+T 250V/20A. MARCA LEGRAND</t>
  </si>
  <si>
    <t>BB795</t>
  </si>
  <si>
    <t>TOMACORRIENTE DE INCRUSTAR CON SEGURO DE GIRO 2P+T 250V/30A. MARCA LEGRAND</t>
  </si>
  <si>
    <t>BB580</t>
  </si>
  <si>
    <t>TORNILLO DE ACERO GALVANIZADO 1/2"X1 1/2". INCLUYE 2 TUERCAS, 2 ARANDELAS.</t>
  </si>
  <si>
    <t>BB581</t>
  </si>
  <si>
    <t>TORNILLO DE ACERO GALVANIZADO 5/8" X 10". INCLUYE 2 TUERCAS, 2 ARANDELAS.</t>
  </si>
  <si>
    <t>BB582</t>
  </si>
  <si>
    <t>TORNILLO DE ACERO GALVANIZADO 5/8" X 5". INCLUYE 2 TUERCAS, 2 ARANDELAS.</t>
  </si>
  <si>
    <t>BB583</t>
  </si>
  <si>
    <t>TORNILLO DE ACERO GALVANIZADO 5/8" X 8". INCLUYE 2 TUERCAS, 2 ARANDELAS.</t>
  </si>
  <si>
    <t>BB584</t>
  </si>
  <si>
    <t>TORNILLO DE BRONCE PARA BORNA TERMINAL</t>
  </si>
  <si>
    <t>BB587</t>
  </si>
  <si>
    <t xml:space="preserve">TRANSFORMADOR DE DISTRIBUCION  TRIFASICO AUTOPROTEGIDO 112,5 KVA-DYN5, 60 HZ, 13.2 KV-208/120 VOLTIOS ACEITE- INTEMPERIE- HOMOLOGADO -ACCESORIOS DE SUJECION -PROTOCOLO DE PRUEBAS. (DPS PRIMARIOS) </t>
  </si>
  <si>
    <t>BB586</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</si>
  <si>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</si>
  <si>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BB588</t>
  </si>
  <si>
    <t xml:space="preserve">TRANSFORMADOR DE DISTRIBUCION  TRIFASICO AUTOPROTEGIDO 150 KVA-DYN5, 60 HZ, 13.2 KV-208/120 VOLTIOS ACEITE- INTEMPERIE- HOMOLOGADO -ACCESORIOS DE SUJECION -PROTOCOLO DE PRUEBAS. (DPS PRIMARIOS) </t>
  </si>
  <si>
    <t>BB589</t>
  </si>
  <si>
    <t xml:space="preserve">TRANSFORMADOR DE DISTRIBUCION  TRIFASICO AUTOPROTEGIDO 225 KVA-DYN5, 60 HZ, 13.2 KV-220/127 VOLTIOS ACEITE- INTEMPERIE- HOMOLOGADO -ACCESORIOS DE SUJECION -PROTOCOLO DE PRUEBAS. (DPS PRIMARIOS) </t>
  </si>
  <si>
    <t>BB590</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</si>
  <si>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</si>
  <si>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BB591</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</si>
  <si>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</si>
  <si>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BB592</t>
  </si>
  <si>
    <t xml:space="preserve">TRANSFORMADOR DE DISTRIBUCION  TRIFASICO AUTOPROTEGIDO 75 KVA-DYN5, 60 HZ, 13.2 KV-208/120 VOLTIOS ACEITE- INTEMPERIE- HOMOLOGADO -ACCESORIOS DE SUJECION -PROTOCOLO DE PRUEBAS. (DPS PRIMARIOS) </t>
  </si>
  <si>
    <t>BB596</t>
  </si>
  <si>
    <t>TUBO CONDUIT GALVANIZADA EMT 1 1/2"</t>
  </si>
  <si>
    <t>BB597</t>
  </si>
  <si>
    <t>TUBO CONDUIT GALVANIZADA EMT 1"</t>
  </si>
  <si>
    <t>BB598</t>
  </si>
  <si>
    <t>TUBO CONDUIT GALVANIZADA EMT 1/2"</t>
  </si>
  <si>
    <t>BB599</t>
  </si>
  <si>
    <t xml:space="preserve">TUBO CONDUIT GALVANIZADA EMT 2" </t>
  </si>
  <si>
    <t>BB600</t>
  </si>
  <si>
    <t xml:space="preserve">TUBO CONDUIT GALVANIZADA EMT 3" </t>
  </si>
  <si>
    <t>BB601</t>
  </si>
  <si>
    <t xml:space="preserve">TUBO CONDUIT GALVANIZADA EMT 3/4" </t>
  </si>
  <si>
    <t>BB603</t>
  </si>
  <si>
    <t xml:space="preserve">TUBO CONDUIT IMC 1 1/2" </t>
  </si>
  <si>
    <t>BB605</t>
  </si>
  <si>
    <t xml:space="preserve">TUBO CONDUIT IMC 1" </t>
  </si>
  <si>
    <t>BB606</t>
  </si>
  <si>
    <t xml:space="preserve">TUBO CONDUIT IMC 1/2" </t>
  </si>
  <si>
    <t>BB607</t>
  </si>
  <si>
    <t xml:space="preserve">TUBO CONDUIT IMC 2" </t>
  </si>
  <si>
    <t>BB608</t>
  </si>
  <si>
    <t xml:space="preserve">TUBO CONDUIT IMC 3" </t>
  </si>
  <si>
    <t>BB609</t>
  </si>
  <si>
    <t>TUBO CONDUIT IMC 3/4"</t>
  </si>
  <si>
    <t>BB610</t>
  </si>
  <si>
    <t xml:space="preserve">TUBO CONDUIT IMC 4" </t>
  </si>
  <si>
    <t>BB611</t>
  </si>
  <si>
    <t>TUBO CONDUIT PVC 1 1/2"</t>
  </si>
  <si>
    <t>BB613</t>
  </si>
  <si>
    <t>TUBO CONDUIT PVC 1"</t>
  </si>
  <si>
    <t>BB614</t>
  </si>
  <si>
    <t>TUBO CONDUIT PVC 1/2"</t>
  </si>
  <si>
    <t>BB615</t>
  </si>
  <si>
    <t>TUBO CONDUIT PVC 2"</t>
  </si>
  <si>
    <t>BB616</t>
  </si>
  <si>
    <t>TUBO CONDUIT PVC 3/4"</t>
  </si>
  <si>
    <t>BB629</t>
  </si>
  <si>
    <t>TUBO PVC DOBLE PARED TDP 3"</t>
  </si>
  <si>
    <t>BB630</t>
  </si>
  <si>
    <t>TUBO PVC DOBLE PARED TDP 4"</t>
  </si>
  <si>
    <t>BB626</t>
  </si>
  <si>
    <t>TUBO PVC PESADO DB 2"</t>
  </si>
  <si>
    <t>BB627</t>
  </si>
  <si>
    <t>TUBO PVC PESADO DB 3"</t>
  </si>
  <si>
    <t>BB703</t>
  </si>
  <si>
    <t>TUERCA MORDAZA. INCLUYE TORNILLO</t>
  </si>
  <si>
    <t>BB635</t>
  </si>
  <si>
    <t>TUERCA OJO ALARGADO 5/8"</t>
  </si>
  <si>
    <t>BB661</t>
  </si>
  <si>
    <t>UNION PVC CONDUIT  1"</t>
  </si>
  <si>
    <t>BB658</t>
  </si>
  <si>
    <t>UNION PVC DUCTO 2"</t>
  </si>
  <si>
    <t>BB655</t>
  </si>
  <si>
    <t>UNION PVC DUCTO 3"</t>
  </si>
  <si>
    <t>BB653</t>
  </si>
  <si>
    <t>UNION PVC DUCTO 4"</t>
  </si>
  <si>
    <t>BB640</t>
  </si>
  <si>
    <t>VARILLA COPPERWELD DE  5/8 X 2,40</t>
  </si>
  <si>
    <t>BB641</t>
  </si>
  <si>
    <t>VARILLA DE ANCLAJE DE 3/4 X 180 CM</t>
  </si>
  <si>
    <t>BB799</t>
  </si>
  <si>
    <t>VENTILADOR DE MURO</t>
  </si>
  <si>
    <t>BB797</t>
  </si>
  <si>
    <t>VENTILADOR DE TECHO 3 A 5 ASPAS, KDK</t>
  </si>
  <si>
    <t>BB647</t>
  </si>
  <si>
    <t xml:space="preserve">VIGUETA DE ANCLAJE </t>
  </si>
  <si>
    <t>BB648</t>
  </si>
  <si>
    <t>CINTA AISLANTE 3M</t>
  </si>
  <si>
    <t>BB100</t>
  </si>
  <si>
    <t>GABINETE METALICO FABRICADO EN LAMINA CR CAL 16-18, ACABADO EN PINTURA EPOXIPOLIESTER TIPO ELECTROSTATICA. INCLUYE DOBLE FONDO, PUERTA Y CHAPA. ALOJA TOTALIZADOR I HASTA 100A, BARRAJES N Y T, DIM MIN: 40X30X20CM</t>
  </si>
  <si>
    <t>BB101</t>
  </si>
  <si>
    <t>ARMELLA PARA ANCLAJE</t>
  </si>
  <si>
    <t>BB102</t>
  </si>
  <si>
    <t>CABLE ANTIFRAUDE CU 3X6+8 AWG 600V (PE/PVC-SR)</t>
  </si>
  <si>
    <t>BB103</t>
  </si>
  <si>
    <t xml:space="preserve">CAPACETE ROSCADO EN ALUMINIO PARA TUBERIA IMC GALVANIZADA DE 1 1/2" </t>
  </si>
  <si>
    <t>BB572</t>
  </si>
  <si>
    <t xml:space="preserve">TOMA TV TERMINAL COAXIAL </t>
  </si>
  <si>
    <t>BB899</t>
  </si>
  <si>
    <t xml:space="preserve">BALA PANEL LED REDONDO, 14W BLANCO OPAL. 1200LM . INCLUYE DRIVER SC
</t>
  </si>
  <si>
    <t>BB900</t>
  </si>
  <si>
    <t xml:space="preserve">AVISO LUMINOSO DE SALIDA </t>
  </si>
  <si>
    <t>BB901</t>
  </si>
  <si>
    <t>LUMINARIA DE SOBREPONER TIPO ELM</t>
  </si>
  <si>
    <t>BB902</t>
  </si>
  <si>
    <t xml:space="preserve">PROGRAMADOR HORARIO ELECTROMECANICO
</t>
  </si>
  <si>
    <t>BB903</t>
  </si>
  <si>
    <t>CAJA METALICA</t>
  </si>
  <si>
    <t>BB904</t>
  </si>
  <si>
    <t>BOMBILLA AHORRADORA 25W/120V E27. LUZ CALIDA</t>
  </si>
  <si>
    <t>BB905</t>
  </si>
  <si>
    <t xml:space="preserve">CORAZA AMERICANA DE 3/4" </t>
  </si>
  <si>
    <t>BB906</t>
  </si>
  <si>
    <t>CONECTOR RECTO PARA CORAZA AMERICANA DE 3/4</t>
  </si>
  <si>
    <t>BB907</t>
  </si>
  <si>
    <t>CAJA METALICA GALVANIZADA TIPO INTEMPERIE DE 20*20</t>
  </si>
  <si>
    <t>BB908</t>
  </si>
  <si>
    <t>CAJA DE PASO TIPO PLEXO LEGRAND 180X140X86MM</t>
  </si>
  <si>
    <t>BB837</t>
  </si>
  <si>
    <t>BB838</t>
  </si>
  <si>
    <t>SELLOS CORTAFUEGO PARA TUBERIA DE 3/4"</t>
  </si>
  <si>
    <t>BB839</t>
  </si>
  <si>
    <t>LUZ DE OBSTRUCION TIPO LED – REF. RTO-1R07-001 CONSUMO 7 VATIOS</t>
  </si>
  <si>
    <t>BB84</t>
  </si>
  <si>
    <t xml:space="preserve">LUMINARIA TIPO QUIMBAYA II 70W </t>
  </si>
  <si>
    <t>BB840</t>
  </si>
  <si>
    <t>LUMINARIA A PRUEBA DE EXPLOSION TIPO COLGANTE – REF. RTO-0W07-001 / TIPO LED</t>
  </si>
  <si>
    <t>BB841</t>
  </si>
  <si>
    <t>BB842</t>
  </si>
  <si>
    <t xml:space="preserve">CERTIFICACIÓN RETIE DE LA INSTALACIÓN </t>
  </si>
  <si>
    <t>BB843</t>
  </si>
  <si>
    <t>PUNTA DE CAPTACION TIPO FRANKLIN</t>
  </si>
  <si>
    <t>BB844</t>
  </si>
  <si>
    <t>CABLE DE ALUMINIO DESNUDO CALIBRE 1/0 AWG AAAC</t>
  </si>
  <si>
    <t>BB845</t>
  </si>
  <si>
    <t>COFRE PARA USO INTEMPERIE DIMENSIONESHXWXD=40X30X20CM</t>
  </si>
  <si>
    <t>BB846</t>
  </si>
  <si>
    <t>BARRAJE INTERNO PARA INTERRUPTORES ENCHUFABLES</t>
  </si>
  <si>
    <t>BB668</t>
  </si>
  <si>
    <t xml:space="preserve">CAJA METALICA INCRUSTAR TIPO LEGRAND CP-15X15 CON PUERTA Y CHAPA </t>
  </si>
  <si>
    <t>BB909</t>
  </si>
  <si>
    <t xml:space="preserve">TAPA PLASTICA PARA TOMA CORRIENTE </t>
  </si>
  <si>
    <t>BB910</t>
  </si>
  <si>
    <t>CONTADOR 1F 120V ISKRA</t>
  </si>
  <si>
    <t>BB911</t>
  </si>
  <si>
    <t>CAJA EN POLICARBONATO PARA CONTADOR 1F</t>
  </si>
  <si>
    <t>BB912</t>
  </si>
  <si>
    <t>CONECTOR CU 8-4</t>
  </si>
  <si>
    <t>BB913</t>
  </si>
  <si>
    <t>CONTADOR 2F 120V ISKRA</t>
  </si>
  <si>
    <t>BB914</t>
  </si>
  <si>
    <t>CONTADOR 3F 120V ISKRA</t>
  </si>
  <si>
    <t>BB915</t>
  </si>
  <si>
    <t xml:space="preserve">CAJA CONTADOR 2F </t>
  </si>
  <si>
    <t>BB916</t>
  </si>
  <si>
    <t>CAJA CONTADOR 3F</t>
  </si>
  <si>
    <t>BB917</t>
  </si>
  <si>
    <t>CAJA DE EMPALME 6"x6"x4"</t>
  </si>
  <si>
    <t>BB918</t>
  </si>
  <si>
    <t>CAJA DE EMPALME 10"x10"x6"</t>
  </si>
  <si>
    <t>BB919</t>
  </si>
  <si>
    <t>CAJA DE EMPALME 15"x15"x6"</t>
  </si>
  <si>
    <t>BB920</t>
  </si>
  <si>
    <t>CAJA PLASTICA OCTOGONAL</t>
  </si>
  <si>
    <t>BB921</t>
  </si>
  <si>
    <t>CAJA 2x4 PVC</t>
  </si>
  <si>
    <t>BB922</t>
  </si>
  <si>
    <t>STRIP 48-80 PARES</t>
  </si>
  <si>
    <t>BB923</t>
  </si>
  <si>
    <t>CABLE TELEFONICO 20 PARES</t>
  </si>
  <si>
    <t>BB924</t>
  </si>
  <si>
    <t>GABINETE METALICO 2,1x0,6x0,6m</t>
  </si>
  <si>
    <t>BB925</t>
  </si>
  <si>
    <t>TAPA DE GABINETE METALICO 2,1x0,6x0,6m</t>
  </si>
  <si>
    <t>BB926</t>
  </si>
  <si>
    <t>CABLE DE SONIDO NOISELESS</t>
  </si>
  <si>
    <t>BB927</t>
  </si>
  <si>
    <t>TOMA SENCILLO DE SONIDO + PLUG HEMBRA</t>
  </si>
  <si>
    <t>BB928</t>
  </si>
  <si>
    <t>CONECTOR TOMACORRIENTE</t>
  </si>
  <si>
    <t>BB929</t>
  </si>
  <si>
    <t>CAJA 2x4 GALVANIZADA</t>
  </si>
  <si>
    <t>BB930</t>
  </si>
  <si>
    <t>TOMA TELEFONICO</t>
  </si>
  <si>
    <t>NX</t>
  </si>
  <si>
    <t>TRANSITO Y TRANSPORTE</t>
  </si>
  <si>
    <t>NX01</t>
  </si>
  <si>
    <t>DEMARCACION PASOS PEATONALES, LINEAS DE PARE, SIMBOLOS, TEXTOS Y OTRAS, CON PINTURA PLASTICO EN FRIO.</t>
  </si>
  <si>
    <t>Manual mintransporte</t>
  </si>
  <si>
    <t>NX02</t>
  </si>
  <si>
    <t>DEMARCACION LINEAS CENTRALES, DE BORDE, DE CARRIL Y OTRAS (Ancho 12cms), CON PINTURA PLASTICO EN FRIO.</t>
  </si>
  <si>
    <t>NX03</t>
  </si>
  <si>
    <t>DEMARCACION PASOS PEATONALES, LINEAS DE PARE, SIMBOLOS, TEXTOS Y OTRAS, CON PINTURA ACRILICA BASE SOLVENTE.</t>
  </si>
  <si>
    <t>NX04</t>
  </si>
  <si>
    <t>DEMARCACION LINEAS CENTRALES, DE BORDE, DE CARRIL Y OTRAS (Ancho 12cms), CON PINTURA ACRILICA BASE SOLVENTE.</t>
  </si>
  <si>
    <t>NX05</t>
  </si>
  <si>
    <t>FRESADO DE MARCAS VIALES</t>
  </si>
  <si>
    <t>NX06</t>
  </si>
  <si>
    <t xml:space="preserve">SUMINISTRO E INSTALACIÓN DE SEÑALES VERTICALES DOBLE GRADO DIAMANTE. SR/SP (60cms). PARA FIJAR EN POSTE EXISTENTE (Sección Circular).  </t>
  </si>
  <si>
    <t>NX07</t>
  </si>
  <si>
    <t>SUMINISTRO E INSTALACIÓN DE SEÑALES VERTICALES DOBLE GRADO DIAMANTE SR/SP (60cms). CON POSTE</t>
  </si>
  <si>
    <t>NX08</t>
  </si>
  <si>
    <t xml:space="preserve">SUMINISTRO E INSTALACIÓN DE SEÑAL VERTICAL GRADO DIAMANTE SR-30 o SI-30 GRADO DIAMANTE (60cms x 60cms),PARA FIJAR EN POSTE EXISTENTE (Sección Circular).  </t>
  </si>
  <si>
    <t>NX09</t>
  </si>
  <si>
    <t>SUMINISTRO E INSTALACIÓN DE SEÑAL VERTICAL GRADO DIAMANTE SR o SP (60cms x 60cms),CON POSTE</t>
  </si>
  <si>
    <t>NX10</t>
  </si>
  <si>
    <t xml:space="preserve">SUMINISTRO E INSTALACIÓN DE SEÑAL VERTICAL SR o SP-47 GRADO DIAMANTE  (60cms x 60cms),PARA FIJAR EN POSTE EXISTENTE (Sección Circular).  </t>
  </si>
  <si>
    <t>NX11</t>
  </si>
  <si>
    <t>SUMINISTRO E INSTALACIÓN DE SEÑAL VERTICAL SR o SP GRADO DIAMANTE (60cms x 60cms),CON POSTE</t>
  </si>
  <si>
    <t>NX12</t>
  </si>
  <si>
    <t>REDUCTOR DE VELOCIDAD (3,7 M. ANCHO X 10CMS DE ALTURA)</t>
  </si>
  <si>
    <t>NX13</t>
  </si>
  <si>
    <t>REDUCTOR EN ASFALTO 1,6m de ancho * 0,07m de h´</t>
  </si>
  <si>
    <t>NX14</t>
  </si>
  <si>
    <t>SUMINISTRO E INSTALACION TACHAS REFLECTIVAS.</t>
  </si>
  <si>
    <t>NX15</t>
  </si>
  <si>
    <t>SUMINISTRO E INSTALACION TACHONES</t>
  </si>
  <si>
    <t>NX16</t>
  </si>
  <si>
    <t>SUMINISTRO E INSTALACIÓN ESTOPEROLES CON ESPIGO</t>
  </si>
  <si>
    <t>NX17</t>
  </si>
  <si>
    <t>SUMINISTRO E INSTALACION HITOS REFLECTIVOS</t>
  </si>
  <si>
    <t>ENSAYOS</t>
  </si>
  <si>
    <t>E1</t>
  </si>
  <si>
    <t>ENSAYOS DE RESISTENCIA A COMPRESION</t>
  </si>
  <si>
    <t>E2</t>
  </si>
  <si>
    <t>ENSAYOS DE GRANULOMETRÍA/PRÓCTOR</t>
  </si>
  <si>
    <t>E3</t>
  </si>
  <si>
    <t>ENSAYO DE DENSIDAD EN CAMPO</t>
  </si>
  <si>
    <t>E4</t>
  </si>
  <si>
    <t>DISEÑO DE MEZCLAS</t>
  </si>
  <si>
    <t>E5</t>
  </si>
  <si>
    <t>FLEXION DE VIGAS DE CONCRETO</t>
  </si>
  <si>
    <t>E6</t>
  </si>
  <si>
    <t>PERFORACIÓN CON EQUIPO SEMIMECÁNICO</t>
  </si>
  <si>
    <t>E7</t>
  </si>
  <si>
    <t>CORTE DIRECTO UU</t>
  </si>
  <si>
    <t>E8</t>
  </si>
  <si>
    <t>COMPRESION INCONFINADA DE MUESTRAS</t>
  </si>
  <si>
    <t>E9</t>
  </si>
  <si>
    <t>CLASIFICACION DEL SUELO</t>
  </si>
  <si>
    <t>AV</t>
  </si>
  <si>
    <t>VARIOS</t>
  </si>
  <si>
    <t>AAA1</t>
  </si>
  <si>
    <t>ALQUILER UNIDAD DIAGNOSTICO PARA RED ALCANTARILLADO</t>
  </si>
  <si>
    <t>AAA2</t>
  </si>
  <si>
    <t xml:space="preserve">EQUIPO MEDICION GASES </t>
  </si>
  <si>
    <t>AAA2A</t>
  </si>
  <si>
    <t xml:space="preserve">CALIBRACION EQUIPO DE GASES </t>
  </si>
  <si>
    <t>AAA3</t>
  </si>
  <si>
    <t>ALQUILER BAÑO PORTATIL (INCLUYE TRANSPORTE, INSTALACION, LIMPIEZA SEMANAL, DESCARGUE Y TRANSPORTE DE LIQUIDOS Y SOLIDOS)</t>
  </si>
  <si>
    <t>AAA4</t>
  </si>
  <si>
    <t>ENTIBADO METALICO TIPO CAJON 6.10 X 2.44 X 0.15</t>
  </si>
  <si>
    <t>AAA5</t>
  </si>
  <si>
    <t>PULPO PARA ARMADO DE ENTIBADO METALICO TIPO CAJON</t>
  </si>
  <si>
    <t>AA38</t>
  </si>
  <si>
    <t>PERMISO ANTE ENTE AMBIENTAL (TALA)</t>
  </si>
  <si>
    <t>AA48</t>
  </si>
  <si>
    <t>EEPP PARA TAREAS DE ALTO RIESGO: TRABAJO SEGURO EN ALTURAS, INCLUYE ARNÉS DE 6 ARGOLLAS (ESPACIO CONFINADO), LÍNEA DE VIDA EN POLIAMIDA, ARRESTADOR DE CAÍDA, ESLINGA EN Y, 3 MOSQUETONES CON CIERRE AUTOMÁTICO DE TRES PASOS</t>
  </si>
  <si>
    <t>AA39</t>
  </si>
  <si>
    <t>ALQUILER DE BODEGA PARA CAMPAMENTO</t>
  </si>
  <si>
    <t>AA41</t>
  </si>
  <si>
    <t>CONTENEDOR 24 PIES</t>
  </si>
  <si>
    <t>AA42</t>
  </si>
  <si>
    <t>SERVICIO DE AGUA</t>
  </si>
  <si>
    <t>AA43</t>
  </si>
  <si>
    <t>SERVICIO DE ENERGIA</t>
  </si>
  <si>
    <t>AA47</t>
  </si>
  <si>
    <t>PERMISO USO DE ESCOMBRERA</t>
  </si>
  <si>
    <t>I09</t>
  </si>
  <si>
    <t>COMISION TOPOGRAFICA PERMANENTE ( INCLUYE TOPOGRAFO, CADENERO Y EQUIPO TOPOGRAFICO (ESTACIÓN Y NIVEL)).</t>
  </si>
  <si>
    <t>Mano de Obra</t>
  </si>
  <si>
    <t>I10</t>
  </si>
  <si>
    <t>COMISION TOPOGRAFICA (INCLUYE TOPOGRAFO, CADENERO Y EQUIPO TOPOGRAFÍA (ESTACIÓN Y NIVEL)).</t>
  </si>
  <si>
    <t>I23</t>
  </si>
  <si>
    <t>CONTROL DE AGUAS</t>
  </si>
  <si>
    <t>I24</t>
  </si>
  <si>
    <t>ENTIBADO</t>
  </si>
  <si>
    <t>I28</t>
  </si>
  <si>
    <t>CURADO DEL CONCRETO</t>
  </si>
  <si>
    <t>S245</t>
  </si>
  <si>
    <t>MANEJO TUBERIA PVC CORRUGADA 6  U.C</t>
  </si>
  <si>
    <t>S246</t>
  </si>
  <si>
    <t>MANEJO TUBERIA PVC CORRUGADA 8 U.C</t>
  </si>
  <si>
    <t>S247</t>
  </si>
  <si>
    <t>MANEJO TUBERIA PVC CORRUGADA 10 U.C</t>
  </si>
  <si>
    <t>S248</t>
  </si>
  <si>
    <t>MANEJO DE TUBERIA  PVC CORRUGADA 12 U.C</t>
  </si>
  <si>
    <t>S249</t>
  </si>
  <si>
    <t>MANEJO DE TUBERIA PVC CORRUGADA 14 U.C</t>
  </si>
  <si>
    <t>S250</t>
  </si>
  <si>
    <t xml:space="preserve">MANEJO DE TUBERIA PVC CORRUGADA 16 U.C </t>
  </si>
  <si>
    <t>S251</t>
  </si>
  <si>
    <t>MANEJO DE TUBERIA PVC CORRUGADA 18 U.C</t>
  </si>
  <si>
    <t>S252</t>
  </si>
  <si>
    <t>MANEJO DE TUBERIA PVC CORRUGADA 20 U.C</t>
  </si>
  <si>
    <t>S253</t>
  </si>
  <si>
    <t>MANEJO DE TUBERIA PVC  PERFILADA  30 U.C</t>
  </si>
  <si>
    <t>S254</t>
  </si>
  <si>
    <t>MANEJO DE TUBERIA PVC PERFILADA 42 U.C</t>
  </si>
  <si>
    <t>S255</t>
  </si>
  <si>
    <t>MANEJO SILLETA PVC CORRUGADA DE 250X160 M.M</t>
  </si>
  <si>
    <t>S255A</t>
  </si>
  <si>
    <t>MANEJO SILLETA PVC CORRUGADA DE 355X160 M.M</t>
  </si>
  <si>
    <t>S256</t>
  </si>
  <si>
    <t>MANEJO SILLETA PVC CORRUGADA DE 400X160 M.M</t>
  </si>
  <si>
    <t>S257</t>
  </si>
  <si>
    <t>MANEJO SILLETA PVC CORRUGADA DE 450X160 M.M</t>
  </si>
  <si>
    <t>S258</t>
  </si>
  <si>
    <t>MANEJO SILLETA PVC CORRUGADA DE 500X160 M.M</t>
  </si>
  <si>
    <t>S259</t>
  </si>
  <si>
    <t>MANEJO TUBERIA PVC UNION MECANICA RDE 21 DE 4"</t>
  </si>
  <si>
    <t>S260</t>
  </si>
  <si>
    <t>MANEJO TUBERIA PVC UNION MECANICA RDE 21 DE 8"</t>
  </si>
  <si>
    <t>S261</t>
  </si>
  <si>
    <t>MANEJO TUBERIA PVC UNION MECANICA RDE 21 DE 10"</t>
  </si>
  <si>
    <t>S262</t>
  </si>
  <si>
    <t>MANEJO TUBERIA PVC UNION MECANICA RDE 21 DE 12"</t>
  </si>
  <si>
    <t>S263</t>
  </si>
  <si>
    <t>MANEJO TUBERIA PVC UNION MECANICA RDE 21 DE 14"</t>
  </si>
  <si>
    <t>S264</t>
  </si>
  <si>
    <t>MANEJO TUBERIA PVC UNION MECANICA RDE 21 DE 16"</t>
  </si>
  <si>
    <t>S265</t>
  </si>
  <si>
    <t>MANEJO TUBERIA PVC BIAXIAL PR 200 DE 3"</t>
  </si>
  <si>
    <t>S266</t>
  </si>
  <si>
    <t>MANEJO TUBERIA PVC BIAXIAL PR 200 DE 4"</t>
  </si>
  <si>
    <t>S267</t>
  </si>
  <si>
    <t>MANEJO TUBERIA PVC BIAXIAL PR 200 DE 6"</t>
  </si>
  <si>
    <t>S268</t>
  </si>
  <si>
    <t>MANEJO TUBERIA PVC BIAXIAL PR 200 DE 8"</t>
  </si>
  <si>
    <t>S269</t>
  </si>
  <si>
    <t>MANEJO TUBERIA PVC BIAXIAL PR 200 DE 10"</t>
  </si>
  <si>
    <t>S270</t>
  </si>
  <si>
    <t>MANEJO TUBERIA PVC BIAXIAL PR 200 DE 12"</t>
  </si>
  <si>
    <t>S271</t>
  </si>
  <si>
    <t>MANEJO TUBERIA PVC BIAXIAL PR 200 DE 14"</t>
  </si>
  <si>
    <t>S272</t>
  </si>
  <si>
    <t>MANEJO TUBERIA PVC BIAXIAL PR 200 DE 16"</t>
  </si>
  <si>
    <t>S273</t>
  </si>
  <si>
    <t>MANEJO TUBERIA PVC BIAXIAL PR 200 DE 18"</t>
  </si>
  <si>
    <t>S274</t>
  </si>
  <si>
    <t>MANEJO TUBERIA POLIETILENO PE 100 DE 355 MM</t>
  </si>
  <si>
    <t>S275</t>
  </si>
  <si>
    <t>MANEJO TUBERIA POLIETILENO  250 MM</t>
  </si>
  <si>
    <t>S276</t>
  </si>
  <si>
    <t>MANEJO TUBERIA POLIETILENO  90 MM</t>
  </si>
  <si>
    <t>S277</t>
  </si>
  <si>
    <t>MANEJO TUBERIA POLIETILENO  75 MM</t>
  </si>
  <si>
    <t>S278</t>
  </si>
  <si>
    <t>MANEJO TUBERIA POLIETILENO  63 MM</t>
  </si>
  <si>
    <t>S279</t>
  </si>
  <si>
    <t>MANEJO DE VALVULA HF DE 6"</t>
  </si>
  <si>
    <t>S280</t>
  </si>
  <si>
    <t>MANEJO DE VALVULA HF DE 4"</t>
  </si>
  <si>
    <t>S281</t>
  </si>
  <si>
    <t>MANEJO DE VALVULA HF DE 3"</t>
  </si>
  <si>
    <t>S282</t>
  </si>
  <si>
    <t>MANEJO DE VALVULA HF DE 8" BRIDADA</t>
  </si>
  <si>
    <t>S283</t>
  </si>
  <si>
    <t>MANEJO DE VALVULA HF DE 6" BRIDADA</t>
  </si>
  <si>
    <t>S284</t>
  </si>
  <si>
    <t>MANEJO DE VALVULA HF DE 4" BRIDADA</t>
  </si>
  <si>
    <t>S285</t>
  </si>
  <si>
    <t>MANEJO DE VALVULA HF DE 3"BRIDADA</t>
  </si>
  <si>
    <t>S286</t>
  </si>
  <si>
    <t>MANEJO DE VALVULA HF DE 2" BRIDADA</t>
  </si>
  <si>
    <t>S287</t>
  </si>
  <si>
    <t>MANEJO HIDRANTE BRIDADO HF TIPO TRÁFICO DE 4"</t>
  </si>
  <si>
    <t>S288</t>
  </si>
  <si>
    <t xml:space="preserve">MANEJO HIDRANTE BRIDADO HF TIPO MILÁN DE 3" </t>
  </si>
  <si>
    <t>S288A</t>
  </si>
  <si>
    <t xml:space="preserve">MANEJO HIDRANTE EXTREMO LISO DE 3" </t>
  </si>
  <si>
    <t>S287A</t>
  </si>
  <si>
    <t xml:space="preserve">MANEJO HIDRANTE EXTREMO LISO DE 4" </t>
  </si>
  <si>
    <t>S289</t>
  </si>
  <si>
    <t>MANEJO TAPA PORTAVÁLVULA HD</t>
  </si>
  <si>
    <t>S290</t>
  </si>
  <si>
    <t>MANEJO CAJA RECTANGULAR HF CON LOGOTIPO DE AGUAS DE MZALES</t>
  </si>
  <si>
    <t>HERRAMIENTA MENOR</t>
  </si>
  <si>
    <t>M10</t>
  </si>
  <si>
    <t>EQUIPO BASICO ( CONSTRUCCIÓN )</t>
  </si>
  <si>
    <t>Herramienta</t>
  </si>
  <si>
    <t>VER ARCHIVO ANALISIS HERRAMIENTA MENOR</t>
  </si>
  <si>
    <t>EQUIPO BASICO ( HERRAMIENTA MENOR )</t>
  </si>
  <si>
    <t>I</t>
  </si>
  <si>
    <t>CUADRILLAS Y JORNALES</t>
  </si>
  <si>
    <t>AA</t>
  </si>
  <si>
    <t>ANALISIS BASICOS O INSUMOS PROCESADOS</t>
  </si>
  <si>
    <t>A13</t>
  </si>
  <si>
    <t>Analisis</t>
  </si>
  <si>
    <t>VER ARCHIVO ANEXO</t>
  </si>
  <si>
    <t>VER APU</t>
  </si>
  <si>
    <t>H18</t>
  </si>
  <si>
    <t>H19</t>
  </si>
  <si>
    <t>H20</t>
  </si>
  <si>
    <t>H21</t>
  </si>
  <si>
    <t>H22</t>
  </si>
  <si>
    <t>H23</t>
  </si>
  <si>
    <t>H24</t>
  </si>
  <si>
    <t>H25</t>
  </si>
  <si>
    <t>H26</t>
  </si>
  <si>
    <t>H27</t>
  </si>
  <si>
    <t>H28</t>
  </si>
  <si>
    <t>H29</t>
  </si>
  <si>
    <t>H39</t>
  </si>
  <si>
    <t>H31</t>
  </si>
  <si>
    <t>H32</t>
  </si>
  <si>
    <t>H33</t>
  </si>
  <si>
    <t>H34</t>
  </si>
  <si>
    <t>H35</t>
  </si>
  <si>
    <t>H36</t>
  </si>
  <si>
    <t>H37</t>
  </si>
  <si>
    <t>H38</t>
  </si>
  <si>
    <t>AD1</t>
  </si>
  <si>
    <t xml:space="preserve">Comisión de Topografía con Equipos </t>
  </si>
  <si>
    <t>Día</t>
  </si>
  <si>
    <t>AD2</t>
  </si>
  <si>
    <t>Dibujo de planos</t>
  </si>
  <si>
    <t>Un</t>
  </si>
  <si>
    <t>AD3</t>
  </si>
  <si>
    <t>Tapa D= 0,58 m en polipropileno reciclado</t>
  </si>
  <si>
    <t>AD4</t>
  </si>
  <si>
    <t>Guaya para tapas polipropileno</t>
  </si>
  <si>
    <t>AD5</t>
  </si>
  <si>
    <t xml:space="preserve">Instalaciones provisionales </t>
  </si>
  <si>
    <t>Gl</t>
  </si>
  <si>
    <t>AD6</t>
  </si>
  <si>
    <t>Guadua-Tabla-Cuartón-Listón-Varillón para campamento</t>
  </si>
  <si>
    <t>M2</t>
  </si>
  <si>
    <t>AD7</t>
  </si>
  <si>
    <t>Puertas y Ventanas en Tabla para campamento</t>
  </si>
  <si>
    <t>AD8</t>
  </si>
  <si>
    <t>Material granular para Subdrén</t>
  </si>
  <si>
    <t>M3</t>
  </si>
  <si>
    <t>EQUIPO BÁSICO (HERRAMIENTA MENOR</t>
  </si>
  <si>
    <t>PROVEEDORES</t>
  </si>
  <si>
    <t>PROMEDIO</t>
  </si>
  <si>
    <t>NOMBRE DEL PRODUCTO</t>
  </si>
  <si>
    <t>ESPECIFICACIONES TECNICAS</t>
  </si>
  <si>
    <t>UND</t>
  </si>
  <si>
    <t>VALOR UNITARIO</t>
  </si>
  <si>
    <t>VALOR PROMEDIO UNITARIO</t>
  </si>
  <si>
    <t>M-47</t>
  </si>
  <si>
    <t>M-48</t>
  </si>
  <si>
    <t>M-52</t>
  </si>
  <si>
    <t>M-54</t>
  </si>
  <si>
    <t>GLB</t>
  </si>
  <si>
    <t>Cemento kg</t>
  </si>
  <si>
    <t>Arena m3</t>
  </si>
  <si>
    <t>Grava m3</t>
  </si>
  <si>
    <t>Agua (L)</t>
  </si>
  <si>
    <t>Arena</t>
  </si>
  <si>
    <t xml:space="preserve">Cemento </t>
  </si>
  <si>
    <t>Agua</t>
  </si>
  <si>
    <t>Unidad</t>
  </si>
  <si>
    <t>Cantidad</t>
  </si>
  <si>
    <t>Valor Unitario</t>
  </si>
  <si>
    <t>Valor Parcial</t>
  </si>
  <si>
    <t>MATERIALES</t>
  </si>
  <si>
    <t>Cemento</t>
  </si>
  <si>
    <t>Grava</t>
  </si>
  <si>
    <t xml:space="preserve">Agua </t>
  </si>
  <si>
    <t>EQUIPOS</t>
  </si>
  <si>
    <t>Mezcladora</t>
  </si>
  <si>
    <t xml:space="preserve">Herramienta menor </t>
  </si>
  <si>
    <t>GL</t>
  </si>
  <si>
    <t>MANO DE OBRA</t>
  </si>
  <si>
    <t>Ensayos Laboratorio</t>
  </si>
  <si>
    <t>INSUMO</t>
  </si>
  <si>
    <t>UN</t>
  </si>
  <si>
    <t xml:space="preserve">TUBERÍA AL CARBÓN 2" SCH 40 </t>
  </si>
  <si>
    <t>GALÓN</t>
  </si>
  <si>
    <t>CERÁMICA</t>
  </si>
  <si>
    <t>TUBO AL CARBÓN DE 2"</t>
  </si>
  <si>
    <t>ML</t>
  </si>
  <si>
    <t>PUERTA EN ACERO AL CARBÓN EN TUBERÍA DE 2" SCH40, DE 0,90*1,90</t>
  </si>
  <si>
    <t>CONCRETO 3000 PSI PRODUCCIÓN</t>
  </si>
  <si>
    <r>
      <t>M</t>
    </r>
    <r>
      <rPr>
        <sz val="9"/>
        <color indexed="8"/>
        <rFont val="Calibri"/>
        <family val="2"/>
      </rPr>
      <t>³</t>
    </r>
  </si>
  <si>
    <t>% M.O</t>
  </si>
  <si>
    <t>LIBRA</t>
  </si>
  <si>
    <t>KG</t>
  </si>
  <si>
    <t>ACERO 60.000 PSI FIGURADO Y AMARRADO</t>
  </si>
  <si>
    <t>MORTERO 1:3 (Producción)</t>
  </si>
  <si>
    <t>CERÁMICA PARA MESÓN</t>
  </si>
  <si>
    <t>LT</t>
  </si>
  <si>
    <t>ROLLO</t>
  </si>
  <si>
    <r>
      <t>M</t>
    </r>
    <r>
      <rPr>
        <sz val="9"/>
        <color indexed="8"/>
        <rFont val="Calibri"/>
        <family val="2"/>
      </rPr>
      <t>²</t>
    </r>
  </si>
  <si>
    <t>CANECA</t>
  </si>
  <si>
    <t>METRO</t>
  </si>
  <si>
    <t>PERFIL CANAL CAL.24 ( 90 MM ) - 3.05 M.</t>
  </si>
  <si>
    <t>PERFIL PARAL CAL 26 - 3.05 M.</t>
  </si>
  <si>
    <t xml:space="preserve">TORNILLO 8X1/2 </t>
  </si>
  <si>
    <t>PAQUETE * 100</t>
  </si>
  <si>
    <t>TORNILLO 6X1 AVELLANANTE</t>
  </si>
  <si>
    <t>TORNILLO 6X7/8</t>
  </si>
  <si>
    <t>TORNILLO 6X3/4</t>
  </si>
  <si>
    <t>LIJA ORIENTCRAFT</t>
  </si>
  <si>
    <t>CLAVOS DE FIJACIÓN</t>
  </si>
  <si>
    <t>SOLDABOARD O MASTIK</t>
  </si>
  <si>
    <t>FINISHBOARD PARA JUNTAS</t>
  </si>
  <si>
    <t xml:space="preserve">PINTURA viniltex </t>
  </si>
  <si>
    <t>LISTON DE MADERA 4*2</t>
  </si>
  <si>
    <t>PUERTA BATIENTE FABRICADA EN PANEL MACHIHEMBRADO TIPO MODULAR</t>
  </si>
  <si>
    <t>MEDIA CAÑA PVC COEXTRUIDA DE 9*300 CM</t>
  </si>
  <si>
    <t>SILOCONA ANTIHONGOS SISTA TRANSPARENTES X 280 MILILITROS</t>
  </si>
  <si>
    <t>CABLE DE COBRE AISLADO  No 12 AWG LIBRE DE HALOGENOS </t>
  </si>
  <si>
    <t>TOMACORRIENTE DOBLE POLO A TIERRA BLANCO ARQUEA O SIMILAR</t>
  </si>
  <si>
    <t>CABLE SINTOX CU 90 GRADOS C 12AWG BLANCO 600V PE HF LS TCX 100M</t>
  </si>
  <si>
    <t>UNIÓN DE ACERO PARA TUBO EMT 1/2"</t>
  </si>
  <si>
    <t>TERMINAL DE ACERO PARA TUBO EMT 1/2"</t>
  </si>
  <si>
    <t>CURVA DE ACERO PARA TUBO EMT 1/2"</t>
  </si>
  <si>
    <t>CAJA RECTANGULAR INTEMPERIE  1/2" 2*4 DE DOS SALIDAS</t>
  </si>
  <si>
    <t>CONECTOR RESORTE ROJO AMR O SIMILAR</t>
  </si>
  <si>
    <t>ABRAZADERA  METALICA DOBLE ALA TUBO EMT 1/2"</t>
  </si>
  <si>
    <t>SACO 50 KG</t>
  </si>
  <si>
    <t>M³</t>
  </si>
  <si>
    <t>LITRO</t>
  </si>
  <si>
    <t>INVERSIÓN</t>
  </si>
  <si>
    <t>MES 1</t>
  </si>
  <si>
    <t>MES 2</t>
  </si>
  <si>
    <t xml:space="preserve">ADECUACIONES LOCATIVAS  </t>
  </si>
  <si>
    <t>SEMANA 1</t>
  </si>
  <si>
    <t>SEMANA 2</t>
  </si>
  <si>
    <t>SEMANA 3</t>
  </si>
  <si>
    <t>SEMANA 4</t>
  </si>
  <si>
    <t>SEMANA 5</t>
  </si>
  <si>
    <t>SEMANA 6</t>
  </si>
  <si>
    <t>SEMANA 7</t>
  </si>
  <si>
    <t>SEMANA 8</t>
  </si>
  <si>
    <t>AVANCE</t>
  </si>
  <si>
    <t>TOTAL INVERSIÓN</t>
  </si>
  <si>
    <t>INVERSIÓN SEMANAL</t>
  </si>
  <si>
    <t>INVERSIÓN ACUMULADA</t>
  </si>
  <si>
    <t>PROGRANMACIÓN</t>
  </si>
  <si>
    <t>MORTERO 1:3 PRODUCCIÓN</t>
  </si>
  <si>
    <t>LADRILLO FARO DE 12*20*30</t>
  </si>
  <si>
    <t>MAT.</t>
  </si>
  <si>
    <t>BULTO</t>
  </si>
  <si>
    <t>GRAVILLA MONA * 25 K</t>
  </si>
  <si>
    <t>EQUIPO BÄSICO (HERRAMIENTA MENOR)</t>
  </si>
  <si>
    <t>SUMINISTRO TRANPORTE E INSTALACIÓN REVOQUE CON MORTERO 1:3 IMPERMEABILIZADO INTEGRALMENTE, E=0,02 M</t>
  </si>
  <si>
    <t>SUMINISTRO, TRANSPORTE E INSTALACION PINTURA EPOXICA ALTA RESISTENCIA CON CATALIZADOR 3 MANOS SOBRE REVOQUE. (INCLUYE 1 MANO EN PINTURA TIPO 2 Y DOS MANOS EN PINTURA EPOXI POLIAMIDA CON CATALIZADOR, FILOS Y DILATACIONES). COLOR SEGÚN DISEÑO.</t>
  </si>
  <si>
    <t>INTERVINILO TIPO PINTUCO, REFERENCIA SEGÚN COLOR, DISEÑO O SIMILAR.</t>
  </si>
  <si>
    <t>PINTURA EPOXICA POLIAMIDA CON CATALIZADOR TIPO PINTUCO REF. 113243, SEGÚN COLOR  DISEÑO O SIMILAR</t>
  </si>
  <si>
    <t>AJUSTADOR PARA DILUSIÓN DE PINTURA EPOXICA POLIAMIDA CON CATALIZADOR TIPO PINTUCO REF. 125290 O SIMILAR</t>
  </si>
  <si>
    <t>LISTON 2*4"</t>
  </si>
  <si>
    <t>CONCRETO DE 3000 PSI PRODUCCIÓN</t>
  </si>
  <si>
    <t>SUMINISTRO, TRANSPORTE E INSTALACIÓN  BANCA EN CONCRETO REF. A LA VISTA, ANCHO = 0,40M, LARGO= 3,10 M, H= 0,40M</t>
  </si>
  <si>
    <t>BLOQUE DE CONCRETO COMÚN</t>
  </si>
  <si>
    <t>VIAJE</t>
  </si>
  <si>
    <t>SUMINISTRO, TRANSPORTE E INSTALACION CONCRETO CICLOPEO CIMIENTOS (60% Concreto 3000 psi y 40% piedra media zonga)</t>
  </si>
  <si>
    <t>EQUIPO</t>
  </si>
  <si>
    <t>DÍA</t>
  </si>
  <si>
    <t>ACERO DE REFUERZO DE 60000 PSI</t>
  </si>
  <si>
    <t>RENDIMIENTOS/DESPERDICIOS/USOS</t>
  </si>
  <si>
    <t xml:space="preserve">  SUMINISTRO TRANSPORTE E INSTALACIÓN COLUMNETA DE CONFINAMIENTO PARA MURO  DE 0,13 * 0,20 M EN CONCRETO DE 3000 PSI, INCLUYE ACERO DE REFUERZO</t>
  </si>
  <si>
    <t xml:space="preserve"> SUMINISTRO TRANSPORTE E INSTALACIÓN VIGUETA DE CIMENTACIÓN DE 0,13 * 0,20 M EN CONCRETO DE 3000 PSI, INCLUYE ACERO DE REFUERZO</t>
  </si>
  <si>
    <r>
      <t>M</t>
    </r>
    <r>
      <rPr>
        <b/>
        <sz val="9"/>
        <rFont val="Calibri"/>
        <family val="2"/>
      </rPr>
      <t>²</t>
    </r>
  </si>
  <si>
    <t>MARMOLINA X40 KG</t>
  </si>
  <si>
    <r>
      <t>M</t>
    </r>
    <r>
      <rPr>
        <sz val="11"/>
        <color theme="1"/>
        <rFont val="Calibri"/>
        <family val="2"/>
      </rPr>
      <t>³</t>
    </r>
  </si>
  <si>
    <t>DILATACÓN EN BRONCE PC09</t>
  </si>
  <si>
    <t>SUMINISTRO, TRANSPORTE E INSTALACIÓN  MESÓN EN  CONCRETO REF. A LA VISTA, ANCHO = 0,40M, LARGO= 3,10 M, H= 0,40M</t>
  </si>
  <si>
    <t>SUMINISTRO, TRANSPORTE E INSTALACION MALLA ELECTROSOLDADA M-131 Q-3.1 Φ 5.0mm c/.15m en ambos sentidos (Incluye alambre negro, colocación y traslapo).</t>
  </si>
  <si>
    <t>EQUPO DE TRANSPOPRTE</t>
  </si>
  <si>
    <t>LAVAMANOS PEDESTAL LINEA MARSELLA COLOR BLANCO DE CORONA  O SIMILAR.</t>
  </si>
  <si>
    <r>
      <t>M</t>
    </r>
    <r>
      <rPr>
        <sz val="11"/>
        <color theme="1"/>
        <rFont val="Calibri"/>
        <family val="2"/>
      </rPr>
      <t>²</t>
    </r>
  </si>
  <si>
    <t>CERÁMICA PARA PISO ACUARELA BLANCO DE 40*40 O SIMILAR</t>
  </si>
  <si>
    <t>MORTERO 1: PRODUCCIÓN</t>
  </si>
  <si>
    <t>CERÁMICA PARA PARED HOLZTEK BLANCO DE 40*25 O SIMILAR</t>
  </si>
  <si>
    <t>DUCHA SENCILLA DALIA PRO GRIVAL O SIMILAR</t>
  </si>
  <si>
    <t>TUBO PVC SANITARIO DE 2"</t>
  </si>
  <si>
    <t>YEE SANITARIA DE 2"</t>
  </si>
  <si>
    <t>CODO 90° SANITARIO C*C  2"</t>
  </si>
  <si>
    <t>LIMPIADOR REMOVEDOR PVC 760 GMD (1/4)</t>
  </si>
  <si>
    <t>SUMINISTRO, TRASPORTE E INSTALACIÓN PUNTO HIDRÚLICO EN DIAMETRO 1/2"  PARA SALIDA DUCHA MUJERES</t>
  </si>
  <si>
    <t>ACCESORIOS PVC-P 1/2" (CODO, UNIÓN Y TAPÓN)</t>
  </si>
  <si>
    <t>TEE PRESIÓN 1/2"</t>
  </si>
  <si>
    <t>TUBO PRESIÓ DE 1/2" RDE 9 500 PSI 1/*2"</t>
  </si>
  <si>
    <t>TUBO PVC SANITARIO 4"</t>
  </si>
  <si>
    <t>YEE SANITARIA DE 4"</t>
  </si>
  <si>
    <t>CODO 90° SANITARIO C*C  4"</t>
  </si>
  <si>
    <r>
      <t xml:space="preserve">TORNILLO AUTOPERFORANTE TEJA TIPO CINDU O SIMILAR </t>
    </r>
    <r>
      <rPr>
        <sz val="11"/>
        <color theme="1"/>
        <rFont val="Calibri"/>
        <family val="2"/>
      </rPr>
      <t>Ø</t>
    </r>
    <r>
      <rPr>
        <sz val="11"/>
        <color theme="1"/>
        <rFont val="Calibri"/>
        <family val="2"/>
        <scheme val="minor"/>
      </rPr>
      <t>3/4"</t>
    </r>
  </si>
  <si>
    <t>SELLADOR LIJABLE TIPO PINTUCO O SIMILAR</t>
  </si>
  <si>
    <t>SUMINISTRO TRANPORTE E INSTALACIÓN PUNTO PARA SIFÓN DE PISO DUCHAS EN  DIAMETRO 3 " EN UNIDADES SANITARIAS ENTRADA DE PERSONAL</t>
  </si>
  <si>
    <r>
      <t xml:space="preserve">CODO SANITARIO </t>
    </r>
    <r>
      <rPr>
        <sz val="11"/>
        <color theme="1"/>
        <rFont val="Calibri"/>
        <family val="2"/>
      </rPr>
      <t>Ø 3"C*C</t>
    </r>
  </si>
  <si>
    <r>
      <t xml:space="preserve">SIFÓN SANITARIO </t>
    </r>
    <r>
      <rPr>
        <sz val="11"/>
        <color theme="1"/>
        <rFont val="Calibri"/>
        <family val="2"/>
      </rPr>
      <t>Ø 3" C*E</t>
    </r>
  </si>
  <si>
    <t>PINTURA ANTICORROSIVA</t>
  </si>
  <si>
    <t xml:space="preserve"> SUMINISTRO TRANPORTE E INSTALACIÓN PINTURA ANTICORROSIVA Y ESMALTE SINTETICO PINTULUX-TIPO PINTUCO O SIMILAR, COLOR BLANCO PARA RIEL EXISTENTE</t>
  </si>
  <si>
    <t>LOCKER DE DOS CUERPOS (6 PUESTOS)1,80*0,66*0,30</t>
  </si>
  <si>
    <t>LOCKER DE DOS CUERPOS (6 PUESTOS)1,80*0,93*0,30</t>
  </si>
  <si>
    <t>PERFIL METÁLICO DE  2"*4" CAL 14 6 M</t>
  </si>
  <si>
    <r>
      <t>M</t>
    </r>
    <r>
      <rPr>
        <b/>
        <sz val="9"/>
        <rFont val="Calibri"/>
        <family val="2"/>
      </rPr>
      <t>³</t>
    </r>
  </si>
  <si>
    <t>SUMINISTRO E INSTALACIÓN TUBERÍA PVC PRESIÓN 1/2" RDE 9.</t>
  </si>
  <si>
    <t>ACCESORIOS PVC (% Tubería)</t>
  </si>
  <si>
    <t>%</t>
  </si>
  <si>
    <t>un</t>
  </si>
  <si>
    <t>MORTERO 1:3. PRODUCCIÓN</t>
  </si>
  <si>
    <t>FORMALETA (% Valor concreto)</t>
  </si>
  <si>
    <t>GORRO CHINO O SIMILAR 1 1/2" SALIDA VENTILACIÓN</t>
  </si>
  <si>
    <t>EQUIPO BÁSICO (HERRAMIENTA MENOR)</t>
  </si>
  <si>
    <t>EQUIPO BÁSICO(HERRAMIENTA MENOR)</t>
  </si>
  <si>
    <t>SUMINISTRO, TRANPOPRTE  E INSTALACIÓN TUBERÍA PVC SANITARIA 2".</t>
  </si>
  <si>
    <t>TUBO PVC SANITARIO DE 4"</t>
  </si>
  <si>
    <t>SUMINISTRO, TRANPOPRTE  E INSTALACIÓN TUBERÍA PVC SANITARIA 3".</t>
  </si>
  <si>
    <t>SUMINISTRO, TRANPOPRTE  E INSTALACIÓN TUBERÍA PVC SANITARIA 4".</t>
  </si>
  <si>
    <t>REJILLA DE VENTILACIÓN EN ALUMINIO REDONDA DE 2"</t>
  </si>
  <si>
    <t>ACCESORIOS PVC 4"</t>
  </si>
  <si>
    <t>% TUBO PVC 4"</t>
  </si>
  <si>
    <t>ABRAZADERA EN ACERO 2"</t>
  </si>
  <si>
    <t>ABRAZADERA EN ACERO 4"</t>
  </si>
  <si>
    <t>SIFÓN SANITARIO Ø 2" C*C</t>
  </si>
  <si>
    <t>MEDIA CAÑA EN GRANITO PULIDO H= 0,10 M</t>
  </si>
  <si>
    <t>CONCRETO DE 3000 PSI PRODUCCIÓN PARA BORDILLO</t>
  </si>
  <si>
    <t>CONCRETO DE 3000 PSI PRODUCCIÓN PARA LOSA DE CONTRAPISO</t>
  </si>
  <si>
    <t>SUMINISTRO, TRASPORTE E INSTALACIÓN PEDILUVIO EN CONCRETO, IMCLUYE BORDILLO EN CONCRETO DE 3000 PSI , BASE EN CONCRETO DE 3000 PSI Y MEDIA CAÑA EN GRANITO PULIDO DE 0,10M DE H</t>
  </si>
  <si>
    <t>V/UNITARIO</t>
  </si>
  <si>
    <t>V/PARCIAL</t>
  </si>
  <si>
    <t>1.0</t>
  </si>
  <si>
    <t>3.0</t>
  </si>
  <si>
    <t>4.0</t>
  </si>
  <si>
    <t>6.0</t>
  </si>
  <si>
    <t>7.0</t>
  </si>
  <si>
    <t>8.0</t>
  </si>
  <si>
    <t>9.0</t>
  </si>
  <si>
    <t xml:space="preserve">SUMINISTRO TRANSPORTE E INSTALACIÓN DE PÍNTURA TIPO KORAZA 3 MANOS   Y ESTUCO MUROS EXTERIORES  </t>
  </si>
  <si>
    <t>REJILLA DE PISO CON MARCO 1.05 X 0.20 X 25 cm. EN ACERO INOXIDABLE CAL. 20</t>
  </si>
  <si>
    <t>COTIZACIÓN 1</t>
  </si>
  <si>
    <t>COTIZACIÓN 2</t>
  </si>
  <si>
    <t>COTIZACIÓN 3</t>
  </si>
  <si>
    <t>M-02 - M-18</t>
  </si>
  <si>
    <t>LAVAMANOS FABRICADO EN ACERO INOXIDABLE AISI 304 CON ALTOS ESTÁNDARES DE CALIDAD, CUERPO FABRICADO EN LAMINA DE ACERO INOXIDABLE AISI 304 , GRIFERÍA DE ALTO TRÁFICO O TRÁFICO MEDIO (SEGÚN REQUERIMIENTOS).
VÁLVULA Y ABASTO CROMADOS, CONEXIONES CON MANGUERAS FLEXO METÁLICAS PLÁTICAS Y DESAGÜES EN PVC, SISTEMA TERMOELÉCTRICO, EN CASO DE SER DE ACCIONAMIENTO DE PEDAL ESTA DEBERÁ TENER COMPARTIMENTO LATERAL PARA FACILITAR OPERACIONES DE ASEO Y MANTENIMIENTO, EL TANQUE DE ESTERILIZACIÓN DE CUCHILLOS ESTA PROVISTO DE UNA REJILLA EN POLIETILENO PARA SOPORTAR LOS CUCHILLOS, LA ESTERILIZACIÓN SE REALIZA ELEVANDO LA TEMPERATURA DEL AGUA, POR MEDIO DE RESISTENCIA ELÉCTRICA. CONTIENE SISTEMA DE REGISTRO DE TEMPERATURA.
INCLUYE CONEXIÓN HIDRAULICA Y ANCLAJE</t>
  </si>
  <si>
    <t>M-04</t>
  </si>
  <si>
    <t>EQUIPO FABRICADO EN ACERO INOXIDABLE AISI 304 CON ALTOS ESTÁNDARES DE CALIDAD, BARANDAS EN TUBO REDONDO 1”1/2 CAL 16 AISI 304, SOPORTES VERTICAL EN TUBERÍA RED 4” SCH 10 AISI 304,FLANCHE A SUJECIÓN DE PISO EN LAMINA 1Ú2 AISI 304,SISTEMA DE FIJACIÓN MECÁNICA PARA BARANDA Y ESCALERA, SISTEMA PUEDE SER (NEUMÁTICO A 100PSI,ELECTRICO O ELECTRONEUMÁTICA) GUARDA PIES EN LAMINA EMPACK</t>
  </si>
  <si>
    <t>M-06</t>
  </si>
  <si>
    <t xml:space="preserve">TOBOGÁN PARA VÍSCERAS CONSTRUIDO EN LÁMINA ACERO INOX CAL.14. INCLUYE INSTALACIÓN </t>
  </si>
  <si>
    <t>M-07</t>
  </si>
  <si>
    <t>M-08</t>
  </si>
  <si>
    <t>FABRICADO EN PLATINA DE ACERO AISI 304 DE 3/16” Y 1/8”, MARCO EN ÁNGULO DE ACERO AISI 304 DE 1½” X 3/16” PARA FUNDIR EN PLACA DE CONCRETO.</t>
  </si>
  <si>
    <t>M-09</t>
  </si>
  <si>
    <t>FABRICADA EN CUERPO LAMINA CAL 20 ACERO INOXIDABLE TIPO 304 CON SUS RESPECTIVOS DOBLECES, INCLUYE DUCTO EN SECCIÓN REDONDA DE 200 MM DE RADIO EN LAMINA CAL 22 AISI 430 CON CODO SEMICODO CON RADIO LARGO. ADICIONAL LLEVARÁ 3 FILTROS,  MONTAJE MOTOR SIEMENS CENTRÍFUGO DE 16; 3 HP PARA EXTRAER 40 M3/MIN, EXTRACTOR CENTRÍFUGO TIPO ALETAS PLANAS, CANAL RECOLECTORA Y BANDEJA COLECTORA DE GRASA LAMINA CAL 22 ACERO INOXIDABLE TIPO 304.</t>
  </si>
  <si>
    <t>M-10</t>
  </si>
  <si>
    <t>FABRICADA EN ACERO INOXIDABLE AISI 304, PARALES EN TUBERÍA RED 6" SCH10 AISI 304, FLANCHE DE SUJECIÓN A PISO EN LAMINA 1/2 AISI 304, PLATAFORMA Y ESCALONES EN LAMINA DE ALFAJOR 1/8" AISI 304, MARCO DE ESCALERA CAL 16 AISI 304, BARANDAS EN TUBO DE 1 1/2 CAL 16 AISI 304, INCLUYE LAVAMANOS Y ESTERILIZADOR  LA ESCALERA DA ACCESO A LA PLATAFORMA DE MAYOR ALTURA</t>
  </si>
  <si>
    <t>M-11</t>
  </si>
  <si>
    <t>EQUIPO FABRICADO EN ACERO INOXIDABLE AISI 304 CON ALTOS ESTÁNDARES DE CALIDAD , CUERPO FABRICADO EN LAMINA DE ACERO INOXIDABLE AISI 304 , REFUERZOS EN TUBERÍA CON RUEDAS EN NYLON. DIMENSIONES GENERALES: 600 MM ANCHO X 700 MM LATERAL X 850 MM ALTO</t>
  </si>
  <si>
    <t>M-12</t>
  </si>
  <si>
    <t>EQUIPO FABRICADO EN ACERO INOXIDABLE AISI 304 CON ALTOS ESTÁNDARES DE CALIDAD, CUERPO FABRICADO EN LAMINA DE ACERO INOXIDABLE AISI 304 , REFUERZOS , CEPILLO PARA LIMPIAR BOTAS , SISTEMA PUSH DE AGUA. DIMENSIONES GENERALES: 400MM ANCHO X 300 MM LATERAL X 850 MM ALTO</t>
  </si>
  <si>
    <t>M-13</t>
  </si>
  <si>
    <t>EQUIPO FABRICADO EN ACERO INOXIDABLE AISI 304,SISTEMA DE VAPOR PARA ESTERILIZACIÓN, CUERPO FABRICADO EN LAMINA CAL 14 AISI 304, ESTRUCTURA   EN TUBO CUADRADO  1”1/2 CAL 16 AISI 304, FLAUTA EN TUBO RED ½ SCH10 AISI 304, NIVELADORES EN LAMINA ¼ AISI 304 CON ESPARRAGO AISI 304. DIMENSIONES GENERALES: 370MM ANCHO X 1100 MM ALTO X 670 MM LATERAL.</t>
  </si>
  <si>
    <t>M-14</t>
  </si>
  <si>
    <t>EQUIPO FABRICADO EN ACERO INOXIDABLE AISI 304 CON ALTOS ESTÁNDARES DE CALIDAD, PLATAFORMA FABRICADA EN LAMINA DE ALFAJOR JUNTO CON LOS ESCALONES DE LA ESCALERA , BARANDAS EN TUBO REDONDO, SOPORTE VERTICAL EN TUBERÍA Y FLANCHE A SUJECIÓN DE PISO, SISTEMA DE FIJACIÓN MECÁNICA PARA BARANDA Y ESCALERA.</t>
  </si>
  <si>
    <t>M-15</t>
  </si>
  <si>
    <t>MESA FABRICADA EN TUBERÍA DE ACERO INOXIDABLE AISI304 CALIBRE 14, ESTRUCTURA EN TUBO CUADRO 2" CALIBRE 16 AISI 304, CUERPO FABRICADO EN LAMINA CALIBRE 14 AISI 304, DESAGÜE TUBO RED 1” SCH 40 AISI 304, INCLUYE BANDEJA DE RECOLECCIÓN Y  RODACHINAS DE 3" Y SISTEMA DE NIVELACIÓN.</t>
  </si>
  <si>
    <t>EQUIPO FABRICADO EN ACERO INOXIDABLE AISI 304,SISTEMA DE VAPOR PARA ESTERILIZACIÓN, CUERPO FABRICADO EN LAMINA CAL 14 AISI 304, ESTRUCTURA   EN TUBO CUADRADO  1”1/2 CAL 16 AISI 304, FLAUTA EN TUBO RED ½ SCH10 AISI 304, NIVELADORES EN LAMINA ¼ AISI 304 CON ESPARRAGO AISI 304.DIMENSIONES GENERALES: 380MM ANCHO X 940 MM ALTO. X 930 MM LATERAL.</t>
  </si>
  <si>
    <t>M-18</t>
  </si>
  <si>
    <t>M-19</t>
  </si>
  <si>
    <t>SANITARIO TIPO INSTITUCIONAL BAJO CONSUMO POR DESCARGA, COLOR BLANCO CORONA REF 340021001 O SIMILAR, INCLUYE MUEBLE Y ACCESORIOS GENERALES DE INSTALACIÓN.</t>
  </si>
  <si>
    <t>M-22</t>
  </si>
  <si>
    <t>SUMINISTRO, TRANSPORTE E INSTALACIÓN DE MESA PARA RECEPCIÓN, VACIADO Y LAVADO DE VÍSCERAS ROJAS DIMENSIONES:DIMENSIONES: L: 1,45 M; A: 0,75 M, H: 0,90 M</t>
  </si>
  <si>
    <t>EQUIPO FABRICADO EN LÁMINA DE ACERO INOXIDABLE AISI 304 CALIBRE 14, ESTRUCTURA EN TUBO CUADRO 2" CALIBRE 16 AISI 304, CUERPO FABRICADO EN LAMINA CALIBRE 14 AISI 304, DESAGÜE TUBO RED 1” SCH 40 AISI 304.
INCLUYE POCETA PARA DESOCUPADO DE PANZAS Y NIVELADORES EN PATAS</t>
  </si>
  <si>
    <t>M-23</t>
  </si>
  <si>
    <t>SUMINISTRO, TRANSPORTE E INSTALACIÓN DE MESÓN PARA ÁREA DE VÍSCERAS BLANCAS DIMENSIONES: L: 1,45 M; A: 0,75 M, H: 0,90 M</t>
  </si>
  <si>
    <t>EQUIPO FABRICADO EN ACERO INOXIDABLE AISI 304 CON ALTOS ESTÁNDARES DE CALIDAD, CUERPO FABRICADO EN LAMINA DE ACERO INOXIDABLE AISI 304 , ESTRUCTURA EN TUBERÍA , REJILLA.
INCLUYE NIVELADORES EN PATAS.</t>
  </si>
  <si>
    <t>M-26</t>
  </si>
  <si>
    <t>SUMINISTRO, TRANSPORTE E INSTALACIÓN PUERTA DUCHA CON ACRILICO</t>
  </si>
  <si>
    <t>EQUIPO FABRICADO EN ACRÍLICO CON MARCO EN ALUMINIO ANODIZADO (PASADOR Y TOALLERO)</t>
  </si>
  <si>
    <t>M-27</t>
  </si>
  <si>
    <t>SUMINISTRO, TRANSPORTE E INSTALACIÓN GRIFERIA DUCHA SENCILLA</t>
  </si>
  <si>
    <t>EQUIPO FABRICADO EN METAL CON ACABADO CROMADO (INCLUYE REGISTRO DUCHA, TAPÓN PRUEBA HIDRÁULICA, BRAZO REGADERA METÁLICO CON ACABADO CROMADO, MANIJAS METÁLICA CON ACABADO CROMADO, REGADERA METÁLICA CON ACABADO CROMADO, ESCUDO E INSTRUCTIVO)</t>
  </si>
  <si>
    <t>M-29</t>
  </si>
  <si>
    <t>EQUIPO FABRICADO EN ACERO INOXIDABLE TIPO AISI 304 CAL 16. INCLUYE CANAL CONECTOR DE AGUA EN PARTE INFERIOR, VÁLVULA DE PASO MANUAL CON CONEXIÓN DE AGUA DE 1/2 Y MAGUERA CON PISTOLA DE ACCIONAMIENTO.</t>
  </si>
  <si>
    <t>M-30</t>
  </si>
  <si>
    <t>FABRICADA EN PANEL CON UN ESPESOR DE 3”, 11/2" PULGADAS DE ESPESOR, INYECTADA EN POLIURETANO CON DENSIDAD DE TREINTA Y CUATRO KILOGRAMOS METRO CÚBICO (34 KG. / MT 3), ECOLÓGICO, ACABADO EN LÁMINA GALVANIZADA PREPINTADA IMPORTADA COLOR BLANCO.</t>
  </si>
  <si>
    <t>M-35</t>
  </si>
  <si>
    <t>CUERPO METÁLICO,MEDIDAS: 8,7 CMS DE LARGO,SISTEMA DE CIERRE: CONVENCIONAL 2 1/2 DE GIROS,INCLUYE REDUCTOR DE CAUDAL UBICADO EN LA ENTRADA PARA OPTIMIZAR EL AHORRO DE AGUA HASTA EN UN 70%,INCLUYE DIFUSOR PARA EVITAR SALPICADURAS EN LA SALIDA DEL AGUA, ACABADO A RESISTENTE A LA CORROSIÓN</t>
  </si>
  <si>
    <t>M-36</t>
  </si>
  <si>
    <t xml:space="preserve"> EQUIPO FABRICADO EN ACERO ASTM A-36 CON ALTOS ESTÁNDARES DE CALIDAD, FABRICADO EN PLATINERIA Y SOPORTERIA EN ACABADO POR INMERSIÓN GALVÁNICA EN CALIENTE .</t>
  </si>
  <si>
    <t>M-42</t>
  </si>
  <si>
    <t>CONSTRUIDO EN ALUMINIO CON ESPACIO PARA 9 PUESTOS LÁMINA COLD ROLLED CALIBRE 24, LOCKER CON MÓDULOS DE DIFERENTES NÚMEROS DE CASILLAS DE UN CUERPO Y VARIOS COMPARTIMIENTOS VERTICALES CON PUERTAS Y SEGUROS PARA CANDADO. ZAPATERA Y MANIJAS PLÁSTICAS EN POLIPROPILENO, LAS PUERTAS DEL LOCKER POSEEN CELOSÍAS QUE PERMITEN LA CIRCULACIÓN DE AIRE, SUPERFICIE TERMINADA COMPLETAMENTE LISA, SISTEMA DE SEGURIDAD SEGÚN LAS CARACTERÍSTICAS DE USO, EL LOCKER ESTÁ APOYADO SOBRE SISTEMA RÍGIDO, BISAGRAS DESARMABLES ÚNICAMENTE CON LA PUERTA  ABIERTA.</t>
  </si>
  <si>
    <t>M-44</t>
  </si>
  <si>
    <t>MATERIAL PLÁSTICO DE 3 PULG X 1.5 PULG PLÁSTICO BL TUBERÍA 2 PULGADAS</t>
  </si>
  <si>
    <t>M-45</t>
  </si>
  <si>
    <t>VENTANA CORREDIZA  EN ALUMÍNIO DE 60 X 40 CM – INCLUYE VIDRIO DE 4 MM</t>
  </si>
  <si>
    <t>SELLO EN ESPUMA REFORZADA Y LONA PARA MUELLE DE CARGA</t>
  </si>
  <si>
    <t>CORTINA DE 36" A 220V</t>
  </si>
  <si>
    <t>M-49</t>
  </si>
  <si>
    <t>PUERTA DE 70MM EN LAMINA PRE PINTADA 90-02 CON PROTECCIÓN EN ALFAJOR A UN METRO DE ALTURA INCLUYE HERRAJES ITALIANOS Y MARCO EN ALUMINIO</t>
  </si>
  <si>
    <t>FABRICADO CON PERFIL EN PVC BLANCO</t>
  </si>
  <si>
    <t>FABRICADO EN ACERO INOXIDABLE CON ACABADO CROMO</t>
  </si>
  <si>
    <t>TOTALES</t>
  </si>
  <si>
    <t>Elaboró</t>
  </si>
  <si>
    <t xml:space="preserve">OBRAS DE ADECUCIÓN </t>
  </si>
  <si>
    <t>11.0</t>
  </si>
  <si>
    <t>13.0</t>
  </si>
  <si>
    <t>LAMINA GALVANIZADA CAL. 18 TIPO ACESCO O SIMILAR.</t>
  </si>
  <si>
    <t>M.L</t>
  </si>
  <si>
    <t>20.0</t>
  </si>
  <si>
    <t xml:space="preserve">SUMINISTRO, TRANSPORTE E INSTALACION CUBIERTA EN TEJA DE F.C PERFIL 7, INCLUYE PERFIL PARA ESTRUCTURA DE LA MISMA </t>
  </si>
  <si>
    <t>EQUIPO DE TRANSPOPRTE</t>
  </si>
  <si>
    <t>DESMONTE Y REINSTALACIÓN ORINAL EXISTENTE</t>
  </si>
  <si>
    <t>DESMONTE Y REINSTALACIÓN LAVAMANOS EXISTENTE</t>
  </si>
  <si>
    <t>DESMONTE Y REINSTALACIÓN SANIATARIO  EXISTENTE</t>
  </si>
  <si>
    <t>EQUPO DE TRANSPORTE</t>
  </si>
  <si>
    <t>SUMINISTRO E INSTALACION TUBERIA PVC-S  2" PARA VENTILACIÓN (INCLUYE ACCESORIOS)</t>
  </si>
  <si>
    <t>PUERTA EN LÁMINA COLD ROLLED CALIBRE 18, (Incluye instalación y anticorrosivo)</t>
  </si>
  <si>
    <t>TRANSPORTE</t>
  </si>
  <si>
    <t>SUMINISTRO, TRANSPORTE E INSTALACIÓN CANAL EN LAMINA GALVANIZADA CAL.18, INCLUYE SOPORTES</t>
  </si>
  <si>
    <t>SEMANA 9</t>
  </si>
  <si>
    <t>SEMANA 10</t>
  </si>
  <si>
    <t>SEMANA 11</t>
  </si>
  <si>
    <t>SEMANA 12</t>
  </si>
  <si>
    <t>SUB-TOTAL COSTOS DIRECTOS ADECUACIONES</t>
  </si>
  <si>
    <t>MES 3</t>
  </si>
  <si>
    <t>LISTADO DE EQUIPOS PARA LA IMPLEMENTACIÓN DEL PRESUPUESTO DE OBRA DE ADECUACIÓN Y MANTENIMIENTO DE LA PLANTA DE BENEFICIO ANIMAL DEL MUNICIPIO DE SALAMINA-CALDAS-</t>
  </si>
  <si>
    <t>Meses</t>
  </si>
  <si>
    <t>SUMINISTRO TRANSPORTE E INSTALACIÓN VIGA CINTA DE AMARRE CULATA DE 0,13 * 0,10 M EN CONCRETO DE 3000 PSI, INCLUYE ACERO DE REFUERZO</t>
  </si>
  <si>
    <t>Mario Raigosa Arango</t>
  </si>
  <si>
    <t>Arquitecto</t>
  </si>
  <si>
    <t>C.C. 10.245.454</t>
  </si>
  <si>
    <t xml:space="preserve">DILIGENCIAR CADA UNO DE LOS FORMATOS PARA LA CERTIFICACIÓN DE LA OBRA  POR EL ENTE CERTIFICADOR EN RETIE Y RETILAP, PRESESENTACIÓN DE LA  DOCUMENTACIÓN EXIGIDA Y PLANOS RECORDS Y TODOS LOS TRÁMITES Y CANCELACIÓN DEL SERVICIO DE CERTIFICACIÓN.
</t>
  </si>
  <si>
    <t xml:space="preserve">SUMINISTRO, TRANSPORTE E INSTALACION SALIDA TOMACORRIENTE GFCI DOBLE EN TUBERIA CONDUIT EMT 3/4", ALAMBRE No 12 AWG INCLUYE TAPA DE PROTECCIÓN INTEMPERIE Y CAJA DE PASO SENCILLA </t>
  </si>
  <si>
    <t xml:space="preserve">SUMINISTRO E INSTALACIÓN SALIDA PUNTO ELÉCTRICO PARA LUMINARIA, INCLUYE LAMPARA HERMETICA </t>
  </si>
  <si>
    <t>SUMINISTRO E INSTALACIÓN SALIDA PUNTO ELÉCTRICO PARA INTERRUPTOR SENCILLO (INCLUYE INTERRUPTOR)</t>
  </si>
  <si>
    <t>41.0</t>
  </si>
  <si>
    <t>43.0</t>
  </si>
  <si>
    <t>42.0</t>
  </si>
  <si>
    <t>44.0</t>
  </si>
  <si>
    <t>TUERIA EMT 3/4"</t>
  </si>
  <si>
    <t>ALAMBRE 12 AWG FASE 1</t>
  </si>
  <si>
    <t>ALAMBRE 12 AWG FASE 2</t>
  </si>
  <si>
    <t>ALAMBRE 12 AWG POLO A TIERRA</t>
  </si>
  <si>
    <t>TAPA PROTECCIÓN INTEMPERIE</t>
  </si>
  <si>
    <t>CAJA DE PASO SENCILLA CU40 SOBREPONER</t>
  </si>
  <si>
    <t>TOMACORRIENTE DOBLE GFCI</t>
  </si>
  <si>
    <t>LUMINARIA LED HERMETICA LUZ BLANCA</t>
  </si>
  <si>
    <t>INTERRUPTOR SENCILLO</t>
  </si>
  <si>
    <t xml:space="preserve">DESCRIPCIÓN </t>
  </si>
  <si>
    <t>A.C.P.M</t>
  </si>
  <si>
    <t xml:space="preserve">Accesorios 10% tuberia </t>
  </si>
  <si>
    <t>Acero figurado No 2 Fy=260 Mpa</t>
  </si>
  <si>
    <t>Acero figurado No 4 Fy=420 Mpa</t>
  </si>
  <si>
    <t>Alambre 12 AWG Fase 1</t>
  </si>
  <si>
    <t>Alambre 12 AWG fase 2</t>
  </si>
  <si>
    <t>Alambre 12 AWG polo a tierra</t>
  </si>
  <si>
    <t>Alambre recocido No 18</t>
  </si>
  <si>
    <t>Anclaje expansivo 3/8</t>
  </si>
  <si>
    <t>Bloque de arcilla 30X20X10</t>
  </si>
  <si>
    <t>Bordillo de 10 cm de altura y 10 cm de espesor en concreto 3000psi</t>
  </si>
  <si>
    <t>Buje PVC sanitaria 3x2</t>
  </si>
  <si>
    <t>Cable conductor fase 2</t>
  </si>
  <si>
    <t xml:space="preserve">ml </t>
  </si>
  <si>
    <t>Cable conductor fase 3</t>
  </si>
  <si>
    <t>Cable polo a tierra</t>
  </si>
  <si>
    <t>Caja de Paso Sencilla CU40 Sobreponer</t>
  </si>
  <si>
    <t>Cantonera PVC 16x4  cm</t>
  </si>
  <si>
    <t>Catalizador epoxi altos solidos</t>
  </si>
  <si>
    <t>gl</t>
  </si>
  <si>
    <t>Catalizador poliamidico altos solidos</t>
  </si>
  <si>
    <t>Catalizador rapido secado</t>
  </si>
  <si>
    <t>Cemento blanco</t>
  </si>
  <si>
    <t>Cerámica blanca medidas 20x20</t>
  </si>
  <si>
    <t>Cerámica blanca medidas 45x45</t>
  </si>
  <si>
    <t xml:space="preserve">Cinta </t>
  </si>
  <si>
    <t>Codo 45 PVC 4"</t>
  </si>
  <si>
    <t>Codo 90 PVC 4"</t>
  </si>
  <si>
    <t>Codo PVC 2"</t>
  </si>
  <si>
    <t>Codo PVC 3"</t>
  </si>
  <si>
    <t>Codo PVC 4"</t>
  </si>
  <si>
    <t>Concreto 3000 PSI</t>
  </si>
  <si>
    <t>Cornisa de PVC esquinas</t>
  </si>
  <si>
    <t>Disolvente</t>
  </si>
  <si>
    <t xml:space="preserve">Disolvente pintura piso epoxica </t>
  </si>
  <si>
    <t xml:space="preserve">Epóxico anticorrosivo base solvente color gris </t>
  </si>
  <si>
    <t>Fragua</t>
  </si>
  <si>
    <t>Ganchos y accesorios</t>
  </si>
  <si>
    <t>Interruptor sencillo</t>
  </si>
  <si>
    <t>Lámina de acero inoxidable figurado</t>
  </si>
  <si>
    <t>Lámina de cielo raso en PVC 10 mm de espesor</t>
  </si>
  <si>
    <t>Llave terminal plástica 1/2"</t>
  </si>
  <si>
    <t>Macilla</t>
  </si>
  <si>
    <t xml:space="preserve"> ml</t>
  </si>
  <si>
    <t xml:space="preserve">Media construida en PVC </t>
  </si>
  <si>
    <t>Mortero 1:3</t>
  </si>
  <si>
    <t>Mortero de nivelación 1:3</t>
  </si>
  <si>
    <t>Mortero impermeabilizante</t>
  </si>
  <si>
    <t>Niple pvc 1/2</t>
  </si>
  <si>
    <t>Panel led circular de empotrar de 12w luz fría</t>
  </si>
  <si>
    <t xml:space="preserve">Panel modular 2" para sala de procesos </t>
  </si>
  <si>
    <t xml:space="preserve">Pegante para cerámica </t>
  </si>
  <si>
    <t>Perfileria en C 120X60 6mm</t>
  </si>
  <si>
    <t xml:space="preserve">Perfileria Soporte </t>
  </si>
  <si>
    <t>Pernos de anclaje</t>
  </si>
  <si>
    <t>Pintura anticorrosiva</t>
  </si>
  <si>
    <t>Pintura epóxica altos sólidos</t>
  </si>
  <si>
    <t>Epóxica altos sólidos</t>
  </si>
  <si>
    <t>Pintura lavable tipo 1 blanca</t>
  </si>
  <si>
    <t>Pintura para interior lavable color blanco</t>
  </si>
  <si>
    <t>gj</t>
  </si>
  <si>
    <t>Pintura para exterior color blanco</t>
  </si>
  <si>
    <t xml:space="preserve">Puerta en lámina calibre 16 de 1,20m ancho </t>
  </si>
  <si>
    <t xml:space="preserve">Puerta en lámina calibre 16 de 0,90m ancho </t>
  </si>
  <si>
    <t xml:space="preserve">Puerta en lámina calibre 16 de 0,60m ancho </t>
  </si>
  <si>
    <t xml:space="preserve">Puerta modular modular 2" para sala de procesos </t>
  </si>
  <si>
    <t>Pulidora rotativa</t>
  </si>
  <si>
    <t>Rejilla plástica 3X2</t>
  </si>
  <si>
    <t>Repisa en ordinario 2,9x0,08x0,04</t>
  </si>
  <si>
    <t xml:space="preserve">Sellante de polieruteno elástico </t>
  </si>
  <si>
    <t>SikaBond At metal</t>
  </si>
  <si>
    <t xml:space="preserve">Silicona antihongos </t>
  </si>
  <si>
    <t xml:space="preserve">Silicona blanca anti hongos sika </t>
  </si>
  <si>
    <t>Soldadura líquida PVC</t>
  </si>
  <si>
    <t xml:space="preserve">Gl </t>
  </si>
  <si>
    <t>Superboard 6 mm</t>
  </si>
  <si>
    <t>Tabla burra en ordinario 2,9x0,13x0,025</t>
  </si>
  <si>
    <t>Tabla burra en ordinario 2,9x0,23x0,025</t>
  </si>
  <si>
    <t xml:space="preserve">Tapa protección interperie </t>
  </si>
  <si>
    <t>Teja de fibrocemento perfil 7</t>
  </si>
  <si>
    <t>Tomacorriente GFCI</t>
  </si>
  <si>
    <t>Tornilleria cielo raso</t>
  </si>
  <si>
    <t>Torinlleria</t>
  </si>
  <si>
    <t>Tuberia EMT 1/2"</t>
  </si>
  <si>
    <t>Tuberia EMT 3/4"</t>
  </si>
  <si>
    <t>Tubería galvanizada 1 1/2"</t>
  </si>
  <si>
    <t>Tuberia presión PVC 1/2"</t>
  </si>
  <si>
    <t>Tuberia sanitaria PVC 2"</t>
  </si>
  <si>
    <t>Tuberia sanitaria PVC 3"</t>
  </si>
  <si>
    <t>Tuberia sanitaria PVC 4"</t>
  </si>
  <si>
    <t>Tubo de cobre estirado en frío sin soldadura, diámetro D=20/22 mm y 1 mm de espesor, con el precio incrementado el 30% en concepto de accesorios y piezas especiales.</t>
  </si>
  <si>
    <t>Unión PVC 4"</t>
  </si>
  <si>
    <t>Amarra para teja tapa metalica 26 cm</t>
  </si>
  <si>
    <t>Buje PVC sanitaria 3x4</t>
  </si>
  <si>
    <t xml:space="preserve">Viguetas y Omega para soporte </t>
  </si>
  <si>
    <t>Accesorios PVC (% Tuberias)</t>
  </si>
  <si>
    <t>Limpiador PVC 1/4</t>
  </si>
  <si>
    <t>Soldadura PVC 1/4</t>
  </si>
  <si>
    <t>Equipo de soldadura</t>
  </si>
  <si>
    <t>Dia</t>
  </si>
  <si>
    <t>Cortadora pulidora</t>
  </si>
  <si>
    <t xml:space="preserve">Cortadora de concreto </t>
  </si>
  <si>
    <t xml:space="preserve">
Motosierra a gasolina, de 50 cm de espada y 2 kW de potencia.</t>
  </si>
  <si>
    <t>Andamio metálico certificado</t>
  </si>
  <si>
    <t>día</t>
  </si>
  <si>
    <t xml:space="preserve">Motosierra de gasolina de 2kw de potencia </t>
  </si>
  <si>
    <t>Andamio tubular 1,5*1,5 c/cruceta</t>
  </si>
  <si>
    <t>Global</t>
  </si>
  <si>
    <t>Tablero de madera para formaleta</t>
  </si>
  <si>
    <t>Vibrador tipo aguja</t>
  </si>
  <si>
    <t>Compresor portátil</t>
  </si>
  <si>
    <t>Tubo PVC-P DE 3/4"</t>
  </si>
  <si>
    <t>Tubo PVC-P DE 1"</t>
  </si>
  <si>
    <t>Tubo PVC-P DE 1 1/2"</t>
  </si>
  <si>
    <t>Tubo PVC-S DE 2"</t>
  </si>
  <si>
    <t>Tubo PVC-S  DE 4"</t>
  </si>
  <si>
    <t>Perno de anclaje</t>
  </si>
  <si>
    <t xml:space="preserve">Torinelleria </t>
  </si>
  <si>
    <t>Esmalte sintetico pintulux - tipo pintuco. Color blanco</t>
  </si>
  <si>
    <t>Tubo redondo galvanizado cerramiento 2"</t>
  </si>
  <si>
    <t>Flanche 20x240cm calibre 26</t>
  </si>
  <si>
    <t xml:space="preserve">Silicona Transparente </t>
  </si>
  <si>
    <t>Tubería PVC presión 1 1/2" RDE 21</t>
  </si>
  <si>
    <t>Accesorios tubería PVC presión 1 1/2" RDE 21</t>
  </si>
  <si>
    <t>Tubería PVC Novafort 8"</t>
  </si>
  <si>
    <t xml:space="preserve">Luminaria led hermetica luz blanca </t>
  </si>
  <si>
    <t xml:space="preserve">Unidad </t>
  </si>
  <si>
    <t>DEMOLICIÓN PLACA DE CONTRAPISO EN CONCRETO SIMPLE.</t>
  </si>
  <si>
    <t>PRELIMINARES</t>
  </si>
  <si>
    <t>CIMIENTOS</t>
  </si>
  <si>
    <t>DESAGUES E INSTALACIONES SANITARIAS</t>
  </si>
  <si>
    <t>2.1</t>
  </si>
  <si>
    <t>ID BASE</t>
  </si>
  <si>
    <t>ESTRUCTURAS EN CONCRETO, METALICAS Y DE MADERA</t>
  </si>
  <si>
    <t>CUBIERTAS</t>
  </si>
  <si>
    <t>INSTALACIONES HIDRÁULICAS</t>
  </si>
  <si>
    <t>REMOSIÓN Y LIMPEZA DE PINTURA  Y ESTUCO EXISTENTE SOBRE FACHADA</t>
  </si>
  <si>
    <t>1.1</t>
  </si>
  <si>
    <t>1.2</t>
  </si>
  <si>
    <t>1.3</t>
  </si>
  <si>
    <t>3.1</t>
  </si>
  <si>
    <t>3.2</t>
  </si>
  <si>
    <t>3.3</t>
  </si>
  <si>
    <t>6.2</t>
  </si>
  <si>
    <t>6.3</t>
  </si>
  <si>
    <t>PINTURA</t>
  </si>
  <si>
    <t>1.4</t>
  </si>
  <si>
    <t>7.2</t>
  </si>
  <si>
    <t>4.1</t>
  </si>
  <si>
    <t>4.2</t>
  </si>
  <si>
    <t>4.3</t>
  </si>
  <si>
    <t>4.4</t>
  </si>
  <si>
    <t>4.5</t>
  </si>
  <si>
    <t>4.6</t>
  </si>
  <si>
    <t>4.7</t>
  </si>
  <si>
    <t>4.8</t>
  </si>
  <si>
    <t>4.9</t>
  </si>
  <si>
    <t>4.12</t>
  </si>
  <si>
    <t>4.11</t>
  </si>
  <si>
    <t xml:space="preserve">SUMINISTRO, TRASPORTE E INSTALACIÓN SIFÓN SANITARIO EN DIAMETRO 2"  </t>
  </si>
  <si>
    <t>4.10</t>
  </si>
  <si>
    <t>8.1</t>
  </si>
  <si>
    <t>10.5</t>
  </si>
  <si>
    <t>10.1</t>
  </si>
  <si>
    <t>13.1</t>
  </si>
  <si>
    <t>9.2</t>
  </si>
  <si>
    <t>9.1</t>
  </si>
  <si>
    <t>15.1</t>
  </si>
  <si>
    <t>15.2</t>
  </si>
  <si>
    <t>8.2</t>
  </si>
  <si>
    <t>ID</t>
  </si>
  <si>
    <t>SIN IVA</t>
  </si>
  <si>
    <t>Subsidio Transporte 2024</t>
  </si>
  <si>
    <t>Salario mínimo 2024</t>
  </si>
  <si>
    <t>MEZCLADORA</t>
  </si>
  <si>
    <t>HERRAM</t>
  </si>
  <si>
    <t xml:space="preserve">EQUIPOS Y HERRAMIENTAS </t>
  </si>
  <si>
    <t xml:space="preserve">MANO DE OBRA NO CALIFICADA </t>
  </si>
  <si>
    <t>MATERIALES (INSUMOS</t>
  </si>
  <si>
    <t xml:space="preserve">MATERIALES (INSUMOS) </t>
  </si>
  <si>
    <t>PRESUPUESTO GENERAL DE OBRA Y SUMINISTRO DE EQUIPOS PARA ADECUACIÓN DE LA PLANTA DE BENEFICIO ANIMAL DEL MUNICIPIO DE PALESTINA -CALDAS-</t>
  </si>
  <si>
    <t>DEMOLICIÓN DE MUROS EN BLOQUE DE CEMENTO O LADRILLO</t>
  </si>
  <si>
    <t>15.3</t>
  </si>
  <si>
    <t xml:space="preserve">DESMONTE Y REINSTALACIÓN DE PUERTA </t>
  </si>
  <si>
    <t>15.4</t>
  </si>
  <si>
    <t xml:space="preserve">SUMINISTRO, TRANSPORTE E INSTALACIÓN PUERTA EN LÁMINA CALIBRE 16 DIMENSIONES 0.9X2.10 METROS , CON MARCO CARGADO EN MORTERO, INCLUYE CHAPA Y ACCESORIOS </t>
  </si>
  <si>
    <t xml:space="preserve">SUMINISTRO, TRANSPORTE E INSTALACIÓN DE MARCO EN LÁMINA ACERO INOX CAL.14 PARA BUQUES EN ZONA DE CABEZAS Y VSICERAS </t>
  </si>
  <si>
    <t>SUMINISTRO, TRANSPORTE E INSTALACIÓN A TODO COSTO DE MURO EN SUPERBOARD 6 MM ENCINTADO Y MACILLADO (DOS CARAS). INCLUYE PERFILERÍA Y TODO LO NECESARIO PARA SU CORRECTA INSTALACIÓN</t>
  </si>
  <si>
    <t>12.0</t>
  </si>
  <si>
    <t>CIELO RASO</t>
  </si>
  <si>
    <t>12.1</t>
  </si>
  <si>
    <t>6.4</t>
  </si>
  <si>
    <t>SUMINISTRO, TRASNPORTE E INSTALACIÓN DE LOSA DE CONCRETO REFORZADO DE 12 CM DE ESPESOR (INLCLUYE ACERO DE REFUERZO MALLA ELECTROSOLDADA)</t>
  </si>
  <si>
    <t xml:space="preserve">ENDURECEDOR DE PISO EN CONCRETO </t>
  </si>
  <si>
    <t xml:space="preserve">SUMINISTRO, TRANSPORTE E INSTALACIÓN DE PINTURA PARA INTERIOR LAVABLE SOBRE PINTURA EXISTENTE, INCLUYE DOS MANOS DE PINTURA. COLOR BLANCO. </t>
  </si>
  <si>
    <t>14.0</t>
  </si>
  <si>
    <t>14.1</t>
  </si>
  <si>
    <t>14.2</t>
  </si>
  <si>
    <t>14.3</t>
  </si>
  <si>
    <t>14.4</t>
  </si>
  <si>
    <t xml:space="preserve"> SUMINISTRO, TRANSPORTE E INSTALACIÓN  CONCRETO DE 3000 PSI,  PARA PLACA DE CONTRAPISO E=0,12M EN ÁREAS DETERIORADAS AL INTERIOR DE LA PLANTA, INCLUYE MALLA ELECTROSOLDADA 15*15 5MM</t>
  </si>
  <si>
    <t>15.5</t>
  </si>
  <si>
    <t xml:space="preserve">SUMINISTRO E INSTALACIÓN DE BARANDA, H=1 M A 3 HILOS, TUBERIA REDONDA 2", INCLUYE PINTURA ANTICORROSIVA Y PINTURA ESMALTE PINTULUX COLOR BLANCO  </t>
  </si>
  <si>
    <t>4.13</t>
  </si>
  <si>
    <t>TRASLADO DE TANQUES DE AGUA</t>
  </si>
  <si>
    <t xml:space="preserve">BORDILLO EN CONCRETO DE 3000 PSI DE 0.10 DE ALTURA Y 0.10 DE ESPESOR PARA SEPARAR SECCIÓN INTERMEDIA DE SECCIÓN LIMPIA </t>
  </si>
  <si>
    <t>CONSTRUCCIÓN CANAL RECOLECTORA CENTRAL SEMICIRCULAR D=8" EN TUBERIA NOVAFORT</t>
  </si>
  <si>
    <t>4.14</t>
  </si>
  <si>
    <t>4.15</t>
  </si>
  <si>
    <t>SUMINISTRO, TRANSPORTE E INSTALACIÓN DE MUROS DIVISORIOS EN LADRILLO FAROL DE 0,13*0,20*0,30, incluye mortero 1:3</t>
  </si>
  <si>
    <t>SUMINISTRO, TRANSPORTE E INSTALACIÓN DE CIELO RASO EN LÁMINAS DE PVC 10MM PARA ZONA DE DESPACHO.  INCLUYE. ESTRUCTURA METÁLICA Y PERIMETRALES. TEXTURA SEGÚN DISEÑO</t>
  </si>
  <si>
    <t>1.5</t>
  </si>
  <si>
    <t>SUMINISTRO, TRANSPORTE E INSTALACIÓN DE LAVAMANOS DE PEDAL O ACCIONAMIENTO MEDIANTE VÁLVULA DE RODILLA Y ESTERILIZADOR, INCLUYE CONEXIÓN HIDRAULICA Y ANCLAJE A PLATAFORMAS</t>
  </si>
  <si>
    <t>M-03</t>
  </si>
  <si>
    <t>SUMINISTRO, TRANSPORTE E INSTALACIÓN ESPARRANCADOR ELÉCTRICO PARA APERTURA DE ANIMAL DURANTE EL CORTE CON SIERRA DE CANAL</t>
  </si>
  <si>
    <t xml:space="preserve">SUMINISTRO, TRANSPORTE E INSTALACIÓN PLATAFORMA DE DESLIZAMIENTO VERTICAL MEDIANTE MOTORREDUCTOR DE 1 HP, RIEL DE DESLIZAMIENTO CONSTRUIDO EN TUBO CUADRADO DE 100*100 EN ACERO INOXIDABLE REF 304, RODACHINAS EN EMPACK, PLATAFORMA CON BARANDAS EN PROTECCIÓN DE TUBO REDONDO DE 11/2" Y PISO EN LAMINA DE ALFAJOR ALUMINIO, INSTALACIÓN Y SUMINISTRO DE CABLE ENCAUCHETADO Y TUBERÍA SCH 40. </t>
  </si>
  <si>
    <t xml:space="preserve">SUMINISTRO, TRANSPORTE E INSTALACIÓN  DE TOBOGÁN EN "L" PARA VÍSCERAS CONSTRUIDO EN LÁMINA ACERO INOX CAL.14. INCLUYE INSTALACIÓN  </t>
  </si>
  <si>
    <t>SUMINISTRO, TRANSPORTE E INSTALACIÓN REJILLA DE PISO PARA SALA DE PROCESOS CONSTRUIDA EN ACERO INOXIDABLE PARA ÁREA DE LAVADO DE PANZAS. LARGO: 1,0M  A: 0,20M</t>
  </si>
  <si>
    <t>SUMINISTRO, TRANSPORTE E INSTALACIÓN CAMPANA DE EXTRACCIÓN PARA LAVADOR DE PANZAS  CONSTRUIDA EN ACERO INOX CAL. 18, INCLUYE DUCTO Y EXTRACTOR DE 14". DIMENSIONES: L: 2,10M A: 1,20 M, H: 0,50 M.  LARGO DEL DUCTO: 5,0 M</t>
  </si>
  <si>
    <t>SUMINISTRO, TRANSPORTE E INSTALACIÓN DE PLATAFORMA PARA EVISCERACIÓN DE DOS NIVELES FABRICADA EN ACERO INOXIDABLE AISI 304, PARALES EN TUBERIA RED 6" SCH10 AISI 304, FLANCHE DE SUJECIÓN A PISO EN LAMINA 1/2 AISI 304, PLATAFORMA Y ESCALONES EN LAMINA DE ALFAJOR 1/8" AISI 304, MARCO DE ESCALERA CAL 16 AISI 304, BARANDAS EN TUBO DE 1 1/2 CAL 16 AISI 304 INCLUYE LAVAMANOS Y ESTERILIZADOR  DIMENSIONES: PLATAFORMA ALTA 1M ANCHO X 1M LARGO X 1,25M ALTO; PLATAFORMA BAJA 1M ANCHO X 1M LARGO X 0,60M ALTO</t>
  </si>
  <si>
    <t xml:space="preserve">SUMINISTRO, TRANSPORTE DE CARRO TIPO CUTTER PARA TRANSPORTE Y ALMACENAMIENTO DE PRODUCTOS.  
FABRICADO EN ACERO INOXIDABLE REF. 304 CALIBRE 14. RECIPIENTE O CUBA COMPLETAMENTE SANITARIA CON TERMINACIONES REDONDEADAS PARA EVITAR DEPÓSITO DE PARTÍCULAS. CONSTRUIDOS EN LÁMINA ACERO INOX </t>
  </si>
  <si>
    <t xml:space="preserve">SUMINISTRO, TRANSPORTE E INSTALACIÓN DE LAVABOTAS EQUIPO FABRICADO EN ACERO INOXIDABLE AISI 304 CON ALTOS ESTÁNDARES DE CALIDAD, CUERPO FABRICADO EN LAMINA DE ACERO INOXIDABLE AISI 304 , REFUERZOS. INCLUYE MAGUERA Y CEPILLO PARA LAVADO </t>
  </si>
  <si>
    <t>SUMINISTRO, TRANSPORTE E INSTALACIÓN ESTERILIZADOR DE SIERRA DE ESTERNÓN EQUIPO FABRICADO EN ACERO INOXIDABLE AISI 304, ESTRUCTURA FABRICADA EN TUBERÍA CUADRADA , SISTEMA DE VAPOR PARA ESTERILIZACIÓN.
• CUERPO FABRICADO EN LAMINA CAL 14 AISI 304
• ESTRUCTURA EN TUBO CUAD 1”1/2 CAL 16 AISI 304
• FLAUTA EN TUBO RED ½ SCH10 AISI 304
• NIVELADORES EN LAMINA ¼ AISI 304 CON ESPARRAGO AISI 304</t>
  </si>
  <si>
    <t>SUMINISTRO, TRANSPORTE E INSTALACIÓN DE MESA PARA RECIBO Y REPASO DE PORCINOS. FABRICADO EN LÁMINA DE ACERO INOXIDABLE AISI304  CALIBRE 14, ESTRUCTURA EN TUBO CUADRO 2" CALIBRE 16 AISI 304, CUERPO FABRICADO EN LAMINA CALIBRE 14 AISI 304, DESAGUE TUBO RED 1” SCH 40 AISI 304, INCLUYE BANDEJA DE RECOLECCIÓN Y RODACHINAS DE 3". DIMENSION L: 2,20 M, A: 0,90 H: 0,90 M</t>
  </si>
  <si>
    <t>M-16</t>
  </si>
  <si>
    <t>SUMINISTRO, TRANSPORTE DE RECIPIENTE PARA RECOLECCIÓN DE SANGRE CONSTRUÍDO EN ACERO INOX CAL. 14. INCLUYE ESTRUCTURA DE SOPORTE EN TUBERÍA CUADRADA Y RODACHINAS DE 3". DIMENSIONES: L: 0,90M A: 0,70 M, H: 0,90 M</t>
  </si>
  <si>
    <t>M-20</t>
  </si>
  <si>
    <t>SUMINISTRO, TRANSPORTE E INSTALACION DE RIEL PARA ZONA DE DESPACHO .  INCLUYE CORTE, CURVAS EN PLATINA DE 1/2*2" Y PINTURA DE RIEL</t>
  </si>
  <si>
    <t xml:space="preserve">SUMINISTRO, TRANSPORTE E INSTALACION PUERTA DUCHA ACRILICO (INCLUYE MARCO EN ALUMINIO ANODIZADO, PASADOR Y TOALLERO) A TODO COSTO DIMENSIONES: 0,90M X 1,85M </t>
  </si>
  <si>
    <t>SUMINISTRO, TRANSPORTE E INSTALACION GRIFERIA DUCHA SENCILLA (INCLUYE REGISTRO DUCHA, TAPÓN PRUEBA HIDRÁULICA, BRAZO REGADERA, MANIJAS, REGADERA, ESCUDO E INSTRUCTIVO)</t>
  </si>
  <si>
    <t xml:space="preserve">SUMINISTRO, TRANSPORTE E INSTALACIÓN DE LAVAPETOS FABRICADO EN ACERO INOXIDABLE TIPO AISI 304 CAL 16. INCLUYE CANAL CONECTOR DE AGUA EN PARTE INFERIOR, VÁLVULA DE PASO MANUAL CON CONEXIÓN DE AGUA DE 1/2 Y MAGUERA CON PISTOLA DE ACCIONAMIENTO.. </t>
  </si>
  <si>
    <t>SUMINISTRO, TRANSPORTE E INSTALACIÓN PUERTA CORREDIZA PARA CUARTO FRÍO FABRICADA EN PANEL CON UN ESPESOR DE 3”, 11/2" PULGADAS DE ESPESOR, INYECTADA EN POLIURETANO CON DENSIDAD DE TREINTA Y CUATRO KILOGRAMOS METRO CÚBICO (34 KG. / MT 3), ECOLÓGICO, ACABADO EN LÁMINA GALVANIZADA PREPINTADA IMPORTADA COLOR BLANCO. DIMENSIONES 2,0 X2,30</t>
  </si>
  <si>
    <t>M-33</t>
  </si>
  <si>
    <t xml:space="preserve">SUMINISTRO, TRANSPORTE GANCHOS PARA INSPECCIÓN DE VÍSCERAS ROJAS Y VÍSCERAS BLANCAS FABRICADO EN ACERO INOXIDABLE CAL. 14 INCLUYE TUBERIA DE SOPORTE Y FIJACIÓN </t>
  </si>
  <si>
    <t>SUMINISTRO, TRANSPORTE E INSTALACIÓN DE CAMBIAVIAS EQUIPO FABRICADO EN ACERO ASTM A-36 CON ALTOS ESTÁNDARES DE CALIDAD, FABRICADO EN PLATINERIA Y SOPORTERIA EN ACABADO POR INMERSIÓN GALVÁNICA EN CALIENTE .</t>
  </si>
  <si>
    <t>SUMINISTRO, TRANSPORTE DE LOCKER CONSTRUIDO EN ALUMINIO CON ESPACIO PARA 9 PUESTOS LÁMINA COLD ROLLED CALIBRE 24</t>
  </si>
  <si>
    <t xml:space="preserve">SUMINISTRO, TRANSPORTE E INSTALACIÓN  DE VENTANA CORREDIZA EN ALUMINIO DIMENSIONES 60X40CM INCLUYE VIDRIO DE 4MM </t>
  </si>
  <si>
    <t>M-46</t>
  </si>
  <si>
    <t>SUMINISTRO, TRANSPORTE DE SILLA PLASTICA DOBLE RESISTENTE Y ANTIDESLIZANTE CON BRAZOS INCLUYE TACÓN ANTIDESLIZANTE</t>
  </si>
  <si>
    <t xml:space="preserve">SUMINISTRO, TRANSPORTE E INSTALACIÓN DE SELLO PARA EN ESPUMA REFORZADA Y LONA PARA MUELLE DE CARGA </t>
  </si>
  <si>
    <t>SUMINISTRO, TRANSPORTE E INSTALACIÓN DE CORTINA DE AIRE DE 36" 220V</t>
  </si>
  <si>
    <t xml:space="preserve">SUMINISTRO, TRANSPORTE E INSTALACIÓN DE PUERTA CORREDERA PARA MUELLE LA PUERTA ES DE 70MM EN LAMINA PRE PINTADA 90-02 CON PROTECCIÓN EN ALFAJOR A UN METRO DE ALTURA INCLUYE HERRAJES ITALIANOS Y MARCO EN ALUMINIO </t>
  </si>
  <si>
    <t xml:space="preserve">SUMINISTRO, TRANSPORTE E INSTALACIÓN DE BAJO PUERTA FABRICADO CON PERFIL EN PVC BLANCO </t>
  </si>
  <si>
    <t>M-57</t>
  </si>
  <si>
    <t xml:space="preserve">SUMINISTRO, TRANSPORTE  E INSTALACIÓN DE DESOLLADORA DE RODILLO, CONSTRUIDA EN ACERO INOXIDABLE. RODILLO EN LAMINA DE 1/8 ACERO INOX, EJE DE 1 1/2 INOX, ESTRUCTURA DE SOPORTE EN TUBERIA CUADRADA DE 4" ACERO INOX. MOTORREDUCTOR DE 5H, INCLUYE TABLERO DE CONTROL Y BOTONERA DE MANDO. </t>
  </si>
  <si>
    <t>MO</t>
  </si>
  <si>
    <t>HER</t>
  </si>
  <si>
    <t>EQU</t>
  </si>
  <si>
    <t>EQUIPO DE OXICORTE</t>
  </si>
  <si>
    <t>HR</t>
  </si>
  <si>
    <t>C1</t>
  </si>
  <si>
    <t>C2</t>
  </si>
  <si>
    <t>C3</t>
  </si>
  <si>
    <t>C4</t>
  </si>
  <si>
    <t>C5</t>
  </si>
  <si>
    <t>C6</t>
  </si>
  <si>
    <t>C7</t>
  </si>
  <si>
    <t>C8</t>
  </si>
  <si>
    <t>C9</t>
  </si>
  <si>
    <t>APU PALESTINA</t>
  </si>
  <si>
    <t>MAT</t>
  </si>
  <si>
    <t>HERR</t>
  </si>
  <si>
    <t xml:space="preserve">RESANE CON MORTERO 1:3 PARA CONFORMACIÓN DE CARTERA PARA VANO DE VENTANA </t>
  </si>
  <si>
    <t>TRANS</t>
  </si>
  <si>
    <t>SUMINISTRO, TRANSPORTE E INSTALACIÓN DE PINTURA PARA INTERIOR LAVABLE SOBRE PINTURA EXISTENTE, INCLUYE DOS MANOS DE PINTURA. COLOR BLANCO.</t>
  </si>
  <si>
    <t xml:space="preserve">SUMINISTRO TRANSPORTE E INSTALACIÓN DE FLANCHE CALIBRE 26 </t>
  </si>
  <si>
    <t>ENDURECEDOR DE PISO</t>
  </si>
  <si>
    <t>ALLANADORA DE CONCRETO</t>
  </si>
  <si>
    <t>NOTA:</t>
  </si>
  <si>
    <t>COSTO DIRECTO OBRAS DE ADECUACIÓN</t>
  </si>
  <si>
    <t>COSTO DIRECTO ADQUISICION DE EQUIPOS INCLUIDO IVA</t>
  </si>
  <si>
    <t>VALOR UN</t>
  </si>
  <si>
    <t>SECRETARÍA DE PLANEACION</t>
  </si>
  <si>
    <t>Profesional SISO</t>
  </si>
  <si>
    <t xml:space="preserve">CADENA DE VALOR </t>
  </si>
  <si>
    <t xml:space="preserve">CAPITULO </t>
  </si>
  <si>
    <t>TRANSPORTES</t>
  </si>
  <si>
    <t>15.0</t>
  </si>
  <si>
    <t xml:space="preserve">COSTO TOTAL </t>
  </si>
  <si>
    <t>Responsabilidad técnica:</t>
  </si>
  <si>
    <t>Ingeniero Herney Marin Quintero</t>
  </si>
  <si>
    <t>T.P 17202-17905 CLD</t>
  </si>
  <si>
    <t>10.0</t>
  </si>
  <si>
    <t>20.1</t>
  </si>
  <si>
    <t>ASEO GENERAL</t>
  </si>
  <si>
    <t>PISOS Y ACABADOS</t>
  </si>
  <si>
    <t>ENCHAPES Y ACCESORIOS</t>
  </si>
  <si>
    <t>COD INTER</t>
  </si>
  <si>
    <t>45.0</t>
  </si>
  <si>
    <t>46.0</t>
  </si>
  <si>
    <t>47.0</t>
  </si>
  <si>
    <t>48.0</t>
  </si>
  <si>
    <t>49.0</t>
  </si>
  <si>
    <t>50.0</t>
  </si>
  <si>
    <t>51.0</t>
  </si>
  <si>
    <t>52.0</t>
  </si>
  <si>
    <t>53.0</t>
  </si>
  <si>
    <t>54.0</t>
  </si>
  <si>
    <t>55.0</t>
  </si>
  <si>
    <t>EQUIPOS PALESTINA</t>
  </si>
  <si>
    <t>COD INT</t>
  </si>
  <si>
    <t>1.6</t>
  </si>
  <si>
    <t>INSTALACIONES PROVISIONALES</t>
  </si>
  <si>
    <t>CAMPAMENTO PROVISIONAL</t>
  </si>
  <si>
    <t xml:space="preserve">PLAN DE GESTIÓN INTEGRAL DE OBRA </t>
  </si>
  <si>
    <t>LISTADO DE EQUIPOS O HERRAMIENTAS PARA LA ATENCIÓN DE EMERGENCIAS</t>
  </si>
  <si>
    <t>Equipo o herramienta</t>
  </si>
  <si>
    <t>Valor Total</t>
  </si>
  <si>
    <t>Extintores de espuma</t>
  </si>
  <si>
    <t>Linternas</t>
  </si>
  <si>
    <t>Pitos</t>
  </si>
  <si>
    <t>Baterias de repuestos</t>
  </si>
  <si>
    <t>Camillas de emergencia polietileno 185x45 cm</t>
  </si>
  <si>
    <t>Megáfono</t>
  </si>
  <si>
    <t>Hachas</t>
  </si>
  <si>
    <t>Botiquín de promeros auxilios</t>
  </si>
  <si>
    <t>Líneas de vida</t>
  </si>
  <si>
    <t>Total</t>
  </si>
  <si>
    <t>KIT DE ELEMENTOS DE PROTECCION PERSONAL GENERAL</t>
  </si>
  <si>
    <t>Casco</t>
  </si>
  <si>
    <t>Gafas</t>
  </si>
  <si>
    <t>Tapon para oidos de silicona</t>
  </si>
  <si>
    <t>Par</t>
  </si>
  <si>
    <t>Protector auditivo de Diadema para operador de la rana, operador del vibrador de concreto, operador de la regla vibratoria.</t>
  </si>
  <si>
    <t>Guantes de seguridad</t>
  </si>
  <si>
    <t>Guantes Impermeables</t>
  </si>
  <si>
    <t>Chaleco reflectivo</t>
  </si>
  <si>
    <t>Botas punta y suela metálica</t>
  </si>
  <si>
    <t>Botas pantaneras</t>
  </si>
  <si>
    <t>SEÑALIZACIÓN FUENTES DE OBRA Y SITIOS TEMPORALES</t>
  </si>
  <si>
    <t>Elemento</t>
  </si>
  <si>
    <t>Valor Unitario Mes</t>
  </si>
  <si>
    <t>Señalización con cinta de demarcación</t>
  </si>
  <si>
    <t>COSTO MANEJO DE RESIDUOS CONVENICONALES</t>
  </si>
  <si>
    <t>Residuos de demolicion y construcción</t>
  </si>
  <si>
    <t>COSTO DE CAPACITACIONES AL PERSONAL DE LA OBRA</t>
  </si>
  <si>
    <t>Cursos para personal de obra</t>
  </si>
  <si>
    <t>Carteleras</t>
  </si>
  <si>
    <t>VALOR TOTAL PGIO PALESTINA</t>
  </si>
  <si>
    <t>enero 2024</t>
  </si>
  <si>
    <t>Actualizó</t>
  </si>
  <si>
    <t>41.2</t>
  </si>
  <si>
    <t>41.3</t>
  </si>
  <si>
    <t>41.6</t>
  </si>
  <si>
    <t>M-31</t>
  </si>
  <si>
    <t>M-90</t>
  </si>
  <si>
    <t>44.2</t>
  </si>
  <si>
    <t>43.2</t>
  </si>
  <si>
    <t>43.3</t>
  </si>
  <si>
    <t>43.4</t>
  </si>
  <si>
    <t>43.5</t>
  </si>
  <si>
    <t>43.6</t>
  </si>
  <si>
    <t>44.1</t>
  </si>
  <si>
    <t>44.3</t>
  </si>
  <si>
    <t>44.4</t>
  </si>
  <si>
    <t>45.1</t>
  </si>
  <si>
    <t>45.2</t>
  </si>
  <si>
    <t>45.3</t>
  </si>
  <si>
    <t>45.4</t>
  </si>
  <si>
    <t>46.1</t>
  </si>
  <si>
    <t>47.1</t>
  </si>
  <si>
    <t>47.2</t>
  </si>
  <si>
    <t>47.3</t>
  </si>
  <si>
    <t>47.4</t>
  </si>
  <si>
    <t>48.1</t>
  </si>
  <si>
    <t>48.2</t>
  </si>
  <si>
    <t>49.1</t>
  </si>
  <si>
    <t>49.2</t>
  </si>
  <si>
    <t>50.1</t>
  </si>
  <si>
    <t>52.1</t>
  </si>
  <si>
    <t>52.2</t>
  </si>
  <si>
    <t>52.3</t>
  </si>
  <si>
    <t>51.1</t>
  </si>
  <si>
    <t>53.1</t>
  </si>
  <si>
    <t>55.1</t>
  </si>
  <si>
    <t>53.2</t>
  </si>
  <si>
    <t>53.3</t>
  </si>
  <si>
    <t>54.1</t>
  </si>
  <si>
    <t>55.2</t>
  </si>
  <si>
    <t>55.3</t>
  </si>
  <si>
    <t>55.4</t>
  </si>
  <si>
    <t>55.5</t>
  </si>
  <si>
    <t>55.6</t>
  </si>
  <si>
    <t>55.7</t>
  </si>
  <si>
    <t>55.8</t>
  </si>
  <si>
    <t>55.9</t>
  </si>
  <si>
    <t>55.10</t>
  </si>
  <si>
    <t>55.11</t>
  </si>
  <si>
    <t>55.12</t>
  </si>
  <si>
    <t>55.13</t>
  </si>
  <si>
    <t>55.14</t>
  </si>
  <si>
    <t>55.15</t>
  </si>
  <si>
    <t>55.16</t>
  </si>
  <si>
    <t>55.17</t>
  </si>
  <si>
    <t>55.18</t>
  </si>
  <si>
    <t>55.19</t>
  </si>
  <si>
    <t>55.20</t>
  </si>
  <si>
    <t>55.21</t>
  </si>
  <si>
    <t>55.22</t>
  </si>
  <si>
    <t>55.23</t>
  </si>
  <si>
    <t>55.24</t>
  </si>
  <si>
    <t>55.25</t>
  </si>
  <si>
    <t>55.26</t>
  </si>
  <si>
    <t>55.27</t>
  </si>
  <si>
    <t>55.28</t>
  </si>
  <si>
    <t>SUMINISTRO TRANPORTE E INSTALACIÓN DE MEDIA CAÑA EN MORTERO CON CABADO LISO, H=0,10 M</t>
  </si>
  <si>
    <t>PROGRAMACIÓN DE OBRAPARA LA EJECUCIÓN DE OBRAS DE MANTENIMIENTO DE LA PLANTA DE BENEFICIO ANIMAL DEL MUNICIPIO DE  PALESTINA-CALDAS-</t>
  </si>
  <si>
    <t xml:space="preserve">Objeto: CONTRATAR A TODO COSTO OBRAS PARA LA ADECUACIÓN,  MANTENIMIENTO Y SUMINISTRO E INSTALACIÓN DE EQUIPOS EN LA LÍNEA DE SACRIFICIO DE BOVINOS DE LA PLANTA DE BENEFICIO DE AUTOCONSUMO DEL MUNICIPIO DE PALESTINA."	</t>
  </si>
  <si>
    <t xml:space="preserve">PRESUPUESTO GENERAL DE OBRA Y SUMINISTRO DE EQUIPOS PARA ADECUACIÓN DE LA PLANTA DE BENEFICIO ANIMAL DE PALESTINA </t>
  </si>
  <si>
    <t>PROYECTO " PLANTA DE BENFICIO ANIMAL DE PALESTINA -CALDAS- ."</t>
  </si>
  <si>
    <t xml:space="preserve">Objeto: CONTRATAR A TODO COSTO OBRAS PARA LA ADECUACIÓN,  MANTENIMIENTO, Y SUMINISTRO E INSTALACIÓN DE EQUIPOS EN LA LÍNEA DE SACRIFICIO DE BOVINOS DE LA PLANTA DE BENEFICIO DE AUTOCONSUMO DEL MUNICIPIO  PALESTINA ." </t>
  </si>
  <si>
    <t xml:space="preserve">                               LISTADO DE INSUMOS PARA IMPLEMENTACIÓN DEL PRESUPUESTO PARA LA OBRA PLANTA DE BENFICIO ANIMAL DE PALESTINA -CALDAS</t>
  </si>
  <si>
    <t>PROYECTO " PLANTA DE BENFICIO ANIMAL DE  PALESTINA -CALDAS- ."</t>
  </si>
  <si>
    <t>GOBERNACIÓN DE CALDAS
ANALISIS DEL COSTO  DE MANO DE OBRA PLANTA BENEFICIO ANIMAL DE PALESTINA -CALDAS</t>
  </si>
  <si>
    <t>ANALISIS FACTOR PRESTACIONAL PARA IMPLEMENTACIÓN PRESUPUESTO DE LA PLANTA DE BENEFICIO ANIMAL DEL MUNICIPIO DE PALESTINA -CALDAS-</t>
  </si>
  <si>
    <t>GOBERNACIÓN DE CALDAS
SUB ANALISIS PRODUCCIÓN DE  CONCRETO PLANTA BENEFICIO ANIMAL DE  PALESTINA -CALDAS</t>
  </si>
  <si>
    <t>GOBERNACIÓN DE CALDAS
SUB ANALISIS PRODUCCIÓN DE  MORTERO PLANTA BENEFICIO ANIMAL DE  PALESTINA - CALDAS</t>
  </si>
  <si>
    <t xml:space="preserve">PLATAFORMA DE EVISCERACIÓN .
Dimensiones: según espacio en sitio </t>
  </si>
  <si>
    <t>LAVAMANOS Y ESTERILIZADOR</t>
  </si>
  <si>
    <t>ESPARRANCADOR ELÉCTRICO PARA APERTURA DE ANIMAL DURANTE EL CORTE CON SIERRA DE CANAL</t>
  </si>
  <si>
    <t>EQUIPO FABRICADO EN ACERO ASTM A-36 CON ALTOS ESTÁNDARES DE CALIDAD, ESTRUCTURA FABRICADA EN LAMINA , BARRAS REDONDAS SISTEMA ELECTROMECÁNICO, ACABADO GALVÁNICO EN CALIENTE</t>
  </si>
  <si>
    <t>PLATAFORMA DE DESLIZAMIENTO VERTICAL DIMENSIONES 1,20M X 0,80M
INCLUYE LVAMANOS Y ESTERILIZADOR</t>
  </si>
  <si>
    <t>M-05</t>
  </si>
  <si>
    <t>SISTEMA BAJA GANCHO (COCLEA)</t>
  </si>
  <si>
    <t>FABRICADO EN BRAZO ACCIONADO HIDRAULICAMENTE.  CAPACIDAD 500 KG</t>
  </si>
  <si>
    <t xml:space="preserve">TOBOGÁN  EN "L"PARA VÍSCERAS BLANCAS Y/O ROJAS </t>
  </si>
  <si>
    <t xml:space="preserve">TOBOGÁN RECTO PARA VÍSCERAS BLANCAS Y/O ROJAS </t>
  </si>
  <si>
    <t>LAVAMANOS DE EMPOTRAR</t>
  </si>
  <si>
    <t>REJILLA DE PISO RECTANGULAR, DIMENSIONES 1,0*0,20M</t>
  </si>
  <si>
    <t>REJILLA DE PISO CUADRADA, DIMENSIONES 0,20*0,20M</t>
  </si>
  <si>
    <t>FABRICADA EN ACERO INOXIDABLE</t>
  </si>
  <si>
    <t>CAMPANA DE EXTRACCIÓN PARA LAVADOR DE PANZAS  DIMENSIONES: L: 2,10M A: 1,20 M, H: 0,50 M.  LARGO DEL DUCTO: 5,0 M</t>
  </si>
  <si>
    <t>CAMPANA DE EXTRACCIÓN PARA ESCALDADOR/DEPILADOR DIMENSIONES: L: 3,0M A: 1,20 M, H: 0,60 M.  LARGO DEL DUCTO: 2 M</t>
  </si>
  <si>
    <t>PLATAFORMA DE EVISCERACIÓN DE DOS NIVELES  .DIMENSIONES : SEGÚN PRESUPUESTO</t>
  </si>
  <si>
    <t>CARRO TIPO CUTTER PARA TRANSPORTE Y ALMACENAMIENTO DE PRODUCTOS. CONSTRUIDOS EN LÁMINA ACERO INOX CAL. 14</t>
  </si>
  <si>
    <t>LAVABOTAS</t>
  </si>
  <si>
    <t>ESTERILIZADOR SIERRA DE ESTERNÓN</t>
  </si>
  <si>
    <t>MESON PARA RECIBO Y REPASO DE PORCINOS.  Dimensiones  L: 2,20 M, A: 0,9,0 H: 0,90 M</t>
  </si>
  <si>
    <t>RECIPIENTE PARA RECOLECCIÓN DE SANGRE   DIMENSIONES: L: 0,90M A: 0,70 M, H: 0,90 M</t>
  </si>
  <si>
    <t>EQUIPO FABRICADO EN ACERO INOXIDABLE AISI 304 CON ALTOS ESTÁNDARES DE CALIDAD , CUERPO FABRICADO EN LAMINA DE ACERO INOXIDABLE AISI 304 , REFUERZOS EN TUBERÍA CON RUEDAS EN NYLON.</t>
  </si>
  <si>
    <t>M-17</t>
  </si>
  <si>
    <t>ESTERILIZADOR SIERRA DE CANAL</t>
  </si>
  <si>
    <t>ESTERILIZADOR DE CUCHILLOS</t>
  </si>
  <si>
    <t>EQUIPO FABRICADO EN ACERO INOXIDABLE AISI 304 EL TANQUE DE ESTERILIZACIÓN DE CUCHILLOS ESTA PROVISTO DE UNA REJILLA EN POLIETILENO PARA SOPORTAR LOS CUCHILLOS, LA ESTERILIZACIÓN SE REALIZA ELEVANDO LA TEMPERATURA DEL AGUA, POR MEDIO DE RESISTENCIA ELÉCTRICA, CONTIENE SISTEMA DE REGISTRO DE TEMPERATURA.</t>
  </si>
  <si>
    <t>SANITARIO</t>
  </si>
  <si>
    <t>RIEL DE SIMILARES O IGUALES CARÁCTERÍSTICAS AL EXISTENTE</t>
  </si>
  <si>
    <t>RIEL CONSTRUIDO EN TUBERÍA CUADRADA 100*100 , BAJANTES EN PLATINA DE 3/8 Y PLATINA DE CORRDERA DE 1/2*2". INCLUYE ANCLAJES, SOLDADURA Y ZINCADOS EN CALIENTE</t>
  </si>
  <si>
    <t>M-21</t>
  </si>
  <si>
    <t>INSENSIBILIZADOR ELÉCTRICO DE PORCINOS</t>
  </si>
  <si>
    <t>M-24</t>
  </si>
  <si>
    <t>SOPORTE PARA INSPECCIÓN DE CABEZAS CONSTRUIDA EN EJE ACERO INOX DE 1/2.</t>
  </si>
  <si>
    <t>FABRICADO EN ACERO INOXIDABLE TIPO 304, CALIBRE 16 CONSTRUIDO EN EJE DE ACERO INOXIDABLE 1/2</t>
  </si>
  <si>
    <t>M-25</t>
  </si>
  <si>
    <t>SUMINISTRO, TRANSPORTE E INSTALACIÓN PUERTA GUILLOTINA PARA BOX DE INSENSIBILIZACIÓN DE BOVINOS.</t>
  </si>
  <si>
    <t>PUERTA FABRICADA EN LAMINA DEE ACERO INOXIDABLE, INCLUYE TUBERÍA ESTRUCTURAS DE 2*1, LÁMINA HR DE 1/4. INCLUYE PICAPORTE, EJE Y CHUMACERAS</t>
  </si>
  <si>
    <t>M-28</t>
  </si>
  <si>
    <t>GANCHOS EN S CON 4 CURVAS</t>
  </si>
  <si>
    <t>FABRICADO EN PLATINA DE 3/8*2, RODAJA DE 3" EN ACERO INOXIDABLE AISI 304, BUJE DE BRONCE Y CURVAS EN EJE DE 1/2 ACERO INOX AISI 304.</t>
  </si>
  <si>
    <t>LAVAPETOS</t>
  </si>
  <si>
    <t xml:space="preserve">PUERTA CUARTO FRIO ABATIBLE </t>
  </si>
  <si>
    <t>PUERTA CUARTO FRIO CORREDIZA</t>
  </si>
  <si>
    <t>CUARTO FRIO DIMENSIONES:  L: 1,80M A: 1,50 M, H: 4,0 M</t>
  </si>
  <si>
    <t>FABRICADO EN POLIURETANO DE ALTA DENSIDAD TIPO SÁNDWICH CON ACABADO INTERIOR Y EXTERIOR EN  LAMINA GALVANIZADA PREPINTADA EN COLOR BLANCO Y BOCELARÍA EN PVC, CON UN ESPESOR DE 3”, 11/2" PULGADAS DE ESPESOR, INYECTADOS EN POLIURETANO CON DENSIDAD DE TREINTA Y CUATRO KILOGRAMOS METRO CÚBICO (34 KG. / MT 3), SUJECIÓN Y AJUSTE ENTRE PANELES POR MEDIO DE REMACHE DE ALUMINIO DE ALTA CALIDAD Y RESISTENTES A LA CORROSIÓN. INCLUYE PUERTA CORREDIZA Y TODAS LAS UNIDADES PARA SU PUESTA EN FUNCIONAMIENTO COMO LO SON: EVAPORADOR, ACCESORIOS DE INSTALACIÓN, CONDENSADOR, GAS REFRIGERANTE, TABLERO DE CONTROL ELÉCTRICO Y DEMÁS ELEMENTOS NECESARIOS PARA SU PUESTA EN MARCHA</t>
  </si>
  <si>
    <t>M-32</t>
  </si>
  <si>
    <t>GRILLETE PARA IZADO</t>
  </si>
  <si>
    <t>CONSTRUIDO  CON GANCHO EN PLATINA DE 3/8 X 2 EN ACERO INXODABLE  CON ROLDANA  EN  ACERO  INOXIDABLE DE 4" Y CADENA  GALVANIZADA  DE 3/8.</t>
  </si>
  <si>
    <t>GANCHOS PARA INSPECCIÓN DE VÍSCERAS ROJAS Y VÍSCERAS BLANCAS.</t>
  </si>
  <si>
    <t>FABRICADO EN ACERO INOXIDABLE CAL. 14 INCLUYE TUBERIA DE SOPORTO Y FIJACIÓN A LA PARED</t>
  </si>
  <si>
    <t>M-34</t>
  </si>
  <si>
    <t>GANCHOS PARA PROCESO CON RODAJA EN ACERO INOXIDABLE.</t>
  </si>
  <si>
    <t>POLEAS FABRICADAS EN ACERO INOXIDABLE BUJE DE BRONCE CON RUEDA DE 3"</t>
  </si>
  <si>
    <t>LLAVE TERMINAL</t>
  </si>
  <si>
    <t>CAMBIAVIAS</t>
  </si>
  <si>
    <t>M-37</t>
  </si>
  <si>
    <t>MOTOR DE IZADO</t>
  </si>
  <si>
    <t>MOTOR DE 1000KG, INCLUYE BOTONERA DE MANDO, TABLERO DE CONTROL Y CADENA</t>
  </si>
  <si>
    <t>M-38</t>
  </si>
  <si>
    <t>GANCHO ESPERNANCADOR</t>
  </si>
  <si>
    <t>M-39</t>
  </si>
  <si>
    <t>COMPRESOR DE 5HP TRIFÁSICO PARA CUARTO FRIO</t>
  </si>
  <si>
    <t>COMPRESOR  5 HP TRIFÁSICO R404 220V PARA  CUARTO FRIO  INCLUYE  FILTRO 1/2 164 EMERSON ROSCADO, REFRIGERANTE Y PUESTA EN MARCHA</t>
  </si>
  <si>
    <t>M-40</t>
  </si>
  <si>
    <t>POLEA CON GANCHO EXTENSOR</t>
  </si>
  <si>
    <t>M-41</t>
  </si>
  <si>
    <t>MEZCLADOR PARA LAVAPANZAS</t>
  </si>
  <si>
    <t>MEZCLADOR DE AGUA VAPOR CON MANGUERAS Y TERMOMETRO</t>
  </si>
  <si>
    <t>LOCKER</t>
  </si>
  <si>
    <t>M-43</t>
  </si>
  <si>
    <t>INTERRUPTOR  DE PEDAL DE ACCIÓN MOMENTANEO</t>
  </si>
  <si>
    <t>INTERRUPTOR DE PEDAL DE 15 AMPERIOS VOLTAJE 110/220V AC</t>
  </si>
  <si>
    <t>REJILLA TRADICIONAL REDONDA</t>
  </si>
  <si>
    <t>VENTANA CORREDIZA EN ALUMINIO</t>
  </si>
  <si>
    <t>SILLA PLASTICA DOBLE</t>
  </si>
  <si>
    <t>RESISTENTE Y ANTIDESLIZANTE CON BRAZOS INCLUYE TACÓN ANTIDESLIZANTE</t>
  </si>
  <si>
    <t>SELLO PARA MUELLE</t>
  </si>
  <si>
    <t>CORTINA DE AIRE PARA MUELLE</t>
  </si>
  <si>
    <t>PUERTA CORREDERA PARA MUELLE DIMENSIONES 2X2,30M</t>
  </si>
  <si>
    <t>M-50</t>
  </si>
  <si>
    <t>COCINA INTEGRAL</t>
  </si>
  <si>
    <t>M-51</t>
  </si>
  <si>
    <t>GRIFERIA PARA LAVAPLATOS</t>
  </si>
  <si>
    <t>GRIFERIA SENCILLA FABRICA EN PLASTICO COLOR CROMADO, ALTO DE 8CM ANCHO 20CM,CON GRIFO CAÑO ABATIBLE</t>
  </si>
  <si>
    <t>BAJO PUERTA</t>
  </si>
  <si>
    <t>M-53</t>
  </si>
  <si>
    <t>MAQUINA ESCALDADORA DE PATAS</t>
  </si>
  <si>
    <t>CÁMARA DE LAVADO: SISTEMA DE TÓMBOLA HORIZONTAL REPUJADA Y ASPAS DE LAVADO FABRICADA EN ACERO INOXIDABLE TIPO 304. CUBIERTA: CUBIERTAS GIRATORIAS Y FIJAS EN LÁMINA INOXIDABLE TIPO 304. CHASIS DE LA MÁQUINA: FABRICADO EN ÁNGULO INOXIDABLE TIPO 304 SISTEMA DE POTENCIA: MOTO- REDUCTOR TRIFÁSICO QUE TRANSMITE EL MOVIMIENTO POR MEDIO DE CADENA/PIÑÓN A EJE MOTRIZ DE LAVADO, EL EJE MOTRIZ, FABRICADO EN ACERO INOXIDABLE TIPO 304. GUARDAS DE PROTECCIÓN: FABRICACIÓN DE GUARDAS EN ACERO INOXIDABLE TIPO 304, PARA EL SISTEMA DE POTENCIA. MEZCLADOR AGUA- VAPOR: SISTEMA DE MEZCLA AGUA VAPOR Ø ¾“ CON VÁLVULAS DE APERTURA Y CIERRE. TABLERO DE CONTROL: SISTEMA DE CONTROL START/STOP Y SISTEMA TEMPORIZADO DE LAVADO.</t>
  </si>
  <si>
    <t>DESAGUE PUSH PARA PISO</t>
  </si>
  <si>
    <t>M-55</t>
  </si>
  <si>
    <t>BOX DE PORCINOS DIMENSIONES
GENERALES: 770mm ancho X 2580mm lateral X 3100 mm alto</t>
  </si>
  <si>
    <t>EQUIPO FABRICADO EN ACERO INOXIDABLE AISI 304 CON ALTOS ESTÁNDARES DE CALIDAD</t>
  </si>
  <si>
    <t>M-56</t>
  </si>
  <si>
    <t xml:space="preserve">REFLECTOR LED </t>
  </si>
  <si>
    <t xml:space="preserve">SUMINISTRO, TRANSPORTE  DE REFLECTOR LED LUZ BLANCA EN MATERIAL DE ALUMINIO Y VIDRIO </t>
  </si>
  <si>
    <t>DESOLLADORA</t>
  </si>
  <si>
    <t>SUMINISTRO, TRANSPORTE E INSTALACIÓN REJILLA DE PISO PARA SUSTITUIR LA ACTUAL EN ZONA DE SANGRIA CONSTRUIDA EN ACERO INOXIDABLE PARA ÁREA DE LAVADO DE PANZAS. LARGO: 0,20*0,20</t>
  </si>
  <si>
    <t>PERSONAL PROFESIONAL (1)</t>
  </si>
  <si>
    <t>CONCEPTO</t>
  </si>
  <si>
    <t>Personal Profesional</t>
  </si>
  <si>
    <t xml:space="preserve">SUELDO BÁSICO </t>
  </si>
  <si>
    <t>% DEDICACIÓN</t>
  </si>
  <si>
    <t>FACTOR MULT.</t>
  </si>
  <si>
    <t>VALOR MES (AxBxC)</t>
  </si>
  <si>
    <t xml:space="preserve">No DE MESES </t>
  </si>
  <si>
    <t>TOTAL (DxE)</t>
  </si>
  <si>
    <t>Ingeniero Director de Interventoria</t>
  </si>
  <si>
    <t xml:space="preserve">Ingeniero Residente de Interventoria </t>
  </si>
  <si>
    <t>Inspector</t>
  </si>
  <si>
    <t>SUBTOTAL COSTO PERSONAL PROFESIONAL (1)</t>
  </si>
  <si>
    <t>OTROS COSTOS DIRECTOS FIJOS (2)</t>
  </si>
  <si>
    <t>Otros Costos Directos</t>
  </si>
  <si>
    <t>DEDICACION %</t>
  </si>
  <si>
    <t>VR UNIT</t>
  </si>
  <si>
    <t>Equipos de Computación con licencias de software básico (windows, office y antivirus)</t>
  </si>
  <si>
    <t>MES</t>
  </si>
  <si>
    <t>Edición de informes</t>
  </si>
  <si>
    <t>Papelería, reproducción documentos, fotografías, videos, impresión de planos</t>
  </si>
  <si>
    <t>Dotaciones EPP</t>
  </si>
  <si>
    <t>SUBTOTAL COSTOS DIRECTOS FIJOS (2)</t>
  </si>
  <si>
    <t>POLIZAS (3)</t>
  </si>
  <si>
    <t>VIGENCIA</t>
  </si>
  <si>
    <t>AMPARO</t>
  </si>
  <si>
    <t>TASA DE ASEGURADORA</t>
  </si>
  <si>
    <t xml:space="preserve">POLIZAS </t>
  </si>
  <si>
    <t>SUBTOTAL POLIZAS (3)</t>
  </si>
  <si>
    <t>ESTAMPILLAS (4)</t>
  </si>
  <si>
    <t>PORCENTAJE DEL CONTRATO</t>
  </si>
  <si>
    <t xml:space="preserve">ESTAMPILLAS  </t>
  </si>
  <si>
    <t>SUBTOTAL ESTAMPILLAS (4)</t>
  </si>
  <si>
    <t>RESUMEN GENERAL</t>
  </si>
  <si>
    <t>COSTO PARCIAL(1 + 2 )</t>
  </si>
  <si>
    <t>VALOR TOTAL OFERTA</t>
  </si>
  <si>
    <r>
      <t xml:space="preserve">Nombre.    </t>
    </r>
    <r>
      <rPr>
        <b/>
        <u/>
        <sz val="12"/>
        <rFont val="Calibri"/>
        <family val="2"/>
      </rPr>
      <t>HERNEY MARIN QUINTERO</t>
    </r>
  </si>
  <si>
    <r>
      <t xml:space="preserve">Profesión   </t>
    </r>
    <r>
      <rPr>
        <b/>
        <u/>
        <sz val="12"/>
        <color indexed="8"/>
        <rFont val="Calibri"/>
        <family val="2"/>
      </rPr>
      <t>INGENIERO CIVIL</t>
    </r>
  </si>
  <si>
    <t>SECRETARÍADE PLANEACIÓN</t>
  </si>
  <si>
    <t>FECHA:</t>
  </si>
  <si>
    <t>7-5-2024</t>
  </si>
  <si>
    <t>FACTOR MULTIPLICADOR INTERVENTORIA</t>
  </si>
  <si>
    <t>&lt;= 2SMMLV</t>
  </si>
  <si>
    <t>&gt; 2SMMLV</t>
  </si>
  <si>
    <t>SALARIO BÁSICO Y PRESTACIONES SOCIALES</t>
  </si>
  <si>
    <t>Salarios</t>
  </si>
  <si>
    <t>Auxilio de transporte</t>
  </si>
  <si>
    <t xml:space="preserve">Prima </t>
  </si>
  <si>
    <t xml:space="preserve">Cesantía </t>
  </si>
  <si>
    <t>Intereses a la cesantía</t>
  </si>
  <si>
    <t>Subsidio familiar</t>
  </si>
  <si>
    <t>1.7</t>
  </si>
  <si>
    <t>1.8</t>
  </si>
  <si>
    <t>1.9</t>
  </si>
  <si>
    <t>1.10</t>
  </si>
  <si>
    <t xml:space="preserve">Vacaciones </t>
  </si>
  <si>
    <t>1.11</t>
  </si>
  <si>
    <t>Dotación</t>
  </si>
  <si>
    <t>1.12</t>
  </si>
  <si>
    <t>1.13</t>
  </si>
  <si>
    <t>Certificado trabajo en alturas / confinados</t>
  </si>
  <si>
    <t>subtotal (1)</t>
  </si>
  <si>
    <t>COSTOS DIRECTOS</t>
  </si>
  <si>
    <t>ESTAMPILLAS SEGÚN CADA MUNICIPIO</t>
  </si>
  <si>
    <t>subtotal (2)</t>
  </si>
  <si>
    <t>COSTOS DIRECTOS NO REEMBOLSABLES</t>
  </si>
  <si>
    <t>% impuestos</t>
  </si>
  <si>
    <t>Estampillas Pro- Cultura 1% (1+2)</t>
  </si>
  <si>
    <t>Estampillas Pro- Adulto mayor 4% (1+2)</t>
  </si>
  <si>
    <t>Estampillas Pro- Universidad 2% (1+2)</t>
  </si>
  <si>
    <t>Impuestos 8% (1+2)</t>
  </si>
  <si>
    <t>Subtotal (3)</t>
  </si>
  <si>
    <t>UTILIDAD DEL CONTRATISTA 15% (1+2+3)</t>
  </si>
  <si>
    <t>FACTOR MULTIPLICADOR F=(1)+(2)+(3)+(4)</t>
  </si>
  <si>
    <t>FACTOR MULTIPLICADOR ASUMIDO*</t>
  </si>
  <si>
    <t>*Redondeado a 1 cifra decimal</t>
  </si>
  <si>
    <t>Datos Basicos año 2024</t>
  </si>
  <si>
    <t xml:space="preserve">OBJETO: INTERVENTORIA PARA LA ADECUACIÓN Y SUMINISTRO E INSTALACIÓN DE EQUIPOS EN LA LÍNEA DE SACRIFICIO DE BOVINOS Y PORCINOS DE LA PLANTA DE BENEFICIO DE AUTOCONSUMO DEL MUNICIPIO DE PALESTINA
</t>
  </si>
  <si>
    <t>“INTERVENTORÍA TÉCNICA, ADMINISTRATIVA Y FINANCIERA PARA "ADECUACIÓN Y SUMINISTRO E INSTALACIÓN DE EQUIPOS EN LA LÍNEA DE SACRIFICIO DE BOVINOS Y PORCINOS DE LA PLANTA DE BENEFICIO DE AUTOCONSUMO DEL MUNICIPIO DE PALESTINA"</t>
  </si>
  <si>
    <t>CANTIDAD F2</t>
  </si>
  <si>
    <t>AREA</t>
  </si>
  <si>
    <t>7. VIVERO EXPERIENCIAL</t>
  </si>
  <si>
    <t>GRÁFICOS DONDE SE RELACIONA DE DONDE SALE LA CANTIDAD</t>
  </si>
  <si>
    <t xml:space="preserve">PLANTA ARQUITECTONICA </t>
  </si>
  <si>
    <t xml:space="preserve">Demolición de muros para vanos, buques y ampliación de zonas </t>
  </si>
  <si>
    <t xml:space="preserve">Desmonte de estructura metalica en zona de tanques y corral de sacrificio </t>
  </si>
  <si>
    <t xml:space="preserve">DESMONTE DE ESTRUCTURA METALICA </t>
  </si>
  <si>
    <t>Instalación de concreto en zonas de ampliación y/o remodelación como zona de vestir hombres</t>
  </si>
  <si>
    <t xml:space="preserve">SUMINISTRO, TRASPORTE E INSTALACIÓN PUNTO SANITARIO EN DIAMETRO 4" </t>
  </si>
  <si>
    <t xml:space="preserve">SUMINISTRO, TRASPORTE E INSTALACIÓN PUNTO SANITARIO EN DIAMETRO 2" </t>
  </si>
  <si>
    <t xml:space="preserve">Puntos de 4" para zonas de escaldadora y tanque de agua </t>
  </si>
  <si>
    <t>Puntos de 2" para zonas de lavamanos de piso y  en paltaformas</t>
  </si>
  <si>
    <t xml:space="preserve">Traslado de tanque de agua y equipos necesarios de la zona de corrales de procinos a la zona de despacho de producto.  </t>
  </si>
  <si>
    <t xml:space="preserve">Construcción de bordillo en concreto para separar aera sucia de area intermedia </t>
  </si>
  <si>
    <t xml:space="preserve">Canal central en sala de procesos </t>
  </si>
  <si>
    <t xml:space="preserve">Viga de amarre para zona de ampliación en porcinos </t>
  </si>
  <si>
    <t>Columnetas para la el area de ampliación de porcinos</t>
  </si>
  <si>
    <t xml:space="preserve">ESTRUCTURA METÁLICA PARA SOPORTE DE CUBIERTA EN PERFILERÍA TIPO C 120X60 3MM </t>
  </si>
  <si>
    <t>ESTRUCTURA METÁLICA PARA SOPORTE DE CUBIERTA EN PERFILERÍA TIPO C 120X60 3MM. (INCLUYE TEJA DE FIBROCEMENTO PERFIL 7 Y ACCESORIOS PARA INSTALACIÓN)</t>
  </si>
  <si>
    <t xml:space="preserve">Estrcutura y cubierta para zona de porcinos </t>
  </si>
  <si>
    <t xml:space="preserve">Estructura y cubierta para zona de porcinos </t>
  </si>
  <si>
    <t>Construcción de muros en zona de ampliación de porcinos, construcción de zona de vestier de hombres y pasillo de acceso de operarios. *El mortero solo se aplicara en las zonas donde no se aplique pintura epoxica</t>
  </si>
  <si>
    <t>resane con mortero en vanos para puertas, ventanas y toboganes</t>
  </si>
  <si>
    <t xml:space="preserve">Instalación de tuberia para el correcto funcionamiento de los equipos  </t>
  </si>
  <si>
    <t xml:space="preserve">RETIE y RETILAP para la PBA  </t>
  </si>
  <si>
    <t>Salidas de toma corriente GFCI para zonas humedas</t>
  </si>
  <si>
    <t xml:space="preserve">PLANTA HIDRAULICA </t>
  </si>
  <si>
    <t xml:space="preserve">PLANTA ELECTRICA </t>
  </si>
  <si>
    <t>Luminarias en zonas de ampliación y cuartos de proceso</t>
  </si>
  <si>
    <t>Interruptor sencillo en zonas fuera de procesos</t>
  </si>
  <si>
    <t xml:space="preserve">Pintura koraza y estuco en caras de muros exteriores </t>
  </si>
  <si>
    <t xml:space="preserve">Instalación de muro en zonas de fachada que se encuentran con perfieleria visible y cuarto de caldera </t>
  </si>
  <si>
    <t xml:space="preserve">Pintura interior en zona de vestier nuevo. </t>
  </si>
  <si>
    <t xml:space="preserve">Construcción de muros en zona de ampliación de porcinos, construcción de zona de vestier de hombres y pasillo de acceso de operarios. Y contrucción de espacio para motobomba de tanque de agua </t>
  </si>
  <si>
    <t>Cubierta para zona de ampliación de porcinos y vestier de hombres</t>
  </si>
  <si>
    <t xml:space="preserve">SUMINISTRO TRANSPORTE E INSTALACIÓN DE FLANCHE CALIBRE 26 PARA EMPATE ENTRE CUBIERTA EXISTENTE Y MURO </t>
  </si>
  <si>
    <t xml:space="preserve">Flanche en zonas de de nuevos muros y cubierta existente </t>
  </si>
  <si>
    <t>cielo rado en zona de ampliación de porcinos y vestier hombres</t>
  </si>
  <si>
    <t xml:space="preserve">Endureceder para las zonas donde se realizan demoliciones o en reposición de zonas en concreto  </t>
  </si>
  <si>
    <t>GOBERNACIÓN DE CALDAS</t>
  </si>
  <si>
    <t>SECRETARÍA DE INFRAESTRUCTURA</t>
  </si>
  <si>
    <t>ANÁLISIS DE A.U.</t>
  </si>
  <si>
    <t>OBJETO</t>
  </si>
  <si>
    <t>VLR UNITARIO</t>
  </si>
  <si>
    <t>Factor Prestacional o de Uso</t>
  </si>
  <si>
    <t>Hombre Mes o Cantidad</t>
  </si>
  <si>
    <t>ADMINISTRACIÓN</t>
  </si>
  <si>
    <t>PERSONAL PROFESIONAL Y TÉCNICO</t>
  </si>
  <si>
    <t>Director (más prestaciones sociales y Fic)</t>
  </si>
  <si>
    <t>Mes</t>
  </si>
  <si>
    <t>Residente (más prestaciones sociales y Fic)</t>
  </si>
  <si>
    <t>Residente SYSO</t>
  </si>
  <si>
    <t>Maestro (más prestaciones sociales y Fic)</t>
  </si>
  <si>
    <t>EQUIPO Y GASTOS DE OBRA NO INCLUIDOS EN COSTOS DIRECTOS</t>
  </si>
  <si>
    <t>Equipo de computo y comunicaciones</t>
  </si>
  <si>
    <t>GASTOS DE LEGALIZACIÓN</t>
  </si>
  <si>
    <t>Garantía Cumplimiento</t>
  </si>
  <si>
    <t>Garantía Anticipo</t>
  </si>
  <si>
    <t>Garantía Salarios</t>
  </si>
  <si>
    <t>Garantía Calidad</t>
  </si>
  <si>
    <t>Amparo Resp.Civil Extracontractual</t>
  </si>
  <si>
    <t>Gastos de legalización</t>
  </si>
  <si>
    <t xml:space="preserve"> Pro-desarrollo (1%)</t>
  </si>
  <si>
    <t xml:space="preserve"> Pro-universidad (2%)</t>
  </si>
  <si>
    <t xml:space="preserve"> Pro-Hospital Santa Sofia (1%)</t>
  </si>
  <si>
    <t xml:space="preserve"> Pro-adulto Mayor (3%)</t>
  </si>
  <si>
    <t>GASTOS DE PAPELERIA</t>
  </si>
  <si>
    <t>Copias</t>
  </si>
  <si>
    <t>Papelería</t>
  </si>
  <si>
    <t>GASTOS GENERALES</t>
  </si>
  <si>
    <t>Vallas informativas 12 m x 4 m con suministro de torres</t>
  </si>
  <si>
    <t>U</t>
  </si>
  <si>
    <t>UTILIDAD</t>
  </si>
  <si>
    <t>Ingeniero Civil</t>
  </si>
  <si>
    <t xml:space="preserve">CONTRATAR A TODO COSTO OBRAS PARA LA ADECUACIÓN,  MANTENIMIENTO, Y SUMINISTRO E INSTALACIÓN DE EQUIPOS EN LA LÍNEA DE SACRIFICIO DE BOVINOS DE LA PLANTA DE BENEFICIO DE AUTOCONSUMO DEL MUNICIPIO  PALESTINA ." </t>
  </si>
  <si>
    <t>T O T A L   A.U.</t>
  </si>
  <si>
    <t xml:space="preserve">SUMINISTRO, TRASPORTE E INSTALACIÓN ENCHAPE EN PISOS PARA VESTIER </t>
  </si>
  <si>
    <t xml:space="preserve">TRASLADO, MANTENIMIENTO Y PUESTA EN FUNCIONAMIENTO EL ESCALDADOR, INCLUYE SUMINISTRO DE REPUESTOS, </t>
  </si>
  <si>
    <t xml:space="preserve">TRASLADO, MANTENIMIENTO Y PUESTA EN FUNCIONAMIENTO BOX PORCINOS,  INCLUYE SUMINISTRO DE REPUESTOS, </t>
  </si>
  <si>
    <t xml:space="preserve">TRASLADO Y CONEXIÓN DEL ESTERCOLERO </t>
  </si>
  <si>
    <t xml:space="preserve">MANTENIMIENTO Y PUESTA EN FUNCIONAMIENTO CALDERA </t>
  </si>
  <si>
    <t>MANTENIMIENTO Y PUESTA EN FUNCIONAMIENTO CUARTO FRIOS</t>
  </si>
  <si>
    <t>MANTENIMIENTO Y PUESTA EN FUNCIONAMIENTO LAVAPANZAS</t>
  </si>
  <si>
    <t>MANTENIMIENTO Y PUESTA EN FUNCIONAMIENTO  DE LA PTAR</t>
  </si>
  <si>
    <t>M-58</t>
  </si>
  <si>
    <t>M-59</t>
  </si>
  <si>
    <t>M-60</t>
  </si>
  <si>
    <t>M-61</t>
  </si>
  <si>
    <t>M-62</t>
  </si>
  <si>
    <t>M-63</t>
  </si>
  <si>
    <t>M-64</t>
  </si>
  <si>
    <t>55.29</t>
  </si>
  <si>
    <t>55.30</t>
  </si>
  <si>
    <t>55.31</t>
  </si>
  <si>
    <t>55.32</t>
  </si>
  <si>
    <t>55.33</t>
  </si>
  <si>
    <t>55.34</t>
  </si>
  <si>
    <t>55.35</t>
  </si>
  <si>
    <t>A.U</t>
  </si>
  <si>
    <t>EQUIPOS Y HERRAMIENTAS CON AU</t>
  </si>
  <si>
    <t>M.O CON AU</t>
  </si>
  <si>
    <t>MATERIALES (INSUMOS) CON AU</t>
  </si>
  <si>
    <t>TRANSPORTES CON AU</t>
  </si>
  <si>
    <t>Instalación de rejillas de piso y columnetas para zona de ampliación</t>
  </si>
  <si>
    <t>Enchape de piso en zona de vestier</t>
  </si>
  <si>
    <t>SUMINISTRO, TRASPORTE E INSTALACIÓN ENCHAPE EN  PARED VESTIER</t>
  </si>
  <si>
    <t>Enchape de pared en zona de vestier para guardaescobas</t>
  </si>
  <si>
    <t xml:space="preserve">Media caña en sala de procesos </t>
  </si>
  <si>
    <t>Puerta en zonas de proceso</t>
  </si>
  <si>
    <t>marcos para vanos en sala de proceso</t>
  </si>
  <si>
    <t>Puerta en zona de vestier y zona de filtro sanitario</t>
  </si>
  <si>
    <t>EJECUCIÓN PGIO</t>
  </si>
  <si>
    <t>EJECUCIÓN DE INTERVENTORIA</t>
  </si>
  <si>
    <t>COSTO DIRECTO DE OBRAS</t>
  </si>
  <si>
    <t>VALOR DE ADMINISTRACIÓN</t>
  </si>
  <si>
    <t>VALOR DE UTILIDAD</t>
  </si>
  <si>
    <t>VALOR TOTAL PROYECTO</t>
  </si>
  <si>
    <t>M-01</t>
  </si>
  <si>
    <r>
      <rPr>
        <b/>
        <sz val="11"/>
        <rFont val="Arial Narrow"/>
        <family val="2"/>
      </rPr>
      <t>EQUIPOS PLANTAS DE BENFICIO ANIMAL
GOBERNACIÓN DE CALDAS</t>
    </r>
  </si>
  <si>
    <t xml:space="preserve">COTIZACIÓN 1  </t>
  </si>
  <si>
    <t>SERVIACERO SAS</t>
  </si>
  <si>
    <t xml:space="preserve">JC PROYECTOS LOGISTICOS S.A.S </t>
  </si>
  <si>
    <t>FERRECONSTRUCTOR M&amp;E MANIZALES S.A.S</t>
  </si>
  <si>
    <r>
      <t xml:space="preserve">COLUMNAS TIPO Y EN ACERO ESTRUCTURAL 100X100 MM. GALVANIZADO EN CALIENTE. BASE, PASAMANOS Y ESCALERA EN TUBERÍA CUADRADA Y REDONDA DE 1.5"  DE ACERO INOXIDABLE AISI 304 DE 1”, 1½” Y 2” CALIBRE 14 Y 16. PISO EN LÁMINA DE ALFAJOR DE ALUMINIO. INCLUYE SHUT FABRICADO EN LAMINA CAL.14 AISI 304 </t>
    </r>
    <r>
      <rPr>
        <u/>
        <sz val="11"/>
        <rFont val="Arial Narrow"/>
        <family val="2"/>
      </rPr>
      <t xml:space="preserve"> INCLUYE LAVAMANOS Y ESTERILIZADOR</t>
    </r>
  </si>
  <si>
    <r>
      <rPr>
        <sz val="11"/>
        <rFont val="Arial Narrow"/>
        <family val="2"/>
      </rPr>
      <t>LINEA MILANO COLOR BLANCO DE CORONA
REF O14111001 O SIMILAR. (INCLUYE ELEMENTOS DE GRIFERÍA PARA INSTALACIÓN)..</t>
    </r>
  </si>
  <si>
    <r>
      <rPr>
        <b/>
        <sz val="11"/>
        <rFont val="Arial Narrow"/>
        <family val="2"/>
      </rPr>
      <t>PLATAFORMA FIJA  DIMENSIONES:
.DIMENSIONES: L: 2,0 A: 0,70 M H:1,20M</t>
    </r>
  </si>
  <si>
    <r>
      <rPr>
        <sz val="11"/>
        <rFont val="Arial Narrow"/>
        <family val="2"/>
      </rPr>
      <t>1,INTERRUPTOR DE CONTROL DE 6 VOLTIOS PARA UNA MÁXIMA PROTECCIÓN DEL OPERARIO
2,CONTROL DE VATAJE Y DE VOLTAJE (320‐345‐370V‐BAJO VOLTAJE Y
400‐430‐460V‐ALTO VOLTAJE) PARA EVITAR HEMORRAGIAS.
3,VARILLA DE APLICACIÓN CON REDUCIDO PESO (1.5 KILOS) DE FÁCIL AGARRE Y MANIOBRABILIDAD (LONGITUD
VARILLA:  90 CMS. APROX.)
4,APLICADOR ESPECIALMENTE DISEÑADO PARA UN EFECTIVO CONTACTO
5,VARILLA DE APLICACIÓN CON DISEÑO REFORZADO PARA INCREMENTAR SU DURACIÓN.
6,CONTROL DE TIEMPO DE APLICACIÓN DE 0‐10 SEGUNDOS</t>
    </r>
  </si>
  <si>
    <r>
      <rPr>
        <sz val="11"/>
        <rFont val="Arial Narrow"/>
        <family val="2"/>
      </rPr>
      <t>FABRICADO EN:
PLATINA ½” X 2” ACERO INOXIDABLE TIPO 304. RODAMIENTO RÍGIDO DE BOLA
EJE DE DIÁMETRO DE 4” ACERO INOXIDABLE TIPO 304 MECANIZADOS.
GANCHO EXTENSOR DE ½”’ INOX 304</t>
    </r>
  </si>
  <si>
    <r>
      <rPr>
        <sz val="11"/>
        <rFont val="Arial Narrow"/>
        <family val="2"/>
      </rPr>
      <t>COCINA CONSTRUIDA EN LÁMINAS DE MADERA AGLOMERADA DE 15MM, CON RECUBRIMIENTO DECORATIVO EN SUPERFICIES Y BORDES PARA MAYOR PROTECCIÓN INCLUYE UN MUEBLE INFERIOR CON MESÓN EN ACERO INOXIDABLE CON POCETA A LA IZQUIERDA.
TAMBIÉN VIENE CON EL MUEBLE SUPERIOR CON PUERTAS ABATIBLES QUE TE PERMITE ALMACENAR LOS ELEMENTOS DE FORMA MÁS FÁCIL. LOS MUEBLES CUENTAN CON COMPARTIMIENTOS ORGANIZADORES PARA ALIMENTOS, UTENSILIOS DE COCINA O ELEMENTOS DECORATIVOS.
MEDIDAS MUEBLE SUPERIOR: 49 X 100 X 32,05 CM
MEDIDAS MUEBLE INFERIOR: 89,25 X 100 X 52 CM</t>
    </r>
  </si>
  <si>
    <t xml:space="preserve">Fusion Ingenieria SAS </t>
  </si>
  <si>
    <t>Mantenimiento y/o traslado</t>
  </si>
  <si>
    <t>Se han actualizado los precios de los insumos en base al incremento</t>
  </si>
  <si>
    <t xml:space="preserve"> de los indices ICOCIV=3,76% e ICOCED=4,0%; PROM 3,78%</t>
  </si>
  <si>
    <t>febrero 2025</t>
  </si>
  <si>
    <t>PRECIO 2025</t>
  </si>
  <si>
    <t>FABRICADO EN:
PLATINA ½” X 2” ACERO INOXIDABLE TIPO 304. RODAMIENTO RÍGIDO DE BOLA
EJE DE DIÁMETRO DE 4” ACERO INOXIDABLE TIPO 304 MECANIZADOS.
GANCHO ESPERNANCADOR DE 5/8” INOX 304.</t>
  </si>
  <si>
    <t>ADMINISTRACION DE EQUIPOS</t>
  </si>
  <si>
    <t>AU OBRA CIVIL</t>
  </si>
  <si>
    <t>COSTO DIRECTO ADQUISICION DE EQUIPOS</t>
  </si>
  <si>
    <t xml:space="preserve">TOTAL COSTO DIRECTO </t>
  </si>
  <si>
    <t xml:space="preserve">VALOR TOTAL PGIO(Plan de Gestión Integral en Obra) </t>
  </si>
  <si>
    <t>VALOR TOTAL DEL PROYECTO PBA PALESTINA</t>
  </si>
  <si>
    <t>COSTO DIRECTO OBRA CIVIL</t>
  </si>
  <si>
    <t xml:space="preserve"> Pro-cultura (1%)</t>
  </si>
  <si>
    <t>LOCALIZACION Y REPLANTEO</t>
  </si>
  <si>
    <t>DEMOLICIÓN DE MUROS EXISTENTES</t>
  </si>
  <si>
    <t>DESMONTE DE ESTRUCTURA CORRALES EXISTENTES (INCLUYE RETIRO)</t>
  </si>
  <si>
    <t xml:space="preserve">SUMINISTRO E INSTALACION DE ZAPATAS 1X1X0.3 EN CONCRETO DE 3000PSI INCLUYE REFUERZO </t>
  </si>
  <si>
    <t>SUMINISTRO, TRANSPORTE E INSTALACIÓN COLUMNA DE 12X 15cm INCLUYE REFUERZO Y FORMALETA, CONCRETO 3000PSI</t>
  </si>
  <si>
    <t>SUMINISTRO, TRANSPORTE E INSTALACIÓN COLUMNA DE 20X28cm INCLUYE REFUERZO Y FORMALETA 3000PSI</t>
  </si>
  <si>
    <t>SUMINISTRO, TRANSPORTE E INSTALACIÓN VIGA 10X 15cm INCLUYE REFUERZO Y FORMALETA CONCRETO 3000PSI</t>
  </si>
  <si>
    <t>SUMINISTRO, TRANSPORTE E INSTALACIÓN VIGA DE 20X30cm INCLUYE REFUERZO Y FORMALETA 3000PSI</t>
  </si>
  <si>
    <t>LLENO COMPACTADO</t>
  </si>
  <si>
    <t>SUMINISTRO, TRANSPORTE E INSTALACIÓN MURO EN MAMPOSTERIA, LADRILLO FAROL 12</t>
  </si>
  <si>
    <t>SUMINISTRO E INSTALACION DE ESTUCO Y PINTURA ACABADO SANITARIO PARA CORRALES, CON PINTURA TIPO O SIMILAR KORAZA 3 MANOS</t>
  </si>
  <si>
    <t>SUMINISTRO, TRANSPORTE E INSTALACIÓN LOSA METALDECK CAL. 16, (incluye malla electrosoldada 15x15X4mm)</t>
  </si>
  <si>
    <t>SUMINISTRO, TRANSPORTE E INSTALACIÓN PERFIL PARA SOPORTAR MURO DE CORRAL, EN TUBO CIRCULAR CL. 12 D=12 CM H=1.8</t>
  </si>
  <si>
    <t>SUMINISTRO, TRANSPORTE E INSTALACIÓN PERFIL PARA MURO DE CORRAL, EN TUBO CIRCULAR DE D=6 CL. 12</t>
  </si>
  <si>
    <t>SUMINISTRO E INSTALACION DE PUERTA DE ACCESO METÁLICA ANTIVANDALICA DE 4.4M Y 2.5 DE ALTURA. InCLUYE SORPORTES Y ANCLAJES</t>
  </si>
  <si>
    <t>REMOSIÓN Y LIMPIEZA DE PINTURA  DE PERFILES METALICOS DE MUROS DE CERRAMIENTO CORRALES</t>
  </si>
  <si>
    <t>SUMINISTRO, TRANSPORTE E INSTALACIÓN REJILLA DE PROTECCIÓN PARA INBORNAL DE 0.9*0.2 CON BARILLA DE 1''</t>
  </si>
  <si>
    <t>SUMINISTRO, TRANSPORTE E INSTALACIÓN REFLECTOR DE 250 VATIOS-SODIA ALTA PRESIÓN - 208/240 VOLTIOS - SODIO ALTA PRESIÓN - CUADRADO - CERRADO - ESTRIBOS COMPLETOS:CHASIS, BOMBILLA, ARRANCADOR, ETC. ACCESORIOS DE FIJACIÓN E INSTALACIÓN - REFERENCIA RRA ROY ALPHA O SIMILAR</t>
  </si>
  <si>
    <t>SUMINISTRO, TRANSPORTE E INSTALACIÓN CUBIERTA DE CORRALES DE INSPECCIÓN EN TEJA DE FIBROCEMENTO P-7 N°5, INCLUYE ESTRUCTURA METALICA PINTADA</t>
  </si>
  <si>
    <t>SUMINISTRO E INSTALACION DE FLANCHE EN LAMINA GALVANIZADA</t>
  </si>
  <si>
    <t>SUMINISTRO, TRANSPORTE E INSTALACIÓN DE CERRAMIENTO CON MALLA ESLABONADA  H=1.80m CON PERFILES QUE SOPORTEN SU PESO Y SUS RESPECTIVOS ANCLAJES ( SE RECOMIENDA LAS DIAGONALES ESTRUCTURALES</t>
  </si>
  <si>
    <t>SUMINISTRO, TRANSPORTE E INSTALACIÓN POLISOMBRA PARA PROTECCIÓN CORRALES, INLCUYE ESTRUCTURA METALICA.</t>
  </si>
  <si>
    <t>SUMINISTRO, TRANSPORTE E INSTALACIÓN BEBEDEROS DE CHUPON PARA CORRRAL DE INSPECCIÓN DE PORCINOS</t>
  </si>
  <si>
    <t>SUMINISTRO E INSTALACION DE PUERTA ABATIBLE EN TUBO CIRCULAR DE CL. 12 D=12 H=1.8</t>
  </si>
  <si>
    <t xml:space="preserve">UN </t>
  </si>
  <si>
    <t>SUMINISTRO E INSTALACION DE PLATAFORMA DE TRABAJO INDUSTRIAL MOVIL CON ESCALERA</t>
  </si>
  <si>
    <t>SUMINISTRO, TRANSPORTE E INSTALACION CERAMICA PARED POMPEI TIPO ALFA O SIMILAR. COLOR CORAL O SHELL SEGÚN DISEÑO (INCLUYE BOQUILLA COLOR Y WIN.). INCLUYE MORTERO DE PEGA Y/O NIVELACIÓN PARA BEBEDEROS DE CORRALES BOBINOS</t>
  </si>
  <si>
    <t>SUMINISTRO E INSTALACIÓN DE ABRIGO PARA MUELLE DE CARGA</t>
  </si>
  <si>
    <t>OBRAS INTERIORES</t>
  </si>
  <si>
    <t>BALANCE DE ACTIVIDADES GENERAL DE OBRA</t>
  </si>
  <si>
    <t>EDT HOSPITAL NORCASIA</t>
  </si>
  <si>
    <t>ACTIVIDADES DEFINIDAS</t>
  </si>
  <si>
    <t>CAPITULOS</t>
  </si>
  <si>
    <t>DEFINIDAS</t>
  </si>
  <si>
    <t>CON APU</t>
  </si>
  <si>
    <t>SIN APU</t>
  </si>
  <si>
    <t>CON CANTIDADES</t>
  </si>
  <si>
    <t>CON ESPECIFICACI</t>
  </si>
  <si>
    <t>OBSERVACION</t>
  </si>
  <si>
    <t>OBRAS PRELIMINARES</t>
  </si>
  <si>
    <t>2.0</t>
  </si>
  <si>
    <t>MOVIMIENTO DE TIERRAS</t>
  </si>
  <si>
    <t>2A.0</t>
  </si>
  <si>
    <t>CIMENTACIONES</t>
  </si>
  <si>
    <t>PISOS, BASES Y RELLENOS</t>
  </si>
  <si>
    <t>5.0</t>
  </si>
  <si>
    <t>ESTRUCTURAS DE CONCRETO, METALICAS Y MADERA</t>
  </si>
  <si>
    <t>INSTALACIONES HIDRAULICAS</t>
  </si>
  <si>
    <t>REVOQUES-RESANES</t>
  </si>
  <si>
    <t>CIELOS RASOS</t>
  </si>
  <si>
    <t>VIDRIOS Y ESPEJOS</t>
  </si>
  <si>
    <t>APARATOS SANITARIOS</t>
  </si>
  <si>
    <t>16.0</t>
  </si>
  <si>
    <t>CARPINTERIA DE MADERA</t>
  </si>
  <si>
    <t>17.0</t>
  </si>
  <si>
    <t>19.0</t>
  </si>
  <si>
    <t>SISTEMA RCI</t>
  </si>
  <si>
    <t>21.0</t>
  </si>
  <si>
    <t>URBANISMO</t>
  </si>
  <si>
    <t>22.0</t>
  </si>
  <si>
    <t>27.0</t>
  </si>
  <si>
    <t>OTROS</t>
  </si>
  <si>
    <t>30.0</t>
  </si>
  <si>
    <t>SISTEMA DE TRANSPORTE VERTICAL</t>
  </si>
  <si>
    <t>35.0</t>
  </si>
  <si>
    <t>VENTILACION MECANICA</t>
  </si>
  <si>
    <t>36.0</t>
  </si>
  <si>
    <t>SISTEMA DE VOZ Y DATOS</t>
  </si>
  <si>
    <t>37.0</t>
  </si>
  <si>
    <t>SISTEMA CCTV</t>
  </si>
  <si>
    <t>38.0</t>
  </si>
  <si>
    <t>SISTEMA CONTROL DE ACCESOS</t>
  </si>
  <si>
    <t>39.0</t>
  </si>
  <si>
    <t>SISTEMA DETECCION DE INCENDIOS</t>
  </si>
  <si>
    <t>40.0</t>
  </si>
  <si>
    <t>RED DE GASES MEDICINALES</t>
  </si>
  <si>
    <t>SISTEMA BMS</t>
  </si>
  <si>
    <t>SEÑALETICA</t>
  </si>
  <si>
    <t>Faltan especificaciones</t>
  </si>
  <si>
    <t>SUMINISTRO DE EQUIPOS</t>
  </si>
  <si>
    <t>PORCENTAJE</t>
  </si>
  <si>
    <t>5.1</t>
  </si>
  <si>
    <t>5.2</t>
  </si>
  <si>
    <t>5.3</t>
  </si>
  <si>
    <t>5.4</t>
  </si>
  <si>
    <t>5.10</t>
  </si>
  <si>
    <t>5.11</t>
  </si>
  <si>
    <t>6.1</t>
  </si>
  <si>
    <t>8.3</t>
  </si>
  <si>
    <t>8.4</t>
  </si>
  <si>
    <t>19.4</t>
  </si>
  <si>
    <t>19.5</t>
  </si>
  <si>
    <t xml:space="preserve">LOCALIZACION Y REPLANTEO </t>
  </si>
  <si>
    <t>CODINSUMO</t>
  </si>
  <si>
    <t>VR. UNITARIO</t>
  </si>
  <si>
    <t>HE0013</t>
  </si>
  <si>
    <t>PUNTILLA CON CABEZA DE 2"</t>
  </si>
  <si>
    <t>CUADRILLA TIPO 10 ( 1 Ofi +5 Ayud)</t>
  </si>
  <si>
    <t>EXCAVACIÓN PARA ESTRUCTURAS - MATERIAL COMÚN - 0.0 A 2.0 M</t>
  </si>
  <si>
    <t xml:space="preserve"> SUMINISTRO, TRANSPORTE E INSTALACIÓN  CONCRETO DE 3000 PSI,  PARA ZAPATAS, INCLUYE REFUERZO</t>
  </si>
  <si>
    <t>Subsidio Transporte 2025</t>
  </si>
  <si>
    <t>Salario mínimo 2025</t>
  </si>
  <si>
    <t>Acero de refuerzo</t>
  </si>
  <si>
    <t>2A.1</t>
  </si>
  <si>
    <t>CUADRILLA TIPO 1 (1 of + 1 Ayu)</t>
  </si>
  <si>
    <t xml:space="preserve">TRANSPORTE MATERIAL </t>
  </si>
  <si>
    <t>CORTADORA DE LADRILLO</t>
  </si>
  <si>
    <t xml:space="preserve"> LADRILLO FACHADA Prensado Liviano (24.5 x 12 x 6 cm.) Arcilla Perforación vertical</t>
  </si>
  <si>
    <t>2.4</t>
  </si>
  <si>
    <t>RELLENO EN MATERIAL SELECCIONADO PROVENIENTE DE LA EXCAVACION (CANGURO)</t>
  </si>
  <si>
    <t>5.6</t>
  </si>
  <si>
    <t xml:space="preserve"> SUMINISTRO TRANSPORTE E INSTALACIÓN VIGAS DE CONCRETO DE 3000 PSI 20X30 CM, INCLUYE ACERO DE REFUERZO</t>
  </si>
  <si>
    <t>5.7</t>
  </si>
  <si>
    <t>SUMINISTRO, TRANSPORTE E INSTALACIÓN DE CÁMARA DE ALCANTARILLADO  DE 0,6mx0,6m H promedio 1,8 m</t>
  </si>
  <si>
    <t>SUMINISTRO, TRANSPORTE E INSTALACIÓN DE TUBERIA SANITARIA 4"</t>
  </si>
  <si>
    <t>DEMOLICIÓN DE PISO PARA INSTALACIÓN DE TUBERIA</t>
  </si>
  <si>
    <t xml:space="preserve">SUMINISTRO E INSTALACION DE LOSA DE CONTRAPISO PARA REPOSICIÓN DE PISO </t>
  </si>
  <si>
    <t>CONEXIÓN A CÁMARA DE ALCANTARILLADO</t>
  </si>
  <si>
    <t>ADECUACIONES SANITARIAS</t>
  </si>
  <si>
    <t>7.8</t>
  </si>
  <si>
    <t>7.9</t>
  </si>
  <si>
    <t>BEBEDERO METALICO CERDO</t>
  </si>
  <si>
    <t>SUMINISTRO, TRANSPORTE E INSTALACIÓN BEBEDEROS DE CHUPON PARA CORRAL DE INSPECCIÓN DE PORCINOS</t>
  </si>
  <si>
    <t>SUMINSITRO, TRANSPORTE E INSTALACIÓN DE BEBEDEROS PARA LOS CORRALES BOBINOS, MURO EN MAMPOSTERÍA CON CERÁMICA DE USO INSTITUCIONAL Y PIRAGÜA</t>
  </si>
  <si>
    <t>HE0014</t>
  </si>
  <si>
    <t>IH0215</t>
  </si>
  <si>
    <t>M136</t>
  </si>
  <si>
    <t>M197</t>
  </si>
  <si>
    <t>M0046</t>
  </si>
  <si>
    <t>M0389</t>
  </si>
  <si>
    <t>M0171</t>
  </si>
  <si>
    <t>M0019</t>
  </si>
  <si>
    <t>M191</t>
  </si>
  <si>
    <t>SA0008</t>
  </si>
  <si>
    <t>SA0003</t>
  </si>
  <si>
    <t>CUADRILLA TIPO 7 ( 1 Ofi + 4 Ayud)</t>
  </si>
  <si>
    <t>CUARTON ORDINARIO</t>
  </si>
  <si>
    <t>TABLA FORMALETA</t>
  </si>
  <si>
    <t>LADRILLO FAROL RAYADO 0,12X0.20X0.3M</t>
  </si>
  <si>
    <t>PIRAGUA EN ALUMINIO</t>
  </si>
  <si>
    <t>boquilla para piso</t>
  </si>
  <si>
    <t>CONCRETO DE 3000 PSI  PRODUCCIÓN</t>
  </si>
  <si>
    <t>CERAMICA BLANCA 20X30 CM</t>
  </si>
  <si>
    <t>CERAMICA BLANCA 20X30</t>
  </si>
  <si>
    <t xml:space="preserve">SUMINISTRO E INSTALACION DE RAMPAS EN CONCRETO 3000 PSI, CON BANDA ANTIDESLIZANTE (CADA 20cm APORX.) Y ACABADO SANITARIO </t>
  </si>
  <si>
    <t>17.1</t>
  </si>
  <si>
    <t>17.2</t>
  </si>
  <si>
    <t>17.3</t>
  </si>
  <si>
    <t>17.5</t>
  </si>
  <si>
    <t>SUMINISTRO E INSTALACION DE PUERTA CORREDIZA EN TUBO CIRCULAR DE CL.8 D=12 H=1.8</t>
  </si>
  <si>
    <t>SUMINISTRO E INSTALACION DE PUERTA ABATIBLE EN TUBO CIRCULAR DE CL. 8 D=12 H=1.8</t>
  </si>
  <si>
    <t>17.6</t>
  </si>
  <si>
    <t>5.15</t>
  </si>
  <si>
    <t>5.13</t>
  </si>
  <si>
    <t xml:space="preserve">SUMINISTRO, TRANSPORTE E INSTALACION MALLA ELECTROSOLDADA </t>
  </si>
  <si>
    <t>Metaldeck 2pg 940x6100mm Cal.22 0.75mm</t>
  </si>
  <si>
    <t>VIBRADOR DE CONCRETO</t>
  </si>
  <si>
    <t>BANDA ANTIDESLIZANTE</t>
  </si>
  <si>
    <t>SIKAFLOOR 2430</t>
  </si>
  <si>
    <t>COSTO DIRECTO</t>
  </si>
  <si>
    <t>CUADRILLA TIPO 8 ( 1 Ofi + 3 Ayud)</t>
  </si>
  <si>
    <t>M183</t>
  </si>
  <si>
    <t>GAL</t>
  </si>
  <si>
    <t>M0380</t>
  </si>
  <si>
    <t>TUBO ESTRUCTURAL CIRCULAR CAL. 8 D=3"</t>
  </si>
  <si>
    <t>SA0005</t>
  </si>
  <si>
    <t>CONCRETO DE 3000 PSI (21 MPA) PRODUCCIÓN</t>
  </si>
  <si>
    <t>Soldadura west arco 6013</t>
  </si>
  <si>
    <t>% tuberia</t>
  </si>
  <si>
    <t>I220</t>
  </si>
  <si>
    <t>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t>
  </si>
  <si>
    <t>SUMINISTRO E INSTALACION DE PUERTA CORREDIZA EN TUBO CIRCULAR DE CAL. 12 D=12 CM H=1.8 M</t>
  </si>
  <si>
    <t>HE0023</t>
  </si>
  <si>
    <t>M0382</t>
  </si>
  <si>
    <t>RODAMIENTO PORTON PUERTA CON RANURA EN V TIPO PESADO</t>
  </si>
  <si>
    <t>M0383</t>
  </si>
  <si>
    <t>RODAMIENTO COLGANTE PUERTA 4 RUEDAS MNETALICAS</t>
  </si>
  <si>
    <t>IH0144</t>
  </si>
  <si>
    <t>M0074</t>
  </si>
  <si>
    <t>SOLDADURA west arco 6013</t>
  </si>
  <si>
    <t>REMOSIÓN Y LIMPIEZA Y PINTURA DE PERFILES METÁLICOS EXISTENTES DE MUROS DE CERRAMIENTOS DE CORRALES.</t>
  </si>
  <si>
    <t>HE0041</t>
  </si>
  <si>
    <t>PULIDORA industrial</t>
  </si>
  <si>
    <t>MT0033</t>
  </si>
  <si>
    <t>Lija de agua</t>
  </si>
  <si>
    <t>18.1</t>
  </si>
  <si>
    <t>H2</t>
  </si>
  <si>
    <t>EQUIPO BASICO (HERRAMIENTA MENOR)</t>
  </si>
  <si>
    <t>I1110</t>
  </si>
  <si>
    <t>I1162</t>
  </si>
  <si>
    <t>I1378</t>
  </si>
  <si>
    <t>I1565</t>
  </si>
  <si>
    <t>18.2</t>
  </si>
  <si>
    <t>I300</t>
  </si>
  <si>
    <t>I307</t>
  </si>
  <si>
    <t>I966</t>
  </si>
  <si>
    <t>ESTRUCTURA METALICA PARA CUBIERTA</t>
  </si>
  <si>
    <t>18.3</t>
  </si>
  <si>
    <t>AB5</t>
  </si>
  <si>
    <t>CONCRETO 3000 psi - 21 Mpa</t>
  </si>
  <si>
    <t>I1001</t>
  </si>
  <si>
    <t>I1002</t>
  </si>
  <si>
    <t>I161</t>
  </si>
  <si>
    <t>I169</t>
  </si>
  <si>
    <t>I170</t>
  </si>
  <si>
    <t>I435</t>
  </si>
  <si>
    <t>I680</t>
  </si>
  <si>
    <t>I684</t>
  </si>
  <si>
    <t>I1999</t>
  </si>
  <si>
    <t>POLISOMBRA NEGRA 35%</t>
  </si>
  <si>
    <t>18.4</t>
  </si>
  <si>
    <t>18.5</t>
  </si>
  <si>
    <t>TUBO ESTRUCTURAL CIRCULAR CAL. 8 D=4"</t>
  </si>
  <si>
    <t>TUBO ESTRUCTURAL CIRCULAR CAL. 12 D=4"</t>
  </si>
  <si>
    <t>TUBO ESTRUCTURAL CIRCULAR CAL. 12 D=2"</t>
  </si>
  <si>
    <t>TUBO ESTRUCTURAL CIRCULAR CAL. 12 D=6</t>
  </si>
  <si>
    <t>ESCALERA CERTIFICADA PLATAFORMA DE TRABAJO</t>
  </si>
  <si>
    <t>18.6</t>
  </si>
  <si>
    <t>ABRIGO PARA MUELLE DE CARGA</t>
  </si>
  <si>
    <t>18.7</t>
  </si>
  <si>
    <t>COSTO DIRECTO OBRAS EXTERIORES</t>
  </si>
  <si>
    <t>COSTO DIRECTO OBRAS INTERIORES</t>
  </si>
  <si>
    <t>COSTO TOTAL OBRAS</t>
  </si>
  <si>
    <t>COSTO DIRECTO EQUIPOS</t>
  </si>
  <si>
    <t>COSTO DIRECTO TOTAL</t>
  </si>
  <si>
    <t>HERNEY MARIN QUINTERO</t>
  </si>
  <si>
    <t>Tarjeta Profesional No. 174202-17905 CDS</t>
  </si>
  <si>
    <t>AU</t>
  </si>
  <si>
    <t>COSTOS INTERVETORIA</t>
  </si>
  <si>
    <t>COSTO DIRECTO OBRA CIVIL TOTAL</t>
  </si>
  <si>
    <t>SUMINISTRO E INSTALACION DE LOSA EN CONRETO DE 3000PSI CON ACABADO SANITARIO PARA CORRALES (incluye malla electrosoldada 15x15X40)</t>
  </si>
  <si>
    <t>COSTOS INDIRECTOS</t>
  </si>
  <si>
    <t>COSTO TOTAL OBRAS EXTERIORES</t>
  </si>
  <si>
    <t>Instalación de concreto en zonas de ampliación y/o remodelación como zona de vestier hombres</t>
  </si>
  <si>
    <t>OBRAS EXTERIORES</t>
  </si>
  <si>
    <t>ADMINISTRACION EQUIPOS A</t>
  </si>
  <si>
    <t>56.0</t>
  </si>
  <si>
    <t>57.0</t>
  </si>
  <si>
    <t>58.0</t>
  </si>
  <si>
    <t>59.0</t>
  </si>
  <si>
    <t>60.0</t>
  </si>
  <si>
    <t>61.0</t>
  </si>
  <si>
    <t>62.0</t>
  </si>
  <si>
    <t>63.0</t>
  </si>
  <si>
    <t>64.0</t>
  </si>
  <si>
    <t>65.0</t>
  </si>
  <si>
    <t>66.0</t>
  </si>
  <si>
    <t>66.1</t>
  </si>
  <si>
    <t>66.2</t>
  </si>
  <si>
    <t>66.3</t>
  </si>
  <si>
    <t>66.4</t>
  </si>
  <si>
    <t>66.5</t>
  </si>
  <si>
    <t>OBRAS VARIAS</t>
  </si>
  <si>
    <t>18.0</t>
  </si>
  <si>
    <t>COSTO DIRECTO MAS AIU</t>
  </si>
  <si>
    <t>PLAN DE GESTION INTEGRAL DE OBRA (PGIO)</t>
  </si>
  <si>
    <t xml:space="preserve">COSTO TOTAL DE INTERVENTORIA </t>
  </si>
  <si>
    <t>COSTO TOTAL DE OBRA+ INTERVENTORIA</t>
  </si>
  <si>
    <t>56.1</t>
  </si>
  <si>
    <t>56.2</t>
  </si>
  <si>
    <t>56.3</t>
  </si>
  <si>
    <t>57.1</t>
  </si>
  <si>
    <t>58.1</t>
  </si>
  <si>
    <t>59.1</t>
  </si>
  <si>
    <t>59.2</t>
  </si>
  <si>
    <t>59.3</t>
  </si>
  <si>
    <t>59.4</t>
  </si>
  <si>
    <t>59.5</t>
  </si>
  <si>
    <t>59.6</t>
  </si>
  <si>
    <t>59.7</t>
  </si>
  <si>
    <t>60.1</t>
  </si>
  <si>
    <t>61.1</t>
  </si>
  <si>
    <t>61.2</t>
  </si>
  <si>
    <t>62.1</t>
  </si>
  <si>
    <t>62.2</t>
  </si>
  <si>
    <t>63.1</t>
  </si>
  <si>
    <t>64.1</t>
  </si>
  <si>
    <t>64.2</t>
  </si>
  <si>
    <t>64.3</t>
  </si>
  <si>
    <t>64.4</t>
  </si>
  <si>
    <t>64.5</t>
  </si>
  <si>
    <t>65.1</t>
  </si>
  <si>
    <t>65.2</t>
  </si>
  <si>
    <t>65.3</t>
  </si>
  <si>
    <t>65.4</t>
  </si>
  <si>
    <t>65.5</t>
  </si>
  <si>
    <t>65.6</t>
  </si>
  <si>
    <t>65.7</t>
  </si>
  <si>
    <t>COSTO DIRECTO E INDIRECTO OBRAS EXTERIORES</t>
  </si>
  <si>
    <t>COSTO DIRECTO E INDIRECTO EQUIPOS</t>
  </si>
  <si>
    <t>COSTO DIRECTO E INDIRECTO OBRAS INTERIORES</t>
  </si>
  <si>
    <t>INVERSION ACUMULADA</t>
  </si>
  <si>
    <t>INVERSIÓN ACUMULADA CON COSTOS INDIRECTOS</t>
  </si>
  <si>
    <t>INVERSION ACUMULADA CON COSTOS INDIRECTOS</t>
  </si>
  <si>
    <t>COSTO OBRAS EXTERIORES</t>
  </si>
  <si>
    <t>COSTO OBRAS INTERIORES</t>
  </si>
  <si>
    <t xml:space="preserve">APORTE GOBERNACIÓN </t>
  </si>
  <si>
    <t>APORTE MUNICIPIO</t>
  </si>
  <si>
    <t>COSTO TOTAL PBA</t>
  </si>
  <si>
    <t>INTERVENTORIA</t>
  </si>
  <si>
    <t>OBRA Y EQUIPOS</t>
  </si>
</sst>
</file>

<file path=xl/styles.xml><?xml version="1.0" encoding="utf-8"?>
<styleSheet xmlns="http://schemas.openxmlformats.org/spreadsheetml/2006/main" xmlns:mc="http://schemas.openxmlformats.org/markup-compatibility/2006" xmlns:x14ac="http://schemas.microsoft.com/office/spreadsheetml/2009/9/ac" mc:Ignorable="x14ac">
  <numFmts count="33">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0"/>
    <numFmt numFmtId="165" formatCode="&quot;$&quot;\ #,##0.00"/>
    <numFmt numFmtId="166" formatCode="[$$-240A]\ #,##0"/>
    <numFmt numFmtId="167" formatCode="_([$$-240A]\ * #,##0_);_([$$-240A]\ * \(#,##0\);_([$$-240A]\ * &quot;-&quot;??_);_(@_)"/>
    <numFmt numFmtId="168" formatCode="_([$$-240A]\ * #,##0.00_);_([$$-240A]\ * \(#,##0.00\);_([$$-240A]\ * &quot;-&quot;??_);_(@_)"/>
    <numFmt numFmtId="169" formatCode="dd/mm/yyyy;@"/>
    <numFmt numFmtId="170" formatCode="0.000000"/>
    <numFmt numFmtId="171" formatCode="0.00000"/>
    <numFmt numFmtId="172" formatCode="#,##0;[Red]#,##0"/>
    <numFmt numFmtId="173" formatCode="\$\ #,##0"/>
    <numFmt numFmtId="174" formatCode="0.0"/>
    <numFmt numFmtId="175" formatCode="_ * #,##0.00_ ;_ * \-#,##0.00_ ;_ * &quot;-&quot;??_ ;_ @_ "/>
    <numFmt numFmtId="176" formatCode="_-&quot;$&quot;\ * #,##0.00_-;\-&quot;$&quot;\ * #,##0.00_-;_-&quot;$&quot;\ * &quot;-&quot;??_-;_-@"/>
    <numFmt numFmtId="177" formatCode="_-&quot;$&quot;\ * #,##0_-;\-&quot;$&quot;\ * #,##0_-;_-&quot;$&quot;\ * &quot;-&quot;??_-;_-@"/>
    <numFmt numFmtId="178" formatCode="&quot;$&quot;\ #,##0"/>
    <numFmt numFmtId="179" formatCode="#,##0.0000_);\-#,##0.0000;&quot;&lt;Default Format&gt;&quot;"/>
    <numFmt numFmtId="180" formatCode="_(&quot;$&quot;* #,##0_);_(&quot;$&quot;* \(#,##0\);_(&quot;$&quot;* &quot;-&quot;_);_(@_)"/>
    <numFmt numFmtId="181" formatCode="_(&quot;$&quot;\ * #,##0.00_);_(&quot;$&quot;\ * \(#,##0.00\);_(&quot;$&quot;\ * &quot;-&quot;??_);_(@_)"/>
    <numFmt numFmtId="182" formatCode="&quot;COSTO DIRECTO&quot;\ \ &quot;$&quot;\ #,000"/>
    <numFmt numFmtId="183" formatCode="_-* #,##0_-;\-* #,##0_-;_-* &quot;-&quot;??_-;_-@_-"/>
    <numFmt numFmtId="184" formatCode="&quot;$&quot;\ #,##0.00;[Red]&quot;$&quot;\ \-#,##0.00"/>
    <numFmt numFmtId="185" formatCode="0.0000"/>
    <numFmt numFmtId="186" formatCode="0.0%"/>
    <numFmt numFmtId="187" formatCode="_-&quot;$&quot;\ * #,##0.00000000_-;\-&quot;$&quot;\ * #,##0.00000000_-;_-&quot;$&quot;\ * &quot;-&quot;??_-;_-@_-"/>
    <numFmt numFmtId="188" formatCode="_(&quot;$&quot;\ * #,##0_);_(&quot;$&quot;\ * \(#,##0\);_(&quot;$&quot;\ * &quot;-&quot;??_);_(@_)"/>
    <numFmt numFmtId="189" formatCode="_-&quot;$&quot;* #,##0.00_-;\-&quot;$&quot;* #,##0.00_-;_-&quot;$&quot;* &quot;-&quot;??_-;_-@_-"/>
    <numFmt numFmtId="190" formatCode="_(&quot;$&quot;* #,##0.00_);_(&quot;$&quot;* \(#,##0.00\);_(&quot;$&quot;* &quot;-&quot;??_);_(@_)"/>
    <numFmt numFmtId="191" formatCode="_-&quot;$&quot;\ * #,##0_-;\-&quot;$&quot;\ * #,##0_-;_-&quot;$&quot;\ * &quot;-&quot;??_-;_-@_-"/>
  </numFmts>
  <fonts count="107" x14ac:knownFonts="1">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
      <sz val="11"/>
      <color theme="1"/>
      <name val="Calibri"/>
      <family val="2"/>
      <scheme val="minor"/>
    </font>
    <font>
      <b/>
      <sz val="9"/>
      <name val="Arial"/>
      <family val="2"/>
    </font>
    <font>
      <sz val="10"/>
      <color indexed="8"/>
      <name val="MS Sans Serif"/>
      <family val="2"/>
    </font>
    <font>
      <sz val="10"/>
      <name val="Arial"/>
      <family val="2"/>
    </font>
    <font>
      <sz val="9"/>
      <name val="Arial"/>
      <family val="2"/>
    </font>
    <font>
      <b/>
      <sz val="10"/>
      <name val="Arial"/>
      <family val="2"/>
    </font>
    <font>
      <sz val="10"/>
      <color theme="1"/>
      <name val="Arial"/>
      <family val="2"/>
    </font>
    <font>
      <b/>
      <sz val="10"/>
      <color theme="1"/>
      <name val="Arial"/>
      <family val="2"/>
    </font>
    <font>
      <b/>
      <sz val="12"/>
      <name val="Arial"/>
      <family val="2"/>
    </font>
    <font>
      <sz val="9"/>
      <color indexed="8"/>
      <name val="Arial"/>
      <family val="2"/>
    </font>
    <font>
      <b/>
      <sz val="9"/>
      <color indexed="8"/>
      <name val="Arial"/>
      <family val="2"/>
    </font>
    <font>
      <b/>
      <sz val="9"/>
      <color indexed="12"/>
      <name val="Arial"/>
      <family val="2"/>
    </font>
    <font>
      <sz val="9"/>
      <color rgb="FF00B050"/>
      <name val="Arial"/>
      <family val="2"/>
    </font>
    <font>
      <sz val="11"/>
      <color indexed="8"/>
      <name val="Calibri"/>
      <family val="2"/>
    </font>
    <font>
      <sz val="10"/>
      <name val="Tahoma"/>
      <family val="2"/>
    </font>
    <font>
      <sz val="9"/>
      <color rgb="FFFF0000"/>
      <name val="Arial"/>
      <family val="2"/>
    </font>
    <font>
      <sz val="9"/>
      <color indexed="14"/>
      <name val="Arial"/>
      <family val="2"/>
    </font>
    <font>
      <sz val="10"/>
      <color rgb="FF000000"/>
      <name val="Arial Narrow"/>
      <family val="2"/>
    </font>
    <font>
      <sz val="10"/>
      <color rgb="FF000000"/>
      <name val="Times New Roman"/>
      <family val="1"/>
    </font>
    <font>
      <sz val="11"/>
      <color theme="1"/>
      <name val="Arial"/>
      <family val="2"/>
    </font>
    <font>
      <b/>
      <sz val="11"/>
      <color theme="1"/>
      <name val="Arial"/>
      <family val="2"/>
    </font>
    <font>
      <sz val="11"/>
      <name val="Arial"/>
      <family val="2"/>
    </font>
    <font>
      <sz val="12"/>
      <color theme="1"/>
      <name val="Arial"/>
      <family val="2"/>
    </font>
    <font>
      <b/>
      <sz val="11"/>
      <color theme="1"/>
      <name val="Arial Narrow"/>
      <family val="2"/>
    </font>
    <font>
      <b/>
      <sz val="11"/>
      <name val="Arial"/>
      <family val="2"/>
    </font>
    <font>
      <sz val="9"/>
      <color indexed="8"/>
      <name val="Calibri"/>
      <family val="2"/>
    </font>
    <font>
      <b/>
      <sz val="9"/>
      <color theme="1"/>
      <name val="Arial Narrow"/>
      <family val="2"/>
    </font>
    <font>
      <b/>
      <sz val="9"/>
      <name val="Calibri"/>
      <family val="2"/>
    </font>
    <font>
      <sz val="11"/>
      <color theme="1"/>
      <name val="Calibri"/>
      <family val="2"/>
    </font>
    <font>
      <b/>
      <sz val="9"/>
      <color theme="1"/>
      <name val="Calibri"/>
      <family val="2"/>
      <scheme val="minor"/>
    </font>
    <font>
      <b/>
      <sz val="9"/>
      <color theme="1"/>
      <name val="Arial"/>
      <family val="2"/>
    </font>
    <font>
      <sz val="9"/>
      <color theme="1"/>
      <name val="Arial Narrow"/>
      <family val="2"/>
    </font>
    <font>
      <sz val="9"/>
      <color theme="1"/>
      <name val="Calibri"/>
      <family val="2"/>
      <scheme val="minor"/>
    </font>
    <font>
      <sz val="8"/>
      <name val="Arial"/>
      <family val="2"/>
    </font>
    <font>
      <b/>
      <sz val="11"/>
      <color theme="1"/>
      <name val="Calibri Light"/>
      <family val="2"/>
      <scheme val="major"/>
    </font>
    <font>
      <sz val="11"/>
      <color theme="1"/>
      <name val="Calibri Light"/>
      <family val="2"/>
      <scheme val="major"/>
    </font>
    <font>
      <sz val="11"/>
      <name val="Calibri Light"/>
      <family val="2"/>
      <scheme val="major"/>
    </font>
    <font>
      <sz val="9"/>
      <color theme="1"/>
      <name val="Arial"/>
      <family val="2"/>
    </font>
    <font>
      <sz val="8"/>
      <name val="Calibri"/>
      <family val="2"/>
      <scheme val="minor"/>
    </font>
    <font>
      <b/>
      <sz val="9"/>
      <color rgb="FF000000"/>
      <name val="Arial"/>
      <family val="2"/>
    </font>
    <font>
      <sz val="9"/>
      <color rgb="FF000000"/>
      <name val="Arial"/>
      <family val="2"/>
    </font>
    <font>
      <sz val="9"/>
      <color rgb="FF000000"/>
      <name val="Arial Narrow"/>
      <family val="2"/>
    </font>
    <font>
      <sz val="9"/>
      <color indexed="8"/>
      <name val="Arial Narrow"/>
      <family val="2"/>
    </font>
    <font>
      <sz val="10"/>
      <color indexed="8"/>
      <name val="Arial Narrow"/>
      <family val="2"/>
    </font>
    <font>
      <sz val="10"/>
      <color theme="1"/>
      <name val="Arial Narrow"/>
      <family val="2"/>
    </font>
    <font>
      <b/>
      <sz val="12"/>
      <color theme="1"/>
      <name val="Arial"/>
      <family val="2"/>
    </font>
    <font>
      <sz val="14"/>
      <name val="Arial"/>
      <family val="2"/>
    </font>
    <font>
      <b/>
      <sz val="14"/>
      <color theme="1"/>
      <name val="Arial"/>
      <family val="2"/>
    </font>
    <font>
      <sz val="14"/>
      <color theme="1"/>
      <name val="Arial"/>
      <family val="2"/>
    </font>
    <font>
      <b/>
      <sz val="11"/>
      <color theme="1"/>
      <name val="Calibri"/>
      <family val="2"/>
    </font>
    <font>
      <sz val="11"/>
      <name val="Calibri"/>
      <family val="2"/>
    </font>
    <font>
      <b/>
      <sz val="14"/>
      <name val="Arial"/>
      <family val="2"/>
    </font>
    <font>
      <sz val="14"/>
      <color theme="1"/>
      <name val="Calibri Light"/>
      <family val="2"/>
      <scheme val="major"/>
    </font>
    <font>
      <sz val="14"/>
      <name val="Calibri Light"/>
      <family val="2"/>
      <scheme val="major"/>
    </font>
    <font>
      <sz val="9"/>
      <name val="Arial Narrow"/>
      <family val="2"/>
    </font>
    <font>
      <b/>
      <sz val="14"/>
      <color theme="0"/>
      <name val="Arial"/>
      <family val="2"/>
    </font>
    <font>
      <b/>
      <sz val="12"/>
      <color theme="1"/>
      <name val="Calibri Light"/>
      <family val="2"/>
      <scheme val="major"/>
    </font>
    <font>
      <b/>
      <sz val="12"/>
      <name val="Calibri Light"/>
      <family val="2"/>
      <scheme val="major"/>
    </font>
    <font>
      <sz val="14"/>
      <color rgb="FFFF0000"/>
      <name val="Arial"/>
      <family val="2"/>
    </font>
    <font>
      <sz val="14"/>
      <color theme="1"/>
      <name val="Calibri"/>
      <family val="2"/>
      <scheme val="minor"/>
    </font>
    <font>
      <sz val="14"/>
      <color rgb="FF000000"/>
      <name val="Arial"/>
      <family val="2"/>
    </font>
    <font>
      <b/>
      <sz val="16"/>
      <color theme="1"/>
      <name val="Arial"/>
      <family val="2"/>
    </font>
    <font>
      <sz val="14"/>
      <color rgb="FFFF0000"/>
      <name val="Calibri"/>
      <family val="2"/>
      <scheme val="minor"/>
    </font>
    <font>
      <sz val="10"/>
      <color rgb="FF000000"/>
      <name val="Times New Roman"/>
      <family val="1"/>
    </font>
    <font>
      <b/>
      <sz val="12"/>
      <color theme="0"/>
      <name val="Arial"/>
      <family val="2"/>
    </font>
    <font>
      <sz val="10"/>
      <color rgb="FF00B050"/>
      <name val="Arial"/>
      <family val="2"/>
    </font>
    <font>
      <sz val="10"/>
      <color theme="0"/>
      <name val="Arial"/>
      <family val="2"/>
    </font>
    <font>
      <b/>
      <sz val="10"/>
      <color theme="0"/>
      <name val="Arial"/>
      <family val="2"/>
    </font>
    <font>
      <sz val="12"/>
      <name val="Calibri"/>
      <family val="2"/>
    </font>
    <font>
      <b/>
      <u/>
      <sz val="12"/>
      <name val="Calibri"/>
      <family val="2"/>
    </font>
    <font>
      <sz val="12"/>
      <color rgb="FF000000"/>
      <name val="Calibri"/>
      <family val="2"/>
    </font>
    <font>
      <b/>
      <u/>
      <sz val="12"/>
      <color indexed="8"/>
      <name val="Calibri"/>
      <family val="2"/>
    </font>
    <font>
      <b/>
      <sz val="14"/>
      <color theme="1"/>
      <name val="Calibri"/>
      <family val="2"/>
    </font>
    <font>
      <b/>
      <sz val="10"/>
      <name val="Tahoma"/>
      <family val="2"/>
    </font>
    <font>
      <b/>
      <sz val="9"/>
      <name val="Tahoma"/>
      <family val="2"/>
    </font>
    <font>
      <b/>
      <sz val="12"/>
      <name val="Tahoma"/>
      <family val="2"/>
    </font>
    <font>
      <sz val="11"/>
      <color theme="0"/>
      <name val="Calibri"/>
      <family val="2"/>
    </font>
    <font>
      <sz val="11"/>
      <color rgb="FF000000"/>
      <name val="Calibri"/>
      <family val="2"/>
    </font>
    <font>
      <b/>
      <sz val="13"/>
      <name val="Arial"/>
      <family val="2"/>
    </font>
    <font>
      <sz val="11"/>
      <color rgb="FF000000"/>
      <name val="Arial Narrow"/>
      <family val="2"/>
    </font>
    <font>
      <b/>
      <sz val="11"/>
      <color rgb="FF000000"/>
      <name val="Arial Narrow"/>
      <family val="2"/>
    </font>
    <font>
      <b/>
      <sz val="11"/>
      <name val="Arial Narrow"/>
      <family val="2"/>
    </font>
    <font>
      <sz val="11"/>
      <name val="Arial Narrow"/>
      <family val="2"/>
    </font>
    <font>
      <u/>
      <sz val="11"/>
      <name val="Arial Narrow"/>
      <family val="2"/>
    </font>
    <font>
      <sz val="11"/>
      <color theme="1"/>
      <name val="Arial Narrow"/>
      <family val="2"/>
    </font>
    <font>
      <sz val="12"/>
      <color theme="1"/>
      <name val="Arial Narrow"/>
      <family val="2"/>
    </font>
    <font>
      <b/>
      <sz val="14"/>
      <name val="Calibri"/>
      <family val="2"/>
    </font>
    <font>
      <b/>
      <sz val="11"/>
      <color indexed="8"/>
      <name val="Calibri"/>
      <family val="2"/>
    </font>
    <font>
      <b/>
      <sz val="10"/>
      <name val="Calibri"/>
      <family val="2"/>
    </font>
    <font>
      <b/>
      <sz val="10"/>
      <color indexed="8"/>
      <name val="Calibri"/>
      <family val="2"/>
    </font>
    <font>
      <b/>
      <sz val="12"/>
      <color indexed="8"/>
      <name val="Calibri"/>
      <family val="2"/>
    </font>
    <font>
      <b/>
      <sz val="12"/>
      <name val="Calibri"/>
      <family val="2"/>
    </font>
    <font>
      <sz val="10"/>
      <color indexed="9"/>
      <name val="Arial"/>
      <family val="2"/>
    </font>
    <font>
      <b/>
      <sz val="11"/>
      <color indexed="8"/>
      <name val="Arial"/>
      <family val="2"/>
    </font>
    <font>
      <b/>
      <sz val="8"/>
      <name val="Arial"/>
      <family val="2"/>
    </font>
    <font>
      <b/>
      <sz val="16"/>
      <color theme="1"/>
      <name val="Calibri"/>
      <family val="2"/>
      <scheme val="minor"/>
    </font>
    <font>
      <sz val="10"/>
      <color indexed="8"/>
      <name val="Calibri"/>
      <family val="2"/>
    </font>
    <font>
      <b/>
      <sz val="16"/>
      <color theme="1"/>
      <name val="Arial Narrow"/>
      <family val="2"/>
    </font>
    <font>
      <b/>
      <sz val="12"/>
      <color indexed="8"/>
      <name val="Calibri"/>
      <family val="2"/>
      <scheme val="minor"/>
    </font>
    <font>
      <b/>
      <sz val="14"/>
      <color indexed="8"/>
      <name val="Calibri"/>
      <family val="2"/>
      <scheme val="minor"/>
    </font>
    <font>
      <sz val="10"/>
      <name val="Arial Narrow"/>
      <family val="2"/>
    </font>
    <font>
      <sz val="11"/>
      <color theme="0"/>
      <name val="Calibri Light"/>
      <family val="2"/>
      <scheme val="major"/>
    </font>
    <font>
      <b/>
      <sz val="11"/>
      <color theme="0"/>
      <name val="Calibri Light"/>
      <family val="2"/>
      <scheme val="major"/>
    </font>
  </fonts>
  <fills count="37">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4" tint="-0.249977111117893"/>
        <bgColor indexed="64"/>
      </patternFill>
    </fill>
    <fill>
      <patternFill patternType="solid">
        <fgColor theme="8"/>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theme="4" tint="0.39997558519241921"/>
        <bgColor indexed="64"/>
      </patternFill>
    </fill>
    <fill>
      <patternFill patternType="solid">
        <fgColor rgb="FFFFC000"/>
        <bgColor indexed="64"/>
      </patternFill>
    </fill>
    <fill>
      <patternFill patternType="solid">
        <fgColor theme="4" tint="0.79998168889431442"/>
        <bgColor indexed="64"/>
      </patternFill>
    </fill>
    <fill>
      <patternFill patternType="solid">
        <fgColor rgb="FFFFFFFF"/>
        <bgColor rgb="FF000000"/>
      </patternFill>
    </fill>
    <fill>
      <patternFill patternType="solid">
        <fgColor theme="0"/>
        <bgColor rgb="FF000000"/>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1F7EA9"/>
        <bgColor indexed="64"/>
      </patternFill>
    </fill>
    <fill>
      <patternFill patternType="solid">
        <fgColor theme="3" tint="0.39997558519241921"/>
        <bgColor indexed="64"/>
      </patternFill>
    </fill>
    <fill>
      <patternFill patternType="solid">
        <fgColor rgb="FFB6E4F0"/>
        <bgColor rgb="FFB6E4F0"/>
      </patternFill>
    </fill>
    <fill>
      <patternFill patternType="solid">
        <fgColor rgb="FFFFFFFF"/>
        <bgColor indexed="64"/>
      </patternFill>
    </fill>
    <fill>
      <patternFill patternType="solid">
        <fgColor rgb="FFFF0000"/>
        <bgColor indexed="64"/>
      </patternFill>
    </fill>
    <fill>
      <patternFill patternType="solid">
        <fgColor rgb="FF2BB1D5"/>
        <bgColor rgb="FF2BB1D5"/>
      </patternFill>
    </fill>
    <fill>
      <patternFill patternType="solid">
        <fgColor rgb="FF73CBE3"/>
        <bgColor rgb="FF73CBE3"/>
      </patternFill>
    </fill>
    <fill>
      <patternFill patternType="solid">
        <fgColor theme="7" tint="-0.249977111117893"/>
        <bgColor indexed="64"/>
      </patternFill>
    </fill>
    <fill>
      <patternFill patternType="solid">
        <fgColor indexed="9"/>
        <bgColor indexed="44"/>
      </patternFill>
    </fill>
    <fill>
      <patternFill patternType="solid">
        <fgColor indexed="13"/>
        <bgColor indexed="64"/>
      </patternFill>
    </fill>
    <fill>
      <patternFill patternType="solid">
        <fgColor theme="0"/>
        <bgColor indexed="44"/>
      </patternFill>
    </fill>
    <fill>
      <patternFill patternType="solid">
        <fgColor theme="4"/>
        <bgColor indexed="64"/>
      </patternFill>
    </fill>
    <fill>
      <patternFill patternType="solid">
        <fgColor theme="2" tint="-9.9978637043366805E-2"/>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style="hair">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medium">
        <color indexed="64"/>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indexed="64"/>
      </left>
      <right style="thin">
        <color indexed="64"/>
      </right>
      <top/>
      <bottom/>
      <diagonal/>
    </border>
    <border>
      <left/>
      <right style="medium">
        <color indexed="64"/>
      </right>
      <top/>
      <bottom/>
      <diagonal/>
    </border>
    <border>
      <left/>
      <right style="thin">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diagonal/>
    </border>
    <border>
      <left style="medium">
        <color indexed="64"/>
      </left>
      <right style="thin">
        <color rgb="FF000000"/>
      </right>
      <top style="thin">
        <color rgb="FF000000"/>
      </top>
      <bottom style="thin">
        <color rgb="FF000000"/>
      </bottom>
      <diagonal/>
    </border>
    <border>
      <left/>
      <right style="medium">
        <color indexed="64"/>
      </right>
      <top style="medium">
        <color rgb="FF000000"/>
      </top>
      <bottom style="medium">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style="thin">
        <color indexed="64"/>
      </right>
      <top style="thin">
        <color indexed="64"/>
      </top>
      <bottom/>
      <diagonal/>
    </border>
    <border>
      <left style="medium">
        <color indexed="64"/>
      </left>
      <right/>
      <top style="thin">
        <color rgb="FF000000"/>
      </top>
      <bottom style="thin">
        <color rgb="FF000000"/>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rgb="FF000000"/>
      </right>
      <top style="medium">
        <color rgb="FF000000"/>
      </top>
      <bottom style="medium">
        <color rgb="FF000000"/>
      </bottom>
      <diagonal/>
    </border>
    <border>
      <left style="thin">
        <color rgb="FF000000"/>
      </left>
      <right style="medium">
        <color indexed="64"/>
      </right>
      <top style="medium">
        <color rgb="FF000000"/>
      </top>
      <bottom style="medium">
        <color rgb="FF000000"/>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style="medium">
        <color rgb="FF000000"/>
      </top>
      <bottom style="medium">
        <color rgb="FF000000"/>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thin">
        <color indexed="64"/>
      </bottom>
      <diagonal/>
    </border>
    <border>
      <left/>
      <right style="thin">
        <color rgb="FF000000"/>
      </right>
      <top/>
      <bottom/>
      <diagonal/>
    </border>
    <border>
      <left style="thin">
        <color rgb="FF000000"/>
      </left>
      <right style="medium">
        <color rgb="FF000000"/>
      </right>
      <top/>
      <bottom/>
      <diagonal/>
    </border>
    <border>
      <left style="thin">
        <color rgb="FF000000"/>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8">
    <xf numFmtId="0" fontId="0" fillId="0" borderId="0"/>
    <xf numFmtId="43"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9" fontId="4" fillId="0" borderId="0" applyFont="0" applyFill="0" applyBorder="0" applyAlignment="0" applyProtection="0"/>
    <xf numFmtId="0" fontId="6" fillId="0" borderId="0"/>
    <xf numFmtId="0" fontId="7" fillId="0" borderId="0"/>
    <xf numFmtId="0" fontId="6" fillId="0" borderId="0"/>
    <xf numFmtId="0" fontId="7" fillId="0" borderId="0"/>
    <xf numFmtId="0" fontId="7" fillId="0" borderId="0"/>
    <xf numFmtId="0" fontId="7" fillId="0" borderId="0"/>
    <xf numFmtId="0" fontId="17" fillId="0" borderId="0"/>
    <xf numFmtId="0" fontId="23" fillId="0" borderId="0"/>
    <xf numFmtId="42" fontId="23" fillId="0" borderId="0" applyFont="0" applyFill="0" applyBorder="0" applyAlignment="0" applyProtection="0"/>
    <xf numFmtId="0" fontId="4" fillId="0" borderId="0"/>
    <xf numFmtId="0" fontId="7" fillId="0" borderId="0"/>
    <xf numFmtId="9" fontId="7" fillId="0" borderId="0" applyFont="0" applyFill="0" applyBorder="0" applyAlignment="0" applyProtection="0"/>
    <xf numFmtId="0" fontId="4" fillId="0" borderId="0"/>
    <xf numFmtId="0" fontId="4" fillId="0" borderId="0"/>
    <xf numFmtId="0" fontId="4" fillId="0" borderId="0"/>
    <xf numFmtId="0" fontId="4" fillId="0" borderId="0"/>
    <xf numFmtId="0" fontId="7" fillId="0" borderId="0"/>
    <xf numFmtId="175" fontId="7" fillId="0" borderId="0" applyFont="0" applyFill="0" applyBorder="0" applyAlignment="0" applyProtection="0"/>
    <xf numFmtId="43" fontId="23" fillId="0" borderId="0" applyFont="0" applyFill="0" applyBorder="0" applyAlignment="0" applyProtection="0"/>
    <xf numFmtId="0" fontId="4" fillId="0" borderId="0"/>
    <xf numFmtId="42"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0" fontId="7" fillId="0" borderId="0"/>
    <xf numFmtId="9" fontId="23" fillId="0" borderId="0" applyFont="0" applyFill="0" applyBorder="0" applyAlignment="0" applyProtection="0"/>
    <xf numFmtId="0" fontId="4" fillId="0" borderId="0"/>
    <xf numFmtId="41" fontId="4" fillId="0" borderId="0" applyFont="0" applyFill="0" applyBorder="0" applyAlignment="0" applyProtection="0"/>
    <xf numFmtId="180" fontId="4" fillId="0" borderId="0" applyFont="0" applyFill="0" applyBorder="0" applyAlignment="0" applyProtection="0"/>
    <xf numFmtId="0" fontId="67" fillId="0" borderId="0"/>
    <xf numFmtId="44" fontId="67" fillId="0" borderId="0" applyFont="0" applyFill="0" applyBorder="0" applyAlignment="0" applyProtection="0"/>
    <xf numFmtId="42" fontId="22"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4" fillId="0" borderId="0"/>
    <xf numFmtId="0" fontId="7" fillId="0" borderId="0"/>
    <xf numFmtId="0" fontId="4" fillId="0" borderId="0"/>
    <xf numFmtId="9" fontId="4" fillId="0" borderId="0" applyFont="0" applyFill="0" applyBorder="0" applyAlignment="0" applyProtection="0"/>
    <xf numFmtId="0" fontId="7" fillId="0" borderId="0"/>
    <xf numFmtId="0" fontId="81" fillId="0" borderId="0" applyNumberFormat="0" applyBorder="0" applyAlignment="0"/>
    <xf numFmtId="180" fontId="7" fillId="0" borderId="0" applyFont="0" applyFill="0" applyBorder="0" applyAlignment="0" applyProtection="0"/>
    <xf numFmtId="9" fontId="7" fillId="0" borderId="0" applyFont="0" applyFill="0" applyBorder="0" applyAlignment="0" applyProtection="0"/>
    <xf numFmtId="180" fontId="81" fillId="0" borderId="0" applyFont="0" applyFill="0" applyBorder="0" applyAlignment="0" applyProtection="0"/>
    <xf numFmtId="181" fontId="81" fillId="0" borderId="0" applyFont="0" applyFill="0" applyBorder="0" applyAlignment="0" applyProtection="0"/>
    <xf numFmtId="189" fontId="7" fillId="0" borderId="0" applyFont="0" applyFill="0" applyBorder="0" applyAlignment="0" applyProtection="0"/>
    <xf numFmtId="44" fontId="67" fillId="0" borderId="0" applyFont="0" applyFill="0" applyBorder="0" applyAlignment="0" applyProtection="0"/>
    <xf numFmtId="42" fontId="22" fillId="0" borderId="0" applyFont="0" applyFill="0" applyBorder="0" applyAlignment="0" applyProtection="0"/>
    <xf numFmtId="44" fontId="4" fillId="0" borderId="0" applyFont="0" applyFill="0" applyBorder="0" applyAlignment="0" applyProtection="0"/>
    <xf numFmtId="0" fontId="7" fillId="0" borderId="0"/>
    <xf numFmtId="0" fontId="6" fillId="0" borderId="0"/>
    <xf numFmtId="0" fontId="6" fillId="0" borderId="0"/>
    <xf numFmtId="0" fontId="32" fillId="0" borderId="0"/>
  </cellStyleXfs>
  <cellXfs count="1472">
    <xf numFmtId="0" fontId="0" fillId="0" borderId="0" xfId="0"/>
    <xf numFmtId="0" fontId="0" fillId="0" borderId="1" xfId="0" applyBorder="1"/>
    <xf numFmtId="0" fontId="0" fillId="0" borderId="1" xfId="0" applyBorder="1" applyAlignment="1">
      <alignment horizontal="center"/>
    </xf>
    <xf numFmtId="0" fontId="0" fillId="0" borderId="10" xfId="0" applyBorder="1"/>
    <xf numFmtId="0" fontId="0" fillId="0" borderId="13" xfId="0" applyBorder="1"/>
    <xf numFmtId="0" fontId="0" fillId="0" borderId="1" xfId="0" applyBorder="1" applyAlignment="1">
      <alignment horizontal="center" vertical="center"/>
    </xf>
    <xf numFmtId="0" fontId="0" fillId="0" borderId="39" xfId="0" applyBorder="1" applyAlignment="1">
      <alignment horizontal="center" vertical="center"/>
    </xf>
    <xf numFmtId="0" fontId="0" fillId="0" borderId="13" xfId="0" applyBorder="1" applyAlignment="1">
      <alignment horizontal="center" vertical="center" wrapText="1"/>
    </xf>
    <xf numFmtId="0" fontId="5" fillId="0" borderId="0" xfId="0" applyFont="1" applyAlignment="1" applyProtection="1">
      <alignment horizontal="center" vertical="center"/>
      <protection hidden="1"/>
    </xf>
    <xf numFmtId="0" fontId="8" fillId="0" borderId="1" xfId="0" applyFont="1" applyBorder="1" applyAlignment="1" applyProtection="1">
      <alignment horizontal="center" vertical="center"/>
      <protection hidden="1"/>
    </xf>
    <xf numFmtId="0" fontId="7" fillId="4" borderId="0" xfId="0" applyFont="1" applyFill="1" applyAlignment="1" applyProtection="1">
      <alignment vertical="center"/>
      <protection hidden="1"/>
    </xf>
    <xf numFmtId="0" fontId="7" fillId="4" borderId="1" xfId="0" applyFont="1" applyFill="1" applyBorder="1" applyAlignment="1" applyProtection="1">
      <alignment horizontal="left" vertical="center" indent="1"/>
      <protection hidden="1"/>
    </xf>
    <xf numFmtId="0" fontId="7" fillId="4" borderId="1" xfId="0" applyFont="1" applyFill="1" applyBorder="1" applyAlignment="1" applyProtection="1">
      <alignment horizontal="right" vertical="center"/>
      <protection hidden="1"/>
    </xf>
    <xf numFmtId="0" fontId="7" fillId="4" borderId="0" xfId="0" applyFont="1" applyFill="1" applyAlignment="1" applyProtection="1">
      <alignment horizontal="right" vertical="center"/>
      <protection hidden="1"/>
    </xf>
    <xf numFmtId="166" fontId="10" fillId="4" borderId="1" xfId="1" applyNumberFormat="1" applyFont="1" applyFill="1" applyBorder="1" applyAlignment="1" applyProtection="1">
      <alignment horizontal="right" vertical="center"/>
      <protection hidden="1"/>
    </xf>
    <xf numFmtId="166" fontId="10" fillId="4" borderId="0" xfId="1" applyNumberFormat="1" applyFont="1" applyFill="1" applyBorder="1" applyAlignment="1" applyProtection="1">
      <alignment horizontal="right" vertical="center"/>
      <protection hidden="1"/>
    </xf>
    <xf numFmtId="0" fontId="11" fillId="4" borderId="0" xfId="0" applyFont="1" applyFill="1" applyAlignment="1" applyProtection="1">
      <alignment vertical="center"/>
      <protection hidden="1"/>
    </xf>
    <xf numFmtId="0" fontId="11" fillId="4" borderId="1" xfId="0" applyFont="1" applyFill="1" applyBorder="1" applyAlignment="1" applyProtection="1">
      <alignment horizontal="left" vertical="center" indent="1"/>
      <protection hidden="1"/>
    </xf>
    <xf numFmtId="10" fontId="7" fillId="4" borderId="1" xfId="0" applyNumberFormat="1" applyFont="1" applyFill="1" applyBorder="1"/>
    <xf numFmtId="10" fontId="7" fillId="4" borderId="1" xfId="0" applyNumberFormat="1" applyFont="1" applyFill="1" applyBorder="1" applyAlignment="1">
      <alignment horizontal="right"/>
    </xf>
    <xf numFmtId="0" fontId="7" fillId="4" borderId="43" xfId="0" applyFont="1" applyFill="1" applyBorder="1" applyAlignment="1" applyProtection="1">
      <alignment vertical="center"/>
      <protection hidden="1"/>
    </xf>
    <xf numFmtId="0" fontId="7" fillId="4" borderId="44" xfId="0" applyFont="1" applyFill="1" applyBorder="1" applyAlignment="1" applyProtection="1">
      <alignment vertical="center"/>
      <protection hidden="1"/>
    </xf>
    <xf numFmtId="10" fontId="9" fillId="4" borderId="1" xfId="0" applyNumberFormat="1" applyFont="1" applyFill="1" applyBorder="1" applyAlignment="1" applyProtection="1">
      <alignment vertical="center"/>
      <protection hidden="1"/>
    </xf>
    <xf numFmtId="167" fontId="7" fillId="4" borderId="1" xfId="1" applyNumberFormat="1" applyFont="1" applyFill="1" applyBorder="1" applyAlignment="1"/>
    <xf numFmtId="3" fontId="7" fillId="4" borderId="1" xfId="0" applyNumberFormat="1" applyFont="1" applyFill="1" applyBorder="1"/>
    <xf numFmtId="10" fontId="7" fillId="4" borderId="45" xfId="0" applyNumberFormat="1" applyFont="1" applyFill="1" applyBorder="1" applyAlignment="1">
      <alignment horizontal="left"/>
    </xf>
    <xf numFmtId="9" fontId="7" fillId="4" borderId="45" xfId="0" applyNumberFormat="1" applyFont="1" applyFill="1" applyBorder="1" applyAlignment="1">
      <alignment horizontal="left"/>
    </xf>
    <xf numFmtId="0" fontId="0" fillId="0" borderId="0" xfId="0" applyAlignment="1" applyProtection="1">
      <alignment vertical="center"/>
      <protection hidden="1"/>
    </xf>
    <xf numFmtId="0" fontId="0" fillId="5" borderId="0" xfId="0" applyFill="1" applyAlignment="1" applyProtection="1">
      <alignment vertical="center"/>
      <protection hidden="1"/>
    </xf>
    <xf numFmtId="0" fontId="9" fillId="0" borderId="0" xfId="0" applyFont="1"/>
    <xf numFmtId="0" fontId="0" fillId="5" borderId="1" xfId="0" applyFill="1" applyBorder="1" applyAlignment="1" applyProtection="1">
      <alignment horizontal="left" vertical="center" indent="1"/>
      <protection hidden="1"/>
    </xf>
    <xf numFmtId="0" fontId="0" fillId="5" borderId="1" xfId="0" applyFill="1" applyBorder="1" applyAlignment="1" applyProtection="1">
      <alignment horizontal="right" vertical="center"/>
      <protection hidden="1"/>
    </xf>
    <xf numFmtId="10" fontId="0" fillId="5" borderId="0" xfId="4" applyNumberFormat="1" applyFont="1" applyFill="1" applyBorder="1" applyAlignment="1" applyProtection="1">
      <alignment horizontal="right" vertical="center"/>
      <protection hidden="1"/>
    </xf>
    <xf numFmtId="0" fontId="7" fillId="5" borderId="1" xfId="0" applyFont="1" applyFill="1" applyBorder="1" applyAlignment="1" applyProtection="1">
      <alignment horizontal="left" vertical="center" indent="1"/>
      <protection hidden="1"/>
    </xf>
    <xf numFmtId="166" fontId="4" fillId="5" borderId="1" xfId="1" applyNumberFormat="1" applyFill="1" applyBorder="1" applyAlignment="1" applyProtection="1">
      <alignment horizontal="right" vertical="center"/>
      <protection hidden="1"/>
    </xf>
    <xf numFmtId="166" fontId="4" fillId="5" borderId="0" xfId="1" applyNumberFormat="1" applyFill="1" applyBorder="1" applyAlignment="1" applyProtection="1">
      <alignment horizontal="right" vertical="center"/>
      <protection hidden="1"/>
    </xf>
    <xf numFmtId="166" fontId="0" fillId="5" borderId="0" xfId="0" applyNumberFormat="1" applyFill="1" applyAlignment="1" applyProtection="1">
      <alignment vertical="center"/>
      <protection hidden="1"/>
    </xf>
    <xf numFmtId="0" fontId="9" fillId="5" borderId="0" xfId="0" applyFont="1" applyFill="1" applyAlignment="1" applyProtection="1">
      <alignment vertical="center"/>
      <protection hidden="1"/>
    </xf>
    <xf numFmtId="0" fontId="9" fillId="5" borderId="1" xfId="0" applyFont="1" applyFill="1" applyBorder="1" applyAlignment="1" applyProtection="1">
      <alignment horizontal="center" vertical="center"/>
      <protection hidden="1"/>
    </xf>
    <xf numFmtId="0" fontId="9" fillId="5" borderId="1" xfId="0" applyFont="1" applyFill="1" applyBorder="1" applyAlignment="1" applyProtection="1">
      <alignment horizontal="center" vertical="center" wrapText="1"/>
      <protection hidden="1"/>
    </xf>
    <xf numFmtId="167" fontId="0" fillId="5" borderId="1" xfId="0" applyNumberFormat="1" applyFill="1" applyBorder="1" applyAlignment="1" applyProtection="1">
      <alignment horizontal="center" vertical="center"/>
      <protection hidden="1"/>
    </xf>
    <xf numFmtId="164" fontId="0" fillId="0" borderId="1" xfId="0" applyNumberFormat="1" applyBorder="1" applyAlignment="1" applyProtection="1">
      <alignment vertical="center"/>
      <protection hidden="1"/>
    </xf>
    <xf numFmtId="167" fontId="0" fillId="0" borderId="0" xfId="0" applyNumberFormat="1" applyAlignment="1" applyProtection="1">
      <alignment vertical="center"/>
      <protection hidden="1"/>
    </xf>
    <xf numFmtId="1" fontId="0" fillId="0" borderId="0" xfId="0" applyNumberFormat="1" applyAlignment="1" applyProtection="1">
      <alignment vertical="center"/>
      <protection hidden="1"/>
    </xf>
    <xf numFmtId="0" fontId="9" fillId="5" borderId="33" xfId="0" applyFont="1" applyFill="1" applyBorder="1" applyAlignment="1" applyProtection="1">
      <alignment vertical="center"/>
      <protection hidden="1"/>
    </xf>
    <xf numFmtId="167" fontId="9" fillId="5" borderId="1" xfId="0" applyNumberFormat="1" applyFont="1" applyFill="1" applyBorder="1" applyAlignment="1" applyProtection="1">
      <alignment horizontal="center" vertical="center"/>
      <protection hidden="1"/>
    </xf>
    <xf numFmtId="167" fontId="0" fillId="5" borderId="0" xfId="0" applyNumberFormat="1" applyFill="1" applyAlignment="1" applyProtection="1">
      <alignment vertical="center"/>
      <protection hidden="1"/>
    </xf>
    <xf numFmtId="168" fontId="0" fillId="0" borderId="0" xfId="0" applyNumberFormat="1"/>
    <xf numFmtId="0" fontId="9" fillId="0" borderId="0" xfId="0" applyFont="1" applyAlignment="1" applyProtection="1">
      <alignment horizontal="center" vertical="center" wrapText="1"/>
      <protection hidden="1"/>
    </xf>
    <xf numFmtId="0" fontId="9" fillId="5" borderId="0" xfId="0" applyFont="1" applyFill="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8" fillId="0" borderId="0" xfId="7" applyFont="1" applyAlignment="1" applyProtection="1">
      <alignment vertical="center"/>
      <protection hidden="1"/>
    </xf>
    <xf numFmtId="0" fontId="7" fillId="0" borderId="0" xfId="0" applyFont="1" applyAlignment="1" applyProtection="1">
      <alignment vertical="center"/>
      <protection hidden="1"/>
    </xf>
    <xf numFmtId="0" fontId="13" fillId="0" borderId="0" xfId="0" applyFont="1" applyAlignment="1" applyProtection="1">
      <alignment horizontal="center" vertical="center"/>
      <protection hidden="1"/>
    </xf>
    <xf numFmtId="167" fontId="0" fillId="5" borderId="0" xfId="0" applyNumberFormat="1" applyFill="1" applyAlignment="1" applyProtection="1">
      <alignment horizontal="right" vertical="center"/>
      <protection hidden="1"/>
    </xf>
    <xf numFmtId="164" fontId="0" fillId="0" borderId="0" xfId="0" applyNumberFormat="1" applyAlignment="1" applyProtection="1">
      <alignment vertical="center"/>
      <protection hidden="1"/>
    </xf>
    <xf numFmtId="0" fontId="7" fillId="0" borderId="0" xfId="0" applyFont="1"/>
    <xf numFmtId="169" fontId="8" fillId="0" borderId="0" xfId="0" applyNumberFormat="1" applyFont="1" applyAlignment="1" applyProtection="1">
      <alignment horizontal="center" vertical="center"/>
      <protection hidden="1"/>
    </xf>
    <xf numFmtId="166" fontId="12" fillId="5" borderId="0" xfId="0" applyNumberFormat="1" applyFont="1" applyFill="1" applyAlignment="1" applyProtection="1">
      <alignment horizontal="center" vertical="center"/>
      <protection hidden="1"/>
    </xf>
    <xf numFmtId="167" fontId="0" fillId="5" borderId="0" xfId="0" applyNumberFormat="1" applyFill="1" applyAlignment="1" applyProtection="1">
      <alignment horizontal="center" vertical="center"/>
      <protection hidden="1"/>
    </xf>
    <xf numFmtId="167" fontId="9" fillId="5" borderId="0" xfId="0" applyNumberFormat="1" applyFont="1" applyFill="1" applyAlignment="1" applyProtection="1">
      <alignment horizontal="center" vertical="center"/>
      <protection hidden="1"/>
    </xf>
    <xf numFmtId="0" fontId="8" fillId="0" borderId="0" xfId="0" applyFont="1" applyProtection="1">
      <protection hidden="1"/>
    </xf>
    <xf numFmtId="0" fontId="8" fillId="0" borderId="0" xfId="0" applyFont="1" applyAlignment="1" applyProtection="1">
      <alignment horizontal="left"/>
      <protection hidden="1"/>
    </xf>
    <xf numFmtId="0" fontId="8" fillId="0" borderId="0" xfId="0" applyFont="1" applyAlignment="1" applyProtection="1">
      <alignment horizontal="left" vertical="center"/>
      <protection hidden="1"/>
    </xf>
    <xf numFmtId="0" fontId="8" fillId="0" borderId="0" xfId="0" applyFont="1" applyAlignment="1" applyProtection="1">
      <alignment horizontal="center"/>
      <protection hidden="1"/>
    </xf>
    <xf numFmtId="2" fontId="14" fillId="3" borderId="4" xfId="0" applyNumberFormat="1" applyFont="1" applyFill="1" applyBorder="1" applyAlignment="1" applyProtection="1">
      <alignment horizontal="center" vertical="center" wrapText="1"/>
      <protection hidden="1"/>
    </xf>
    <xf numFmtId="0" fontId="14" fillId="3" borderId="42" xfId="0" applyFont="1" applyFill="1" applyBorder="1" applyAlignment="1" applyProtection="1">
      <alignment horizontal="center" vertical="center"/>
      <protection hidden="1"/>
    </xf>
    <xf numFmtId="0" fontId="14" fillId="3" borderId="5" xfId="0" applyFont="1" applyFill="1" applyBorder="1" applyAlignment="1" applyProtection="1">
      <alignment horizontal="center" vertical="center" wrapText="1"/>
      <protection hidden="1"/>
    </xf>
    <xf numFmtId="0" fontId="14" fillId="3" borderId="42" xfId="0" applyFont="1" applyFill="1" applyBorder="1" applyAlignment="1" applyProtection="1">
      <alignment horizontal="center" vertical="center" wrapText="1"/>
      <protection hidden="1"/>
    </xf>
    <xf numFmtId="0" fontId="5" fillId="3" borderId="17" xfId="0" applyFont="1" applyFill="1" applyBorder="1" applyAlignment="1" applyProtection="1">
      <alignment horizontal="center" vertical="center" wrapText="1"/>
      <protection hidden="1"/>
    </xf>
    <xf numFmtId="9" fontId="5" fillId="3" borderId="17" xfId="4" applyFont="1" applyFill="1" applyBorder="1" applyAlignment="1" applyProtection="1">
      <alignment horizontal="center" vertical="center" wrapText="1"/>
      <protection hidden="1"/>
    </xf>
    <xf numFmtId="9" fontId="5" fillId="3" borderId="17" xfId="4" applyFont="1" applyFill="1" applyBorder="1" applyAlignment="1" applyProtection="1">
      <alignment horizontal="left" vertical="center"/>
      <protection hidden="1"/>
    </xf>
    <xf numFmtId="9" fontId="5" fillId="3" borderId="17" xfId="4" applyFont="1" applyFill="1" applyBorder="1" applyAlignment="1" applyProtection="1">
      <alignment horizontal="center" vertical="center"/>
      <protection hidden="1"/>
    </xf>
    <xf numFmtId="0" fontId="14" fillId="3" borderId="18" xfId="0" applyFont="1" applyFill="1" applyBorder="1" applyAlignment="1" applyProtection="1">
      <alignment horizontal="center" vertical="center" wrapText="1"/>
      <protection hidden="1"/>
    </xf>
    <xf numFmtId="10" fontId="13" fillId="0" borderId="0" xfId="0" applyNumberFormat="1" applyFont="1" applyAlignment="1" applyProtection="1">
      <alignment horizontal="center" vertical="center"/>
      <protection hidden="1"/>
    </xf>
    <xf numFmtId="10" fontId="13" fillId="0" borderId="0" xfId="4" applyNumberFormat="1" applyFont="1" applyFill="1" applyBorder="1" applyAlignment="1" applyProtection="1">
      <alignment horizontal="center" vertical="center"/>
      <protection hidden="1"/>
    </xf>
    <xf numFmtId="0" fontId="14" fillId="0" borderId="46" xfId="0" applyFont="1" applyBorder="1" applyAlignment="1" applyProtection="1">
      <alignment horizontal="left" vertical="center"/>
      <protection hidden="1"/>
    </xf>
    <xf numFmtId="0" fontId="5" fillId="0" borderId="47" xfId="7" applyFont="1" applyBorder="1" applyAlignment="1" applyProtection="1">
      <alignment horizontal="left" vertical="center"/>
      <protection hidden="1"/>
    </xf>
    <xf numFmtId="0" fontId="5" fillId="0" borderId="47" xfId="0" applyFont="1" applyBorder="1" applyAlignment="1" applyProtection="1">
      <alignment horizontal="center" vertical="center"/>
      <protection hidden="1"/>
    </xf>
    <xf numFmtId="0" fontId="14" fillId="0" borderId="48" xfId="0" applyFont="1" applyBorder="1" applyAlignment="1" applyProtection="1">
      <alignment horizontal="center" vertical="center"/>
      <protection hidden="1"/>
    </xf>
    <xf numFmtId="165" fontId="15" fillId="0" borderId="49" xfId="1" applyNumberFormat="1" applyFont="1" applyFill="1" applyBorder="1" applyAlignment="1" applyProtection="1">
      <alignment horizontal="right" vertical="center"/>
      <protection hidden="1"/>
    </xf>
    <xf numFmtId="9" fontId="5" fillId="0" borderId="49" xfId="4" applyFont="1" applyFill="1" applyBorder="1" applyAlignment="1" applyProtection="1">
      <alignment horizontal="center" vertical="center"/>
      <protection hidden="1"/>
    </xf>
    <xf numFmtId="9" fontId="8" fillId="0" borderId="50" xfId="4" applyFont="1" applyFill="1" applyBorder="1" applyAlignment="1" applyProtection="1">
      <alignment horizontal="left" vertical="center"/>
      <protection hidden="1"/>
    </xf>
    <xf numFmtId="9" fontId="8" fillId="0" borderId="50" xfId="4" applyFont="1" applyFill="1" applyBorder="1" applyAlignment="1" applyProtection="1">
      <alignment horizontal="center" vertical="center"/>
      <protection hidden="1"/>
    </xf>
    <xf numFmtId="169" fontId="5" fillId="0" borderId="51" xfId="0" applyNumberFormat="1" applyFont="1" applyBorder="1" applyAlignment="1" applyProtection="1">
      <alignment horizontal="center" vertical="center"/>
      <protection hidden="1"/>
    </xf>
    <xf numFmtId="0" fontId="5" fillId="0" borderId="0" xfId="0" applyFont="1" applyAlignment="1" applyProtection="1">
      <alignment vertical="center"/>
      <protection hidden="1"/>
    </xf>
    <xf numFmtId="0" fontId="13" fillId="2" borderId="46" xfId="0" applyFont="1" applyFill="1" applyBorder="1" applyAlignment="1" applyProtection="1">
      <alignment horizontal="left" vertical="center"/>
      <protection hidden="1"/>
    </xf>
    <xf numFmtId="0" fontId="8" fillId="0" borderId="47" xfId="7" applyFont="1" applyBorder="1" applyAlignment="1" applyProtection="1">
      <alignment horizontal="left" vertical="center"/>
      <protection hidden="1"/>
    </xf>
    <xf numFmtId="0" fontId="8" fillId="0" borderId="47" xfId="0" applyFont="1" applyBorder="1" applyAlignment="1" applyProtection="1">
      <alignment horizontal="center" vertical="center"/>
      <protection hidden="1"/>
    </xf>
    <xf numFmtId="0" fontId="13" fillId="0" borderId="48" xfId="0" applyFont="1" applyBorder="1" applyAlignment="1" applyProtection="1">
      <alignment horizontal="center" vertical="center"/>
      <protection hidden="1"/>
    </xf>
    <xf numFmtId="165" fontId="8" fillId="0" borderId="49" xfId="1" applyNumberFormat="1" applyFont="1" applyFill="1" applyBorder="1" applyAlignment="1" applyProtection="1">
      <alignment horizontal="right" vertical="center"/>
      <protection hidden="1"/>
    </xf>
    <xf numFmtId="9" fontId="8" fillId="0" borderId="49" xfId="4" applyFont="1" applyFill="1" applyBorder="1" applyAlignment="1" applyProtection="1">
      <alignment horizontal="center" vertical="center"/>
      <protection hidden="1"/>
    </xf>
    <xf numFmtId="9" fontId="8" fillId="0" borderId="49" xfId="4" applyFont="1" applyFill="1" applyBorder="1" applyAlignment="1" applyProtection="1">
      <alignment horizontal="left" vertical="center"/>
      <protection hidden="1"/>
    </xf>
    <xf numFmtId="169" fontId="8" fillId="0" borderId="51" xfId="0" applyNumberFormat="1" applyFont="1" applyBorder="1" applyAlignment="1" applyProtection="1">
      <alignment horizontal="center" vertical="center"/>
      <protection hidden="1"/>
    </xf>
    <xf numFmtId="0" fontId="8" fillId="0" borderId="0" xfId="0" applyFont="1" applyAlignment="1" applyProtection="1">
      <alignment vertical="center"/>
      <protection hidden="1"/>
    </xf>
    <xf numFmtId="170" fontId="8" fillId="0" borderId="0" xfId="0" applyNumberFormat="1" applyFont="1" applyAlignment="1" applyProtection="1">
      <alignment vertical="center"/>
      <protection hidden="1"/>
    </xf>
    <xf numFmtId="171" fontId="8" fillId="0" borderId="0" xfId="0" applyNumberFormat="1" applyFont="1" applyAlignment="1" applyProtection="1">
      <alignment vertical="center"/>
      <protection hidden="1"/>
    </xf>
    <xf numFmtId="164" fontId="8" fillId="0" borderId="0" xfId="0" applyNumberFormat="1" applyFont="1" applyAlignment="1" applyProtection="1">
      <alignment vertical="center"/>
      <protection hidden="1"/>
    </xf>
    <xf numFmtId="0" fontId="8" fillId="2" borderId="47" xfId="7" applyFont="1" applyFill="1" applyBorder="1" applyAlignment="1" applyProtection="1">
      <alignment horizontal="left" vertical="center"/>
      <protection hidden="1"/>
    </xf>
    <xf numFmtId="0" fontId="8" fillId="2" borderId="47" xfId="0" applyFont="1" applyFill="1" applyBorder="1" applyAlignment="1" applyProtection="1">
      <alignment horizontal="center" vertical="center"/>
      <protection hidden="1"/>
    </xf>
    <xf numFmtId="0" fontId="13" fillId="2" borderId="48" xfId="0" applyFont="1" applyFill="1" applyBorder="1" applyAlignment="1" applyProtection="1">
      <alignment horizontal="center" vertical="center"/>
      <protection hidden="1"/>
    </xf>
    <xf numFmtId="165" fontId="8" fillId="2" borderId="49" xfId="1" applyNumberFormat="1" applyFont="1" applyFill="1" applyBorder="1" applyAlignment="1" applyProtection="1">
      <alignment horizontal="right" vertical="center"/>
      <protection hidden="1"/>
    </xf>
    <xf numFmtId="0" fontId="13" fillId="0" borderId="46" xfId="0" applyFont="1" applyBorder="1" applyAlignment="1" applyProtection="1">
      <alignment horizontal="left" vertical="center"/>
      <protection hidden="1"/>
    </xf>
    <xf numFmtId="9" fontId="8" fillId="2" borderId="49" xfId="4"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hidden="1"/>
    </xf>
    <xf numFmtId="0" fontId="5" fillId="0" borderId="46" xfId="8" applyFont="1" applyBorder="1" applyAlignment="1" applyProtection="1">
      <alignment horizontal="left" vertical="center"/>
      <protection hidden="1"/>
    </xf>
    <xf numFmtId="0" fontId="5" fillId="0" borderId="47" xfId="8" applyFont="1" applyBorder="1" applyAlignment="1" applyProtection="1">
      <alignment horizontal="left" vertical="center"/>
      <protection hidden="1"/>
    </xf>
    <xf numFmtId="0" fontId="8" fillId="0" borderId="47" xfId="8" applyFont="1" applyBorder="1" applyAlignment="1" applyProtection="1">
      <alignment horizontal="center" vertical="center"/>
      <protection hidden="1"/>
    </xf>
    <xf numFmtId="0" fontId="5" fillId="0" borderId="48" xfId="8" applyFont="1" applyBorder="1" applyAlignment="1" applyProtection="1">
      <alignment horizontal="center" vertical="center"/>
      <protection hidden="1"/>
    </xf>
    <xf numFmtId="0" fontId="5" fillId="0" borderId="0" xfId="8" applyFont="1" applyAlignment="1" applyProtection="1">
      <alignment horizontal="center" vertical="center"/>
      <protection hidden="1"/>
    </xf>
    <xf numFmtId="0" fontId="8" fillId="0" borderId="47" xfId="0" applyFont="1" applyBorder="1" applyAlignment="1" applyProtection="1">
      <alignment horizontal="left" vertical="center"/>
      <protection hidden="1"/>
    </xf>
    <xf numFmtId="0" fontId="13" fillId="2" borderId="47" xfId="0" applyFont="1" applyFill="1" applyBorder="1" applyAlignment="1" applyProtection="1">
      <alignment horizontal="center" vertical="center"/>
      <protection hidden="1"/>
    </xf>
    <xf numFmtId="0" fontId="13" fillId="0" borderId="47" xfId="0" applyFont="1" applyBorder="1" applyAlignment="1" applyProtection="1">
      <alignment horizontal="center" vertical="center"/>
      <protection hidden="1"/>
    </xf>
    <xf numFmtId="0" fontId="8" fillId="2" borderId="46" xfId="7" applyFont="1" applyFill="1" applyBorder="1" applyAlignment="1" applyProtection="1">
      <alignment horizontal="left" vertical="center"/>
      <protection hidden="1"/>
    </xf>
    <xf numFmtId="0" fontId="8" fillId="0" borderId="47" xfId="7" applyFont="1" applyBorder="1" applyAlignment="1" applyProtection="1">
      <alignment horizontal="center" vertical="center"/>
      <protection hidden="1"/>
    </xf>
    <xf numFmtId="0" fontId="8" fillId="0" borderId="48" xfId="7" applyFont="1" applyBorder="1" applyAlignment="1" applyProtection="1">
      <alignment horizontal="center" vertical="center"/>
      <protection hidden="1"/>
    </xf>
    <xf numFmtId="0" fontId="8" fillId="0" borderId="47" xfId="9" applyFont="1" applyBorder="1" applyAlignment="1" applyProtection="1">
      <alignment horizontal="left" vertical="center"/>
      <protection hidden="1"/>
    </xf>
    <xf numFmtId="0" fontId="8" fillId="2" borderId="0" xfId="0" applyFont="1" applyFill="1" applyAlignment="1" applyProtection="1">
      <alignment horizontal="left" vertical="center"/>
      <protection hidden="1"/>
    </xf>
    <xf numFmtId="0" fontId="8" fillId="2" borderId="47" xfId="8" applyFont="1" applyFill="1" applyBorder="1" applyAlignment="1" applyProtection="1">
      <alignment horizontal="left" vertical="center"/>
      <protection hidden="1"/>
    </xf>
    <xf numFmtId="0" fontId="8" fillId="0" borderId="47" xfId="8" applyFont="1" applyBorder="1" applyAlignment="1" applyProtection="1">
      <alignment horizontal="left" vertical="center"/>
      <protection hidden="1"/>
    </xf>
    <xf numFmtId="0" fontId="8" fillId="0" borderId="0" xfId="7" applyFont="1" applyAlignment="1" applyProtection="1">
      <alignment horizontal="left" vertical="center"/>
      <protection hidden="1"/>
    </xf>
    <xf numFmtId="0" fontId="8" fillId="0" borderId="0" xfId="10" applyFont="1" applyAlignment="1">
      <alignment horizontal="left" vertical="center"/>
    </xf>
    <xf numFmtId="165" fontId="16" fillId="0" borderId="49" xfId="1" applyNumberFormat="1" applyFont="1" applyFill="1" applyBorder="1" applyAlignment="1" applyProtection="1">
      <alignment horizontal="right" vertical="center"/>
      <protection hidden="1"/>
    </xf>
    <xf numFmtId="0" fontId="8" fillId="0" borderId="46" xfId="8" applyFont="1" applyBorder="1" applyAlignment="1" applyProtection="1">
      <alignment horizontal="left" vertical="center"/>
      <protection hidden="1"/>
    </xf>
    <xf numFmtId="0" fontId="8" fillId="0" borderId="48" xfId="8" applyFont="1" applyBorder="1" applyAlignment="1" applyProtection="1">
      <alignment horizontal="center" vertical="center"/>
      <protection hidden="1"/>
    </xf>
    <xf numFmtId="0" fontId="8" fillId="2" borderId="46" xfId="8" applyFont="1" applyFill="1" applyBorder="1" applyAlignment="1" applyProtection="1">
      <alignment horizontal="left" vertical="center"/>
      <protection hidden="1"/>
    </xf>
    <xf numFmtId="0" fontId="8" fillId="0" borderId="47" xfId="11" applyFont="1" applyBorder="1" applyAlignment="1" applyProtection="1">
      <alignment horizontal="left" vertical="center"/>
      <protection hidden="1"/>
    </xf>
    <xf numFmtId="0" fontId="13" fillId="0" borderId="47" xfId="0" applyFont="1" applyBorder="1" applyAlignment="1" applyProtection="1">
      <alignment horizontal="left" vertical="center"/>
      <protection hidden="1"/>
    </xf>
    <xf numFmtId="0" fontId="8" fillId="0" borderId="47" xfId="9" applyFont="1" applyBorder="1" applyAlignment="1" applyProtection="1">
      <alignment horizontal="center" vertical="center"/>
      <protection hidden="1"/>
    </xf>
    <xf numFmtId="0" fontId="8" fillId="2" borderId="47" xfId="9" applyFont="1" applyFill="1" applyBorder="1" applyAlignment="1" applyProtection="1">
      <alignment horizontal="left" vertical="center"/>
      <protection hidden="1"/>
    </xf>
    <xf numFmtId="0" fontId="8" fillId="2" borderId="47" xfId="9" applyFont="1" applyFill="1" applyBorder="1" applyAlignment="1" applyProtection="1">
      <alignment horizontal="center" vertical="center"/>
      <protection hidden="1"/>
    </xf>
    <xf numFmtId="0" fontId="13" fillId="2" borderId="0" xfId="0" applyFont="1" applyFill="1" applyAlignment="1" applyProtection="1">
      <alignment horizontal="left" vertical="center"/>
      <protection hidden="1"/>
    </xf>
    <xf numFmtId="0" fontId="13" fillId="0" borderId="47" xfId="11" applyFont="1" applyBorder="1" applyAlignment="1" applyProtection="1">
      <alignment horizontal="left" vertical="center"/>
      <protection hidden="1"/>
    </xf>
    <xf numFmtId="164" fontId="8" fillId="7" borderId="0" xfId="0" applyNumberFormat="1" applyFont="1" applyFill="1" applyAlignment="1" applyProtection="1">
      <alignment vertical="center"/>
      <protection hidden="1"/>
    </xf>
    <xf numFmtId="172" fontId="18" fillId="8" borderId="36" xfId="0" applyNumberFormat="1" applyFont="1" applyFill="1" applyBorder="1"/>
    <xf numFmtId="0" fontId="8" fillId="8" borderId="0" xfId="0" applyFont="1" applyFill="1" applyAlignment="1" applyProtection="1">
      <alignment vertical="center"/>
      <protection hidden="1"/>
    </xf>
    <xf numFmtId="0" fontId="19" fillId="0" borderId="47" xfId="7" applyFont="1" applyBorder="1" applyAlignment="1" applyProtection="1">
      <alignment horizontal="left" vertical="center"/>
      <protection hidden="1"/>
    </xf>
    <xf numFmtId="0" fontId="8" fillId="4" borderId="47" xfId="7" applyFont="1" applyFill="1" applyBorder="1" applyAlignment="1" applyProtection="1">
      <alignment horizontal="left" vertical="center"/>
      <protection hidden="1"/>
    </xf>
    <xf numFmtId="0" fontId="8" fillId="4" borderId="47" xfId="0" applyFont="1" applyFill="1" applyBorder="1" applyAlignment="1" applyProtection="1">
      <alignment horizontal="center" vertical="center"/>
      <protection hidden="1"/>
    </xf>
    <xf numFmtId="0" fontId="13" fillId="4" borderId="48" xfId="0" applyFont="1" applyFill="1" applyBorder="1" applyAlignment="1" applyProtection="1">
      <alignment horizontal="center" vertical="center"/>
      <protection hidden="1"/>
    </xf>
    <xf numFmtId="0" fontId="8" fillId="4" borderId="0" xfId="10" applyFont="1" applyFill="1" applyAlignment="1">
      <alignment horizontal="left" vertical="center"/>
    </xf>
    <xf numFmtId="0" fontId="8" fillId="2" borderId="52" xfId="7" applyFont="1" applyFill="1" applyBorder="1" applyAlignment="1" applyProtection="1">
      <alignment horizontal="left" vertical="center"/>
      <protection hidden="1"/>
    </xf>
    <xf numFmtId="0" fontId="5" fillId="0" borderId="52" xfId="8" applyFont="1" applyBorder="1" applyAlignment="1" applyProtection="1">
      <alignment horizontal="left" vertical="center"/>
      <protection hidden="1"/>
    </xf>
    <xf numFmtId="0" fontId="8" fillId="4" borderId="0" xfId="0" applyFont="1" applyFill="1" applyAlignment="1" applyProtection="1">
      <alignment vertical="center"/>
      <protection hidden="1"/>
    </xf>
    <xf numFmtId="0" fontId="8" fillId="2" borderId="47" xfId="8" applyFont="1" applyFill="1" applyBorder="1" applyAlignment="1" applyProtection="1">
      <alignment horizontal="center" vertical="center"/>
      <protection hidden="1"/>
    </xf>
    <xf numFmtId="0" fontId="8" fillId="2" borderId="48" xfId="8" applyFont="1" applyFill="1" applyBorder="1" applyAlignment="1" applyProtection="1">
      <alignment horizontal="center" vertical="center"/>
      <protection hidden="1"/>
    </xf>
    <xf numFmtId="0" fontId="13" fillId="0" borderId="0" xfId="0" applyFont="1" applyAlignment="1" applyProtection="1">
      <alignment horizontal="left" vertical="center"/>
      <protection hidden="1"/>
    </xf>
    <xf numFmtId="0" fontId="5" fillId="0" borderId="47" xfId="11" applyFont="1" applyBorder="1" applyAlignment="1" applyProtection="1">
      <alignment horizontal="left" vertical="center"/>
      <protection hidden="1"/>
    </xf>
    <xf numFmtId="9" fontId="8" fillId="0" borderId="53" xfId="4" applyFont="1" applyFill="1" applyBorder="1" applyAlignment="1" applyProtection="1">
      <alignment horizontal="left" vertical="center"/>
      <protection hidden="1"/>
    </xf>
    <xf numFmtId="9" fontId="8" fillId="0" borderId="53" xfId="4" applyFont="1" applyFill="1" applyBorder="1" applyAlignment="1" applyProtection="1">
      <alignment horizontal="center" vertical="center"/>
      <protection hidden="1"/>
    </xf>
    <xf numFmtId="9" fontId="8" fillId="2" borderId="49" xfId="4" applyFont="1" applyFill="1" applyBorder="1" applyAlignment="1" applyProtection="1">
      <alignment horizontal="left" vertical="center"/>
      <protection hidden="1"/>
    </xf>
    <xf numFmtId="165" fontId="8" fillId="0" borderId="49" xfId="1" applyNumberFormat="1" applyFont="1" applyFill="1" applyBorder="1" applyAlignment="1" applyProtection="1">
      <alignment horizontal="left" vertical="center"/>
      <protection hidden="1"/>
    </xf>
    <xf numFmtId="0" fontId="20" fillId="0" borderId="47" xfId="0" applyFont="1" applyBorder="1" applyAlignment="1" applyProtection="1">
      <alignment horizontal="center" vertical="center"/>
      <protection hidden="1"/>
    </xf>
    <xf numFmtId="165" fontId="20" fillId="0" borderId="47" xfId="2" applyNumberFormat="1" applyFont="1" applyFill="1" applyBorder="1" applyAlignment="1" applyProtection="1">
      <alignment horizontal="right" vertical="center"/>
      <protection hidden="1"/>
    </xf>
    <xf numFmtId="165" fontId="20" fillId="9" borderId="49" xfId="1" applyNumberFormat="1" applyFont="1" applyFill="1" applyBorder="1" applyAlignment="1" applyProtection="1">
      <alignment horizontal="right" vertical="center"/>
      <protection hidden="1"/>
    </xf>
    <xf numFmtId="0" fontId="13" fillId="0" borderId="54" xfId="0" applyFont="1" applyBorder="1" applyAlignment="1" applyProtection="1">
      <alignment horizontal="left" vertical="center"/>
      <protection hidden="1"/>
    </xf>
    <xf numFmtId="0" fontId="8" fillId="0" borderId="55" xfId="11" applyFont="1" applyBorder="1" applyAlignment="1" applyProtection="1">
      <alignment horizontal="left" vertical="center"/>
      <protection hidden="1"/>
    </xf>
    <xf numFmtId="0" fontId="13" fillId="0" borderId="56" xfId="0" applyFont="1" applyBorder="1" applyAlignment="1" applyProtection="1">
      <alignment horizontal="center" vertical="center"/>
      <protection hidden="1"/>
    </xf>
    <xf numFmtId="165" fontId="8" fillId="9" borderId="53" xfId="1" applyNumberFormat="1" applyFont="1" applyFill="1" applyBorder="1" applyAlignment="1" applyProtection="1">
      <alignment horizontal="right" vertical="center"/>
      <protection hidden="1"/>
    </xf>
    <xf numFmtId="9" fontId="8" fillId="0" borderId="57" xfId="4" applyFont="1" applyFill="1" applyBorder="1" applyAlignment="1" applyProtection="1">
      <alignment horizontal="left" vertical="center"/>
      <protection hidden="1"/>
    </xf>
    <xf numFmtId="9" fontId="8" fillId="0" borderId="57" xfId="4" applyFont="1" applyFill="1" applyBorder="1" applyAlignment="1" applyProtection="1">
      <alignment horizontal="center" vertical="center"/>
      <protection hidden="1"/>
    </xf>
    <xf numFmtId="169" fontId="8" fillId="0" borderId="58" xfId="0" applyNumberFormat="1" applyFont="1" applyBorder="1" applyAlignment="1" applyProtection="1">
      <alignment horizontal="center" vertical="center"/>
      <protection hidden="1"/>
    </xf>
    <xf numFmtId="42" fontId="23" fillId="0" borderId="77" xfId="27" applyNumberFormat="1" applyFont="1" applyBorder="1"/>
    <xf numFmtId="0" fontId="23" fillId="0" borderId="77" xfId="27" applyFont="1" applyBorder="1"/>
    <xf numFmtId="0" fontId="23" fillId="0" borderId="69" xfId="27" applyFont="1" applyBorder="1"/>
    <xf numFmtId="0" fontId="23" fillId="0" borderId="69" xfId="27" applyFont="1" applyBorder="1" applyAlignment="1">
      <alignment horizontal="center"/>
    </xf>
    <xf numFmtId="42" fontId="23" fillId="0" borderId="69" xfId="27" applyNumberFormat="1" applyFont="1" applyBorder="1"/>
    <xf numFmtId="0" fontId="24" fillId="0" borderId="69" xfId="27" applyFont="1" applyBorder="1"/>
    <xf numFmtId="42" fontId="24" fillId="0" borderId="69" xfId="27" applyNumberFormat="1" applyFont="1" applyBorder="1"/>
    <xf numFmtId="0" fontId="23" fillId="0" borderId="69" xfId="27" applyFont="1" applyBorder="1" applyAlignment="1">
      <alignment horizontal="center" vertical="center"/>
    </xf>
    <xf numFmtId="0" fontId="23" fillId="0" borderId="69" xfId="27" applyFont="1" applyBorder="1" applyAlignment="1">
      <alignment horizontal="center" vertical="center" wrapText="1"/>
    </xf>
    <xf numFmtId="2" fontId="13" fillId="0" borderId="11" xfId="0" applyNumberFormat="1" applyFont="1" applyBorder="1" applyAlignment="1" applyProtection="1">
      <alignment horizontal="center" vertical="center"/>
      <protection hidden="1"/>
    </xf>
    <xf numFmtId="0" fontId="8" fillId="0" borderId="1" xfId="7" applyFont="1" applyBorder="1" applyAlignment="1" applyProtection="1">
      <alignment horizontal="left" vertical="center"/>
      <protection hidden="1"/>
    </xf>
    <xf numFmtId="2" fontId="8" fillId="0" borderId="1" xfId="16" applyNumberFormat="1" applyFont="1" applyFill="1" applyBorder="1" applyAlignment="1" applyProtection="1">
      <alignment horizontal="center" vertical="center"/>
      <protection hidden="1"/>
    </xf>
    <xf numFmtId="0" fontId="8" fillId="0" borderId="1" xfId="7" applyFont="1" applyBorder="1" applyAlignment="1" applyProtection="1">
      <alignment horizontal="left" vertical="center" wrapText="1"/>
      <protection hidden="1"/>
    </xf>
    <xf numFmtId="0" fontId="8" fillId="0" borderId="1" xfId="8" applyFont="1" applyBorder="1" applyAlignment="1" applyProtection="1">
      <alignment horizontal="left" vertical="center"/>
      <protection hidden="1"/>
    </xf>
    <xf numFmtId="0" fontId="8" fillId="0" borderId="1" xfId="9" applyFont="1" applyBorder="1" applyAlignment="1" applyProtection="1">
      <alignment horizontal="left" vertical="center" wrapText="1"/>
      <protection hidden="1"/>
    </xf>
    <xf numFmtId="0" fontId="13" fillId="0" borderId="1" xfId="0" applyFont="1" applyBorder="1" applyAlignment="1" applyProtection="1">
      <alignment horizontal="center" vertical="center"/>
      <protection hidden="1"/>
    </xf>
    <xf numFmtId="165" fontId="8" fillId="0" borderId="1" xfId="1" applyNumberFormat="1" applyFont="1" applyFill="1" applyBorder="1" applyAlignment="1" applyProtection="1">
      <alignment horizontal="right" vertical="center"/>
      <protection hidden="1"/>
    </xf>
    <xf numFmtId="165" fontId="8" fillId="0" borderId="1" xfId="1" applyNumberFormat="1" applyFont="1" applyFill="1" applyBorder="1" applyAlignment="1" applyProtection="1">
      <alignment horizontal="center" vertical="center"/>
      <protection hidden="1"/>
    </xf>
    <xf numFmtId="165" fontId="8" fillId="0" borderId="10" xfId="1" applyNumberFormat="1" applyFont="1" applyFill="1" applyBorder="1" applyAlignment="1" applyProtection="1">
      <alignment horizontal="right" vertical="center"/>
      <protection hidden="1"/>
    </xf>
    <xf numFmtId="42" fontId="26" fillId="0" borderId="1" xfId="3" applyFont="1" applyFill="1" applyBorder="1" applyAlignment="1">
      <alignment horizontal="center" vertical="center"/>
    </xf>
    <xf numFmtId="165" fontId="8" fillId="0" borderId="1" xfId="1" applyNumberFormat="1" applyFont="1" applyFill="1" applyBorder="1" applyAlignment="1" applyProtection="1">
      <alignment horizontal="left" vertical="center"/>
      <protection hidden="1"/>
    </xf>
    <xf numFmtId="0" fontId="13" fillId="0" borderId="10" xfId="0" applyFont="1" applyBorder="1" applyAlignment="1" applyProtection="1">
      <alignment horizontal="center" vertical="center"/>
      <protection hidden="1"/>
    </xf>
    <xf numFmtId="0" fontId="29" fillId="0" borderId="1" xfId="0" applyFont="1" applyBorder="1" applyAlignment="1" applyProtection="1">
      <alignment horizontal="center" vertical="center"/>
      <protection hidden="1"/>
    </xf>
    <xf numFmtId="165" fontId="0" fillId="0" borderId="8" xfId="0" applyNumberFormat="1" applyBorder="1" applyAlignment="1">
      <alignment vertical="center"/>
    </xf>
    <xf numFmtId="165" fontId="0" fillId="0" borderId="8" xfId="0" applyNumberFormat="1" applyBorder="1"/>
    <xf numFmtId="10" fontId="0" fillId="10" borderId="8" xfId="0" applyNumberFormat="1" applyFill="1" applyBorder="1" applyAlignment="1">
      <alignment horizontal="center" vertical="center"/>
    </xf>
    <xf numFmtId="165" fontId="0" fillId="0" borderId="9" xfId="0" applyNumberFormat="1" applyBorder="1"/>
    <xf numFmtId="165" fontId="0" fillId="0" borderId="1" xfId="0" applyNumberFormat="1" applyBorder="1"/>
    <xf numFmtId="165" fontId="0" fillId="0" borderId="10" xfId="0" applyNumberFormat="1" applyBorder="1"/>
    <xf numFmtId="10" fontId="0" fillId="10" borderId="1" xfId="0" applyNumberFormat="1" applyFill="1" applyBorder="1" applyAlignment="1">
      <alignment horizontal="center" vertical="center"/>
    </xf>
    <xf numFmtId="10" fontId="0" fillId="10" borderId="10" xfId="0" applyNumberFormat="1" applyFill="1" applyBorder="1" applyAlignment="1">
      <alignment horizontal="center" vertical="center"/>
    </xf>
    <xf numFmtId="0" fontId="0" fillId="0" borderId="1" xfId="0" applyBorder="1" applyAlignment="1">
      <alignment wrapText="1"/>
    </xf>
    <xf numFmtId="0" fontId="0" fillId="0" borderId="14" xfId="0" applyBorder="1"/>
    <xf numFmtId="0" fontId="0" fillId="0" borderId="0" xfId="0" applyAlignment="1">
      <alignment horizontal="center"/>
    </xf>
    <xf numFmtId="0" fontId="11" fillId="4" borderId="1" xfId="0" applyFont="1" applyFill="1" applyBorder="1" applyAlignment="1" applyProtection="1">
      <alignment horizontal="center" vertical="center"/>
      <protection hidden="1"/>
    </xf>
    <xf numFmtId="0" fontId="9" fillId="4" borderId="1" xfId="0" applyFont="1" applyFill="1" applyBorder="1" applyAlignment="1">
      <alignment horizontal="center"/>
    </xf>
    <xf numFmtId="0" fontId="7" fillId="4" borderId="25" xfId="0" applyFont="1" applyFill="1" applyBorder="1" applyAlignment="1" applyProtection="1">
      <alignment vertical="center"/>
      <protection hidden="1"/>
    </xf>
    <xf numFmtId="0" fontId="7" fillId="4" borderId="26" xfId="0" applyFont="1" applyFill="1" applyBorder="1" applyAlignment="1" applyProtection="1">
      <alignment vertical="center"/>
      <protection hidden="1"/>
    </xf>
    <xf numFmtId="0" fontId="9" fillId="4" borderId="27" xfId="0" applyFont="1" applyFill="1" applyBorder="1"/>
    <xf numFmtId="0" fontId="7" fillId="4" borderId="79" xfId="0" applyFont="1" applyFill="1" applyBorder="1"/>
    <xf numFmtId="0" fontId="7" fillId="4" borderId="81" xfId="0" applyFont="1" applyFill="1" applyBorder="1" applyAlignment="1" applyProtection="1">
      <alignment vertical="center"/>
      <protection hidden="1"/>
    </xf>
    <xf numFmtId="0" fontId="11" fillId="4" borderId="81" xfId="0" applyFont="1" applyFill="1" applyBorder="1" applyAlignment="1" applyProtection="1">
      <alignment vertical="center"/>
      <protection hidden="1"/>
    </xf>
    <xf numFmtId="0" fontId="11" fillId="4" borderId="10" xfId="0" applyFont="1" applyFill="1" applyBorder="1" applyAlignment="1" applyProtection="1">
      <alignment horizontal="center" vertical="center"/>
      <protection hidden="1"/>
    </xf>
    <xf numFmtId="10" fontId="7" fillId="4" borderId="10" xfId="0" applyNumberFormat="1" applyFont="1" applyFill="1" applyBorder="1"/>
    <xf numFmtId="0" fontId="9" fillId="4" borderId="30" xfId="0" applyFont="1" applyFill="1" applyBorder="1" applyAlignment="1" applyProtection="1">
      <alignment horizontal="left" vertical="center" wrapText="1"/>
      <protection hidden="1"/>
    </xf>
    <xf numFmtId="10" fontId="7" fillId="4" borderId="10" xfId="0" applyNumberFormat="1" applyFont="1" applyFill="1" applyBorder="1" applyAlignment="1">
      <alignment horizontal="right"/>
    </xf>
    <xf numFmtId="0" fontId="9" fillId="4" borderId="11" xfId="0" applyFont="1" applyFill="1" applyBorder="1" applyAlignment="1" applyProtection="1">
      <alignment horizontal="left" vertical="center" wrapText="1"/>
      <protection hidden="1"/>
    </xf>
    <xf numFmtId="0" fontId="7" fillId="4" borderId="82" xfId="0" applyFont="1" applyFill="1" applyBorder="1" applyAlignment="1" applyProtection="1">
      <alignment horizontal="left" vertical="center" wrapText="1" indent="1"/>
      <protection hidden="1"/>
    </xf>
    <xf numFmtId="0" fontId="7" fillId="4" borderId="79" xfId="0" applyFont="1" applyFill="1" applyBorder="1" applyAlignment="1" applyProtection="1">
      <alignment vertical="center"/>
      <protection hidden="1"/>
    </xf>
    <xf numFmtId="0" fontId="9" fillId="4" borderId="66" xfId="0" applyFont="1" applyFill="1" applyBorder="1" applyAlignment="1" applyProtection="1">
      <alignment horizontal="left" vertical="center" indent="1"/>
      <protection hidden="1"/>
    </xf>
    <xf numFmtId="10" fontId="9" fillId="4" borderId="10" xfId="0" applyNumberFormat="1" applyFont="1" applyFill="1" applyBorder="1" applyAlignment="1" applyProtection="1">
      <alignment vertical="center"/>
      <protection hidden="1"/>
    </xf>
    <xf numFmtId="0" fontId="7" fillId="4" borderId="66" xfId="0" applyFont="1" applyFill="1" applyBorder="1"/>
    <xf numFmtId="0" fontId="0" fillId="0" borderId="22" xfId="0" applyBorder="1"/>
    <xf numFmtId="0" fontId="0" fillId="0" borderId="23" xfId="0" applyBorder="1"/>
    <xf numFmtId="0" fontId="0" fillId="0" borderId="24" xfId="0" applyBorder="1"/>
    <xf numFmtId="0" fontId="7" fillId="0" borderId="1" xfId="0" applyFont="1" applyBorder="1" applyAlignment="1" applyProtection="1">
      <alignment horizontal="left" vertical="center" indent="1"/>
      <protection hidden="1"/>
    </xf>
    <xf numFmtId="0" fontId="0" fillId="0" borderId="25" xfId="0" applyBorder="1" applyAlignment="1" applyProtection="1">
      <alignment vertical="center"/>
      <protection hidden="1"/>
    </xf>
    <xf numFmtId="0" fontId="0" fillId="0" borderId="81" xfId="0" applyBorder="1" applyAlignment="1" applyProtection="1">
      <alignment vertical="center"/>
      <protection hidden="1"/>
    </xf>
    <xf numFmtId="0" fontId="0" fillId="5" borderId="79" xfId="0" applyFill="1" applyBorder="1" applyAlignment="1" applyProtection="1">
      <alignment vertical="center"/>
      <protection hidden="1"/>
    </xf>
    <xf numFmtId="166" fontId="0" fillId="5" borderId="79" xfId="0" applyNumberFormat="1" applyFill="1" applyBorder="1" applyAlignment="1" applyProtection="1">
      <alignment vertical="center"/>
      <protection hidden="1"/>
    </xf>
    <xf numFmtId="0" fontId="9" fillId="5" borderId="10" xfId="0" applyFont="1" applyFill="1" applyBorder="1" applyAlignment="1" applyProtection="1">
      <alignment horizontal="center" vertical="center" wrapText="1"/>
      <protection hidden="1"/>
    </xf>
    <xf numFmtId="167" fontId="0" fillId="5" borderId="10" xfId="0" applyNumberFormat="1" applyFill="1" applyBorder="1" applyAlignment="1" applyProtection="1">
      <alignment horizontal="center" vertical="center"/>
      <protection hidden="1"/>
    </xf>
    <xf numFmtId="167" fontId="9" fillId="5" borderId="10" xfId="0" applyNumberFormat="1" applyFont="1" applyFill="1" applyBorder="1" applyAlignment="1" applyProtection="1">
      <alignment horizontal="center" vertical="center"/>
      <protection hidden="1"/>
    </xf>
    <xf numFmtId="167" fontId="0" fillId="5" borderId="79" xfId="0" applyNumberFormat="1" applyFill="1" applyBorder="1" applyAlignment="1" applyProtection="1">
      <alignment vertical="center"/>
      <protection hidden="1"/>
    </xf>
    <xf numFmtId="0" fontId="0" fillId="0" borderId="22" xfId="0" applyBorder="1" applyAlignment="1" applyProtection="1">
      <alignment vertical="center"/>
      <protection hidden="1"/>
    </xf>
    <xf numFmtId="0" fontId="9" fillId="5" borderId="34" xfId="0" applyFont="1" applyFill="1" applyBorder="1" applyAlignment="1" applyProtection="1">
      <alignment vertical="center"/>
      <protection hidden="1"/>
    </xf>
    <xf numFmtId="167" fontId="9" fillId="5" borderId="13" xfId="0" applyNumberFormat="1" applyFont="1" applyFill="1" applyBorder="1" applyAlignment="1" applyProtection="1">
      <alignment horizontal="center" vertical="center"/>
      <protection hidden="1"/>
    </xf>
    <xf numFmtId="0" fontId="0" fillId="0" borderId="23" xfId="0" applyBorder="1" applyAlignment="1" applyProtection="1">
      <alignment vertical="center"/>
      <protection hidden="1"/>
    </xf>
    <xf numFmtId="167" fontId="9" fillId="5" borderId="14" xfId="0" applyNumberFormat="1" applyFont="1" applyFill="1" applyBorder="1" applyAlignment="1" applyProtection="1">
      <alignment horizontal="center" vertical="center"/>
      <protection hidden="1"/>
    </xf>
    <xf numFmtId="0" fontId="4" fillId="0" borderId="25" xfId="27" applyBorder="1"/>
    <xf numFmtId="0" fontId="4" fillId="0" borderId="26" xfId="27" applyBorder="1"/>
    <xf numFmtId="0" fontId="4" fillId="0" borderId="27" xfId="27" applyBorder="1"/>
    <xf numFmtId="0" fontId="23" fillId="0" borderId="83" xfId="27" applyFont="1" applyBorder="1"/>
    <xf numFmtId="0" fontId="4" fillId="0" borderId="0" xfId="27"/>
    <xf numFmtId="0" fontId="4" fillId="0" borderId="79" xfId="27" applyBorder="1"/>
    <xf numFmtId="42" fontId="23" fillId="0" borderId="0" xfId="27" applyNumberFormat="1" applyFont="1"/>
    <xf numFmtId="0" fontId="4" fillId="0" borderId="81" xfId="27" applyBorder="1"/>
    <xf numFmtId="0" fontId="24" fillId="0" borderId="85" xfId="27" applyFont="1" applyBorder="1"/>
    <xf numFmtId="0" fontId="0" fillId="0" borderId="81" xfId="0" applyBorder="1"/>
    <xf numFmtId="176" fontId="23" fillId="0" borderId="85" xfId="27" applyNumberFormat="1" applyFont="1" applyBorder="1"/>
    <xf numFmtId="0" fontId="23" fillId="0" borderId="0" xfId="12"/>
    <xf numFmtId="0" fontId="23" fillId="0" borderId="23" xfId="12" applyBorder="1"/>
    <xf numFmtId="0" fontId="4" fillId="0" borderId="23" xfId="27" applyBorder="1"/>
    <xf numFmtId="42" fontId="23" fillId="0" borderId="23" xfId="27" applyNumberFormat="1" applyFont="1" applyBorder="1"/>
    <xf numFmtId="176" fontId="23" fillId="0" borderId="86" xfId="27" applyNumberFormat="1" applyFont="1" applyBorder="1"/>
    <xf numFmtId="177" fontId="24" fillId="0" borderId="2" xfId="27" applyNumberFormat="1" applyFont="1" applyBorder="1"/>
    <xf numFmtId="0" fontId="8" fillId="0" borderId="1" xfId="0" applyFont="1" applyBorder="1" applyAlignment="1" applyProtection="1">
      <alignment vertical="center" wrapText="1"/>
      <protection hidden="1"/>
    </xf>
    <xf numFmtId="165" fontId="0" fillId="0" borderId="0" xfId="0" applyNumberFormat="1"/>
    <xf numFmtId="0" fontId="8" fillId="0" borderId="3" xfId="0" applyFont="1" applyBorder="1" applyAlignment="1" applyProtection="1">
      <alignment horizontal="center" vertical="center"/>
      <protection hidden="1"/>
    </xf>
    <xf numFmtId="0" fontId="23" fillId="0" borderId="1" xfId="27" applyFont="1" applyBorder="1" applyAlignment="1">
      <alignment horizontal="center" vertical="center"/>
    </xf>
    <xf numFmtId="42" fontId="23" fillId="0" borderId="3" xfId="27" applyNumberFormat="1" applyFont="1" applyBorder="1" applyAlignment="1">
      <alignment horizontal="center" vertical="center"/>
    </xf>
    <xf numFmtId="0" fontId="23" fillId="0" borderId="3" xfId="27" applyFont="1" applyBorder="1" applyAlignment="1">
      <alignment horizontal="center" vertical="center"/>
    </xf>
    <xf numFmtId="0" fontId="23" fillId="0" borderId="88" xfId="27" applyFont="1" applyBorder="1"/>
    <xf numFmtId="42" fontId="23" fillId="0" borderId="77" xfId="27" applyNumberFormat="1" applyFont="1" applyBorder="1" applyAlignment="1">
      <alignment horizontal="center"/>
    </xf>
    <xf numFmtId="0" fontId="24" fillId="0" borderId="2" xfId="27" applyFont="1" applyBorder="1" applyAlignment="1">
      <alignment horizontal="center"/>
    </xf>
    <xf numFmtId="42" fontId="0" fillId="0" borderId="1" xfId="3" applyFont="1" applyFill="1" applyBorder="1" applyAlignment="1">
      <alignment horizontal="center" vertical="center"/>
    </xf>
    <xf numFmtId="165" fontId="0" fillId="0" borderId="1" xfId="0" applyNumberFormat="1" applyBorder="1" applyAlignment="1">
      <alignment horizontal="center" vertical="center"/>
    </xf>
    <xf numFmtId="165" fontId="0" fillId="0" borderId="1" xfId="0" applyNumberFormat="1" applyBorder="1" applyAlignment="1">
      <alignment vertical="center"/>
    </xf>
    <xf numFmtId="10" fontId="0" fillId="0" borderId="1" xfId="0" applyNumberFormat="1" applyBorder="1" applyAlignment="1">
      <alignment horizontal="center" vertical="center"/>
    </xf>
    <xf numFmtId="0" fontId="1" fillId="0" borderId="36" xfId="0" applyFont="1" applyBorder="1" applyAlignment="1">
      <alignment horizontal="center" vertical="center" wrapText="1"/>
    </xf>
    <xf numFmtId="0" fontId="0" fillId="0" borderId="36" xfId="0" applyBorder="1"/>
    <xf numFmtId="42" fontId="0" fillId="0" borderId="8" xfId="3" applyFont="1" applyFill="1" applyBorder="1" applyAlignment="1">
      <alignment horizontal="center" vertical="center"/>
    </xf>
    <xf numFmtId="165" fontId="0" fillId="0" borderId="5" xfId="0" applyNumberFormat="1" applyBorder="1"/>
    <xf numFmtId="165" fontId="0" fillId="0" borderId="4" xfId="0" applyNumberFormat="1" applyBorder="1"/>
    <xf numFmtId="0" fontId="24" fillId="12" borderId="4" xfId="0" applyFont="1" applyFill="1" applyBorder="1" applyAlignment="1">
      <alignment horizontal="center" vertical="center"/>
    </xf>
    <xf numFmtId="0" fontId="24" fillId="12" borderId="5" xfId="0" applyFont="1" applyFill="1" applyBorder="1" applyAlignment="1">
      <alignment vertical="center"/>
    </xf>
    <xf numFmtId="165" fontId="0" fillId="12" borderId="5" xfId="0" applyNumberFormat="1" applyFill="1" applyBorder="1" applyAlignment="1">
      <alignment horizontal="center" vertical="center"/>
    </xf>
    <xf numFmtId="165" fontId="0" fillId="12" borderId="5" xfId="0" applyNumberFormat="1" applyFill="1" applyBorder="1"/>
    <xf numFmtId="0" fontId="0" fillId="12" borderId="5" xfId="0" applyFill="1" applyBorder="1"/>
    <xf numFmtId="165" fontId="0" fillId="12" borderId="6" xfId="0" applyNumberFormat="1" applyFill="1" applyBorder="1"/>
    <xf numFmtId="165" fontId="0" fillId="0" borderId="0" xfId="0" applyNumberFormat="1" applyAlignment="1">
      <alignment horizontal="center" vertical="center"/>
    </xf>
    <xf numFmtId="10" fontId="0" fillId="0" borderId="10" xfId="0" applyNumberFormat="1" applyBorder="1" applyAlignment="1">
      <alignment horizontal="center" vertical="center"/>
    </xf>
    <xf numFmtId="165" fontId="0" fillId="0" borderId="10" xfId="0" applyNumberFormat="1" applyBorder="1" applyAlignment="1">
      <alignment horizontal="center" vertical="center"/>
    </xf>
    <xf numFmtId="178" fontId="0" fillId="0" borderId="13" xfId="0" applyNumberFormat="1" applyBorder="1" applyAlignment="1">
      <alignment horizontal="center" vertical="center"/>
    </xf>
    <xf numFmtId="165" fontId="0" fillId="0" borderId="28" xfId="0" applyNumberFormat="1" applyBorder="1"/>
    <xf numFmtId="0" fontId="8" fillId="0" borderId="22" xfId="0" applyFont="1" applyBorder="1" applyAlignment="1" applyProtection="1">
      <alignment horizontal="center" vertical="center"/>
      <protection hidden="1"/>
    </xf>
    <xf numFmtId="0" fontId="8" fillId="0" borderId="23" xfId="0" applyFont="1" applyBorder="1" applyAlignment="1" applyProtection="1">
      <alignment horizontal="right" vertical="center"/>
      <protection hidden="1"/>
    </xf>
    <xf numFmtId="9" fontId="8" fillId="0" borderId="23" xfId="4" applyFont="1" applyFill="1" applyBorder="1" applyAlignment="1" applyProtection="1">
      <alignment horizontal="center" vertical="center"/>
      <protection hidden="1"/>
    </xf>
    <xf numFmtId="9" fontId="8" fillId="0" borderId="23" xfId="4" applyFont="1" applyFill="1" applyBorder="1" applyAlignment="1" applyProtection="1">
      <alignment horizontal="left" vertical="center"/>
      <protection hidden="1"/>
    </xf>
    <xf numFmtId="0" fontId="8" fillId="0" borderId="24" xfId="0"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0" fontId="0" fillId="0" borderId="64" xfId="0" applyBorder="1"/>
    <xf numFmtId="2" fontId="13" fillId="0" borderId="1" xfId="0" applyNumberFormat="1" applyFont="1" applyBorder="1" applyAlignment="1" applyProtection="1">
      <alignment horizontal="center" vertical="center"/>
      <protection hidden="1"/>
    </xf>
    <xf numFmtId="0" fontId="8" fillId="0" borderId="1" xfId="11" applyFont="1" applyBorder="1" applyAlignment="1" applyProtection="1">
      <alignment horizontal="left" vertical="center"/>
      <protection hidden="1"/>
    </xf>
    <xf numFmtId="0" fontId="39" fillId="0" borderId="0" xfId="0" applyFont="1"/>
    <xf numFmtId="0" fontId="38" fillId="0" borderId="19" xfId="0" applyFont="1" applyBorder="1" applyAlignment="1">
      <alignment horizontal="center" vertical="center"/>
    </xf>
    <xf numFmtId="0" fontId="38" fillId="0" borderId="20" xfId="0" applyFont="1" applyBorder="1" applyAlignment="1">
      <alignment horizontal="center" vertical="center"/>
    </xf>
    <xf numFmtId="0" fontId="38" fillId="0" borderId="21" xfId="0" applyFont="1" applyBorder="1" applyAlignment="1">
      <alignment horizontal="center" vertical="center"/>
    </xf>
    <xf numFmtId="43" fontId="39" fillId="0" borderId="0" xfId="1" applyFont="1" applyFill="1"/>
    <xf numFmtId="0" fontId="39" fillId="0" borderId="0" xfId="0" applyFont="1" applyAlignment="1">
      <alignment wrapText="1"/>
    </xf>
    <xf numFmtId="0" fontId="39" fillId="0" borderId="30" xfId="0" applyFont="1" applyBorder="1" applyAlignment="1">
      <alignment horizontal="center" vertical="center"/>
    </xf>
    <xf numFmtId="0" fontId="39" fillId="0" borderId="3" xfId="0" applyFont="1" applyBorder="1" applyAlignment="1">
      <alignment horizontal="center" vertical="center" wrapText="1"/>
    </xf>
    <xf numFmtId="165" fontId="39" fillId="0" borderId="0" xfId="0" applyNumberFormat="1" applyFont="1"/>
    <xf numFmtId="0" fontId="39" fillId="0" borderId="68" xfId="0" applyFont="1" applyBorder="1" applyAlignment="1">
      <alignment horizontal="center" vertical="center"/>
    </xf>
    <xf numFmtId="0" fontId="39" fillId="0" borderId="0" xfId="0" applyFont="1" applyAlignment="1">
      <alignment horizontal="center" vertical="center"/>
    </xf>
    <xf numFmtId="165" fontId="40" fillId="0" borderId="15" xfId="0" applyNumberFormat="1" applyFont="1" applyBorder="1" applyAlignment="1">
      <alignment horizontal="right" vertical="center"/>
    </xf>
    <xf numFmtId="0" fontId="30" fillId="6" borderId="4" xfId="21" applyFont="1" applyFill="1" applyBorder="1" applyAlignment="1">
      <alignment horizontal="center"/>
    </xf>
    <xf numFmtId="0" fontId="30" fillId="6" borderId="5" xfId="21" applyFont="1" applyFill="1" applyBorder="1"/>
    <xf numFmtId="0" fontId="30" fillId="6" borderId="42" xfId="21" applyFont="1" applyFill="1" applyBorder="1" applyAlignment="1">
      <alignment horizontal="center" vertical="center"/>
    </xf>
    <xf numFmtId="0" fontId="45" fillId="0" borderId="3" xfId="21" applyFont="1" applyBorder="1"/>
    <xf numFmtId="0" fontId="45" fillId="0" borderId="63" xfId="21" applyFont="1" applyBorder="1" applyAlignment="1">
      <alignment horizontal="center"/>
    </xf>
    <xf numFmtId="0" fontId="35" fillId="4" borderId="1" xfId="21" applyFont="1" applyFill="1" applyBorder="1"/>
    <xf numFmtId="0" fontId="35" fillId="0" borderId="33" xfId="21" applyFont="1" applyBorder="1" applyAlignment="1">
      <alignment horizontal="center"/>
    </xf>
    <xf numFmtId="0" fontId="45" fillId="0" borderId="1" xfId="21" applyFont="1" applyBorder="1"/>
    <xf numFmtId="0" fontId="45" fillId="0" borderId="33" xfId="21" applyFont="1" applyBorder="1" applyAlignment="1">
      <alignment horizontal="center"/>
    </xf>
    <xf numFmtId="0" fontId="35" fillId="0" borderId="1" xfId="21" applyFont="1" applyBorder="1" applyAlignment="1">
      <alignment vertical="center" wrapText="1"/>
    </xf>
    <xf numFmtId="0" fontId="46" fillId="0" borderId="33" xfId="21" applyFont="1" applyBorder="1" applyAlignment="1">
      <alignment horizontal="center" vertical="center"/>
    </xf>
    <xf numFmtId="0" fontId="35" fillId="0" borderId="1" xfId="21" applyFont="1" applyBorder="1"/>
    <xf numFmtId="0" fontId="46" fillId="0" borderId="1" xfId="21" applyFont="1" applyBorder="1" applyAlignment="1">
      <alignment vertical="center" wrapText="1"/>
    </xf>
    <xf numFmtId="0" fontId="45" fillId="0" borderId="1" xfId="21" applyFont="1" applyBorder="1" applyAlignment="1">
      <alignment vertical="center" wrapText="1"/>
    </xf>
    <xf numFmtId="0" fontId="35" fillId="4" borderId="1" xfId="21" applyFont="1" applyFill="1" applyBorder="1" applyAlignment="1">
      <alignment vertical="center" wrapText="1"/>
    </xf>
    <xf numFmtId="0" fontId="45" fillId="0" borderId="33" xfId="21" applyFont="1" applyBorder="1" applyAlignment="1">
      <alignment horizontal="center" vertical="center"/>
    </xf>
    <xf numFmtId="180" fontId="46" fillId="0" borderId="1" xfId="21" applyNumberFormat="1" applyFont="1" applyBorder="1" applyAlignment="1">
      <alignment vertical="center" wrapText="1"/>
    </xf>
    <xf numFmtId="180" fontId="46" fillId="0" borderId="33" xfId="21" applyNumberFormat="1" applyFont="1" applyBorder="1" applyAlignment="1">
      <alignment horizontal="center" vertical="center"/>
    </xf>
    <xf numFmtId="0" fontId="35" fillId="0" borderId="1" xfId="21" applyFont="1" applyBorder="1" applyAlignment="1">
      <alignment wrapText="1"/>
    </xf>
    <xf numFmtId="0" fontId="47" fillId="0" borderId="1" xfId="0" applyFont="1" applyBorder="1" applyAlignment="1">
      <alignment horizontal="left" vertical="center" wrapText="1"/>
    </xf>
    <xf numFmtId="0" fontId="47" fillId="0" borderId="33" xfId="0" applyFont="1" applyBorder="1" applyAlignment="1">
      <alignment horizontal="center" vertical="center"/>
    </xf>
    <xf numFmtId="0" fontId="45" fillId="0" borderId="1" xfId="21" applyFont="1" applyBorder="1" applyAlignment="1">
      <alignment wrapText="1"/>
    </xf>
    <xf numFmtId="0" fontId="48" fillId="0" borderId="1" xfId="0" applyFont="1" applyBorder="1" applyAlignment="1">
      <alignment horizontal="left" vertical="center" wrapText="1"/>
    </xf>
    <xf numFmtId="0" fontId="48" fillId="0" borderId="1" xfId="0" applyFont="1" applyBorder="1" applyAlignment="1">
      <alignment horizontal="left"/>
    </xf>
    <xf numFmtId="0" fontId="35" fillId="0" borderId="45" xfId="0" applyFont="1" applyBorder="1" applyAlignment="1">
      <alignment horizontal="left"/>
    </xf>
    <xf numFmtId="0" fontId="35" fillId="0" borderId="44" xfId="0" applyFont="1" applyBorder="1" applyAlignment="1">
      <alignment horizontal="center"/>
    </xf>
    <xf numFmtId="180" fontId="21" fillId="0" borderId="1" xfId="21" applyNumberFormat="1" applyFont="1" applyBorder="1" applyAlignment="1">
      <alignment vertical="center" wrapText="1"/>
    </xf>
    <xf numFmtId="180" fontId="21" fillId="0" borderId="33" xfId="21" applyNumberFormat="1" applyFont="1" applyBorder="1" applyAlignment="1">
      <alignment horizontal="center" vertical="center" wrapText="1"/>
    </xf>
    <xf numFmtId="0" fontId="48" fillId="0" borderId="1" xfId="21" applyFont="1" applyBorder="1"/>
    <xf numFmtId="0" fontId="48" fillId="0" borderId="33" xfId="21" applyFont="1" applyBorder="1" applyAlignment="1">
      <alignment horizontal="center" vertical="center"/>
    </xf>
    <xf numFmtId="0" fontId="21" fillId="0" borderId="1" xfId="21" applyFont="1" applyBorder="1"/>
    <xf numFmtId="0" fontId="21" fillId="0" borderId="33" xfId="21" applyFont="1" applyBorder="1" applyAlignment="1">
      <alignment horizontal="center" vertical="center"/>
    </xf>
    <xf numFmtId="0" fontId="48" fillId="0" borderId="13" xfId="21" applyFont="1" applyBorder="1"/>
    <xf numFmtId="0" fontId="48" fillId="0" borderId="34" xfId="21" applyFont="1" applyBorder="1" applyAlignment="1">
      <alignment horizontal="center" vertical="center"/>
    </xf>
    <xf numFmtId="0" fontId="35" fillId="0" borderId="0" xfId="21" applyFont="1"/>
    <xf numFmtId="0" fontId="35" fillId="0" borderId="0" xfId="21" applyFont="1" applyAlignment="1">
      <alignment horizontal="center"/>
    </xf>
    <xf numFmtId="0" fontId="35" fillId="0" borderId="1" xfId="0" applyFont="1" applyBorder="1"/>
    <xf numFmtId="0" fontId="35" fillId="0" borderId="33" xfId="0" applyFont="1" applyBorder="1" applyAlignment="1">
      <alignment horizontal="center"/>
    </xf>
    <xf numFmtId="0" fontId="45" fillId="0" borderId="1" xfId="0" applyFont="1" applyBorder="1" applyAlignment="1">
      <alignment vertical="center" wrapText="1"/>
    </xf>
    <xf numFmtId="0" fontId="46" fillId="0" borderId="33" xfId="0" applyFont="1" applyBorder="1" applyAlignment="1">
      <alignment horizontal="center" vertical="center"/>
    </xf>
    <xf numFmtId="0" fontId="46" fillId="0" borderId="1" xfId="0" applyFont="1" applyBorder="1" applyAlignment="1">
      <alignment vertical="center" wrapText="1"/>
    </xf>
    <xf numFmtId="0" fontId="35" fillId="0" borderId="45" xfId="0" applyFont="1" applyBorder="1"/>
    <xf numFmtId="0" fontId="35" fillId="0" borderId="33" xfId="0" applyFont="1" applyBorder="1" applyAlignment="1">
      <alignment horizontal="center" vertical="center"/>
    </xf>
    <xf numFmtId="0" fontId="45" fillId="0" borderId="1" xfId="0" applyFont="1" applyBorder="1" applyAlignment="1">
      <alignment horizontal="left"/>
    </xf>
    <xf numFmtId="0" fontId="45" fillId="0" borderId="33" xfId="0" applyFont="1" applyBorder="1" applyAlignment="1">
      <alignment horizontal="center" vertical="center"/>
    </xf>
    <xf numFmtId="0" fontId="45" fillId="0" borderId="1" xfId="0" applyFont="1" applyBorder="1" applyAlignment="1">
      <alignment horizontal="center" vertical="center"/>
    </xf>
    <xf numFmtId="0" fontId="35" fillId="0" borderId="1" xfId="21" applyFont="1" applyBorder="1" applyAlignment="1">
      <alignment horizontal="center"/>
    </xf>
    <xf numFmtId="0" fontId="35" fillId="0" borderId="1" xfId="0" applyFont="1" applyBorder="1" applyAlignment="1">
      <alignment horizontal="center" vertical="center"/>
    </xf>
    <xf numFmtId="49" fontId="49" fillId="6" borderId="1" xfId="0" applyNumberFormat="1" applyFont="1" applyFill="1" applyBorder="1" applyAlignment="1">
      <alignment horizontal="center" vertical="center"/>
    </xf>
    <xf numFmtId="1" fontId="39" fillId="6" borderId="1" xfId="0" applyNumberFormat="1" applyFont="1" applyFill="1" applyBorder="1" applyAlignment="1">
      <alignment horizontal="center" vertical="center"/>
    </xf>
    <xf numFmtId="43" fontId="39" fillId="6" borderId="1" xfId="1" applyFont="1" applyFill="1" applyBorder="1" applyAlignment="1">
      <alignment horizontal="center" vertical="center"/>
    </xf>
    <xf numFmtId="0" fontId="39" fillId="6" borderId="1" xfId="0" applyFont="1" applyFill="1" applyBorder="1" applyAlignment="1">
      <alignment horizontal="center" vertical="center" wrapText="1"/>
    </xf>
    <xf numFmtId="43" fontId="39" fillId="6" borderId="1" xfId="1" applyFont="1" applyFill="1" applyBorder="1" applyAlignment="1">
      <alignment horizontal="center" vertical="center" wrapText="1"/>
    </xf>
    <xf numFmtId="0" fontId="49" fillId="6" borderId="11" xfId="0" applyFont="1" applyFill="1" applyBorder="1" applyAlignment="1">
      <alignment horizontal="center" vertical="center"/>
    </xf>
    <xf numFmtId="0" fontId="49" fillId="6" borderId="1" xfId="0" applyFont="1" applyFill="1" applyBorder="1" applyAlignment="1">
      <alignment horizontal="center"/>
    </xf>
    <xf numFmtId="0" fontId="39" fillId="0" borderId="3" xfId="0" applyFont="1" applyBorder="1" applyAlignment="1">
      <alignment vertical="center" wrapText="1"/>
    </xf>
    <xf numFmtId="43" fontId="39" fillId="0" borderId="3" xfId="1" applyFont="1" applyFill="1" applyBorder="1" applyAlignment="1">
      <alignment horizontal="center" vertical="center" wrapText="1"/>
    </xf>
    <xf numFmtId="0" fontId="39" fillId="4" borderId="3" xfId="0" applyFont="1" applyFill="1" applyBorder="1" applyAlignment="1">
      <alignment wrapText="1"/>
    </xf>
    <xf numFmtId="1" fontId="39" fillId="4" borderId="3" xfId="0" applyNumberFormat="1" applyFont="1" applyFill="1" applyBorder="1" applyAlignment="1">
      <alignment horizontal="center" vertical="center"/>
    </xf>
    <xf numFmtId="43" fontId="39" fillId="4" borderId="3" xfId="1" applyFont="1" applyFill="1" applyBorder="1" applyAlignment="1">
      <alignment horizontal="center" vertical="center"/>
    </xf>
    <xf numFmtId="49" fontId="39" fillId="4" borderId="1" xfId="0" applyNumberFormat="1" applyFont="1" applyFill="1" applyBorder="1" applyAlignment="1">
      <alignment horizontal="center" vertical="center"/>
    </xf>
    <xf numFmtId="0" fontId="12" fillId="6" borderId="36" xfId="0" applyFont="1" applyFill="1" applyBorder="1" applyAlignment="1" applyProtection="1">
      <alignment horizontal="center" vertical="center" wrapText="1"/>
      <protection hidden="1"/>
    </xf>
    <xf numFmtId="2" fontId="13" fillId="0" borderId="30" xfId="0" applyNumberFormat="1" applyFont="1" applyBorder="1" applyAlignment="1" applyProtection="1">
      <alignment horizontal="center" vertical="center"/>
      <protection hidden="1"/>
    </xf>
    <xf numFmtId="0" fontId="8" fillId="0" borderId="3" xfId="7" applyFont="1" applyBorder="1" applyAlignment="1" applyProtection="1">
      <alignment horizontal="left" vertical="center"/>
      <protection hidden="1"/>
    </xf>
    <xf numFmtId="0" fontId="13" fillId="0" borderId="3" xfId="0" applyFont="1" applyBorder="1" applyAlignment="1" applyProtection="1">
      <alignment horizontal="center" vertical="center"/>
      <protection hidden="1"/>
    </xf>
    <xf numFmtId="165" fontId="8" fillId="0" borderId="3" xfId="1" applyNumberFormat="1" applyFont="1" applyFill="1" applyBorder="1" applyAlignment="1" applyProtection="1">
      <alignment horizontal="right" vertical="center"/>
      <protection hidden="1"/>
    </xf>
    <xf numFmtId="2" fontId="8" fillId="0" borderId="3" xfId="16" applyNumberFormat="1" applyFont="1" applyFill="1" applyBorder="1" applyAlignment="1" applyProtection="1">
      <alignment horizontal="center" vertical="center"/>
      <protection hidden="1"/>
    </xf>
    <xf numFmtId="0" fontId="0" fillId="0" borderId="3" xfId="0" applyBorder="1"/>
    <xf numFmtId="0" fontId="0" fillId="0" borderId="15" xfId="0" applyBorder="1"/>
    <xf numFmtId="0" fontId="34" fillId="19" borderId="1" xfId="0" applyFont="1" applyFill="1" applyBorder="1" applyAlignment="1">
      <alignment horizontal="center" vertical="center" wrapText="1"/>
    </xf>
    <xf numFmtId="0" fontId="24" fillId="19" borderId="1" xfId="0" applyFont="1" applyFill="1" applyBorder="1" applyAlignment="1">
      <alignment horizontal="center" vertical="center" wrapText="1"/>
    </xf>
    <xf numFmtId="165" fontId="12" fillId="6" borderId="15" xfId="0" applyNumberFormat="1" applyFont="1" applyFill="1" applyBorder="1" applyAlignment="1">
      <alignment horizontal="right" vertical="center"/>
    </xf>
    <xf numFmtId="0" fontId="39" fillId="18" borderId="30" xfId="0" applyFont="1" applyFill="1" applyBorder="1" applyAlignment="1">
      <alignment horizontal="center" vertical="center"/>
    </xf>
    <xf numFmtId="44" fontId="39" fillId="4" borderId="1" xfId="2" applyFont="1" applyFill="1" applyBorder="1" applyAlignment="1">
      <alignment horizontal="center" vertical="center"/>
    </xf>
    <xf numFmtId="183" fontId="23" fillId="0" borderId="0" xfId="1" applyNumberFormat="1" applyFont="1"/>
    <xf numFmtId="183" fontId="4" fillId="0" borderId="0" xfId="1" applyNumberFormat="1"/>
    <xf numFmtId="0" fontId="23" fillId="0" borderId="0" xfId="0" applyFont="1" applyAlignment="1">
      <alignment vertical="center"/>
    </xf>
    <xf numFmtId="42" fontId="50" fillId="6" borderId="0" xfId="0" applyNumberFormat="1" applyFont="1" applyFill="1" applyAlignment="1">
      <alignment vertical="center"/>
    </xf>
    <xf numFmtId="44" fontId="51" fillId="14" borderId="16" xfId="0" applyNumberFormat="1" applyFont="1" applyFill="1" applyBorder="1" applyAlignment="1">
      <alignment horizontal="center" vertical="center"/>
    </xf>
    <xf numFmtId="0" fontId="51" fillId="14" borderId="17" xfId="0" applyFont="1" applyFill="1" applyBorder="1" applyAlignment="1">
      <alignment horizontal="center" vertical="center"/>
    </xf>
    <xf numFmtId="44" fontId="51" fillId="14" borderId="17" xfId="0" applyNumberFormat="1" applyFont="1" applyFill="1" applyBorder="1" applyAlignment="1">
      <alignment horizontal="center" vertical="center"/>
    </xf>
    <xf numFmtId="44" fontId="51" fillId="7" borderId="17" xfId="2" applyFont="1" applyFill="1" applyBorder="1" applyAlignment="1">
      <alignment vertical="center"/>
    </xf>
    <xf numFmtId="0" fontId="52" fillId="0" borderId="17" xfId="0" applyFont="1" applyBorder="1" applyAlignment="1">
      <alignment horizontal="center" vertical="center"/>
    </xf>
    <xf numFmtId="44" fontId="51" fillId="0" borderId="18" xfId="0" applyNumberFormat="1" applyFont="1" applyBorder="1" applyAlignment="1">
      <alignment horizontal="center" vertical="center"/>
    </xf>
    <xf numFmtId="0" fontId="52" fillId="0" borderId="0" xfId="0" applyFont="1" applyAlignment="1">
      <alignment horizontal="center" vertical="center"/>
    </xf>
    <xf numFmtId="44" fontId="52" fillId="0" borderId="0" xfId="0" applyNumberFormat="1" applyFont="1" applyAlignment="1">
      <alignment horizontal="center" vertical="center"/>
    </xf>
    <xf numFmtId="44" fontId="51" fillId="0" borderId="0" xfId="2" applyFont="1" applyAlignment="1">
      <alignment vertical="center"/>
    </xf>
    <xf numFmtId="42" fontId="25" fillId="6" borderId="0" xfId="0" applyNumberFormat="1" applyFont="1" applyFill="1" applyAlignment="1">
      <alignment vertical="center"/>
    </xf>
    <xf numFmtId="44" fontId="23" fillId="0" borderId="0" xfId="0" applyNumberFormat="1" applyFont="1" applyAlignment="1">
      <alignment vertical="center"/>
    </xf>
    <xf numFmtId="44" fontId="23" fillId="7" borderId="0" xfId="2" applyFont="1" applyFill="1" applyAlignment="1">
      <alignment vertical="center"/>
    </xf>
    <xf numFmtId="0" fontId="23" fillId="0" borderId="0" xfId="0" applyFont="1" applyAlignment="1">
      <alignment horizontal="center" vertical="center"/>
    </xf>
    <xf numFmtId="44" fontId="24" fillId="0" borderId="0" xfId="0" applyNumberFormat="1" applyFont="1" applyAlignment="1">
      <alignment horizontal="center" vertical="center"/>
    </xf>
    <xf numFmtId="44" fontId="52" fillId="0" borderId="0" xfId="2" applyFont="1" applyAlignment="1">
      <alignment vertical="center"/>
    </xf>
    <xf numFmtId="0" fontId="39" fillId="4" borderId="11" xfId="0" applyFont="1" applyFill="1" applyBorder="1" applyAlignment="1">
      <alignment horizontal="center" vertical="center"/>
    </xf>
    <xf numFmtId="0" fontId="39" fillId="4" borderId="8" xfId="0" applyFont="1" applyFill="1" applyBorder="1" applyAlignment="1">
      <alignment wrapText="1"/>
    </xf>
    <xf numFmtId="1" fontId="39" fillId="4" borderId="8" xfId="0" applyNumberFormat="1" applyFont="1" applyFill="1" applyBorder="1" applyAlignment="1">
      <alignment horizontal="center" vertical="center"/>
    </xf>
    <xf numFmtId="43" fontId="39" fillId="4" borderId="8" xfId="1" applyFont="1" applyFill="1" applyBorder="1" applyAlignment="1">
      <alignment horizontal="center" vertical="center"/>
    </xf>
    <xf numFmtId="165" fontId="40" fillId="4" borderId="10" xfId="0" applyNumberFormat="1" applyFont="1" applyFill="1" applyBorder="1" applyAlignment="1">
      <alignment horizontal="right" vertical="center"/>
    </xf>
    <xf numFmtId="0" fontId="39" fillId="4" borderId="45" xfId="0" applyFont="1" applyFill="1" applyBorder="1" applyAlignment="1">
      <alignment horizontal="center" vertical="center"/>
    </xf>
    <xf numFmtId="0" fontId="39" fillId="4" borderId="1" xfId="0" applyFont="1" applyFill="1" applyBorder="1" applyAlignment="1">
      <alignment wrapText="1"/>
    </xf>
    <xf numFmtId="1" fontId="39" fillId="4" borderId="1" xfId="0" applyNumberFormat="1" applyFont="1" applyFill="1" applyBorder="1" applyAlignment="1">
      <alignment horizontal="center" vertical="center"/>
    </xf>
    <xf numFmtId="43" fontId="39" fillId="4" borderId="1" xfId="1" applyFont="1" applyFill="1" applyBorder="1" applyAlignment="1">
      <alignment horizontal="center" vertical="center"/>
    </xf>
    <xf numFmtId="165" fontId="40" fillId="4" borderId="1" xfId="0" applyNumberFormat="1" applyFont="1" applyFill="1" applyBorder="1" applyAlignment="1">
      <alignment horizontal="right" vertical="center"/>
    </xf>
    <xf numFmtId="0" fontId="39" fillId="4" borderId="0" xfId="0" applyFont="1" applyFill="1" applyAlignment="1">
      <alignment wrapText="1"/>
    </xf>
    <xf numFmtId="0" fontId="39" fillId="4" borderId="1" xfId="0" applyFont="1" applyFill="1" applyBorder="1" applyAlignment="1">
      <alignment horizontal="center" vertical="center" wrapText="1"/>
    </xf>
    <xf numFmtId="43" fontId="39" fillId="4" borderId="1" xfId="1" applyFont="1" applyFill="1" applyBorder="1" applyAlignment="1">
      <alignment horizontal="center" vertical="center" wrapText="1"/>
    </xf>
    <xf numFmtId="0" fontId="39" fillId="4" borderId="8" xfId="0" applyFont="1" applyFill="1" applyBorder="1" applyAlignment="1">
      <alignment vertical="top" wrapText="1"/>
    </xf>
    <xf numFmtId="0" fontId="39" fillId="4" borderId="1" xfId="0" applyFont="1" applyFill="1" applyBorder="1" applyAlignment="1">
      <alignment horizontal="center" vertical="center"/>
    </xf>
    <xf numFmtId="0" fontId="39" fillId="4" borderId="1" xfId="0" applyFont="1" applyFill="1" applyBorder="1" applyAlignment="1">
      <alignment vertical="top" wrapText="1"/>
    </xf>
    <xf numFmtId="1" fontId="39" fillId="4" borderId="8" xfId="0" applyNumberFormat="1" applyFont="1" applyFill="1" applyBorder="1" applyAlignment="1">
      <alignment horizontal="center"/>
    </xf>
    <xf numFmtId="0" fontId="39" fillId="4" borderId="1" xfId="0" applyFont="1" applyFill="1" applyBorder="1" applyAlignment="1">
      <alignment horizontal="center"/>
    </xf>
    <xf numFmtId="0" fontId="39" fillId="4" borderId="38" xfId="0" applyFont="1" applyFill="1" applyBorder="1" applyAlignment="1">
      <alignment vertical="top" wrapText="1"/>
    </xf>
    <xf numFmtId="165" fontId="40" fillId="4" borderId="15" xfId="0" applyNumberFormat="1" applyFont="1" applyFill="1" applyBorder="1" applyAlignment="1">
      <alignment horizontal="right" vertical="center"/>
    </xf>
    <xf numFmtId="0" fontId="39" fillId="4" borderId="3" xfId="0" applyFont="1" applyFill="1" applyBorder="1" applyAlignment="1">
      <alignment vertical="top" wrapText="1"/>
    </xf>
    <xf numFmtId="0" fontId="12" fillId="6" borderId="13" xfId="0" applyFont="1" applyFill="1" applyBorder="1" applyAlignment="1" applyProtection="1">
      <alignment horizontal="center" vertical="center" wrapText="1"/>
      <protection hidden="1"/>
    </xf>
    <xf numFmtId="49" fontId="51" fillId="6" borderId="1" xfId="0" applyNumberFormat="1" applyFont="1" applyFill="1" applyBorder="1" applyAlignment="1">
      <alignment horizontal="center" vertical="center"/>
    </xf>
    <xf numFmtId="0" fontId="55" fillId="6" borderId="36" xfId="0" applyFont="1" applyFill="1" applyBorder="1" applyAlignment="1" applyProtection="1">
      <alignment horizontal="center" vertical="center" wrapText="1"/>
      <protection hidden="1"/>
    </xf>
    <xf numFmtId="0" fontId="56" fillId="6" borderId="1" xfId="0" applyFont="1" applyFill="1" applyBorder="1" applyAlignment="1">
      <alignment horizontal="center" vertical="center" wrapText="1"/>
    </xf>
    <xf numFmtId="43" fontId="56" fillId="6" borderId="1" xfId="1" applyFont="1" applyFill="1" applyBorder="1" applyAlignment="1">
      <alignment horizontal="center" vertical="center" wrapText="1"/>
    </xf>
    <xf numFmtId="165" fontId="55" fillId="6" borderId="15" xfId="0" applyNumberFormat="1" applyFont="1" applyFill="1" applyBorder="1" applyAlignment="1">
      <alignment horizontal="right" vertical="center"/>
    </xf>
    <xf numFmtId="0" fontId="35" fillId="0" borderId="0" xfId="0" applyFont="1" applyAlignment="1">
      <alignment horizontal="center" vertical="center"/>
    </xf>
    <xf numFmtId="0" fontId="35" fillId="4" borderId="1" xfId="0" applyFont="1" applyFill="1" applyBorder="1" applyAlignment="1">
      <alignment vertical="center" wrapText="1"/>
    </xf>
    <xf numFmtId="0" fontId="45" fillId="0" borderId="1" xfId="0" applyFont="1" applyBorder="1" applyAlignment="1">
      <alignment horizontal="center" vertical="center" wrapText="1"/>
    </xf>
    <xf numFmtId="0" fontId="45" fillId="4" borderId="1" xfId="0" applyFont="1" applyFill="1" applyBorder="1" applyAlignment="1">
      <alignment vertical="center" wrapText="1"/>
    </xf>
    <xf numFmtId="0" fontId="35" fillId="0" borderId="1" xfId="0" applyFont="1" applyBorder="1" applyAlignment="1">
      <alignment horizontal="center" vertical="center" wrapText="1"/>
    </xf>
    <xf numFmtId="0" fontId="45" fillId="20" borderId="1" xfId="0" applyFont="1" applyFill="1" applyBorder="1" applyAlignment="1">
      <alignment wrapText="1"/>
    </xf>
    <xf numFmtId="0" fontId="41" fillId="0" borderId="0" xfId="0" applyFont="1" applyAlignment="1">
      <alignment horizontal="center" vertical="center"/>
    </xf>
    <xf numFmtId="0" fontId="35" fillId="4" borderId="1" xfId="0" applyFont="1" applyFill="1" applyBorder="1" applyAlignment="1">
      <alignment horizontal="center" vertical="center" wrapText="1"/>
    </xf>
    <xf numFmtId="0" fontId="35" fillId="4" borderId="1" xfId="0" applyFont="1" applyFill="1" applyBorder="1" applyAlignment="1">
      <alignment horizontal="center" vertical="center"/>
    </xf>
    <xf numFmtId="1" fontId="35" fillId="0" borderId="1" xfId="0" applyNumberFormat="1" applyFont="1" applyBorder="1" applyAlignment="1">
      <alignment horizontal="center" vertical="center"/>
    </xf>
    <xf numFmtId="2" fontId="35" fillId="4" borderId="1" xfId="0" applyNumberFormat="1" applyFont="1" applyFill="1" applyBorder="1" applyAlignment="1">
      <alignment horizontal="center" vertical="center"/>
    </xf>
    <xf numFmtId="2" fontId="35" fillId="4" borderId="1" xfId="0" applyNumberFormat="1" applyFont="1" applyFill="1" applyBorder="1" applyAlignment="1">
      <alignment horizontal="left" vertical="center" wrapText="1"/>
    </xf>
    <xf numFmtId="0" fontId="45" fillId="21" borderId="1" xfId="0" applyFont="1" applyFill="1" applyBorder="1" applyAlignment="1">
      <alignment horizontal="center" vertical="center" wrapText="1"/>
    </xf>
    <xf numFmtId="1" fontId="35" fillId="0" borderId="1" xfId="0" applyNumberFormat="1" applyFont="1" applyBorder="1" applyAlignment="1">
      <alignment horizontal="center" vertical="center" wrapText="1"/>
    </xf>
    <xf numFmtId="0" fontId="35" fillId="4" borderId="0" xfId="0" applyFont="1" applyFill="1" applyAlignment="1">
      <alignment horizontal="center" vertical="center"/>
    </xf>
    <xf numFmtId="0" fontId="41" fillId="4" borderId="0" xfId="0" applyFont="1" applyFill="1" applyAlignment="1">
      <alignment horizontal="center" vertical="center"/>
    </xf>
    <xf numFmtId="2" fontId="35" fillId="0" borderId="1" xfId="0" applyNumberFormat="1" applyFont="1" applyBorder="1" applyAlignment="1">
      <alignment horizontal="center" vertical="center"/>
    </xf>
    <xf numFmtId="2" fontId="35" fillId="0" borderId="1" xfId="0" applyNumberFormat="1" applyFont="1" applyBorder="1" applyAlignment="1">
      <alignment horizontal="left" vertical="center" wrapText="1"/>
    </xf>
    <xf numFmtId="0" fontId="58" fillId="4" borderId="1" xfId="0" applyFont="1" applyFill="1" applyBorder="1" applyAlignment="1">
      <alignment horizontal="center" vertical="center" wrapText="1"/>
    </xf>
    <xf numFmtId="0" fontId="45" fillId="21" borderId="1" xfId="0" applyFont="1" applyFill="1" applyBorder="1" applyAlignment="1">
      <alignment vertical="center" wrapText="1"/>
    </xf>
    <xf numFmtId="42" fontId="35" fillId="0" borderId="0" xfId="3" applyFont="1" applyBorder="1" applyAlignment="1">
      <alignment horizontal="center" vertical="center"/>
    </xf>
    <xf numFmtId="0" fontId="35" fillId="0" borderId="0" xfId="0" applyFont="1" applyAlignment="1">
      <alignment vertical="center" wrapText="1"/>
    </xf>
    <xf numFmtId="2" fontId="35" fillId="0" borderId="0" xfId="0" applyNumberFormat="1" applyFont="1" applyAlignment="1">
      <alignment horizontal="center" vertical="center"/>
    </xf>
    <xf numFmtId="165" fontId="12" fillId="6" borderId="1" xfId="0" applyNumberFormat="1" applyFont="1" applyFill="1" applyBorder="1" applyAlignment="1">
      <alignment horizontal="right" vertical="center"/>
    </xf>
    <xf numFmtId="0" fontId="40" fillId="4" borderId="1" xfId="0" applyFont="1" applyFill="1" applyBorder="1" applyAlignment="1" applyProtection="1">
      <alignment horizontal="left" vertical="center" wrapText="1"/>
      <protection hidden="1"/>
    </xf>
    <xf numFmtId="43" fontId="39" fillId="6" borderId="36" xfId="1" applyFont="1" applyFill="1" applyBorder="1" applyAlignment="1">
      <alignment horizontal="center" vertical="center" wrapText="1"/>
    </xf>
    <xf numFmtId="0" fontId="8" fillId="4" borderId="1" xfId="0" applyFont="1" applyFill="1" applyBorder="1" applyAlignment="1" applyProtection="1">
      <alignment vertical="center" wrapText="1"/>
      <protection hidden="1"/>
    </xf>
    <xf numFmtId="0" fontId="8" fillId="4" borderId="1" xfId="0" applyFont="1" applyFill="1" applyBorder="1" applyAlignment="1" applyProtection="1">
      <alignment horizontal="center" vertical="center" wrapText="1"/>
      <protection hidden="1"/>
    </xf>
    <xf numFmtId="0" fontId="49" fillId="6" borderId="1" xfId="0" applyFont="1" applyFill="1" applyBorder="1" applyAlignment="1">
      <alignment horizontal="center" vertical="center"/>
    </xf>
    <xf numFmtId="0" fontId="39" fillId="6" borderId="3" xfId="0" applyFont="1" applyFill="1" applyBorder="1" applyAlignment="1">
      <alignment horizontal="center" vertical="center" wrapText="1"/>
    </xf>
    <xf numFmtId="43" fontId="39" fillId="6" borderId="3" xfId="1" applyFont="1" applyFill="1" applyBorder="1" applyAlignment="1">
      <alignment horizontal="center" vertical="center" wrapText="1"/>
    </xf>
    <xf numFmtId="0" fontId="39" fillId="4" borderId="1" xfId="0" applyFont="1" applyFill="1" applyBorder="1" applyAlignment="1">
      <alignment horizontal="right" vertical="center" wrapText="1"/>
    </xf>
    <xf numFmtId="0" fontId="23" fillId="0" borderId="0" xfId="0" applyFont="1" applyAlignment="1">
      <alignment wrapText="1"/>
    </xf>
    <xf numFmtId="0" fontId="23" fillId="0" borderId="0" xfId="0" applyFont="1"/>
    <xf numFmtId="0" fontId="51" fillId="18" borderId="3" xfId="0" applyFont="1" applyFill="1" applyBorder="1" applyAlignment="1">
      <alignment wrapText="1"/>
    </xf>
    <xf numFmtId="0" fontId="52" fillId="18" borderId="3" xfId="0" applyFont="1" applyFill="1" applyBorder="1" applyAlignment="1">
      <alignment horizontal="center" vertical="center" wrapText="1"/>
    </xf>
    <xf numFmtId="43" fontId="52" fillId="18" borderId="3" xfId="1" applyFont="1" applyFill="1" applyBorder="1" applyAlignment="1">
      <alignment horizontal="center" vertical="center"/>
    </xf>
    <xf numFmtId="165" fontId="55" fillId="18" borderId="15" xfId="0" applyNumberFormat="1" applyFont="1" applyFill="1" applyBorder="1" applyAlignment="1">
      <alignment horizontal="right" vertical="center"/>
    </xf>
    <xf numFmtId="43" fontId="60" fillId="17" borderId="36" xfId="1" applyFont="1" applyFill="1" applyBorder="1" applyAlignment="1">
      <alignment horizontal="center" vertical="center"/>
    </xf>
    <xf numFmtId="165" fontId="61" fillId="17" borderId="37" xfId="0" applyNumberFormat="1" applyFont="1" applyFill="1" applyBorder="1" applyAlignment="1">
      <alignment horizontal="center" vertical="center"/>
    </xf>
    <xf numFmtId="0" fontId="60" fillId="17" borderId="39" xfId="0" applyFont="1" applyFill="1" applyBorder="1" applyAlignment="1">
      <alignment horizontal="center" vertical="center"/>
    </xf>
    <xf numFmtId="0" fontId="49" fillId="17" borderId="36" xfId="0" applyFont="1" applyFill="1" applyBorder="1" applyAlignment="1">
      <alignment horizontal="center" vertical="center"/>
    </xf>
    <xf numFmtId="0" fontId="60" fillId="17" borderId="36" xfId="0" applyFont="1" applyFill="1" applyBorder="1" applyAlignment="1">
      <alignment horizontal="center" vertical="center"/>
    </xf>
    <xf numFmtId="165" fontId="52" fillId="0" borderId="0" xfId="0" applyNumberFormat="1" applyFont="1" applyAlignment="1">
      <alignment horizontal="center" vertical="center"/>
    </xf>
    <xf numFmtId="165" fontId="25" fillId="6" borderId="0" xfId="0" applyNumberFormat="1" applyFont="1" applyFill="1" applyAlignment="1">
      <alignment vertical="center"/>
    </xf>
    <xf numFmtId="0" fontId="52" fillId="0" borderId="0" xfId="0" applyFont="1"/>
    <xf numFmtId="42" fontId="25" fillId="4" borderId="0" xfId="0" applyNumberFormat="1" applyFont="1" applyFill="1" applyAlignment="1">
      <alignment vertical="center"/>
    </xf>
    <xf numFmtId="44" fontId="23" fillId="4" borderId="0" xfId="0" applyNumberFormat="1" applyFont="1" applyFill="1" applyAlignment="1">
      <alignment vertical="center"/>
    </xf>
    <xf numFmtId="44" fontId="23" fillId="4" borderId="0" xfId="2" applyFont="1" applyFill="1" applyAlignment="1">
      <alignment vertical="center"/>
    </xf>
    <xf numFmtId="0" fontId="23" fillId="4" borderId="0" xfId="0" applyFont="1" applyFill="1" applyAlignment="1">
      <alignment horizontal="center" vertical="center"/>
    </xf>
    <xf numFmtId="44" fontId="24" fillId="4" borderId="0" xfId="0" applyNumberFormat="1" applyFont="1" applyFill="1" applyAlignment="1">
      <alignment horizontal="center" vertical="center"/>
    </xf>
    <xf numFmtId="165" fontId="52" fillId="4" borderId="0" xfId="0" applyNumberFormat="1" applyFont="1" applyFill="1" applyAlignment="1">
      <alignment horizontal="center" vertical="center"/>
    </xf>
    <xf numFmtId="44" fontId="52" fillId="4" borderId="0" xfId="2" applyFont="1" applyFill="1" applyAlignment="1">
      <alignment vertical="center"/>
    </xf>
    <xf numFmtId="44" fontId="52" fillId="4" borderId="0" xfId="0" applyNumberFormat="1" applyFont="1" applyFill="1" applyAlignment="1">
      <alignment horizontal="center" vertical="center"/>
    </xf>
    <xf numFmtId="0" fontId="23" fillId="4" borderId="0" xfId="0" applyFont="1" applyFill="1" applyAlignment="1">
      <alignment vertical="center"/>
    </xf>
    <xf numFmtId="0" fontId="24" fillId="22" borderId="1" xfId="0" applyFont="1" applyFill="1" applyBorder="1" applyAlignment="1">
      <alignment horizontal="center"/>
    </xf>
    <xf numFmtId="0" fontId="23" fillId="0" borderId="1" xfId="0" applyFont="1" applyBorder="1" applyAlignment="1">
      <alignment horizontal="center" vertical="center"/>
    </xf>
    <xf numFmtId="0" fontId="7" fillId="4" borderId="1" xfId="0" applyFont="1" applyFill="1" applyBorder="1" applyAlignment="1" applyProtection="1">
      <alignment horizontal="center" vertical="center" wrapText="1"/>
      <protection hidden="1"/>
    </xf>
    <xf numFmtId="0" fontId="63" fillId="0" borderId="0" xfId="0" applyFont="1"/>
    <xf numFmtId="0" fontId="55" fillId="14" borderId="1" xfId="0" applyFont="1" applyFill="1" applyBorder="1" applyAlignment="1">
      <alignment horizontal="center" vertical="center" wrapText="1"/>
    </xf>
    <xf numFmtId="44" fontId="52" fillId="0" borderId="1" xfId="2" applyFont="1" applyBorder="1" applyAlignment="1">
      <alignment wrapText="1"/>
    </xf>
    <xf numFmtId="44" fontId="52" fillId="0" borderId="1" xfId="0" applyNumberFormat="1" applyFont="1" applyBorder="1"/>
    <xf numFmtId="44" fontId="63" fillId="0" borderId="0" xfId="0" applyNumberFormat="1" applyFont="1"/>
    <xf numFmtId="0" fontId="52" fillId="0" borderId="0" xfId="0" applyFont="1" applyAlignment="1">
      <alignment wrapText="1"/>
    </xf>
    <xf numFmtId="44" fontId="52" fillId="0" borderId="0" xfId="0" applyNumberFormat="1" applyFont="1"/>
    <xf numFmtId="44" fontId="62" fillId="0" borderId="0" xfId="0" applyNumberFormat="1" applyFont="1"/>
    <xf numFmtId="44" fontId="52" fillId="0" borderId="0" xfId="2" applyFont="1"/>
    <xf numFmtId="0" fontId="52" fillId="0" borderId="0" xfId="0" applyFont="1" applyAlignment="1">
      <alignment vertical="center" wrapText="1"/>
    </xf>
    <xf numFmtId="49" fontId="64" fillId="0" borderId="0" xfId="0" applyNumberFormat="1" applyFont="1" applyAlignment="1">
      <alignment horizontal="left" vertical="center"/>
    </xf>
    <xf numFmtId="44" fontId="62" fillId="0" borderId="1" xfId="2" applyFont="1" applyBorder="1" applyAlignment="1">
      <alignment wrapText="1"/>
    </xf>
    <xf numFmtId="0" fontId="55" fillId="6" borderId="1" xfId="0" applyFont="1" applyFill="1" applyBorder="1" applyAlignment="1" applyProtection="1">
      <alignment horizontal="center" vertical="center" wrapText="1"/>
      <protection hidden="1"/>
    </xf>
    <xf numFmtId="0" fontId="51" fillId="6" borderId="1" xfId="0" applyFont="1" applyFill="1" applyBorder="1" applyAlignment="1">
      <alignment horizontal="center"/>
    </xf>
    <xf numFmtId="0" fontId="51" fillId="6" borderId="3" xfId="0" applyFont="1" applyFill="1" applyBorder="1" applyAlignment="1">
      <alignment horizontal="center" vertical="center" wrapText="1"/>
    </xf>
    <xf numFmtId="0" fontId="39" fillId="4" borderId="91" xfId="0" applyFont="1" applyFill="1" applyBorder="1" applyAlignment="1">
      <alignment horizontal="center" vertical="center"/>
    </xf>
    <xf numFmtId="0" fontId="39" fillId="4" borderId="0" xfId="0" applyFont="1" applyFill="1" applyAlignment="1">
      <alignment horizontal="center" vertical="center"/>
    </xf>
    <xf numFmtId="0" fontId="49" fillId="6" borderId="45" xfId="0" applyFont="1" applyFill="1" applyBorder="1" applyAlignment="1">
      <alignment horizontal="center" vertical="center"/>
    </xf>
    <xf numFmtId="0" fontId="39" fillId="4" borderId="3" xfId="0" applyFont="1" applyFill="1" applyBorder="1" applyAlignment="1">
      <alignment horizontal="center" vertical="center"/>
    </xf>
    <xf numFmtId="49" fontId="39" fillId="4" borderId="3" xfId="0" applyNumberFormat="1" applyFont="1" applyFill="1" applyBorder="1" applyAlignment="1">
      <alignment horizontal="center" vertical="center"/>
    </xf>
    <xf numFmtId="0" fontId="39" fillId="4" borderId="90" xfId="0" applyFont="1" applyFill="1" applyBorder="1" applyAlignment="1">
      <alignment horizontal="center" vertical="center"/>
    </xf>
    <xf numFmtId="0" fontId="49" fillId="6" borderId="3" xfId="0" applyFont="1" applyFill="1" applyBorder="1" applyAlignment="1">
      <alignment horizontal="center" vertical="center"/>
    </xf>
    <xf numFmtId="0" fontId="39" fillId="18" borderId="91" xfId="0" applyFont="1" applyFill="1" applyBorder="1" applyAlignment="1">
      <alignment horizontal="center" vertical="center"/>
    </xf>
    <xf numFmtId="0" fontId="38" fillId="0" borderId="41" xfId="0" applyFont="1" applyBorder="1" applyAlignment="1">
      <alignment horizontal="center" vertical="center"/>
    </xf>
    <xf numFmtId="49" fontId="51" fillId="6" borderId="36" xfId="0" applyNumberFormat="1" applyFont="1" applyFill="1" applyBorder="1" applyAlignment="1">
      <alignment horizontal="center" vertical="center"/>
    </xf>
    <xf numFmtId="0" fontId="39" fillId="0" borderId="91" xfId="0" applyFont="1" applyBorder="1" applyAlignment="1">
      <alignment horizontal="center" vertical="center"/>
    </xf>
    <xf numFmtId="0" fontId="39" fillId="0" borderId="64" xfId="0" applyFont="1" applyBorder="1" applyAlignment="1">
      <alignment horizontal="center" vertical="center"/>
    </xf>
    <xf numFmtId="0" fontId="51" fillId="18" borderId="33" xfId="0" applyFont="1" applyFill="1" applyBorder="1"/>
    <xf numFmtId="0" fontId="51" fillId="18" borderId="44" xfId="0" applyFont="1" applyFill="1" applyBorder="1"/>
    <xf numFmtId="0" fontId="51" fillId="18" borderId="1" xfId="0" applyFont="1" applyFill="1" applyBorder="1" applyAlignment="1">
      <alignment horizontal="center"/>
    </xf>
    <xf numFmtId="0" fontId="60" fillId="17" borderId="1" xfId="0" applyFont="1" applyFill="1" applyBorder="1" applyAlignment="1">
      <alignment horizontal="center" vertical="center"/>
    </xf>
    <xf numFmtId="44" fontId="52" fillId="0" borderId="1" xfId="2" applyFont="1" applyBorder="1" applyAlignment="1">
      <alignment horizontal="left" wrapText="1"/>
    </xf>
    <xf numFmtId="44" fontId="52" fillId="0" borderId="1" xfId="2" applyFont="1" applyBorder="1" applyAlignment="1"/>
    <xf numFmtId="44" fontId="63" fillId="0" borderId="0" xfId="2" applyFont="1"/>
    <xf numFmtId="0" fontId="49" fillId="6" borderId="36" xfId="0" applyFont="1" applyFill="1" applyBorder="1" applyAlignment="1">
      <alignment horizontal="center" vertical="center" wrapText="1"/>
    </xf>
    <xf numFmtId="42" fontId="0" fillId="0" borderId="0" xfId="25" applyFont="1"/>
    <xf numFmtId="0" fontId="24" fillId="0" borderId="0" xfId="0" applyFont="1" applyAlignment="1">
      <alignment horizontal="center" wrapText="1"/>
    </xf>
    <xf numFmtId="0" fontId="24" fillId="0" borderId="64" xfId="0" applyFont="1" applyBorder="1" applyAlignment="1">
      <alignment horizontal="center" wrapText="1"/>
    </xf>
    <xf numFmtId="0" fontId="1" fillId="0" borderId="0" xfId="0" applyFont="1"/>
    <xf numFmtId="0" fontId="24" fillId="14" borderId="1" xfId="0" applyFont="1" applyFill="1" applyBorder="1" applyAlignment="1">
      <alignment horizontal="center" vertical="center" wrapText="1"/>
    </xf>
    <xf numFmtId="180" fontId="24" fillId="14" borderId="1" xfId="34" applyFont="1" applyFill="1" applyBorder="1" applyAlignment="1">
      <alignment horizontal="center" vertical="center" wrapText="1"/>
    </xf>
    <xf numFmtId="0" fontId="1" fillId="0" borderId="0" xfId="0" applyFont="1" applyAlignment="1">
      <alignment horizontal="center" vertical="center" wrapText="1"/>
    </xf>
    <xf numFmtId="0" fontId="23" fillId="0" borderId="1" xfId="0" applyFont="1" applyBorder="1"/>
    <xf numFmtId="0" fontId="23" fillId="0" borderId="1" xfId="0" applyFont="1" applyBorder="1" applyAlignment="1">
      <alignment horizontal="right" vertical="center"/>
    </xf>
    <xf numFmtId="180" fontId="23" fillId="0" borderId="1" xfId="34" applyFont="1" applyBorder="1"/>
    <xf numFmtId="180" fontId="24" fillId="0" borderId="1" xfId="34" applyFont="1" applyBorder="1"/>
    <xf numFmtId="0" fontId="24" fillId="0" borderId="44" xfId="0" applyFont="1" applyBorder="1" applyAlignment="1">
      <alignment horizontal="center"/>
    </xf>
    <xf numFmtId="180" fontId="24" fillId="0" borderId="44" xfId="34" applyFont="1" applyBorder="1"/>
    <xf numFmtId="0" fontId="23" fillId="0" borderId="1" xfId="0" applyFont="1" applyBorder="1" applyAlignment="1">
      <alignment wrapText="1"/>
    </xf>
    <xf numFmtId="0" fontId="24" fillId="14" borderId="1" xfId="0" applyFont="1" applyFill="1" applyBorder="1" applyAlignment="1">
      <alignment horizontal="center" vertical="center"/>
    </xf>
    <xf numFmtId="180" fontId="24" fillId="14" borderId="1" xfId="34" applyFont="1" applyFill="1" applyBorder="1" applyAlignment="1">
      <alignment horizontal="center" vertical="center"/>
    </xf>
    <xf numFmtId="0" fontId="23" fillId="0" borderId="1" xfId="0" applyFont="1" applyBorder="1" applyAlignment="1">
      <alignment vertical="center"/>
    </xf>
    <xf numFmtId="180" fontId="23" fillId="0" borderId="1" xfId="34" applyFont="1" applyBorder="1" applyAlignment="1">
      <alignment vertical="center"/>
    </xf>
    <xf numFmtId="180" fontId="24" fillId="0" borderId="1" xfId="34" applyFont="1" applyBorder="1" applyAlignment="1">
      <alignment vertical="center"/>
    </xf>
    <xf numFmtId="180" fontId="24" fillId="0" borderId="44" xfId="34" applyFont="1" applyBorder="1" applyAlignment="1">
      <alignment vertical="center"/>
    </xf>
    <xf numFmtId="42" fontId="24" fillId="14" borderId="1" xfId="25" applyFont="1" applyFill="1" applyBorder="1" applyAlignment="1">
      <alignment horizontal="center" vertical="center" wrapText="1"/>
    </xf>
    <xf numFmtId="42" fontId="24" fillId="14" borderId="1" xfId="25" applyFont="1" applyFill="1" applyBorder="1" applyAlignment="1">
      <alignment horizontal="center" vertical="center"/>
    </xf>
    <xf numFmtId="2" fontId="23" fillId="0" borderId="1" xfId="0" applyNumberFormat="1" applyFont="1" applyBorder="1" applyAlignment="1">
      <alignment vertical="center"/>
    </xf>
    <xf numFmtId="42" fontId="23" fillId="0" borderId="1" xfId="25" applyFont="1" applyBorder="1" applyAlignment="1">
      <alignment vertical="center"/>
    </xf>
    <xf numFmtId="0" fontId="24" fillId="0" borderId="33" xfId="0" applyFont="1" applyBorder="1"/>
    <xf numFmtId="0" fontId="24" fillId="0" borderId="44" xfId="0" applyFont="1" applyBorder="1"/>
    <xf numFmtId="0" fontId="24" fillId="0" borderId="45" xfId="0" applyFont="1" applyBorder="1"/>
    <xf numFmtId="42" fontId="24" fillId="0" borderId="1" xfId="25" applyFont="1" applyBorder="1" applyAlignment="1">
      <alignment vertical="center"/>
    </xf>
    <xf numFmtId="42" fontId="24" fillId="0" borderId="44" xfId="25" applyFont="1" applyBorder="1" applyAlignment="1">
      <alignment vertical="center"/>
    </xf>
    <xf numFmtId="180" fontId="23" fillId="0" borderId="1" xfId="0" applyNumberFormat="1" applyFont="1" applyBorder="1" applyAlignment="1">
      <alignment vertical="center"/>
    </xf>
    <xf numFmtId="180" fontId="24" fillId="0" borderId="1" xfId="0" applyNumberFormat="1" applyFont="1" applyBorder="1" applyAlignment="1">
      <alignment vertical="center"/>
    </xf>
    <xf numFmtId="0" fontId="24" fillId="0" borderId="43" xfId="0" applyFont="1" applyBorder="1" applyAlignment="1">
      <alignment horizontal="center"/>
    </xf>
    <xf numFmtId="180" fontId="24" fillId="0" borderId="43" xfId="0" applyNumberFormat="1" applyFont="1" applyBorder="1" applyAlignment="1">
      <alignment vertical="center"/>
    </xf>
    <xf numFmtId="42" fontId="24" fillId="15" borderId="6" xfId="25" applyFont="1" applyFill="1" applyBorder="1"/>
    <xf numFmtId="44" fontId="66" fillId="0" borderId="0" xfId="2" applyFont="1"/>
    <xf numFmtId="165" fontId="55" fillId="18" borderId="3" xfId="0" applyNumberFormat="1" applyFont="1" applyFill="1" applyBorder="1" applyAlignment="1">
      <alignment horizontal="right" vertical="center"/>
    </xf>
    <xf numFmtId="1" fontId="39" fillId="4" borderId="36" xfId="0" applyNumberFormat="1" applyFont="1" applyFill="1" applyBorder="1" applyAlignment="1">
      <alignment horizontal="center" vertical="center"/>
    </xf>
    <xf numFmtId="43" fontId="39" fillId="4" borderId="36" xfId="1" applyFont="1" applyFill="1" applyBorder="1" applyAlignment="1">
      <alignment horizontal="center" vertical="center"/>
    </xf>
    <xf numFmtId="0" fontId="49" fillId="6" borderId="36" xfId="0" applyFont="1" applyFill="1" applyBorder="1" applyAlignment="1">
      <alignment wrapText="1"/>
    </xf>
    <xf numFmtId="0" fontId="39" fillId="6" borderId="36" xfId="0" applyFont="1" applyFill="1" applyBorder="1" applyAlignment="1">
      <alignment horizontal="center" vertical="center" wrapText="1"/>
    </xf>
    <xf numFmtId="0" fontId="49" fillId="6" borderId="36" xfId="0" applyFont="1" applyFill="1" applyBorder="1" applyAlignment="1">
      <alignment horizontal="center"/>
    </xf>
    <xf numFmtId="0" fontId="49" fillId="6" borderId="36" xfId="0" applyFont="1" applyFill="1" applyBorder="1" applyAlignment="1">
      <alignment horizontal="center" wrapText="1"/>
    </xf>
    <xf numFmtId="44" fontId="0" fillId="0" borderId="8" xfId="2" applyFont="1" applyBorder="1" applyAlignment="1">
      <alignment horizontal="center" vertical="center" wrapText="1"/>
    </xf>
    <xf numFmtId="165" fontId="0" fillId="0" borderId="32" xfId="0" applyNumberFormat="1" applyBorder="1"/>
    <xf numFmtId="165" fontId="0" fillId="0" borderId="33" xfId="0" applyNumberFormat="1" applyBorder="1"/>
    <xf numFmtId="10" fontId="0" fillId="10" borderId="33" xfId="0" applyNumberFormat="1" applyFill="1" applyBorder="1" applyAlignment="1">
      <alignment horizontal="center" vertical="center"/>
    </xf>
    <xf numFmtId="165" fontId="0" fillId="0" borderId="33" xfId="0" applyNumberFormat="1" applyBorder="1" applyAlignment="1">
      <alignment vertical="center"/>
    </xf>
    <xf numFmtId="165" fontId="0" fillId="0" borderId="45" xfId="0" applyNumberFormat="1" applyBorder="1"/>
    <xf numFmtId="165" fontId="0" fillId="0" borderId="3" xfId="0" applyNumberFormat="1" applyBorder="1"/>
    <xf numFmtId="165" fontId="0" fillId="0" borderId="1" xfId="2" applyNumberFormat="1" applyFont="1" applyBorder="1" applyAlignment="1">
      <alignment horizontal="center" vertical="center" wrapText="1"/>
    </xf>
    <xf numFmtId="0" fontId="0" fillId="0" borderId="16" xfId="0" applyBorder="1"/>
    <xf numFmtId="0" fontId="0" fillId="0" borderId="17" xfId="0" applyBorder="1"/>
    <xf numFmtId="0" fontId="0" fillId="0" borderId="18" xfId="0" applyBorder="1"/>
    <xf numFmtId="0" fontId="1" fillId="0" borderId="59" xfId="0" applyFont="1" applyBorder="1"/>
    <xf numFmtId="0" fontId="1" fillId="0" borderId="60" xfId="0" applyFont="1" applyBorder="1"/>
    <xf numFmtId="0" fontId="51" fillId="0" borderId="16" xfId="0" applyFont="1" applyBorder="1" applyAlignment="1">
      <alignment horizontal="center" wrapText="1"/>
    </xf>
    <xf numFmtId="0" fontId="51" fillId="0" borderId="17" xfId="0" applyFont="1" applyBorder="1" applyAlignment="1">
      <alignment horizontal="center" wrapText="1"/>
    </xf>
    <xf numFmtId="0" fontId="51" fillId="0" borderId="18" xfId="0" applyFont="1" applyBorder="1" applyAlignment="1">
      <alignment horizontal="center" wrapText="1"/>
    </xf>
    <xf numFmtId="0" fontId="5" fillId="4" borderId="90"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89" xfId="0" applyFont="1" applyFill="1" applyBorder="1" applyAlignment="1">
      <alignment horizontal="center" vertical="center" wrapText="1"/>
    </xf>
    <xf numFmtId="0" fontId="5" fillId="4" borderId="80" xfId="0" applyFont="1" applyFill="1" applyBorder="1" applyAlignment="1" applyProtection="1">
      <alignment horizontal="center" vertical="center" wrapText="1"/>
      <protection hidden="1"/>
    </xf>
    <xf numFmtId="0" fontId="5" fillId="4" borderId="8" xfId="0" applyFont="1" applyFill="1" applyBorder="1" applyAlignment="1">
      <alignment horizontal="center" vertical="center" wrapText="1"/>
    </xf>
    <xf numFmtId="0" fontId="5" fillId="4" borderId="8" xfId="0" applyFont="1" applyFill="1" applyBorder="1" applyAlignment="1" applyProtection="1">
      <alignment horizontal="center" vertical="center"/>
      <protection hidden="1"/>
    </xf>
    <xf numFmtId="164" fontId="5" fillId="4" borderId="8" xfId="0" applyNumberFormat="1" applyFont="1" applyFill="1" applyBorder="1" applyAlignment="1">
      <alignment horizontal="center" vertical="center"/>
    </xf>
    <xf numFmtId="2" fontId="5" fillId="4" borderId="8" xfId="0" applyNumberFormat="1" applyFont="1" applyFill="1" applyBorder="1" applyAlignment="1" applyProtection="1">
      <alignment horizontal="center" vertical="center"/>
      <protection hidden="1"/>
    </xf>
    <xf numFmtId="165" fontId="5" fillId="4" borderId="32" xfId="0" applyNumberFormat="1" applyFont="1" applyFill="1" applyBorder="1" applyAlignment="1" applyProtection="1">
      <alignment horizontal="right" vertical="center"/>
      <protection hidden="1"/>
    </xf>
    <xf numFmtId="0" fontId="8" fillId="4" borderId="45" xfId="0" applyFont="1" applyFill="1" applyBorder="1" applyAlignment="1">
      <alignment horizontal="center"/>
    </xf>
    <xf numFmtId="0" fontId="8" fillId="4" borderId="1" xfId="0" applyFont="1" applyFill="1" applyBorder="1" applyAlignment="1" applyProtection="1">
      <alignment horizontal="center" vertical="center"/>
      <protection hidden="1"/>
    </xf>
    <xf numFmtId="164" fontId="8" fillId="4" borderId="1" xfId="0" applyNumberFormat="1" applyFont="1" applyFill="1" applyBorder="1" applyAlignment="1">
      <alignment horizontal="center" vertical="center"/>
    </xf>
    <xf numFmtId="165" fontId="8" fillId="4" borderId="1" xfId="0" applyNumberFormat="1" applyFont="1" applyFill="1" applyBorder="1" applyAlignment="1" applyProtection="1">
      <alignment horizontal="right" vertical="center"/>
      <protection hidden="1"/>
    </xf>
    <xf numFmtId="2" fontId="8" fillId="4" borderId="1" xfId="0" applyNumberFormat="1" applyFont="1" applyFill="1" applyBorder="1" applyAlignment="1" applyProtection="1">
      <alignment horizontal="center" vertical="center"/>
      <protection hidden="1"/>
    </xf>
    <xf numFmtId="165" fontId="8" fillId="4" borderId="33" xfId="0" applyNumberFormat="1" applyFont="1" applyFill="1" applyBorder="1" applyAlignment="1" applyProtection="1">
      <alignment horizontal="right" vertical="center"/>
      <protection hidden="1"/>
    </xf>
    <xf numFmtId="0" fontId="8" fillId="4" borderId="45" xfId="0" applyFont="1" applyFill="1" applyBorder="1" applyAlignment="1" applyProtection="1">
      <alignment horizontal="center" wrapText="1"/>
      <protection hidden="1"/>
    </xf>
    <xf numFmtId="0" fontId="8" fillId="4" borderId="45" xfId="0" applyFont="1" applyFill="1" applyBorder="1" applyAlignment="1" applyProtection="1">
      <alignment horizontal="center" vertical="center" wrapText="1"/>
      <protection hidden="1"/>
    </xf>
    <xf numFmtId="1" fontId="8" fillId="4" borderId="1" xfId="0" applyNumberFormat="1" applyFont="1" applyFill="1" applyBorder="1" applyAlignment="1" applyProtection="1">
      <alignment horizontal="center" vertical="center" wrapText="1"/>
      <protection hidden="1"/>
    </xf>
    <xf numFmtId="0" fontId="8" fillId="4" borderId="45" xfId="0" applyFont="1" applyFill="1" applyBorder="1" applyAlignment="1" applyProtection="1">
      <alignment horizontal="center" vertical="center"/>
      <protection hidden="1"/>
    </xf>
    <xf numFmtId="0" fontId="8" fillId="4" borderId="87" xfId="0" applyFont="1" applyFill="1" applyBorder="1" applyAlignment="1" applyProtection="1">
      <alignment horizontal="center" vertical="center"/>
      <protection hidden="1"/>
    </xf>
    <xf numFmtId="0" fontId="8" fillId="4" borderId="36" xfId="0" applyFont="1" applyFill="1" applyBorder="1" applyAlignment="1" applyProtection="1">
      <alignment vertical="center" wrapText="1"/>
      <protection hidden="1"/>
    </xf>
    <xf numFmtId="0" fontId="8" fillId="4" borderId="36" xfId="0" applyFont="1" applyFill="1" applyBorder="1" applyAlignment="1" applyProtection="1">
      <alignment horizontal="center" vertical="center" wrapText="1"/>
      <protection hidden="1"/>
    </xf>
    <xf numFmtId="164" fontId="8" fillId="4" borderId="36" xfId="0" applyNumberFormat="1" applyFont="1" applyFill="1" applyBorder="1" applyAlignment="1">
      <alignment horizontal="center" vertical="center"/>
    </xf>
    <xf numFmtId="165" fontId="8" fillId="4" borderId="65" xfId="0" applyNumberFormat="1" applyFont="1" applyFill="1" applyBorder="1" applyAlignment="1" applyProtection="1">
      <alignment horizontal="right" vertical="center"/>
      <protection hidden="1"/>
    </xf>
    <xf numFmtId="0" fontId="0" fillId="4" borderId="0" xfId="0" applyFill="1"/>
    <xf numFmtId="0" fontId="0" fillId="4" borderId="0" xfId="0" applyFill="1" applyAlignment="1">
      <alignment horizontal="center"/>
    </xf>
    <xf numFmtId="0" fontId="5" fillId="4" borderId="19"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5" fillId="4" borderId="29" xfId="0" applyFont="1" applyFill="1" applyBorder="1" applyAlignment="1">
      <alignment horizontal="center" vertical="center" wrapText="1"/>
    </xf>
    <xf numFmtId="0" fontId="23" fillId="4" borderId="1" xfId="0" applyFont="1" applyFill="1" applyBorder="1" applyAlignment="1">
      <alignment horizontal="center" vertical="center"/>
    </xf>
    <xf numFmtId="0" fontId="23" fillId="4" borderId="1" xfId="0" applyFont="1" applyFill="1" applyBorder="1" applyAlignment="1">
      <alignment horizontal="center" vertical="center" wrapText="1"/>
    </xf>
    <xf numFmtId="0" fontId="23" fillId="4" borderId="1" xfId="0" applyFont="1" applyFill="1" applyBorder="1" applyAlignment="1">
      <alignment vertical="center"/>
    </xf>
    <xf numFmtId="0" fontId="5" fillId="4" borderId="1" xfId="0" applyFont="1" applyFill="1" applyBorder="1" applyAlignment="1">
      <alignment horizontal="center" vertical="center"/>
    </xf>
    <xf numFmtId="0" fontId="5" fillId="4" borderId="91" xfId="0" applyFont="1" applyFill="1" applyBorder="1" applyAlignment="1">
      <alignment horizontal="center" vertical="center"/>
    </xf>
    <xf numFmtId="0" fontId="5" fillId="4" borderId="8" xfId="0" applyFont="1" applyFill="1" applyBorder="1" applyAlignment="1">
      <alignment horizontal="left" vertical="center" wrapText="1"/>
    </xf>
    <xf numFmtId="1" fontId="5" fillId="4" borderId="3" xfId="5" applyNumberFormat="1" applyFont="1" applyFill="1" applyBorder="1" applyAlignment="1" applyProtection="1">
      <alignment horizontal="center" vertical="center"/>
      <protection hidden="1"/>
    </xf>
    <xf numFmtId="164" fontId="5" fillId="4" borderId="3" xfId="0" applyNumberFormat="1" applyFont="1" applyFill="1" applyBorder="1" applyAlignment="1">
      <alignment horizontal="center" vertical="center"/>
    </xf>
    <xf numFmtId="165" fontId="5" fillId="4" borderId="3" xfId="0" applyNumberFormat="1" applyFont="1" applyFill="1" applyBorder="1" applyAlignment="1">
      <alignment horizontal="center" vertical="center"/>
    </xf>
    <xf numFmtId="165" fontId="5" fillId="4" borderId="63" xfId="6" applyNumberFormat="1" applyFont="1" applyFill="1" applyBorder="1" applyAlignment="1">
      <alignment horizontal="right" vertical="center"/>
    </xf>
    <xf numFmtId="0" fontId="36" fillId="4" borderId="0" xfId="0" applyFont="1" applyFill="1" applyAlignment="1">
      <alignment horizontal="center"/>
    </xf>
    <xf numFmtId="165" fontId="36" fillId="4" borderId="0" xfId="0" applyNumberFormat="1" applyFont="1" applyFill="1"/>
    <xf numFmtId="165" fontId="0" fillId="4" borderId="0" xfId="0" applyNumberFormat="1" applyFill="1"/>
    <xf numFmtId="0" fontId="8" fillId="4" borderId="1" xfId="0" applyFont="1" applyFill="1" applyBorder="1" applyAlignment="1">
      <alignment horizontal="center" vertical="center"/>
    </xf>
    <xf numFmtId="0" fontId="8" fillId="4" borderId="45" xfId="0" applyFont="1" applyFill="1" applyBorder="1" applyAlignment="1">
      <alignment horizontal="center" vertical="center"/>
    </xf>
    <xf numFmtId="165" fontId="8" fillId="4" borderId="33" xfId="6" applyNumberFormat="1" applyFont="1" applyFill="1" applyBorder="1" applyAlignment="1" applyProtection="1">
      <alignment horizontal="right" vertical="center"/>
      <protection hidden="1"/>
    </xf>
    <xf numFmtId="43" fontId="36" fillId="4" borderId="0" xfId="0" applyNumberFormat="1" applyFont="1" applyFill="1" applyAlignment="1">
      <alignment horizontal="center"/>
    </xf>
    <xf numFmtId="0" fontId="8" fillId="4" borderId="87" xfId="0" applyFont="1" applyFill="1" applyBorder="1" applyAlignment="1">
      <alignment horizontal="center" vertical="center"/>
    </xf>
    <xf numFmtId="0" fontId="8" fillId="4" borderId="36" xfId="0" applyFont="1" applyFill="1" applyBorder="1" applyAlignment="1" applyProtection="1">
      <alignment horizontal="center" vertical="center"/>
      <protection hidden="1"/>
    </xf>
    <xf numFmtId="2" fontId="8" fillId="4" borderId="36" xfId="0" applyNumberFormat="1" applyFont="1" applyFill="1" applyBorder="1" applyAlignment="1" applyProtection="1">
      <alignment horizontal="center" vertical="center"/>
      <protection hidden="1"/>
    </xf>
    <xf numFmtId="165" fontId="8" fillId="4" borderId="65" xfId="6" applyNumberFormat="1" applyFont="1" applyFill="1" applyBorder="1" applyAlignment="1" applyProtection="1">
      <alignment horizontal="right" vertical="center"/>
      <protection hidden="1"/>
    </xf>
    <xf numFmtId="0" fontId="8" fillId="4" borderId="0" xfId="0" applyFont="1" applyFill="1" applyAlignment="1">
      <alignment horizontal="center" vertical="center"/>
    </xf>
    <xf numFmtId="0" fontId="8" fillId="4" borderId="0" xfId="0" applyFont="1" applyFill="1" applyAlignment="1" applyProtection="1">
      <alignment vertical="center" wrapText="1"/>
      <protection hidden="1"/>
    </xf>
    <xf numFmtId="0" fontId="8" fillId="4" borderId="0" xfId="0" applyFont="1" applyFill="1" applyAlignment="1" applyProtection="1">
      <alignment horizontal="center" vertical="center"/>
      <protection hidden="1"/>
    </xf>
    <xf numFmtId="164" fontId="8" fillId="4" borderId="0" xfId="0" applyNumberFormat="1" applyFont="1" applyFill="1" applyAlignment="1">
      <alignment horizontal="center" vertical="center"/>
    </xf>
    <xf numFmtId="165" fontId="8" fillId="4" borderId="0" xfId="0" applyNumberFormat="1" applyFont="1" applyFill="1" applyAlignment="1" applyProtection="1">
      <alignment horizontal="right" vertical="center"/>
      <protection hidden="1"/>
    </xf>
    <xf numFmtId="2" fontId="8" fillId="4" borderId="0" xfId="0" applyNumberFormat="1" applyFont="1" applyFill="1" applyAlignment="1" applyProtection="1">
      <alignment horizontal="center" vertical="center"/>
      <protection hidden="1"/>
    </xf>
    <xf numFmtId="165" fontId="8" fillId="4" borderId="0" xfId="6" applyNumberFormat="1" applyFont="1" applyFill="1" applyAlignment="1" applyProtection="1">
      <alignment horizontal="right" vertical="center"/>
      <protection hidden="1"/>
    </xf>
    <xf numFmtId="43" fontId="36" fillId="4" borderId="0" xfId="1" applyFont="1" applyFill="1"/>
    <xf numFmtId="0" fontId="36" fillId="4" borderId="0" xfId="0" applyFont="1" applyFill="1"/>
    <xf numFmtId="43" fontId="33" fillId="4" borderId="0" xfId="0" applyNumberFormat="1" applyFont="1" applyFill="1"/>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36" fillId="4" borderId="0" xfId="0" applyFont="1" applyFill="1" applyAlignment="1">
      <alignment horizontal="center" vertical="center" wrapText="1"/>
    </xf>
    <xf numFmtId="0" fontId="5" fillId="4" borderId="80" xfId="0" applyFont="1" applyFill="1" applyBorder="1" applyAlignment="1">
      <alignment horizontal="center" vertical="center"/>
    </xf>
    <xf numFmtId="0" fontId="5" fillId="4" borderId="8" xfId="0" applyFont="1" applyFill="1" applyBorder="1" applyAlignment="1">
      <alignment horizontal="justify" vertical="center" wrapText="1"/>
    </xf>
    <xf numFmtId="1" fontId="5" fillId="4" borderId="8" xfId="5" applyNumberFormat="1" applyFont="1" applyFill="1" applyBorder="1" applyAlignment="1" applyProtection="1">
      <alignment horizontal="center" vertical="center"/>
      <protection hidden="1"/>
    </xf>
    <xf numFmtId="165" fontId="5" fillId="4" borderId="8" xfId="0" applyNumberFormat="1" applyFont="1" applyFill="1" applyBorder="1" applyAlignment="1">
      <alignment horizontal="center" vertical="center"/>
    </xf>
    <xf numFmtId="165" fontId="5" fillId="4" borderId="32" xfId="6" applyNumberFormat="1" applyFont="1" applyFill="1" applyBorder="1" applyAlignment="1">
      <alignment horizontal="right" vertical="center"/>
    </xf>
    <xf numFmtId="0" fontId="5" fillId="4" borderId="1" xfId="0" applyFont="1" applyFill="1" applyBorder="1" applyAlignment="1">
      <alignment horizontal="center" vertical="center" wrapText="1"/>
    </xf>
    <xf numFmtId="0" fontId="5" fillId="4" borderId="64" xfId="0" applyFont="1" applyFill="1" applyBorder="1" applyAlignment="1">
      <alignment horizontal="center" vertical="center"/>
    </xf>
    <xf numFmtId="0" fontId="5" fillId="4" borderId="30" xfId="0" applyFont="1" applyFill="1" applyBorder="1" applyAlignment="1">
      <alignment horizontal="justify" vertical="center" wrapText="1"/>
    </xf>
    <xf numFmtId="0" fontId="8" fillId="4" borderId="44" xfId="0" applyFont="1" applyFill="1" applyBorder="1" applyAlignment="1">
      <alignment horizontal="center" vertical="center"/>
    </xf>
    <xf numFmtId="0" fontId="8" fillId="4" borderId="11" xfId="0" applyFont="1" applyFill="1" applyBorder="1" applyAlignment="1" applyProtection="1">
      <alignment vertical="center" wrapText="1"/>
      <protection hidden="1"/>
    </xf>
    <xf numFmtId="0" fontId="8" fillId="4" borderId="43" xfId="0" applyFont="1" applyFill="1" applyBorder="1" applyAlignment="1">
      <alignment horizontal="center" vertical="center"/>
    </xf>
    <xf numFmtId="0" fontId="8" fillId="4" borderId="39" xfId="0" applyFont="1" applyFill="1" applyBorder="1" applyAlignment="1" applyProtection="1">
      <alignment vertical="center" wrapText="1"/>
      <protection hidden="1"/>
    </xf>
    <xf numFmtId="0" fontId="5" fillId="4" borderId="4" xfId="0" applyFont="1" applyFill="1" applyBorder="1" applyAlignment="1">
      <alignment horizontal="center" vertical="center" wrapText="1"/>
    </xf>
    <xf numFmtId="0" fontId="5" fillId="4" borderId="1" xfId="0" applyFont="1" applyFill="1" applyBorder="1" applyAlignment="1" applyProtection="1">
      <alignment horizontal="center" vertical="center" wrapText="1"/>
      <protection hidden="1"/>
    </xf>
    <xf numFmtId="0" fontId="8" fillId="4" borderId="1" xfId="0" applyFont="1" applyFill="1" applyBorder="1" applyAlignment="1">
      <alignment horizontal="center"/>
    </xf>
    <xf numFmtId="0" fontId="8" fillId="4" borderId="1" xfId="0" applyFont="1" applyFill="1" applyBorder="1" applyAlignment="1" applyProtection="1">
      <alignment horizontal="center" wrapText="1"/>
      <protection hidden="1"/>
    </xf>
    <xf numFmtId="0" fontId="5" fillId="4" borderId="7" xfId="0" applyFont="1" applyFill="1" applyBorder="1" applyAlignment="1" applyProtection="1">
      <alignment horizontal="center" vertical="center" wrapText="1"/>
      <protection hidden="1"/>
    </xf>
    <xf numFmtId="165" fontId="5" fillId="4" borderId="9" xfId="0" applyNumberFormat="1" applyFont="1" applyFill="1" applyBorder="1" applyAlignment="1" applyProtection="1">
      <alignment horizontal="right" vertical="center"/>
      <protection hidden="1"/>
    </xf>
    <xf numFmtId="0" fontId="8" fillId="4" borderId="11" xfId="0" applyFont="1" applyFill="1" applyBorder="1" applyAlignment="1">
      <alignment horizontal="center" vertical="center"/>
    </xf>
    <xf numFmtId="165" fontId="8" fillId="4" borderId="10" xfId="0" applyNumberFormat="1" applyFont="1" applyFill="1" applyBorder="1" applyAlignment="1" applyProtection="1">
      <alignment horizontal="right" vertical="center"/>
      <protection hidden="1"/>
    </xf>
    <xf numFmtId="0" fontId="8" fillId="4" borderId="12" xfId="0" applyFont="1" applyFill="1" applyBorder="1" applyAlignment="1">
      <alignment horizontal="center" vertical="center"/>
    </xf>
    <xf numFmtId="0" fontId="8" fillId="4" borderId="13" xfId="0" applyFont="1" applyFill="1" applyBorder="1" applyAlignment="1" applyProtection="1">
      <alignment vertical="center" wrapText="1"/>
      <protection hidden="1"/>
    </xf>
    <xf numFmtId="0" fontId="8" fillId="4" borderId="13" xfId="0" applyFont="1" applyFill="1" applyBorder="1" applyAlignment="1" applyProtection="1">
      <alignment horizontal="center" vertical="center"/>
      <protection hidden="1"/>
    </xf>
    <xf numFmtId="164" fontId="8" fillId="4" borderId="13" xfId="0" applyNumberFormat="1" applyFont="1" applyFill="1" applyBorder="1" applyAlignment="1">
      <alignment horizontal="center" vertical="center"/>
    </xf>
    <xf numFmtId="2" fontId="8" fillId="4" borderId="13" xfId="0" applyNumberFormat="1" applyFont="1" applyFill="1" applyBorder="1" applyAlignment="1" applyProtection="1">
      <alignment horizontal="center" vertical="center"/>
      <protection hidden="1"/>
    </xf>
    <xf numFmtId="165" fontId="8" fillId="4" borderId="14" xfId="0" applyNumberFormat="1" applyFont="1" applyFill="1" applyBorder="1" applyAlignment="1" applyProtection="1">
      <alignment horizontal="right" vertical="center"/>
      <protection hidden="1"/>
    </xf>
    <xf numFmtId="0" fontId="5" fillId="4" borderId="8" xfId="0" applyFont="1" applyFill="1" applyBorder="1" applyAlignment="1" applyProtection="1">
      <alignment vertical="center" wrapText="1"/>
      <protection hidden="1"/>
    </xf>
    <xf numFmtId="0" fontId="8" fillId="4" borderId="3" xfId="0" applyFont="1" applyFill="1" applyBorder="1" applyAlignment="1" applyProtection="1">
      <alignment vertical="center" wrapText="1"/>
      <protection hidden="1"/>
    </xf>
    <xf numFmtId="0" fontId="8" fillId="4" borderId="3" xfId="0" applyFont="1" applyFill="1" applyBorder="1" applyAlignment="1" applyProtection="1">
      <alignment horizontal="center" vertical="center"/>
      <protection hidden="1"/>
    </xf>
    <xf numFmtId="164" fontId="8" fillId="4" borderId="3" xfId="0" applyNumberFormat="1" applyFont="1" applyFill="1" applyBorder="1" applyAlignment="1">
      <alignment horizontal="center" vertical="center"/>
    </xf>
    <xf numFmtId="165" fontId="8" fillId="4" borderId="3" xfId="0" applyNumberFormat="1" applyFont="1" applyFill="1" applyBorder="1" applyAlignment="1" applyProtection="1">
      <alignment horizontal="right" vertical="center"/>
      <protection hidden="1"/>
    </xf>
    <xf numFmtId="2" fontId="8" fillId="4" borderId="3" xfId="0" applyNumberFormat="1" applyFont="1" applyFill="1" applyBorder="1" applyAlignment="1" applyProtection="1">
      <alignment horizontal="center" vertical="center"/>
      <protection hidden="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2" fontId="5" fillId="4" borderId="8" xfId="0" applyNumberFormat="1" applyFont="1" applyFill="1" applyBorder="1" applyAlignment="1" applyProtection="1">
      <alignment horizontal="right" vertical="center"/>
      <protection hidden="1"/>
    </xf>
    <xf numFmtId="0" fontId="8" fillId="4" borderId="11" xfId="0" applyFont="1" applyFill="1" applyBorder="1" applyAlignment="1">
      <alignment horizontal="center"/>
    </xf>
    <xf numFmtId="0" fontId="8" fillId="4" borderId="11" xfId="0" applyFont="1" applyFill="1" applyBorder="1" applyAlignment="1" applyProtection="1">
      <alignment horizontal="center" vertical="center" wrapText="1"/>
      <protection hidden="1"/>
    </xf>
    <xf numFmtId="0" fontId="8" fillId="4" borderId="11" xfId="0" applyFont="1" applyFill="1" applyBorder="1" applyAlignment="1" applyProtection="1">
      <alignment horizontal="center" wrapText="1"/>
      <protection hidden="1"/>
    </xf>
    <xf numFmtId="0" fontId="8" fillId="4" borderId="11" xfId="0" applyFont="1" applyFill="1" applyBorder="1" applyAlignment="1" applyProtection="1">
      <alignment horizontal="center" vertical="center"/>
      <protection hidden="1"/>
    </xf>
    <xf numFmtId="0" fontId="8" fillId="4" borderId="12"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wrapText="1"/>
      <protection hidden="1"/>
    </xf>
    <xf numFmtId="0" fontId="5" fillId="4" borderId="35" xfId="0" applyFont="1" applyFill="1" applyBorder="1" applyAlignment="1">
      <alignment horizontal="center" vertical="center" wrapText="1"/>
    </xf>
    <xf numFmtId="0" fontId="5" fillId="4" borderId="8" xfId="11" applyFont="1" applyFill="1" applyBorder="1" applyAlignment="1" applyProtection="1">
      <alignment horizontal="center" vertical="center"/>
      <protection hidden="1"/>
    </xf>
    <xf numFmtId="179" fontId="8" fillId="4" borderId="8" xfId="0" applyNumberFormat="1" applyFont="1" applyFill="1" applyBorder="1" applyAlignment="1" applyProtection="1">
      <alignment horizontal="center" vertical="center"/>
      <protection hidden="1"/>
    </xf>
    <xf numFmtId="0" fontId="0" fillId="4" borderId="8" xfId="0" applyFill="1" applyBorder="1"/>
    <xf numFmtId="0" fontId="0" fillId="4" borderId="9" xfId="0" applyFill="1" applyBorder="1"/>
    <xf numFmtId="164" fontId="8" fillId="4" borderId="1" xfId="0" applyNumberFormat="1" applyFont="1" applyFill="1" applyBorder="1" applyAlignment="1" applyProtection="1">
      <alignment horizontal="center" vertical="center"/>
      <protection hidden="1"/>
    </xf>
    <xf numFmtId="164" fontId="8" fillId="4" borderId="13" xfId="0" applyNumberFormat="1" applyFont="1" applyFill="1" applyBorder="1" applyAlignment="1" applyProtection="1">
      <alignment horizontal="center" vertical="center"/>
      <protection hidden="1"/>
    </xf>
    <xf numFmtId="0" fontId="8" fillId="4" borderId="0" xfId="0" applyFont="1" applyFill="1" applyAlignment="1" applyProtection="1">
      <alignment horizontal="center" vertical="center" wrapText="1"/>
      <protection hidden="1"/>
    </xf>
    <xf numFmtId="164" fontId="8" fillId="4" borderId="0" xfId="0" applyNumberFormat="1" applyFont="1" applyFill="1" applyAlignment="1" applyProtection="1">
      <alignment horizontal="center" vertical="center"/>
      <protection hidden="1"/>
    </xf>
    <xf numFmtId="0" fontId="5" fillId="4" borderId="30" xfId="0" applyFont="1" applyFill="1" applyBorder="1" applyAlignment="1">
      <alignment horizontal="center" vertical="center"/>
    </xf>
    <xf numFmtId="0" fontId="5" fillId="4" borderId="3" xfId="0" applyFont="1" applyFill="1" applyBorder="1" applyAlignment="1">
      <alignment horizontal="justify" vertical="center" wrapText="1"/>
    </xf>
    <xf numFmtId="165" fontId="5" fillId="4" borderId="15" xfId="6" applyNumberFormat="1" applyFont="1" applyFill="1" applyBorder="1" applyAlignment="1">
      <alignment horizontal="right" vertical="center"/>
    </xf>
    <xf numFmtId="165" fontId="8" fillId="4" borderId="10" xfId="6" applyNumberFormat="1" applyFont="1" applyFill="1" applyBorder="1" applyAlignment="1" applyProtection="1">
      <alignment horizontal="right" vertical="center"/>
      <protection hidden="1"/>
    </xf>
    <xf numFmtId="165" fontId="8" fillId="4" borderId="14" xfId="6" applyNumberFormat="1" applyFont="1" applyFill="1" applyBorder="1" applyAlignment="1" applyProtection="1">
      <alignment horizontal="right" vertical="center"/>
      <protection hidden="1"/>
    </xf>
    <xf numFmtId="0" fontId="5" fillId="4" borderId="19" xfId="0" applyFont="1" applyFill="1" applyBorder="1" applyAlignment="1" applyProtection="1">
      <alignment horizontal="center" vertical="center" wrapText="1"/>
      <protection hidden="1"/>
    </xf>
    <xf numFmtId="0" fontId="8" fillId="4" borderId="11" xfId="0" applyFont="1" applyFill="1" applyBorder="1" applyAlignment="1" applyProtection="1">
      <alignment vertical="center"/>
      <protection hidden="1"/>
    </xf>
    <xf numFmtId="0" fontId="5" fillId="4" borderId="8" xfId="0" applyFont="1" applyFill="1" applyBorder="1" applyAlignment="1">
      <alignment horizontal="left" vertical="top" wrapText="1"/>
    </xf>
    <xf numFmtId="0" fontId="5" fillId="4" borderId="1" xfId="28" applyFont="1" applyFill="1" applyBorder="1" applyAlignment="1">
      <alignment horizontal="center" vertical="center" wrapText="1"/>
    </xf>
    <xf numFmtId="0" fontId="5" fillId="4" borderId="45" xfId="28" applyFont="1" applyFill="1" applyBorder="1" applyAlignment="1">
      <alignment vertical="top" wrapText="1"/>
    </xf>
    <xf numFmtId="182" fontId="5" fillId="4" borderId="33" xfId="29" applyNumberFormat="1" applyFont="1" applyFill="1" applyBorder="1" applyAlignment="1">
      <alignment vertical="center"/>
    </xf>
    <xf numFmtId="182" fontId="5" fillId="4" borderId="1" xfId="29" applyNumberFormat="1" applyFont="1" applyFill="1" applyBorder="1" applyAlignment="1">
      <alignment vertical="center"/>
    </xf>
    <xf numFmtId="0" fontId="41" fillId="4" borderId="1" xfId="0" applyFont="1" applyFill="1" applyBorder="1" applyAlignment="1">
      <alignment horizontal="center"/>
    </xf>
    <xf numFmtId="0" fontId="41" fillId="4" borderId="1" xfId="0" applyFont="1" applyFill="1" applyBorder="1" applyAlignment="1">
      <alignment horizontal="center" vertical="center"/>
    </xf>
    <xf numFmtId="42" fontId="41" fillId="4" borderId="1" xfId="3" applyFont="1" applyFill="1" applyBorder="1"/>
    <xf numFmtId="42" fontId="23" fillId="4" borderId="1" xfId="0" applyNumberFormat="1" applyFont="1" applyFill="1" applyBorder="1"/>
    <xf numFmtId="2" fontId="41" fillId="4" borderId="1" xfId="0" applyNumberFormat="1" applyFont="1" applyFill="1" applyBorder="1" applyAlignment="1">
      <alignment horizontal="center"/>
    </xf>
    <xf numFmtId="0" fontId="5" fillId="4" borderId="7" xfId="0" applyFont="1" applyFill="1" applyBorder="1" applyAlignment="1">
      <alignment horizontal="center" vertical="center"/>
    </xf>
    <xf numFmtId="165" fontId="5" fillId="4" borderId="9" xfId="6" applyNumberFormat="1" applyFont="1" applyFill="1" applyBorder="1" applyAlignment="1">
      <alignment horizontal="right" vertical="center"/>
    </xf>
    <xf numFmtId="0" fontId="8" fillId="4" borderId="0" xfId="0" applyFont="1" applyFill="1" applyAlignment="1" applyProtection="1">
      <alignment horizontal="center" wrapText="1"/>
      <protection hidden="1"/>
    </xf>
    <xf numFmtId="0" fontId="1" fillId="4" borderId="4" xfId="0" applyFont="1" applyFill="1" applyBorder="1" applyAlignment="1">
      <alignment horizontal="center" vertical="center"/>
    </xf>
    <xf numFmtId="0" fontId="5" fillId="4" borderId="5"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8" xfId="0" applyFont="1" applyFill="1" applyBorder="1" applyAlignment="1" applyProtection="1">
      <alignment horizontal="center" vertical="center" wrapText="1"/>
      <protection hidden="1"/>
    </xf>
    <xf numFmtId="164" fontId="8" fillId="4" borderId="8" xfId="0" applyNumberFormat="1" applyFont="1" applyFill="1" applyBorder="1" applyAlignment="1">
      <alignment horizontal="center" vertical="center"/>
    </xf>
    <xf numFmtId="165" fontId="8" fillId="4" borderId="9" xfId="0" applyNumberFormat="1" applyFont="1" applyFill="1" applyBorder="1" applyAlignment="1" applyProtection="1">
      <alignment horizontal="right" vertical="center"/>
      <protection hidden="1"/>
    </xf>
    <xf numFmtId="0" fontId="1" fillId="4" borderId="20"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8" xfId="0" applyFont="1" applyFill="1" applyBorder="1"/>
    <xf numFmtId="0" fontId="1" fillId="4" borderId="8" xfId="0" applyFont="1" applyFill="1" applyBorder="1" applyAlignment="1">
      <alignment horizontal="center" vertical="center"/>
    </xf>
    <xf numFmtId="0" fontId="8" fillId="4" borderId="39" xfId="0" applyFont="1" applyFill="1" applyBorder="1" applyAlignment="1" applyProtection="1">
      <alignment horizontal="center" vertical="center"/>
      <protection hidden="1"/>
    </xf>
    <xf numFmtId="165" fontId="8" fillId="4" borderId="37" xfId="0" applyNumberFormat="1" applyFont="1" applyFill="1" applyBorder="1" applyAlignment="1" applyProtection="1">
      <alignment horizontal="right" vertical="center"/>
      <protection hidden="1"/>
    </xf>
    <xf numFmtId="0" fontId="0" fillId="4" borderId="44" xfId="0" applyFill="1" applyBorder="1"/>
    <xf numFmtId="0" fontId="8" fillId="4" borderId="44" xfId="0" applyFont="1" applyFill="1" applyBorder="1" applyAlignment="1" applyProtection="1">
      <alignment horizontal="center" vertical="center"/>
      <protection hidden="1"/>
    </xf>
    <xf numFmtId="0" fontId="8" fillId="4" borderId="44" xfId="0" applyFont="1" applyFill="1" applyBorder="1" applyAlignment="1" applyProtection="1">
      <alignment vertical="center" wrapText="1"/>
      <protection hidden="1"/>
    </xf>
    <xf numFmtId="0" fontId="8" fillId="4" borderId="44" xfId="0" applyFont="1" applyFill="1" applyBorder="1" applyAlignment="1" applyProtection="1">
      <alignment horizontal="center" vertical="center" wrapText="1"/>
      <protection hidden="1"/>
    </xf>
    <xf numFmtId="164" fontId="8" fillId="4" borderId="44" xfId="0" applyNumberFormat="1" applyFont="1" applyFill="1" applyBorder="1" applyAlignment="1">
      <alignment horizontal="center" vertical="center"/>
    </xf>
    <xf numFmtId="165" fontId="8" fillId="4" borderId="44" xfId="0" applyNumberFormat="1" applyFont="1" applyFill="1" applyBorder="1" applyAlignment="1" applyProtection="1">
      <alignment horizontal="right" vertical="center"/>
      <protection hidden="1"/>
    </xf>
    <xf numFmtId="0" fontId="8" fillId="4" borderId="3" xfId="0" applyFont="1" applyFill="1" applyBorder="1" applyAlignment="1" applyProtection="1">
      <alignment horizontal="center" vertical="center" wrapText="1"/>
      <protection hidden="1"/>
    </xf>
    <xf numFmtId="0" fontId="5" fillId="4" borderId="1" xfId="0" applyFont="1" applyFill="1" applyBorder="1" applyAlignment="1" applyProtection="1">
      <alignment horizontal="center" vertical="center"/>
      <protection hidden="1"/>
    </xf>
    <xf numFmtId="0" fontId="5" fillId="4" borderId="1" xfId="0" applyFont="1" applyFill="1" applyBorder="1" applyAlignment="1" applyProtection="1">
      <alignment vertical="center" wrapText="1"/>
      <protection hidden="1"/>
    </xf>
    <xf numFmtId="164" fontId="5" fillId="4" borderId="1" xfId="0" applyNumberFormat="1" applyFont="1" applyFill="1" applyBorder="1" applyAlignment="1">
      <alignment horizontal="center" vertical="center"/>
    </xf>
    <xf numFmtId="165" fontId="5" fillId="4" borderId="1" xfId="0" applyNumberFormat="1" applyFont="1" applyFill="1" applyBorder="1" applyAlignment="1" applyProtection="1">
      <alignment horizontal="right" vertical="center"/>
      <protection hidden="1"/>
    </xf>
    <xf numFmtId="0" fontId="8" fillId="4" borderId="90" xfId="0" applyFont="1" applyFill="1" applyBorder="1" applyAlignment="1" applyProtection="1">
      <alignment horizontal="center" vertical="center"/>
      <protection hidden="1"/>
    </xf>
    <xf numFmtId="0" fontId="8" fillId="4" borderId="38" xfId="0" applyFont="1" applyFill="1" applyBorder="1" applyAlignment="1" applyProtection="1">
      <alignment vertical="center" wrapText="1"/>
      <protection hidden="1"/>
    </xf>
    <xf numFmtId="0" fontId="8" fillId="4" borderId="90" xfId="0" applyFont="1" applyFill="1" applyBorder="1" applyAlignment="1" applyProtection="1">
      <alignment horizontal="center" vertical="center" wrapText="1"/>
      <protection hidden="1"/>
    </xf>
    <xf numFmtId="164" fontId="8" fillId="4" borderId="90" xfId="0" applyNumberFormat="1" applyFont="1" applyFill="1" applyBorder="1" applyAlignment="1">
      <alignment horizontal="center" vertical="center"/>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92" xfId="0" applyFont="1" applyFill="1" applyBorder="1" applyAlignment="1">
      <alignment horizontal="center" vertical="center" wrapText="1"/>
    </xf>
    <xf numFmtId="0" fontId="5" fillId="4" borderId="4" xfId="0" applyFont="1" applyFill="1" applyBorder="1" applyAlignment="1" applyProtection="1">
      <alignment horizontal="center" vertical="center" wrapText="1"/>
      <protection hidden="1"/>
    </xf>
    <xf numFmtId="0" fontId="43" fillId="4" borderId="5" xfId="0" applyFont="1" applyFill="1" applyBorder="1" applyAlignment="1">
      <alignment horizontal="center" vertical="center"/>
    </xf>
    <xf numFmtId="0" fontId="0" fillId="4" borderId="5" xfId="0" applyFill="1" applyBorder="1" applyAlignment="1">
      <alignment horizontal="center" vertical="center"/>
    </xf>
    <xf numFmtId="177" fontId="44" fillId="4" borderId="6" xfId="0" applyNumberFormat="1" applyFont="1" applyFill="1" applyBorder="1" applyAlignment="1">
      <alignment horizontal="center" vertical="center"/>
    </xf>
    <xf numFmtId="0" fontId="8" fillId="4" borderId="7" xfId="0" applyFont="1" applyFill="1" applyBorder="1" applyAlignment="1" applyProtection="1">
      <alignment horizontal="center" vertical="center" wrapText="1"/>
      <protection hidden="1"/>
    </xf>
    <xf numFmtId="0" fontId="8" fillId="4" borderId="8" xfId="0" applyFont="1" applyFill="1" applyBorder="1" applyAlignment="1" applyProtection="1">
      <alignment vertical="center" wrapText="1"/>
      <protection hidden="1"/>
    </xf>
    <xf numFmtId="0" fontId="44" fillId="4" borderId="8" xfId="0" applyFont="1" applyFill="1" applyBorder="1" applyAlignment="1">
      <alignment horizontal="center" vertical="center"/>
    </xf>
    <xf numFmtId="177" fontId="44" fillId="4" borderId="9" xfId="0" applyNumberFormat="1" applyFont="1" applyFill="1" applyBorder="1" applyAlignment="1">
      <alignment vertical="center"/>
    </xf>
    <xf numFmtId="0" fontId="44" fillId="4" borderId="1" xfId="0" applyFont="1" applyFill="1" applyBorder="1" applyAlignment="1">
      <alignment horizontal="center" vertical="center"/>
    </xf>
    <xf numFmtId="2" fontId="44" fillId="4" borderId="1" xfId="0" applyNumberFormat="1" applyFont="1" applyFill="1" applyBorder="1" applyAlignment="1">
      <alignment horizontal="center" vertical="center"/>
    </xf>
    <xf numFmtId="177" fontId="44" fillId="4" borderId="10" xfId="0" applyNumberFormat="1" applyFont="1" applyFill="1" applyBorder="1" applyAlignment="1">
      <alignment vertical="center"/>
    </xf>
    <xf numFmtId="165" fontId="36" fillId="4" borderId="0" xfId="0" applyNumberFormat="1" applyFont="1" applyFill="1" applyAlignment="1">
      <alignment horizontal="center"/>
    </xf>
    <xf numFmtId="2" fontId="36" fillId="4" borderId="0" xfId="0" applyNumberFormat="1" applyFont="1" applyFill="1" applyAlignment="1">
      <alignment horizontal="center"/>
    </xf>
    <xf numFmtId="177" fontId="44" fillId="4" borderId="14" xfId="0" applyNumberFormat="1" applyFont="1" applyFill="1" applyBorder="1" applyAlignment="1">
      <alignment vertical="center"/>
    </xf>
    <xf numFmtId="0" fontId="0" fillId="4" borderId="90" xfId="0" applyFill="1" applyBorder="1"/>
    <xf numFmtId="0" fontId="41" fillId="4" borderId="90" xfId="0" applyFont="1" applyFill="1" applyBorder="1" applyAlignment="1">
      <alignment vertical="center"/>
    </xf>
    <xf numFmtId="0" fontId="41" fillId="4" borderId="90" xfId="0" applyFont="1" applyFill="1" applyBorder="1"/>
    <xf numFmtId="177" fontId="19" fillId="4" borderId="0" xfId="0" applyNumberFormat="1" applyFont="1" applyFill="1"/>
    <xf numFmtId="0" fontId="5" fillId="4" borderId="20" xfId="0" applyFont="1" applyFill="1" applyBorder="1" applyAlignment="1">
      <alignment vertical="center" wrapText="1"/>
    </xf>
    <xf numFmtId="0" fontId="43" fillId="4" borderId="20" xfId="0" applyFont="1" applyFill="1" applyBorder="1" applyAlignment="1">
      <alignment horizontal="center" vertical="center"/>
    </xf>
    <xf numFmtId="0" fontId="0" fillId="4" borderId="20" xfId="0" applyFill="1" applyBorder="1"/>
    <xf numFmtId="177" fontId="44" fillId="4" borderId="21" xfId="0" applyNumberFormat="1" applyFont="1" applyFill="1" applyBorder="1" applyAlignment="1">
      <alignment horizontal="center" vertical="center"/>
    </xf>
    <xf numFmtId="0" fontId="0" fillId="4" borderId="38" xfId="0" applyFill="1" applyBorder="1"/>
    <xf numFmtId="0" fontId="41" fillId="4" borderId="38" xfId="0" applyFont="1" applyFill="1" applyBorder="1" applyAlignment="1">
      <alignment horizontal="center" vertical="center"/>
    </xf>
    <xf numFmtId="0" fontId="41" fillId="4" borderId="38" xfId="0" applyFont="1" applyFill="1" applyBorder="1" applyAlignment="1">
      <alignment horizontal="center"/>
    </xf>
    <xf numFmtId="0" fontId="5" fillId="4" borderId="5" xfId="0" applyFont="1" applyFill="1" applyBorder="1" applyAlignment="1">
      <alignment horizontal="center" vertical="top" wrapText="1"/>
    </xf>
    <xf numFmtId="0" fontId="5" fillId="4" borderId="8" xfId="0" applyFont="1" applyFill="1" applyBorder="1" applyAlignment="1">
      <alignment vertical="center" wrapText="1"/>
    </xf>
    <xf numFmtId="0" fontId="43" fillId="4" borderId="8" xfId="0" applyFont="1" applyFill="1" applyBorder="1" applyAlignment="1">
      <alignment horizontal="center" vertical="center"/>
    </xf>
    <xf numFmtId="177" fontId="44" fillId="4" borderId="9" xfId="0" applyNumberFormat="1" applyFont="1" applyFill="1" applyBorder="1" applyAlignment="1">
      <alignment horizontal="center" vertical="center"/>
    </xf>
    <xf numFmtId="0" fontId="55" fillId="4" borderId="1" xfId="0" applyFont="1" applyFill="1" applyBorder="1" applyAlignment="1" applyProtection="1">
      <alignment vertical="center" wrapText="1"/>
      <protection hidden="1"/>
    </xf>
    <xf numFmtId="0" fontId="5" fillId="4" borderId="45" xfId="28" applyFont="1" applyFill="1" applyBorder="1" applyAlignment="1">
      <alignment vertical="center" wrapText="1"/>
    </xf>
    <xf numFmtId="174" fontId="41" fillId="4" borderId="1" xfId="0" applyNumberFormat="1" applyFont="1" applyFill="1" applyBorder="1" applyAlignment="1">
      <alignment horizontal="center"/>
    </xf>
    <xf numFmtId="0" fontId="7" fillId="4" borderId="1" xfId="0" applyFont="1" applyFill="1" applyBorder="1" applyAlignment="1" applyProtection="1">
      <alignment horizontal="center" vertical="center"/>
      <protection hidden="1"/>
    </xf>
    <xf numFmtId="42" fontId="7" fillId="4" borderId="1" xfId="3" applyFont="1" applyFill="1" applyBorder="1" applyAlignment="1">
      <alignment vertical="center"/>
    </xf>
    <xf numFmtId="42" fontId="10" fillId="4" borderId="1" xfId="0" applyNumberFormat="1" applyFont="1" applyFill="1" applyBorder="1"/>
    <xf numFmtId="0" fontId="7" fillId="0" borderId="0" xfId="30" applyAlignment="1">
      <alignment wrapText="1"/>
    </xf>
    <xf numFmtId="0" fontId="7" fillId="0" borderId="0" xfId="30"/>
    <xf numFmtId="184" fontId="7" fillId="0" borderId="0" xfId="30" applyNumberFormat="1" applyAlignment="1">
      <alignment horizontal="right"/>
    </xf>
    <xf numFmtId="0" fontId="69" fillId="0" borderId="1" xfId="30" applyFont="1" applyBorder="1" applyAlignment="1">
      <alignment wrapText="1"/>
    </xf>
    <xf numFmtId="184" fontId="69" fillId="0" borderId="1" xfId="30" applyNumberFormat="1" applyFont="1" applyBorder="1" applyAlignment="1">
      <alignment horizontal="right" wrapText="1"/>
    </xf>
    <xf numFmtId="0" fontId="11" fillId="0" borderId="1" xfId="30" applyFont="1" applyBorder="1" applyAlignment="1">
      <alignment horizontal="center" wrapText="1"/>
    </xf>
    <xf numFmtId="0" fontId="10" fillId="0" borderId="1" xfId="30" applyFont="1" applyBorder="1" applyAlignment="1">
      <alignment vertical="center" wrapText="1"/>
    </xf>
    <xf numFmtId="184" fontId="10" fillId="4" borderId="1" xfId="30" applyNumberFormat="1" applyFont="1" applyFill="1" applyBorder="1" applyAlignment="1">
      <alignment horizontal="right" wrapText="1"/>
    </xf>
    <xf numFmtId="185" fontId="10" fillId="0" borderId="1" xfId="30" applyNumberFormat="1" applyFont="1" applyBorder="1" applyAlignment="1">
      <alignment horizontal="center" vertical="center" wrapText="1"/>
    </xf>
    <xf numFmtId="184" fontId="10" fillId="0" borderId="1" xfId="30" applyNumberFormat="1" applyFont="1" applyBorder="1" applyAlignment="1">
      <alignment horizontal="right" wrapText="1"/>
    </xf>
    <xf numFmtId="0" fontId="10" fillId="0" borderId="1" xfId="30" applyFont="1" applyBorder="1" applyAlignment="1">
      <alignment wrapText="1"/>
    </xf>
    <xf numFmtId="8" fontId="7" fillId="0" borderId="0" xfId="30" applyNumberFormat="1"/>
    <xf numFmtId="0" fontId="11" fillId="0" borderId="0" xfId="30" applyFont="1" applyAlignment="1">
      <alignment wrapText="1"/>
    </xf>
    <xf numFmtId="184" fontId="11" fillId="0" borderId="0" xfId="30" applyNumberFormat="1" applyFont="1" applyAlignment="1">
      <alignment horizontal="right" wrapText="1"/>
    </xf>
    <xf numFmtId="0" fontId="11" fillId="0" borderId="1" xfId="30" applyFont="1" applyBorder="1" applyAlignment="1">
      <alignment horizontal="center" vertical="center"/>
    </xf>
    <xf numFmtId="0" fontId="11" fillId="0" borderId="1" xfId="30" applyFont="1" applyBorder="1" applyAlignment="1">
      <alignment vertical="center"/>
    </xf>
    <xf numFmtId="0" fontId="10" fillId="0" borderId="1" xfId="30" applyFont="1" applyBorder="1" applyAlignment="1">
      <alignment horizontal="center"/>
    </xf>
    <xf numFmtId="0" fontId="10" fillId="4" borderId="1" xfId="30" applyFont="1" applyFill="1" applyBorder="1" applyAlignment="1">
      <alignment horizontal="center"/>
    </xf>
    <xf numFmtId="10" fontId="10" fillId="4" borderId="1" xfId="16" applyNumberFormat="1" applyFont="1" applyFill="1" applyBorder="1" applyAlignment="1">
      <alignment horizontal="center"/>
    </xf>
    <xf numFmtId="0" fontId="10" fillId="0" borderId="1" xfId="30" applyFont="1" applyBorder="1"/>
    <xf numFmtId="184" fontId="11" fillId="0" borderId="1" xfId="30" applyNumberFormat="1" applyFont="1" applyBorder="1" applyAlignment="1">
      <alignment wrapText="1"/>
    </xf>
    <xf numFmtId="184" fontId="11" fillId="0" borderId="1" xfId="30" applyNumberFormat="1" applyFont="1" applyBorder="1"/>
    <xf numFmtId="184" fontId="11" fillId="25" borderId="1" xfId="30" applyNumberFormat="1" applyFont="1" applyFill="1" applyBorder="1"/>
    <xf numFmtId="44" fontId="0" fillId="0" borderId="0" xfId="38" applyFont="1"/>
    <xf numFmtId="0" fontId="7" fillId="0" borderId="0" xfId="30" applyAlignment="1">
      <alignment horizontal="right" wrapText="1"/>
    </xf>
    <xf numFmtId="44" fontId="7" fillId="0" borderId="0" xfId="30" applyNumberFormat="1"/>
    <xf numFmtId="0" fontId="72" fillId="0" borderId="0" xfId="30" applyFont="1" applyAlignment="1">
      <alignment vertical="center"/>
    </xf>
    <xf numFmtId="187" fontId="7" fillId="0" borderId="0" xfId="30" applyNumberFormat="1"/>
    <xf numFmtId="0" fontId="74" fillId="0" borderId="0" xfId="30" applyFont="1" applyAlignment="1">
      <alignment vertical="center"/>
    </xf>
    <xf numFmtId="0" fontId="4" fillId="0" borderId="0" xfId="40"/>
    <xf numFmtId="49" fontId="11" fillId="0" borderId="16" xfId="30" applyNumberFormat="1" applyFont="1" applyBorder="1" applyAlignment="1">
      <alignment vertical="center"/>
    </xf>
    <xf numFmtId="49" fontId="11" fillId="0" borderId="17" xfId="30" applyNumberFormat="1" applyFont="1" applyBorder="1" applyAlignment="1">
      <alignment vertical="center"/>
    </xf>
    <xf numFmtId="49" fontId="24" fillId="0" borderId="17" xfId="30" applyNumberFormat="1" applyFont="1" applyBorder="1" applyAlignment="1">
      <alignment vertical="center"/>
    </xf>
    <xf numFmtId="49" fontId="24" fillId="0" borderId="18" xfId="30" applyNumberFormat="1" applyFont="1" applyBorder="1" applyAlignment="1">
      <alignment vertical="center"/>
    </xf>
    <xf numFmtId="49" fontId="49" fillId="0" borderId="0" xfId="30" applyNumberFormat="1" applyFont="1" applyAlignment="1">
      <alignment vertical="center" wrapText="1"/>
    </xf>
    <xf numFmtId="49" fontId="49" fillId="0" borderId="64" xfId="30" applyNumberFormat="1" applyFont="1" applyBorder="1" applyAlignment="1">
      <alignment vertical="center" wrapText="1"/>
    </xf>
    <xf numFmtId="0" fontId="18" fillId="0" borderId="0" xfId="41" applyFont="1" applyAlignment="1">
      <alignment horizontal="center" vertical="center"/>
    </xf>
    <xf numFmtId="0" fontId="18" fillId="0" borderId="0" xfId="41" applyFont="1"/>
    <xf numFmtId="0" fontId="77" fillId="0" borderId="1" xfId="41" applyFont="1" applyBorder="1" applyAlignment="1">
      <alignment horizontal="center"/>
    </xf>
    <xf numFmtId="0" fontId="77" fillId="0" borderId="1" xfId="41" applyFont="1" applyBorder="1" applyAlignment="1">
      <alignment horizontal="center" vertical="center"/>
    </xf>
    <xf numFmtId="2" fontId="77" fillId="0" borderId="44" xfId="41" applyNumberFormat="1" applyFont="1" applyBorder="1"/>
    <xf numFmtId="2" fontId="77" fillId="0" borderId="45" xfId="41" applyNumberFormat="1" applyFont="1" applyBorder="1" applyAlignment="1">
      <alignment horizontal="right"/>
    </xf>
    <xf numFmtId="0" fontId="18" fillId="0" borderId="1" xfId="41" quotePrefix="1" applyFont="1" applyBorder="1" applyAlignment="1">
      <alignment horizontal="center" vertical="center"/>
    </xf>
    <xf numFmtId="2" fontId="18" fillId="0" borderId="1" xfId="41" applyNumberFormat="1" applyFont="1" applyBorder="1" applyAlignment="1">
      <alignment horizontal="center" vertical="center"/>
    </xf>
    <xf numFmtId="0" fontId="18" fillId="0" borderId="1" xfId="41" applyFont="1" applyBorder="1" applyAlignment="1">
      <alignment horizontal="center" vertical="center"/>
    </xf>
    <xf numFmtId="164" fontId="18" fillId="0" borderId="1" xfId="41" applyNumberFormat="1" applyFont="1" applyBorder="1" applyAlignment="1">
      <alignment horizontal="center" vertical="center"/>
    </xf>
    <xf numFmtId="0" fontId="4" fillId="0" borderId="0" xfId="40" applyAlignment="1">
      <alignment wrapText="1"/>
    </xf>
    <xf numFmtId="2" fontId="77" fillId="0" borderId="91" xfId="41" applyNumberFormat="1" applyFont="1" applyBorder="1" applyAlignment="1">
      <alignment horizontal="center" vertical="center"/>
    </xf>
    <xf numFmtId="2" fontId="18" fillId="0" borderId="1" xfId="41" applyNumberFormat="1" applyFont="1" applyBorder="1"/>
    <xf numFmtId="2" fontId="18" fillId="0" borderId="1" xfId="41" applyNumberFormat="1" applyFont="1" applyBorder="1" applyAlignment="1">
      <alignment horizontal="right"/>
    </xf>
    <xf numFmtId="0" fontId="0" fillId="0" borderId="0" xfId="40" applyFont="1"/>
    <xf numFmtId="2" fontId="77" fillId="0" borderId="1" xfId="41" applyNumberFormat="1" applyFont="1" applyBorder="1" applyAlignment="1">
      <alignment horizontal="center" vertical="center"/>
    </xf>
    <xf numFmtId="0" fontId="77" fillId="0" borderId="1" xfId="41" applyFont="1" applyBorder="1" applyAlignment="1">
      <alignment vertical="center"/>
    </xf>
    <xf numFmtId="0" fontId="77" fillId="0" borderId="1" xfId="41" applyFont="1" applyBorder="1" applyAlignment="1">
      <alignment horizontal="center" wrapText="1"/>
    </xf>
    <xf numFmtId="2" fontId="77" fillId="0" borderId="1" xfId="41" applyNumberFormat="1" applyFont="1" applyBorder="1"/>
    <xf numFmtId="0" fontId="18" fillId="0" borderId="1" xfId="41" applyFont="1" applyBorder="1"/>
    <xf numFmtId="9" fontId="18" fillId="28" borderId="1" xfId="43" applyFont="1" applyFill="1" applyBorder="1" applyAlignment="1">
      <alignment horizontal="center"/>
    </xf>
    <xf numFmtId="9" fontId="18" fillId="28" borderId="44" xfId="43" applyFont="1" applyFill="1" applyBorder="1" applyAlignment="1">
      <alignment horizontal="center"/>
    </xf>
    <xf numFmtId="0" fontId="18" fillId="0" borderId="0" xfId="41" quotePrefix="1" applyFont="1" applyAlignment="1">
      <alignment horizontal="center" vertical="center"/>
    </xf>
    <xf numFmtId="9" fontId="77" fillId="0" borderId="1" xfId="43" applyFont="1" applyFill="1" applyBorder="1" applyAlignment="1">
      <alignment horizontal="center"/>
    </xf>
    <xf numFmtId="2" fontId="77" fillId="0" borderId="45" xfId="41" applyNumberFormat="1" applyFont="1" applyBorder="1" applyAlignment="1">
      <alignment horizontal="center" vertical="center"/>
    </xf>
    <xf numFmtId="0" fontId="77" fillId="0" borderId="33" xfId="41" applyFont="1" applyBorder="1"/>
    <xf numFmtId="9" fontId="77" fillId="0" borderId="44" xfId="41" applyNumberFormat="1" applyFont="1" applyBorder="1" applyAlignment="1">
      <alignment horizontal="center"/>
    </xf>
    <xf numFmtId="0" fontId="18" fillId="0" borderId="89" xfId="41" applyFont="1" applyBorder="1"/>
    <xf numFmtId="2" fontId="18" fillId="0" borderId="90" xfId="41" applyNumberFormat="1" applyFont="1" applyBorder="1" applyAlignment="1">
      <alignment horizontal="right"/>
    </xf>
    <xf numFmtId="0" fontId="77" fillId="0" borderId="0" xfId="41" applyFont="1" applyAlignment="1">
      <alignment horizontal="center" vertical="center"/>
    </xf>
    <xf numFmtId="0" fontId="77" fillId="0" borderId="44" xfId="41" applyFont="1" applyBorder="1"/>
    <xf numFmtId="1" fontId="77" fillId="0" borderId="45" xfId="41" applyNumberFormat="1" applyFont="1" applyBorder="1" applyAlignment="1">
      <alignment horizontal="right"/>
    </xf>
    <xf numFmtId="174" fontId="18" fillId="0" borderId="90" xfId="41" applyNumberFormat="1" applyFont="1" applyBorder="1" applyAlignment="1">
      <alignment horizontal="right"/>
    </xf>
    <xf numFmtId="0" fontId="79" fillId="3" borderId="33" xfId="41" applyFont="1" applyFill="1" applyBorder="1"/>
    <xf numFmtId="0" fontId="79" fillId="3" borderId="44" xfId="41" applyFont="1" applyFill="1" applyBorder="1"/>
    <xf numFmtId="2" fontId="79" fillId="3" borderId="45" xfId="41" applyNumberFormat="1" applyFont="1" applyFill="1" applyBorder="1" applyAlignment="1">
      <alignment horizontal="right"/>
    </xf>
    <xf numFmtId="0" fontId="18" fillId="0" borderId="63" xfId="41" applyFont="1" applyBorder="1"/>
    <xf numFmtId="0" fontId="18" fillId="0" borderId="64" xfId="41" applyFont="1" applyBorder="1"/>
    <xf numFmtId="0" fontId="18" fillId="0" borderId="91" xfId="41" applyFont="1" applyBorder="1"/>
    <xf numFmtId="0" fontId="7" fillId="0" borderId="81" xfId="15" applyBorder="1" applyAlignment="1" applyProtection="1">
      <alignment vertical="center"/>
      <protection hidden="1"/>
    </xf>
    <xf numFmtId="0" fontId="7" fillId="0" borderId="0" xfId="15" applyAlignment="1" applyProtection="1">
      <alignment vertical="center"/>
      <protection hidden="1"/>
    </xf>
    <xf numFmtId="0" fontId="4" fillId="0" borderId="0" xfId="40" applyAlignment="1">
      <alignment horizontal="center" vertical="center"/>
    </xf>
    <xf numFmtId="0" fontId="53" fillId="29" borderId="107" xfId="0" applyFont="1" applyFill="1" applyBorder="1" applyAlignment="1">
      <alignment horizontal="center"/>
    </xf>
    <xf numFmtId="0" fontId="53" fillId="29" borderId="95" xfId="0" applyFont="1" applyFill="1" applyBorder="1" applyAlignment="1">
      <alignment horizontal="center"/>
    </xf>
    <xf numFmtId="0" fontId="53" fillId="29" borderId="96" xfId="0" applyFont="1" applyFill="1" applyBorder="1" applyAlignment="1">
      <alignment horizontal="center"/>
    </xf>
    <xf numFmtId="0" fontId="53" fillId="29" borderId="108" xfId="0" applyFont="1" applyFill="1" applyBorder="1" applyAlignment="1">
      <alignment horizontal="center"/>
    </xf>
    <xf numFmtId="0" fontId="32" fillId="0" borderId="0" xfId="0" applyFont="1"/>
    <xf numFmtId="0" fontId="80" fillId="0" borderId="0" xfId="0" applyFont="1"/>
    <xf numFmtId="2" fontId="32" fillId="0" borderId="109" xfId="0" applyNumberFormat="1" applyFont="1" applyBorder="1" applyAlignment="1">
      <alignment horizontal="center" vertical="center"/>
    </xf>
    <xf numFmtId="2" fontId="32" fillId="0" borderId="102" xfId="0" applyNumberFormat="1" applyFont="1" applyBorder="1" applyAlignment="1">
      <alignment horizontal="center" vertical="center"/>
    </xf>
    <xf numFmtId="2" fontId="32" fillId="0" borderId="100" xfId="0" applyNumberFormat="1" applyFont="1" applyBorder="1" applyAlignment="1">
      <alignment horizontal="center" vertical="center"/>
    </xf>
    <xf numFmtId="2" fontId="32" fillId="0" borderId="110" xfId="0" applyNumberFormat="1" applyFont="1" applyBorder="1" applyAlignment="1">
      <alignment horizontal="center" vertical="center"/>
    </xf>
    <xf numFmtId="0" fontId="32" fillId="0" borderId="81" xfId="0" applyFont="1" applyBorder="1"/>
    <xf numFmtId="0" fontId="32" fillId="0" borderId="79" xfId="0" applyFont="1" applyBorder="1"/>
    <xf numFmtId="0" fontId="53" fillId="30" borderId="95" xfId="0" applyFont="1" applyFill="1" applyBorder="1" applyAlignment="1">
      <alignment horizontal="center"/>
    </xf>
    <xf numFmtId="0" fontId="53" fillId="30" borderId="96" xfId="0" applyFont="1" applyFill="1" applyBorder="1" applyAlignment="1">
      <alignment horizontal="center"/>
    </xf>
    <xf numFmtId="0" fontId="53" fillId="30" borderId="108" xfId="0" applyFont="1" applyFill="1" applyBorder="1" applyAlignment="1">
      <alignment horizontal="center"/>
    </xf>
    <xf numFmtId="2" fontId="32" fillId="0" borderId="77" xfId="0" applyNumberFormat="1" applyFont="1" applyBorder="1" applyAlignment="1">
      <alignment horizontal="center" vertical="center"/>
    </xf>
    <xf numFmtId="2" fontId="32" fillId="0" borderId="103" xfId="0" applyNumberFormat="1" applyFont="1" applyBorder="1"/>
    <xf numFmtId="2" fontId="32" fillId="0" borderId="104" xfId="0" applyNumberFormat="1" applyFont="1" applyBorder="1" applyAlignment="1">
      <alignment horizontal="center" vertical="center"/>
    </xf>
    <xf numFmtId="2" fontId="32" fillId="0" borderId="114" xfId="0" applyNumberFormat="1" applyFont="1" applyBorder="1" applyAlignment="1">
      <alignment horizontal="center" vertical="center"/>
    </xf>
    <xf numFmtId="2" fontId="32" fillId="0" borderId="115" xfId="0" applyNumberFormat="1" applyFont="1" applyBorder="1" applyAlignment="1">
      <alignment vertical="center"/>
    </xf>
    <xf numFmtId="0" fontId="53" fillId="0" borderId="116" xfId="0" applyFont="1" applyBorder="1" applyAlignment="1">
      <alignment horizontal="center"/>
    </xf>
    <xf numFmtId="2" fontId="53" fillId="0" borderId="117" xfId="0" applyNumberFormat="1" applyFont="1" applyBorder="1" applyAlignment="1">
      <alignment horizontal="center"/>
    </xf>
    <xf numFmtId="2" fontId="53" fillId="0" borderId="118" xfId="0" applyNumberFormat="1" applyFont="1" applyBorder="1" applyAlignment="1">
      <alignment horizontal="center"/>
    </xf>
    <xf numFmtId="2" fontId="53" fillId="0" borderId="96" xfId="0" applyNumberFormat="1" applyFont="1" applyBorder="1" applyAlignment="1">
      <alignment horizontal="center"/>
    </xf>
    <xf numFmtId="2" fontId="53" fillId="0" borderId="108" xfId="0" applyNumberFormat="1" applyFont="1" applyBorder="1" applyAlignment="1">
      <alignment horizontal="center"/>
    </xf>
    <xf numFmtId="2" fontId="39" fillId="4" borderId="8" xfId="0" applyNumberFormat="1" applyFont="1" applyFill="1" applyBorder="1" applyAlignment="1">
      <alignment horizontal="right" vertical="center" wrapText="1"/>
    </xf>
    <xf numFmtId="2" fontId="39" fillId="4" borderId="1" xfId="0" applyNumberFormat="1" applyFont="1" applyFill="1" applyBorder="1" applyAlignment="1">
      <alignment horizontal="right" vertical="center" wrapText="1"/>
    </xf>
    <xf numFmtId="0" fontId="51" fillId="0" borderId="1" xfId="0" applyFont="1" applyBorder="1" applyAlignment="1">
      <alignment horizontal="center" vertical="center" wrapText="1"/>
    </xf>
    <xf numFmtId="0" fontId="7" fillId="0" borderId="0" xfId="44" applyAlignment="1">
      <alignment vertical="center"/>
    </xf>
    <xf numFmtId="2" fontId="7" fillId="0" borderId="0" xfId="44" applyNumberFormat="1" applyAlignment="1">
      <alignment vertical="center"/>
    </xf>
    <xf numFmtId="14" fontId="9" fillId="0" borderId="1" xfId="44" applyNumberFormat="1" applyFont="1" applyBorder="1" applyAlignment="1">
      <alignment horizontal="center" vertical="center"/>
    </xf>
    <xf numFmtId="0" fontId="9" fillId="6" borderId="1" xfId="44" applyFont="1" applyFill="1" applyBorder="1" applyAlignment="1">
      <alignment horizontal="center" vertical="center"/>
    </xf>
    <xf numFmtId="2" fontId="9" fillId="6" borderId="1" xfId="44" applyNumberFormat="1" applyFont="1" applyFill="1" applyBorder="1" applyAlignment="1">
      <alignment horizontal="center" vertical="center"/>
    </xf>
    <xf numFmtId="2" fontId="9" fillId="6" borderId="1" xfId="44" applyNumberFormat="1" applyFont="1" applyFill="1" applyBorder="1" applyAlignment="1">
      <alignment horizontal="center" vertical="center" wrapText="1"/>
    </xf>
    <xf numFmtId="0" fontId="37" fillId="0" borderId="0" xfId="44" applyFont="1" applyAlignment="1">
      <alignment vertical="center"/>
    </xf>
    <xf numFmtId="0" fontId="9" fillId="0" borderId="89" xfId="44" applyFont="1" applyBorder="1" applyAlignment="1">
      <alignment vertical="center"/>
    </xf>
    <xf numFmtId="0" fontId="9" fillId="0" borderId="0" xfId="44" applyFont="1" applyAlignment="1">
      <alignment vertical="center"/>
    </xf>
    <xf numFmtId="0" fontId="7" fillId="0" borderId="38" xfId="44" applyBorder="1" applyAlignment="1">
      <alignment horizontal="right" vertical="center"/>
    </xf>
    <xf numFmtId="2" fontId="7" fillId="0" borderId="90" xfId="44" applyNumberFormat="1" applyBorder="1" applyAlignment="1">
      <alignment vertical="center"/>
    </xf>
    <xf numFmtId="2" fontId="9" fillId="0" borderId="38" xfId="44" applyNumberFormat="1" applyFont="1" applyBorder="1" applyAlignment="1">
      <alignment horizontal="center" vertical="center"/>
    </xf>
    <xf numFmtId="2" fontId="9" fillId="0" borderId="90" xfId="44" applyNumberFormat="1" applyFont="1" applyBorder="1" applyAlignment="1">
      <alignment horizontal="center" vertical="center"/>
    </xf>
    <xf numFmtId="180" fontId="9" fillId="0" borderId="90" xfId="46" applyFont="1" applyFill="1" applyBorder="1" applyAlignment="1">
      <alignment horizontal="right" vertical="center"/>
    </xf>
    <xf numFmtId="185" fontId="9" fillId="0" borderId="90" xfId="44" applyNumberFormat="1" applyFont="1" applyBorder="1" applyAlignment="1">
      <alignment horizontal="center" vertical="center"/>
    </xf>
    <xf numFmtId="4" fontId="9" fillId="0" borderId="90" xfId="44" applyNumberFormat="1" applyFont="1" applyBorder="1" applyAlignment="1">
      <alignment horizontal="right" vertical="center"/>
    </xf>
    <xf numFmtId="0" fontId="9" fillId="0" borderId="89" xfId="44" applyFont="1" applyBorder="1" applyAlignment="1">
      <alignment horizontal="center" vertical="center"/>
    </xf>
    <xf numFmtId="0" fontId="7" fillId="0" borderId="38" xfId="44" applyBorder="1" applyAlignment="1">
      <alignment horizontal="center" vertical="center"/>
    </xf>
    <xf numFmtId="180" fontId="7" fillId="0" borderId="90" xfId="46" applyFont="1" applyBorder="1" applyAlignment="1">
      <alignment vertical="center"/>
    </xf>
    <xf numFmtId="186" fontId="9" fillId="0" borderId="90" xfId="47" applyNumberFormat="1" applyFont="1" applyFill="1" applyBorder="1" applyAlignment="1">
      <alignment horizontal="center" vertical="center"/>
    </xf>
    <xf numFmtId="0" fontId="7" fillId="0" borderId="38" xfId="44" applyBorder="1" applyAlignment="1">
      <alignment vertical="center"/>
    </xf>
    <xf numFmtId="0" fontId="7" fillId="0" borderId="90" xfId="44" applyBorder="1" applyAlignment="1">
      <alignment vertical="center"/>
    </xf>
    <xf numFmtId="180" fontId="9" fillId="0" borderId="90" xfId="46" applyFont="1" applyFill="1" applyBorder="1" applyAlignment="1">
      <alignment vertical="center"/>
    </xf>
    <xf numFmtId="10" fontId="9" fillId="0" borderId="90" xfId="47" applyNumberFormat="1" applyFont="1" applyFill="1" applyBorder="1" applyAlignment="1">
      <alignment horizontal="center" vertical="center"/>
    </xf>
    <xf numFmtId="0" fontId="7" fillId="0" borderId="0" xfId="45" applyFont="1" applyAlignment="1">
      <alignment vertical="center"/>
    </xf>
    <xf numFmtId="3" fontId="7" fillId="0" borderId="90" xfId="45" applyNumberFormat="1" applyFont="1" applyBorder="1" applyAlignment="1">
      <alignment vertical="center"/>
    </xf>
    <xf numFmtId="4" fontId="7" fillId="0" borderId="90" xfId="44" applyNumberFormat="1" applyBorder="1" applyAlignment="1">
      <alignment horizontal="center" vertical="center"/>
    </xf>
    <xf numFmtId="4" fontId="7" fillId="0" borderId="90" xfId="44" applyNumberFormat="1" applyBorder="1" applyAlignment="1">
      <alignment vertical="center"/>
    </xf>
    <xf numFmtId="10" fontId="7" fillId="0" borderId="90" xfId="44" applyNumberFormat="1" applyBorder="1" applyAlignment="1">
      <alignment horizontal="center" vertical="center"/>
    </xf>
    <xf numFmtId="180" fontId="7" fillId="0" borderId="0" xfId="48" applyFont="1" applyAlignment="1">
      <alignment vertical="center"/>
    </xf>
    <xf numFmtId="188" fontId="7" fillId="0" borderId="0" xfId="49" applyNumberFormat="1" applyFont="1" applyAlignment="1">
      <alignment vertical="center"/>
    </xf>
    <xf numFmtId="2" fontId="7" fillId="4" borderId="90" xfId="44" applyNumberFormat="1" applyFill="1" applyBorder="1" applyAlignment="1">
      <alignment vertical="center"/>
    </xf>
    <xf numFmtId="180" fontId="7" fillId="0" borderId="0" xfId="44" applyNumberFormat="1" applyAlignment="1">
      <alignment vertical="center"/>
    </xf>
    <xf numFmtId="0" fontId="7" fillId="0" borderId="38" xfId="44" quotePrefix="1" applyBorder="1" applyAlignment="1">
      <alignment horizontal="center" vertical="center"/>
    </xf>
    <xf numFmtId="3" fontId="7" fillId="0" borderId="90" xfId="44" applyNumberFormat="1" applyBorder="1" applyAlignment="1">
      <alignment vertical="center"/>
    </xf>
    <xf numFmtId="10" fontId="9" fillId="0" borderId="90" xfId="44" applyNumberFormat="1" applyFont="1" applyBorder="1" applyAlignment="1">
      <alignment horizontal="center" vertical="center"/>
    </xf>
    <xf numFmtId="0" fontId="9" fillId="0" borderId="0" xfId="44" applyFont="1" applyAlignment="1">
      <alignment horizontal="left" vertical="center" wrapText="1"/>
    </xf>
    <xf numFmtId="3" fontId="7" fillId="4" borderId="90" xfId="44" applyNumberFormat="1" applyFill="1" applyBorder="1" applyAlignment="1">
      <alignment vertical="center"/>
    </xf>
    <xf numFmtId="3" fontId="7" fillId="0" borderId="90" xfId="44" applyNumberFormat="1" applyBorder="1" applyAlignment="1">
      <alignment horizontal="center" vertical="center"/>
    </xf>
    <xf numFmtId="4" fontId="9" fillId="0" borderId="0" xfId="44" applyNumberFormat="1" applyFont="1" applyAlignment="1">
      <alignment vertical="center"/>
    </xf>
    <xf numFmtId="0" fontId="7" fillId="0" borderId="0" xfId="44" applyAlignment="1">
      <alignment vertical="center" wrapText="1"/>
    </xf>
    <xf numFmtId="4" fontId="7" fillId="0" borderId="0" xfId="44" applyNumberFormat="1" applyAlignment="1">
      <alignment vertical="center"/>
    </xf>
    <xf numFmtId="189" fontId="7" fillId="0" borderId="0" xfId="50" applyFont="1" applyAlignment="1">
      <alignment vertical="center"/>
    </xf>
    <xf numFmtId="189" fontId="7" fillId="0" borderId="0" xfId="44" applyNumberFormat="1" applyAlignment="1">
      <alignment vertical="center"/>
    </xf>
    <xf numFmtId="10" fontId="7" fillId="0" borderId="90" xfId="47" applyNumberFormat="1" applyFont="1" applyBorder="1" applyAlignment="1">
      <alignment vertical="center"/>
    </xf>
    <xf numFmtId="180" fontId="9" fillId="0" borderId="90" xfId="46" applyFont="1" applyBorder="1" applyAlignment="1">
      <alignment vertical="center"/>
    </xf>
    <xf numFmtId="0" fontId="7" fillId="6" borderId="33" xfId="44" applyFill="1" applyBorder="1" applyAlignment="1">
      <alignment vertical="center"/>
    </xf>
    <xf numFmtId="0" fontId="9" fillId="6" borderId="44" xfId="44" applyFont="1" applyFill="1" applyBorder="1" applyAlignment="1">
      <alignment vertical="center"/>
    </xf>
    <xf numFmtId="0" fontId="7" fillId="6" borderId="1" xfId="44" applyFill="1" applyBorder="1" applyAlignment="1">
      <alignment horizontal="center" vertical="center"/>
    </xf>
    <xf numFmtId="2" fontId="9" fillId="6" borderId="1" xfId="44" applyNumberFormat="1" applyFont="1" applyFill="1" applyBorder="1" applyAlignment="1">
      <alignment vertical="center"/>
    </xf>
    <xf numFmtId="4" fontId="9" fillId="6" borderId="1" xfId="44" applyNumberFormat="1" applyFont="1" applyFill="1" applyBorder="1" applyAlignment="1">
      <alignment vertical="center"/>
    </xf>
    <xf numFmtId="186" fontId="9" fillId="6" borderId="1" xfId="44" applyNumberFormat="1" applyFont="1" applyFill="1" applyBorder="1" applyAlignment="1">
      <alignment horizontal="center" vertical="center"/>
    </xf>
    <xf numFmtId="180" fontId="5" fillId="0" borderId="0" xfId="46" applyFont="1" applyFill="1" applyAlignment="1">
      <alignment vertical="center"/>
    </xf>
    <xf numFmtId="0" fontId="37" fillId="0" borderId="0" xfId="44" applyFont="1" applyAlignment="1">
      <alignment horizontal="right" vertical="center"/>
    </xf>
    <xf numFmtId="2" fontId="37" fillId="0" borderId="0" xfId="44" applyNumberFormat="1" applyFont="1" applyAlignment="1">
      <alignment vertical="center"/>
    </xf>
    <xf numFmtId="4" fontId="37" fillId="0" borderId="0" xfId="44" applyNumberFormat="1" applyFont="1" applyAlignment="1">
      <alignment vertical="center"/>
    </xf>
    <xf numFmtId="185" fontId="37" fillId="0" borderId="0" xfId="44" applyNumberFormat="1" applyFont="1" applyAlignment="1">
      <alignment horizontal="center" vertical="center"/>
    </xf>
    <xf numFmtId="189" fontId="37" fillId="0" borderId="0" xfId="44" applyNumberFormat="1" applyFont="1" applyAlignment="1">
      <alignment vertical="center"/>
    </xf>
    <xf numFmtId="180" fontId="37" fillId="0" borderId="0" xfId="46" applyFont="1" applyAlignment="1">
      <alignment vertical="center"/>
    </xf>
    <xf numFmtId="185" fontId="7" fillId="0" borderId="0" xfId="44" applyNumberFormat="1" applyAlignment="1">
      <alignment horizontal="center" vertical="center"/>
    </xf>
    <xf numFmtId="190" fontId="7" fillId="0" borderId="0" xfId="44" applyNumberFormat="1" applyAlignment="1">
      <alignment vertical="center"/>
    </xf>
    <xf numFmtId="4" fontId="7" fillId="0" borderId="0" xfId="44" applyNumberFormat="1" applyAlignment="1">
      <alignment horizontal="center" vertical="center"/>
    </xf>
    <xf numFmtId="0" fontId="7" fillId="0" borderId="0" xfId="44" applyAlignment="1" applyProtection="1">
      <alignment vertical="center"/>
      <protection locked="0"/>
    </xf>
    <xf numFmtId="0" fontId="5" fillId="0" borderId="0" xfId="44" applyFont="1" applyAlignment="1" applyProtection="1">
      <alignment vertical="center"/>
      <protection locked="0"/>
    </xf>
    <xf numFmtId="0" fontId="8" fillId="0" borderId="0" xfId="44" applyFont="1" applyAlignment="1" applyProtection="1">
      <alignment horizontal="center" vertical="center"/>
      <protection locked="0"/>
    </xf>
    <xf numFmtId="0" fontId="8" fillId="0" borderId="0" xfId="44" applyFont="1" applyAlignment="1" applyProtection="1">
      <alignment vertical="center"/>
      <protection locked="0"/>
    </xf>
    <xf numFmtId="0" fontId="7" fillId="0" borderId="0" xfId="44" applyAlignment="1">
      <alignment horizontal="center" vertical="center"/>
    </xf>
    <xf numFmtId="0" fontId="45" fillId="21" borderId="33" xfId="0" applyFont="1" applyFill="1" applyBorder="1" applyAlignment="1">
      <alignment vertical="center" wrapText="1"/>
    </xf>
    <xf numFmtId="165" fontId="0" fillId="0" borderId="36" xfId="2" applyNumberFormat="1" applyFont="1" applyBorder="1" applyAlignment="1">
      <alignment horizontal="center" vertical="center" wrapText="1"/>
    </xf>
    <xf numFmtId="0" fontId="0" fillId="0" borderId="37" xfId="0" applyBorder="1"/>
    <xf numFmtId="0" fontId="58" fillId="4" borderId="64" xfId="0" applyFont="1" applyFill="1" applyBorder="1" applyAlignment="1">
      <alignment vertical="center" wrapText="1"/>
    </xf>
    <xf numFmtId="191" fontId="0" fillId="0" borderId="36" xfId="0" applyNumberFormat="1" applyBorder="1" applyAlignment="1">
      <alignment horizontal="center"/>
    </xf>
    <xf numFmtId="0" fontId="51" fillId="0" borderId="90" xfId="0" applyFont="1" applyBorder="1" applyAlignment="1">
      <alignment horizontal="center" vertical="center" wrapText="1"/>
    </xf>
    <xf numFmtId="9" fontId="52" fillId="0" borderId="0" xfId="4" applyFont="1"/>
    <xf numFmtId="191" fontId="23" fillId="22" borderId="1" xfId="0" applyNumberFormat="1" applyFont="1" applyFill="1" applyBorder="1"/>
    <xf numFmtId="178" fontId="51" fillId="6" borderId="1" xfId="3" applyNumberFormat="1" applyFont="1" applyFill="1" applyBorder="1" applyAlignment="1">
      <alignment horizontal="center" vertical="center"/>
    </xf>
    <xf numFmtId="178" fontId="51" fillId="23" borderId="36" xfId="3" applyNumberFormat="1" applyFont="1" applyFill="1" applyBorder="1" applyAlignment="1">
      <alignment horizontal="center" vertical="center"/>
    </xf>
    <xf numFmtId="178" fontId="59" fillId="16" borderId="36" xfId="3" applyNumberFormat="1" applyFont="1" applyFill="1" applyBorder="1" applyAlignment="1">
      <alignment horizontal="center" vertical="center"/>
    </xf>
    <xf numFmtId="178" fontId="40" fillId="4" borderId="10" xfId="0" applyNumberFormat="1" applyFont="1" applyFill="1" applyBorder="1" applyAlignment="1">
      <alignment horizontal="right" vertical="center"/>
    </xf>
    <xf numFmtId="191" fontId="52" fillId="0" borderId="1" xfId="2" applyNumberFormat="1" applyFont="1" applyBorder="1" applyAlignment="1">
      <alignment wrapText="1"/>
    </xf>
    <xf numFmtId="43" fontId="39" fillId="0" borderId="1" xfId="1" applyFont="1" applyFill="1" applyBorder="1" applyAlignment="1">
      <alignment horizontal="center" vertical="center"/>
    </xf>
    <xf numFmtId="43" fontId="39" fillId="0" borderId="3" xfId="1" applyFont="1" applyFill="1" applyBorder="1" applyAlignment="1">
      <alignment horizontal="center" vertical="center"/>
    </xf>
    <xf numFmtId="0" fontId="39" fillId="0" borderId="3" xfId="0" applyFont="1" applyBorder="1" applyAlignment="1">
      <alignment wrapText="1"/>
    </xf>
    <xf numFmtId="2" fontId="39" fillId="0" borderId="8" xfId="0" applyNumberFormat="1" applyFont="1" applyBorder="1" applyAlignment="1">
      <alignment horizontal="right" vertical="center" wrapText="1"/>
    </xf>
    <xf numFmtId="1" fontId="39" fillId="0" borderId="1" xfId="0" applyNumberFormat="1" applyFont="1" applyBorder="1" applyAlignment="1">
      <alignment horizontal="center" vertical="center"/>
    </xf>
    <xf numFmtId="2" fontId="39" fillId="0" borderId="1" xfId="0" applyNumberFormat="1" applyFont="1" applyBorder="1" applyAlignment="1">
      <alignment horizontal="right" vertical="center" wrapText="1"/>
    </xf>
    <xf numFmtId="0" fontId="39" fillId="0" borderId="1" xfId="0" applyFont="1" applyBorder="1" applyAlignment="1">
      <alignment horizontal="right" vertical="center" wrapText="1"/>
    </xf>
    <xf numFmtId="43" fontId="39" fillId="0" borderId="1" xfId="1" applyFont="1" applyFill="1" applyBorder="1" applyAlignment="1">
      <alignment horizontal="center" vertical="center" wrapText="1"/>
    </xf>
    <xf numFmtId="178" fontId="51" fillId="18" borderId="1" xfId="3" applyNumberFormat="1" applyFont="1" applyFill="1" applyBorder="1" applyAlignment="1">
      <alignment horizontal="center" vertical="center"/>
    </xf>
    <xf numFmtId="191" fontId="0" fillId="0" borderId="1" xfId="0" applyNumberFormat="1" applyBorder="1"/>
    <xf numFmtId="191" fontId="0" fillId="0" borderId="45" xfId="0" applyNumberFormat="1" applyBorder="1"/>
    <xf numFmtId="0" fontId="0" fillId="0" borderId="45" xfId="0" applyBorder="1"/>
    <xf numFmtId="191" fontId="0" fillId="0" borderId="1" xfId="2" applyNumberFormat="1" applyFont="1" applyBorder="1"/>
    <xf numFmtId="9" fontId="0" fillId="0" borderId="1" xfId="4" applyFont="1" applyBorder="1"/>
    <xf numFmtId="191" fontId="0" fillId="0" borderId="1" xfId="2" applyNumberFormat="1" applyFont="1" applyBorder="1" applyAlignment="1"/>
    <xf numFmtId="165" fontId="0" fillId="0" borderId="6" xfId="0" applyNumberFormat="1" applyBorder="1"/>
    <xf numFmtId="165" fontId="0" fillId="0" borderId="119" xfId="0" applyNumberFormat="1" applyBorder="1"/>
    <xf numFmtId="0" fontId="1" fillId="0" borderId="61" xfId="0" applyFont="1" applyBorder="1"/>
    <xf numFmtId="0" fontId="1" fillId="0" borderId="43" xfId="0" applyFont="1" applyBorder="1"/>
    <xf numFmtId="0" fontId="39" fillId="0" borderId="1" xfId="0" applyFont="1" applyBorder="1" applyAlignment="1">
      <alignment vertical="top" wrapText="1"/>
    </xf>
    <xf numFmtId="0" fontId="83" fillId="0" borderId="1" xfId="35" applyFont="1" applyBorder="1" applyAlignment="1">
      <alignment horizontal="left" vertical="center"/>
    </xf>
    <xf numFmtId="0" fontId="85" fillId="31" borderId="1" xfId="35" applyFont="1" applyFill="1" applyBorder="1" applyAlignment="1">
      <alignment horizontal="center" vertical="center" wrapText="1"/>
    </xf>
    <xf numFmtId="0" fontId="85" fillId="31" borderId="1" xfId="35" applyFont="1" applyFill="1" applyBorder="1" applyAlignment="1">
      <alignment vertical="center" wrapText="1"/>
    </xf>
    <xf numFmtId="0" fontId="85" fillId="31" borderId="1" xfId="35" applyFont="1" applyFill="1" applyBorder="1" applyAlignment="1">
      <alignment horizontal="left" vertical="center" wrapText="1"/>
    </xf>
    <xf numFmtId="0" fontId="83" fillId="6" borderId="33" xfId="35" applyFont="1" applyFill="1" applyBorder="1" applyAlignment="1">
      <alignment horizontal="center" vertical="center" wrapText="1"/>
    </xf>
    <xf numFmtId="0" fontId="85" fillId="6" borderId="1" xfId="35" applyFont="1" applyFill="1" applyBorder="1" applyAlignment="1">
      <alignment horizontal="center" vertical="center" wrapText="1"/>
    </xf>
    <xf numFmtId="0" fontId="83" fillId="11" borderId="1" xfId="35" applyFont="1" applyFill="1" applyBorder="1" applyAlignment="1">
      <alignment horizontal="left" vertical="center"/>
    </xf>
    <xf numFmtId="0" fontId="86" fillId="4" borderId="1" xfId="35" applyFont="1" applyFill="1" applyBorder="1" applyAlignment="1">
      <alignment horizontal="center" vertical="center" wrapText="1"/>
    </xf>
    <xf numFmtId="0" fontId="85" fillId="4" borderId="1" xfId="35" applyFont="1" applyFill="1" applyBorder="1" applyAlignment="1">
      <alignment horizontal="left" vertical="center" wrapText="1"/>
    </xf>
    <xf numFmtId="0" fontId="86" fillId="4" borderId="1" xfId="35" applyFont="1" applyFill="1" applyBorder="1" applyAlignment="1">
      <alignment horizontal="left" vertical="center" wrapText="1"/>
    </xf>
    <xf numFmtId="173" fontId="83" fillId="4" borderId="1" xfId="35" applyNumberFormat="1" applyFont="1" applyFill="1" applyBorder="1" applyAlignment="1">
      <alignment horizontal="center" vertical="center" shrinkToFit="1"/>
    </xf>
    <xf numFmtId="173" fontId="83" fillId="6" borderId="1" xfId="35" applyNumberFormat="1" applyFont="1" applyFill="1" applyBorder="1" applyAlignment="1">
      <alignment horizontal="center" vertical="center" shrinkToFit="1"/>
    </xf>
    <xf numFmtId="1" fontId="83" fillId="4" borderId="1" xfId="35" applyNumberFormat="1" applyFont="1" applyFill="1" applyBorder="1" applyAlignment="1">
      <alignment horizontal="center" vertical="center" shrinkToFit="1"/>
    </xf>
    <xf numFmtId="0" fontId="83" fillId="4" borderId="1" xfId="35" applyFont="1" applyFill="1" applyBorder="1" applyAlignment="1">
      <alignment horizontal="center" vertical="center" wrapText="1"/>
    </xf>
    <xf numFmtId="0" fontId="83" fillId="4" borderId="1" xfId="35" applyFont="1" applyFill="1" applyBorder="1" applyAlignment="1">
      <alignment horizontal="left" vertical="center" wrapText="1"/>
    </xf>
    <xf numFmtId="0" fontId="84" fillId="4" borderId="1" xfId="35" applyFont="1" applyFill="1" applyBorder="1" applyAlignment="1">
      <alignment horizontal="left" vertical="center" wrapText="1"/>
    </xf>
    <xf numFmtId="165" fontId="83" fillId="4" borderId="1" xfId="35" applyNumberFormat="1" applyFont="1" applyFill="1" applyBorder="1" applyAlignment="1">
      <alignment horizontal="left" vertical="center" wrapText="1"/>
    </xf>
    <xf numFmtId="44" fontId="83" fillId="4" borderId="1" xfId="2" applyFont="1" applyFill="1" applyBorder="1" applyAlignment="1">
      <alignment horizontal="left" vertical="center" wrapText="1"/>
    </xf>
    <xf numFmtId="44" fontId="83" fillId="4" borderId="1" xfId="2" applyFont="1" applyFill="1" applyBorder="1" applyAlignment="1">
      <alignment horizontal="left" vertical="center"/>
    </xf>
    <xf numFmtId="0" fontId="83" fillId="6" borderId="1" xfId="35" applyFont="1" applyFill="1" applyBorder="1" applyAlignment="1">
      <alignment horizontal="center" vertical="center" wrapText="1"/>
    </xf>
    <xf numFmtId="0" fontId="84" fillId="6" borderId="1" xfId="35" applyFont="1" applyFill="1" applyBorder="1" applyAlignment="1">
      <alignment horizontal="left" vertical="center" wrapText="1"/>
    </xf>
    <xf numFmtId="0" fontId="83" fillId="6" borderId="1" xfId="35" applyFont="1" applyFill="1" applyBorder="1" applyAlignment="1">
      <alignment horizontal="left" vertical="center" wrapText="1"/>
    </xf>
    <xf numFmtId="0" fontId="83" fillId="0" borderId="1" xfId="35" applyFont="1" applyBorder="1" applyAlignment="1">
      <alignment horizontal="center" vertical="center"/>
    </xf>
    <xf numFmtId="0" fontId="84" fillId="0" borderId="1" xfId="35" applyFont="1" applyBorder="1" applyAlignment="1">
      <alignment horizontal="left" vertical="center"/>
    </xf>
    <xf numFmtId="44" fontId="88" fillId="0" borderId="1" xfId="36" applyFont="1" applyBorder="1" applyAlignment="1">
      <alignment horizontal="center" vertical="center"/>
    </xf>
    <xf numFmtId="0" fontId="0" fillId="0" borderId="0" xfId="0" applyAlignment="1">
      <alignment wrapText="1"/>
    </xf>
    <xf numFmtId="2" fontId="89" fillId="0" borderId="0" xfId="1" applyNumberFormat="1" applyFont="1" applyAlignment="1">
      <alignment horizontal="left" vertical="center"/>
    </xf>
    <xf numFmtId="44" fontId="23" fillId="0" borderId="0" xfId="0" applyNumberFormat="1" applyFont="1" applyAlignment="1">
      <alignment horizontal="center" vertical="center"/>
    </xf>
    <xf numFmtId="178" fontId="24" fillId="0" borderId="0" xfId="0" applyNumberFormat="1" applyFont="1" applyAlignment="1">
      <alignment horizontal="center" vertical="center"/>
    </xf>
    <xf numFmtId="44" fontId="85" fillId="31" borderId="1" xfId="51" applyFont="1" applyFill="1" applyBorder="1" applyAlignment="1">
      <alignment horizontal="center" vertical="center" wrapText="1"/>
    </xf>
    <xf numFmtId="44" fontId="85" fillId="6" borderId="1" xfId="51" applyFont="1" applyFill="1" applyBorder="1" applyAlignment="1">
      <alignment horizontal="center" vertical="center" wrapText="1"/>
    </xf>
    <xf numFmtId="44" fontId="83" fillId="4" borderId="1" xfId="51" applyFont="1" applyFill="1" applyBorder="1" applyAlignment="1">
      <alignment horizontal="center" vertical="center" shrinkToFit="1"/>
    </xf>
    <xf numFmtId="42" fontId="86" fillId="4" borderId="1" xfId="52" applyFont="1" applyFill="1" applyBorder="1" applyAlignment="1">
      <alignment horizontal="center" vertical="center" wrapText="1"/>
    </xf>
    <xf numFmtId="44" fontId="83" fillId="4" borderId="1" xfId="51" applyFont="1" applyFill="1" applyBorder="1" applyAlignment="1">
      <alignment horizontal="left" vertical="center" wrapText="1"/>
    </xf>
    <xf numFmtId="44" fontId="83" fillId="4" borderId="1" xfId="51" applyFont="1" applyFill="1" applyBorder="1" applyAlignment="1">
      <alignment horizontal="left" vertical="center"/>
    </xf>
    <xf numFmtId="44" fontId="86" fillId="4" borderId="1" xfId="51" applyFont="1" applyFill="1" applyBorder="1" applyAlignment="1">
      <alignment horizontal="center" vertical="center" wrapText="1"/>
    </xf>
    <xf numFmtId="0" fontId="88" fillId="4" borderId="1" xfId="35" applyFont="1" applyFill="1" applyBorder="1" applyAlignment="1">
      <alignment horizontal="center" vertical="center" wrapText="1"/>
    </xf>
    <xf numFmtId="0" fontId="27" fillId="4" borderId="1" xfId="35" applyFont="1" applyFill="1" applyBorder="1" applyAlignment="1">
      <alignment horizontal="left" vertical="center" wrapText="1"/>
    </xf>
    <xf numFmtId="0" fontId="88" fillId="4" borderId="1" xfId="35" applyFont="1" applyFill="1" applyBorder="1" applyAlignment="1">
      <alignment horizontal="left" vertical="center" wrapText="1"/>
    </xf>
    <xf numFmtId="1" fontId="88" fillId="4" borderId="1" xfId="35" applyNumberFormat="1" applyFont="1" applyFill="1" applyBorder="1" applyAlignment="1">
      <alignment horizontal="center" vertical="center" shrinkToFit="1"/>
    </xf>
    <xf numFmtId="173" fontId="88" fillId="4" borderId="1" xfId="35" applyNumberFormat="1" applyFont="1" applyFill="1" applyBorder="1" applyAlignment="1">
      <alignment horizontal="center" vertical="center" shrinkToFit="1"/>
    </xf>
    <xf numFmtId="44" fontId="88" fillId="4" borderId="1" xfId="51" applyFont="1" applyFill="1" applyBorder="1" applyAlignment="1">
      <alignment horizontal="left" vertical="center" wrapText="1"/>
    </xf>
    <xf numFmtId="44" fontId="88" fillId="4" borderId="1" xfId="2" applyFont="1" applyFill="1" applyBorder="1" applyAlignment="1">
      <alignment horizontal="left" vertical="center" wrapText="1"/>
    </xf>
    <xf numFmtId="173" fontId="88" fillId="6" borderId="1" xfId="35" applyNumberFormat="1" applyFont="1" applyFill="1" applyBorder="1" applyAlignment="1">
      <alignment horizontal="center" vertical="center" shrinkToFit="1"/>
    </xf>
    <xf numFmtId="1" fontId="0" fillId="0" borderId="1" xfId="0" applyNumberFormat="1" applyBorder="1" applyAlignment="1">
      <alignment horizontal="center"/>
    </xf>
    <xf numFmtId="2" fontId="0" fillId="0" borderId="1" xfId="0" applyNumberFormat="1" applyBorder="1" applyAlignment="1">
      <alignment horizontal="center"/>
    </xf>
    <xf numFmtId="1" fontId="0" fillId="0" borderId="1" xfId="0" applyNumberFormat="1" applyBorder="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vertical="center" wrapText="1"/>
    </xf>
    <xf numFmtId="0" fontId="38" fillId="0" borderId="120" xfId="0" applyFont="1" applyBorder="1" applyAlignment="1">
      <alignment horizontal="center" vertical="center"/>
    </xf>
    <xf numFmtId="0" fontId="38" fillId="0" borderId="40" xfId="0" applyFont="1" applyBorder="1" applyAlignment="1">
      <alignment horizontal="center" vertical="center"/>
    </xf>
    <xf numFmtId="0" fontId="38" fillId="0" borderId="28" xfId="0" applyFont="1" applyBorder="1" applyAlignment="1">
      <alignment horizontal="center" vertical="center"/>
    </xf>
    <xf numFmtId="0" fontId="38" fillId="0" borderId="119" xfId="0" applyFont="1" applyBorder="1" applyAlignment="1">
      <alignment horizontal="center" vertical="center"/>
    </xf>
    <xf numFmtId="0" fontId="51" fillId="4" borderId="60" xfId="0" applyFont="1" applyFill="1" applyBorder="1" applyAlignment="1">
      <alignment horizontal="center" vertical="center" wrapText="1"/>
    </xf>
    <xf numFmtId="0" fontId="52" fillId="4" borderId="60" xfId="0" applyFont="1" applyFill="1" applyBorder="1" applyAlignment="1">
      <alignment horizontal="center" vertical="center" wrapText="1"/>
    </xf>
    <xf numFmtId="0" fontId="52" fillId="18" borderId="17" xfId="0" applyFont="1" applyFill="1" applyBorder="1" applyAlignment="1">
      <alignment horizontal="center" vertical="center" wrapText="1"/>
    </xf>
    <xf numFmtId="43" fontId="52" fillId="18" borderId="17" xfId="1" applyFont="1" applyFill="1" applyBorder="1" applyAlignment="1">
      <alignment horizontal="center" vertical="center"/>
    </xf>
    <xf numFmtId="165" fontId="55" fillId="18" borderId="105" xfId="0" applyNumberFormat="1" applyFont="1" applyFill="1" applyBorder="1" applyAlignment="1">
      <alignment horizontal="right" vertical="center"/>
    </xf>
    <xf numFmtId="0" fontId="39" fillId="18" borderId="17" xfId="0" applyFont="1" applyFill="1" applyBorder="1" applyAlignment="1">
      <alignment horizontal="left" vertical="center"/>
    </xf>
    <xf numFmtId="0" fontId="38" fillId="18" borderId="16" xfId="0" applyFont="1" applyFill="1" applyBorder="1" applyAlignment="1">
      <alignment horizontal="left" vertical="center"/>
    </xf>
    <xf numFmtId="0" fontId="51" fillId="18" borderId="16" xfId="0" applyFont="1" applyFill="1" applyBorder="1" applyAlignment="1">
      <alignment horizontal="left" vertical="center"/>
    </xf>
    <xf numFmtId="44" fontId="0" fillId="0" borderId="0" xfId="53" applyFont="1"/>
    <xf numFmtId="43" fontId="0" fillId="0" borderId="0" xfId="1" applyFont="1"/>
    <xf numFmtId="0" fontId="91" fillId="0" borderId="10" xfId="0" applyFont="1" applyBorder="1" applyAlignment="1">
      <alignment horizontal="center" vertical="center" wrapText="1"/>
    </xf>
    <xf numFmtId="2" fontId="93" fillId="0" borderId="121" xfId="14" applyNumberFormat="1" applyFont="1" applyBorder="1" applyAlignment="1">
      <alignment horizontal="center" vertical="center"/>
    </xf>
    <xf numFmtId="0" fontId="93" fillId="0" borderId="122" xfId="14" applyFont="1" applyBorder="1" applyAlignment="1">
      <alignment horizontal="center" vertical="center"/>
    </xf>
    <xf numFmtId="43" fontId="92" fillId="0" borderId="1" xfId="1" applyFont="1" applyBorder="1" applyAlignment="1">
      <alignment vertical="center"/>
    </xf>
    <xf numFmtId="43" fontId="92" fillId="0" borderId="1" xfId="1" applyFont="1" applyBorder="1" applyAlignment="1">
      <alignment horizontal="center" vertical="center" wrapText="1"/>
    </xf>
    <xf numFmtId="43" fontId="92" fillId="0" borderId="1" xfId="1" applyFont="1" applyFill="1" applyBorder="1" applyAlignment="1">
      <alignment horizontal="center" vertical="center" wrapText="1"/>
    </xf>
    <xf numFmtId="43" fontId="92" fillId="0" borderId="1" xfId="1" applyFont="1" applyFill="1" applyBorder="1" applyAlignment="1">
      <alignment vertical="center"/>
    </xf>
    <xf numFmtId="2" fontId="93" fillId="32" borderId="1" xfId="14" applyNumberFormat="1" applyFont="1" applyFill="1" applyBorder="1" applyAlignment="1">
      <alignment horizontal="center" vertical="center"/>
    </xf>
    <xf numFmtId="0" fontId="93" fillId="32" borderId="1" xfId="14" applyFont="1" applyFill="1" applyBorder="1" applyAlignment="1">
      <alignment vertical="center"/>
    </xf>
    <xf numFmtId="43" fontId="0" fillId="0" borderId="1" xfId="1" applyFont="1" applyBorder="1"/>
    <xf numFmtId="43" fontId="7" fillId="33" borderId="1" xfId="1" applyFont="1" applyFill="1" applyBorder="1"/>
    <xf numFmtId="0" fontId="7" fillId="0" borderId="1" xfId="0" applyFont="1" applyBorder="1"/>
    <xf numFmtId="44" fontId="0" fillId="0" borderId="0" xfId="53" applyFont="1" applyAlignment="1">
      <alignment vertical="center" wrapText="1"/>
    </xf>
    <xf numFmtId="0" fontId="93" fillId="32" borderId="1" xfId="14" applyFont="1" applyFill="1" applyBorder="1" applyAlignment="1">
      <alignment horizontal="left" vertical="center"/>
    </xf>
    <xf numFmtId="0" fontId="93" fillId="34" borderId="1" xfId="14" applyFont="1" applyFill="1" applyBorder="1" applyAlignment="1">
      <alignment horizontal="left" vertical="center"/>
    </xf>
    <xf numFmtId="0" fontId="94" fillId="32" borderId="1" xfId="14" applyFont="1" applyFill="1" applyBorder="1" applyAlignment="1">
      <alignment horizontal="left" vertical="center"/>
    </xf>
    <xf numFmtId="43" fontId="95" fillId="0" borderId="1" xfId="1" applyFont="1" applyBorder="1"/>
    <xf numFmtId="43" fontId="95" fillId="33" borderId="1" xfId="1" applyFont="1" applyFill="1" applyBorder="1"/>
    <xf numFmtId="0" fontId="96" fillId="0" borderId="0" xfId="0" applyFont="1"/>
    <xf numFmtId="0" fontId="93" fillId="32" borderId="0" xfId="14" applyFont="1" applyFill="1" applyAlignment="1">
      <alignment horizontal="left" vertical="center"/>
    </xf>
    <xf numFmtId="9" fontId="0" fillId="0" borderId="0" xfId="4" applyFont="1"/>
    <xf numFmtId="0" fontId="9" fillId="3" borderId="30" xfId="8" applyFont="1" applyFill="1" applyBorder="1" applyAlignment="1" applyProtection="1">
      <alignment horizontal="center" vertical="center" wrapText="1"/>
      <protection hidden="1"/>
    </xf>
    <xf numFmtId="0" fontId="9" fillId="3" borderId="30" xfId="8" applyFont="1" applyFill="1" applyBorder="1" applyAlignment="1" applyProtection="1">
      <alignment horizontal="left" vertical="center" wrapText="1"/>
      <protection hidden="1"/>
    </xf>
    <xf numFmtId="1" fontId="9" fillId="3" borderId="3" xfId="55" applyNumberFormat="1" applyFont="1" applyFill="1" applyBorder="1" applyAlignment="1" applyProtection="1">
      <alignment horizontal="center" vertical="center"/>
      <protection hidden="1"/>
    </xf>
    <xf numFmtId="164" fontId="9" fillId="3" borderId="3" xfId="55" applyNumberFormat="1" applyFont="1" applyFill="1" applyBorder="1" applyAlignment="1" applyProtection="1">
      <alignment horizontal="center" vertical="center"/>
      <protection hidden="1"/>
    </xf>
    <xf numFmtId="165" fontId="9" fillId="3" borderId="3" xfId="56" applyNumberFormat="1" applyFont="1" applyFill="1" applyBorder="1" applyAlignment="1" applyProtection="1">
      <alignment horizontal="right" vertical="center"/>
      <protection hidden="1"/>
    </xf>
    <xf numFmtId="0" fontId="8" fillId="0" borderId="45" xfId="0" applyFont="1" applyBorder="1" applyAlignment="1">
      <alignment horizontal="center" vertical="center"/>
    </xf>
    <xf numFmtId="164" fontId="8" fillId="0" borderId="1" xfId="0" applyNumberFormat="1" applyFont="1" applyBorder="1" applyAlignment="1">
      <alignment horizontal="center" vertical="center"/>
    </xf>
    <xf numFmtId="165" fontId="8" fillId="0" borderId="33" xfId="6" applyNumberFormat="1" applyFont="1" applyBorder="1" applyAlignment="1" applyProtection="1">
      <alignment horizontal="right" vertical="center"/>
      <protection hidden="1"/>
    </xf>
    <xf numFmtId="165" fontId="5" fillId="4" borderId="8" xfId="6" applyNumberFormat="1" applyFont="1" applyFill="1" applyBorder="1" applyAlignment="1">
      <alignment horizontal="right" vertical="center"/>
    </xf>
    <xf numFmtId="165" fontId="8" fillId="4" borderId="1" xfId="6" applyNumberFormat="1" applyFont="1" applyFill="1" applyBorder="1" applyAlignment="1" applyProtection="1">
      <alignment horizontal="right" vertical="center"/>
      <protection hidden="1"/>
    </xf>
    <xf numFmtId="0" fontId="98" fillId="4" borderId="38" xfId="0" applyFont="1" applyFill="1" applyBorder="1" applyAlignment="1">
      <alignment horizontal="center" vertical="center" wrapText="1"/>
    </xf>
    <xf numFmtId="0" fontId="49" fillId="6" borderId="39" xfId="0" applyFont="1" applyFill="1" applyBorder="1" applyAlignment="1">
      <alignment horizontal="center" vertical="center"/>
    </xf>
    <xf numFmtId="0" fontId="39" fillId="4" borderId="30" xfId="0" applyFont="1" applyFill="1" applyBorder="1" applyAlignment="1">
      <alignment horizontal="center" vertical="center"/>
    </xf>
    <xf numFmtId="0" fontId="39" fillId="4" borderId="2" xfId="0" applyFont="1" applyFill="1" applyBorder="1" applyAlignment="1">
      <alignment horizontal="center" vertical="center"/>
    </xf>
    <xf numFmtId="0" fontId="35" fillId="0" borderId="1" xfId="0" applyFont="1" applyBorder="1" applyAlignment="1">
      <alignment vertical="center" wrapText="1"/>
    </xf>
    <xf numFmtId="0" fontId="0" fillId="4" borderId="1" xfId="0" applyFill="1" applyBorder="1" applyAlignment="1">
      <alignment horizontal="center"/>
    </xf>
    <xf numFmtId="0" fontId="97" fillId="34" borderId="8" xfId="57" applyFont="1" applyFill="1" applyBorder="1" applyAlignment="1">
      <alignment horizontal="center" vertical="center" wrapText="1"/>
    </xf>
    <xf numFmtId="174" fontId="0" fillId="0" borderId="1" xfId="0" applyNumberFormat="1" applyBorder="1"/>
    <xf numFmtId="0" fontId="12" fillId="0" borderId="30" xfId="8" applyFont="1" applyBorder="1" applyAlignment="1" applyProtection="1">
      <alignment horizontal="justify" vertical="center" wrapText="1"/>
      <protection hidden="1"/>
    </xf>
    <xf numFmtId="0" fontId="7" fillId="0" borderId="1" xfId="0" applyFont="1" applyBorder="1" applyAlignment="1">
      <alignment horizontal="center" vertical="center"/>
    </xf>
    <xf numFmtId="0" fontId="100" fillId="0" borderId="1" xfId="57" applyFont="1" applyBorder="1" applyAlignment="1">
      <alignment horizontal="center" vertical="center"/>
    </xf>
    <xf numFmtId="0" fontId="100" fillId="0" borderId="1" xfId="0" applyFont="1" applyBorder="1" applyAlignment="1">
      <alignment horizontal="center" vertical="center"/>
    </xf>
    <xf numFmtId="182" fontId="12" fillId="4" borderId="33" xfId="29" applyNumberFormat="1" applyFont="1" applyFill="1" applyBorder="1" applyAlignment="1">
      <alignment vertical="center"/>
    </xf>
    <xf numFmtId="42" fontId="0" fillId="4" borderId="0" xfId="0" applyNumberFormat="1" applyFill="1"/>
    <xf numFmtId="164" fontId="5" fillId="4" borderId="1" xfId="0" applyNumberFormat="1" applyFont="1" applyFill="1" applyBorder="1" applyAlignment="1" applyProtection="1">
      <alignment horizontal="center" vertical="center"/>
      <protection hidden="1"/>
    </xf>
    <xf numFmtId="165" fontId="8" fillId="2" borderId="3" xfId="1" applyNumberFormat="1" applyFont="1" applyFill="1" applyBorder="1" applyAlignment="1" applyProtection="1">
      <alignment horizontal="right" vertical="center"/>
      <protection hidden="1"/>
    </xf>
    <xf numFmtId="0" fontId="45" fillId="2" borderId="1" xfId="21" applyFont="1" applyFill="1" applyBorder="1" applyAlignment="1">
      <alignment vertical="center" wrapText="1"/>
    </xf>
    <xf numFmtId="0" fontId="0" fillId="4" borderId="1" xfId="0" applyFill="1" applyBorder="1"/>
    <xf numFmtId="0" fontId="0" fillId="4" borderId="89" xfId="0" applyFill="1" applyBorder="1"/>
    <xf numFmtId="43" fontId="0" fillId="4" borderId="0" xfId="1" applyFont="1" applyFill="1"/>
    <xf numFmtId="43" fontId="0" fillId="35" borderId="0" xfId="1" applyFont="1" applyFill="1"/>
    <xf numFmtId="43" fontId="36" fillId="35" borderId="0" xfId="1" applyFont="1" applyFill="1"/>
    <xf numFmtId="0" fontId="1" fillId="4" borderId="1" xfId="0" applyFont="1" applyFill="1" applyBorder="1"/>
    <xf numFmtId="4" fontId="0" fillId="4" borderId="1" xfId="0" applyNumberFormat="1" applyFill="1" applyBorder="1"/>
    <xf numFmtId="0" fontId="1" fillId="4" borderId="1" xfId="0" applyFont="1" applyFill="1" applyBorder="1" applyAlignment="1">
      <alignment wrapText="1"/>
    </xf>
    <xf numFmtId="43" fontId="0" fillId="4" borderId="1" xfId="1" applyFont="1" applyFill="1" applyBorder="1"/>
    <xf numFmtId="0" fontId="0" fillId="4" borderId="0" xfId="0" applyFill="1" applyAlignment="1">
      <alignment vertical="center"/>
    </xf>
    <xf numFmtId="0" fontId="1" fillId="4" borderId="1" xfId="0" applyFont="1" applyFill="1" applyBorder="1" applyAlignment="1">
      <alignment vertical="center"/>
    </xf>
    <xf numFmtId="4" fontId="1" fillId="4" borderId="1" xfId="0" applyNumberFormat="1" applyFont="1" applyFill="1" applyBorder="1" applyAlignment="1">
      <alignment vertical="center"/>
    </xf>
    <xf numFmtId="0" fontId="0" fillId="4" borderId="1" xfId="0" applyFill="1" applyBorder="1" applyAlignment="1">
      <alignment vertical="center"/>
    </xf>
    <xf numFmtId="165" fontId="24" fillId="19" borderId="1" xfId="0" applyNumberFormat="1" applyFont="1" applyFill="1" applyBorder="1" applyAlignment="1">
      <alignment horizontal="center" vertical="center" wrapText="1"/>
    </xf>
    <xf numFmtId="165" fontId="30" fillId="6" borderId="42" xfId="21" applyNumberFormat="1" applyFont="1" applyFill="1" applyBorder="1" applyAlignment="1">
      <alignment horizontal="right"/>
    </xf>
    <xf numFmtId="165" fontId="35" fillId="0" borderId="3" xfId="21" applyNumberFormat="1" applyFont="1" applyBorder="1" applyAlignment="1">
      <alignment horizontal="center"/>
    </xf>
    <xf numFmtId="165" fontId="0" fillId="0" borderId="1" xfId="1" applyNumberFormat="1" applyFont="1" applyBorder="1"/>
    <xf numFmtId="165" fontId="45" fillId="0" borderId="1" xfId="0" applyNumberFormat="1" applyFont="1" applyBorder="1" applyAlignment="1">
      <alignment horizontal="right"/>
    </xf>
    <xf numFmtId="165" fontId="0" fillId="0" borderId="1" xfId="2" applyNumberFormat="1" applyFont="1" applyBorder="1" applyAlignment="1">
      <alignment vertical="center"/>
    </xf>
    <xf numFmtId="165" fontId="0" fillId="4" borderId="1" xfId="1" applyNumberFormat="1" applyFont="1" applyFill="1" applyBorder="1"/>
    <xf numFmtId="0" fontId="1" fillId="4" borderId="0" xfId="0" applyFont="1" applyFill="1"/>
    <xf numFmtId="0" fontId="1" fillId="4" borderId="0" xfId="0" applyFont="1" applyFill="1" applyAlignment="1">
      <alignment vertical="center"/>
    </xf>
    <xf numFmtId="0" fontId="1" fillId="4" borderId="1" xfId="0" applyFont="1" applyFill="1" applyBorder="1" applyAlignment="1">
      <alignment vertical="center" wrapText="1"/>
    </xf>
    <xf numFmtId="0" fontId="0" fillId="4" borderId="1" xfId="0" applyFill="1" applyBorder="1" applyAlignment="1">
      <alignment wrapText="1"/>
    </xf>
    <xf numFmtId="165" fontId="5" fillId="4" borderId="28" xfId="0" applyNumberFormat="1" applyFont="1" applyFill="1" applyBorder="1" applyAlignment="1">
      <alignment horizontal="center" vertical="center" wrapText="1"/>
    </xf>
    <xf numFmtId="165" fontId="5" fillId="4" borderId="3" xfId="0" applyNumberFormat="1" applyFont="1" applyFill="1" applyBorder="1" applyAlignment="1">
      <alignment horizontal="right" vertical="center"/>
    </xf>
    <xf numFmtId="165" fontId="5" fillId="4" borderId="5" xfId="0" applyNumberFormat="1" applyFont="1" applyFill="1" applyBorder="1" applyAlignment="1">
      <alignment horizontal="center" vertical="center" wrapText="1"/>
    </xf>
    <xf numFmtId="165" fontId="5" fillId="4" borderId="8" xfId="0" applyNumberFormat="1" applyFont="1" applyFill="1" applyBorder="1" applyAlignment="1">
      <alignment horizontal="right" vertical="center"/>
    </xf>
    <xf numFmtId="165" fontId="8" fillId="0" borderId="1" xfId="0" applyNumberFormat="1" applyFont="1" applyBorder="1" applyAlignment="1" applyProtection="1">
      <alignment horizontal="right" vertical="center"/>
      <protection hidden="1"/>
    </xf>
    <xf numFmtId="165" fontId="8" fillId="4" borderId="36" xfId="0" applyNumberFormat="1" applyFont="1" applyFill="1" applyBorder="1" applyAlignment="1" applyProtection="1">
      <alignment horizontal="right" vertical="center"/>
      <protection hidden="1"/>
    </xf>
    <xf numFmtId="165" fontId="5" fillId="4" borderId="38" xfId="0" applyNumberFormat="1" applyFont="1" applyFill="1" applyBorder="1" applyAlignment="1">
      <alignment horizontal="center" vertical="center" wrapText="1"/>
    </xf>
    <xf numFmtId="165" fontId="5" fillId="4" borderId="8" xfId="0" applyNumberFormat="1" applyFont="1" applyFill="1" applyBorder="1" applyAlignment="1" applyProtection="1">
      <alignment horizontal="right" vertical="center"/>
      <protection hidden="1"/>
    </xf>
    <xf numFmtId="165" fontId="8" fillId="4" borderId="13" xfId="0" applyNumberFormat="1" applyFont="1" applyFill="1" applyBorder="1" applyAlignment="1" applyProtection="1">
      <alignment horizontal="right" vertical="center"/>
      <protection hidden="1"/>
    </xf>
    <xf numFmtId="165" fontId="5" fillId="4" borderId="20" xfId="0" applyNumberFormat="1" applyFont="1" applyFill="1" applyBorder="1" applyAlignment="1">
      <alignment horizontal="center" vertical="center" wrapText="1"/>
    </xf>
    <xf numFmtId="165" fontId="5" fillId="4" borderId="33" xfId="29" applyNumberFormat="1" applyFont="1" applyFill="1" applyBorder="1" applyAlignment="1">
      <alignment vertical="center"/>
    </xf>
    <xf numFmtId="165" fontId="7" fillId="4" borderId="1" xfId="33" applyNumberFormat="1" applyFont="1" applyFill="1" applyBorder="1"/>
    <xf numFmtId="165" fontId="5" fillId="4" borderId="5" xfId="0" applyNumberFormat="1" applyFont="1" applyFill="1" applyBorder="1" applyAlignment="1">
      <alignment horizontal="left" vertical="center" wrapText="1"/>
    </xf>
    <xf numFmtId="165" fontId="5" fillId="4" borderId="4" xfId="0" applyNumberFormat="1" applyFont="1" applyFill="1" applyBorder="1" applyAlignment="1">
      <alignment horizontal="center" vertical="center" wrapText="1"/>
    </xf>
    <xf numFmtId="165" fontId="5" fillId="4" borderId="19" xfId="0" applyNumberFormat="1" applyFont="1" applyFill="1" applyBorder="1" applyAlignment="1">
      <alignment horizontal="center" vertical="center" wrapText="1"/>
    </xf>
    <xf numFmtId="165" fontId="8" fillId="4" borderId="90" xfId="0" applyNumberFormat="1" applyFont="1" applyFill="1" applyBorder="1" applyAlignment="1" applyProtection="1">
      <alignment horizontal="right" vertical="center"/>
      <protection hidden="1"/>
    </xf>
    <xf numFmtId="165" fontId="5" fillId="4" borderId="12" xfId="0" applyNumberFormat="1" applyFont="1" applyFill="1" applyBorder="1" applyAlignment="1">
      <alignment horizontal="center" vertical="center" wrapText="1"/>
    </xf>
    <xf numFmtId="165" fontId="5" fillId="4" borderId="5" xfId="0" applyNumberFormat="1" applyFont="1" applyFill="1" applyBorder="1" applyAlignment="1" applyProtection="1">
      <alignment horizontal="center" vertical="center"/>
      <protection hidden="1"/>
    </xf>
    <xf numFmtId="165" fontId="8" fillId="4" borderId="8" xfId="0" applyNumberFormat="1" applyFont="1" applyFill="1" applyBorder="1" applyAlignment="1" applyProtection="1">
      <alignment horizontal="right" vertical="center"/>
      <protection hidden="1"/>
    </xf>
    <xf numFmtId="165" fontId="44" fillId="4" borderId="1" xfId="0" applyNumberFormat="1" applyFont="1" applyFill="1" applyBorder="1"/>
    <xf numFmtId="165" fontId="44" fillId="4" borderId="1" xfId="0" applyNumberFormat="1" applyFont="1" applyFill="1" applyBorder="1" applyAlignment="1">
      <alignment vertical="center"/>
    </xf>
    <xf numFmtId="165" fontId="44" fillId="4" borderId="13" xfId="0" applyNumberFormat="1" applyFont="1" applyFill="1" applyBorder="1"/>
    <xf numFmtId="165" fontId="41" fillId="4" borderId="90" xfId="0" applyNumberFormat="1" applyFont="1" applyFill="1" applyBorder="1"/>
    <xf numFmtId="165" fontId="5" fillId="4" borderId="20" xfId="0" applyNumberFormat="1" applyFont="1" applyFill="1" applyBorder="1" applyAlignment="1" applyProtection="1">
      <alignment horizontal="right" vertical="center"/>
      <protection hidden="1"/>
    </xf>
    <xf numFmtId="165" fontId="41" fillId="4" borderId="38" xfId="0" applyNumberFormat="1" applyFont="1" applyFill="1" applyBorder="1"/>
    <xf numFmtId="165" fontId="12" fillId="4" borderId="33" xfId="29" applyNumberFormat="1" applyFont="1" applyFill="1" applyBorder="1" applyAlignment="1">
      <alignment vertical="center"/>
    </xf>
    <xf numFmtId="165" fontId="7" fillId="4" borderId="1" xfId="0" applyNumberFormat="1" applyFont="1" applyFill="1" applyBorder="1" applyAlignment="1" applyProtection="1">
      <alignment horizontal="right" vertical="center"/>
      <protection hidden="1"/>
    </xf>
    <xf numFmtId="165" fontId="1" fillId="4" borderId="1" xfId="0" applyNumberFormat="1" applyFont="1" applyFill="1" applyBorder="1" applyAlignment="1">
      <alignment vertical="center"/>
    </xf>
    <xf numFmtId="165" fontId="0" fillId="4" borderId="1" xfId="0" applyNumberFormat="1" applyFill="1" applyBorder="1"/>
    <xf numFmtId="165" fontId="1" fillId="4" borderId="1" xfId="2" applyNumberFormat="1" applyFont="1" applyFill="1" applyBorder="1" applyAlignment="1">
      <alignment vertical="center"/>
    </xf>
    <xf numFmtId="165" fontId="1" fillId="4" borderId="1" xfId="0" applyNumberFormat="1" applyFont="1" applyFill="1" applyBorder="1"/>
    <xf numFmtId="0" fontId="1" fillId="4" borderId="1" xfId="0" applyFont="1" applyFill="1" applyBorder="1" applyAlignment="1">
      <alignment horizontal="center" vertical="center"/>
    </xf>
    <xf numFmtId="43" fontId="1" fillId="4" borderId="1" xfId="1" applyFont="1" applyFill="1" applyBorder="1"/>
    <xf numFmtId="0" fontId="101" fillId="26" borderId="16" xfId="0" applyFont="1" applyFill="1" applyBorder="1" applyAlignment="1">
      <alignment vertical="center"/>
    </xf>
    <xf numFmtId="0" fontId="101" fillId="26" borderId="17" xfId="0" applyFont="1" applyFill="1" applyBorder="1" applyAlignment="1">
      <alignment vertical="center"/>
    </xf>
    <xf numFmtId="178" fontId="101" fillId="26" borderId="2" xfId="0" applyNumberFormat="1" applyFont="1" applyFill="1" applyBorder="1" applyAlignment="1">
      <alignment horizontal="center" vertical="center"/>
    </xf>
    <xf numFmtId="0" fontId="51" fillId="0" borderId="17" xfId="0" applyFont="1" applyBorder="1" applyAlignment="1">
      <alignment horizontal="center" vertical="center" wrapText="1"/>
    </xf>
    <xf numFmtId="9" fontId="39" fillId="0" borderId="0" xfId="4" applyFont="1"/>
    <xf numFmtId="165" fontId="40" fillId="4" borderId="1" xfId="0" applyNumberFormat="1" applyFont="1" applyFill="1" applyBorder="1" applyAlignment="1">
      <alignment vertical="center"/>
    </xf>
    <xf numFmtId="165" fontId="40" fillId="0" borderId="0" xfId="0" applyNumberFormat="1" applyFont="1" applyAlignment="1">
      <alignment horizontal="center" vertical="center"/>
    </xf>
    <xf numFmtId="165" fontId="50" fillId="18" borderId="17" xfId="0" applyNumberFormat="1" applyFont="1" applyFill="1" applyBorder="1" applyAlignment="1">
      <alignment horizontal="right" vertical="center"/>
    </xf>
    <xf numFmtId="165" fontId="40" fillId="6" borderId="1" xfId="0" applyNumberFormat="1" applyFont="1" applyFill="1" applyBorder="1" applyAlignment="1">
      <alignment horizontal="right" vertical="center"/>
    </xf>
    <xf numFmtId="165" fontId="40" fillId="4" borderId="3" xfId="0" applyNumberFormat="1" applyFont="1" applyFill="1" applyBorder="1" applyAlignment="1">
      <alignment horizontal="right" vertical="center"/>
    </xf>
    <xf numFmtId="165" fontId="40" fillId="4" borderId="8" xfId="0" applyNumberFormat="1" applyFont="1" applyFill="1" applyBorder="1" applyAlignment="1">
      <alignment horizontal="right" vertical="center"/>
    </xf>
    <xf numFmtId="165" fontId="40" fillId="4" borderId="36" xfId="0" applyNumberFormat="1" applyFont="1" applyFill="1" applyBorder="1" applyAlignment="1">
      <alignment horizontal="right" vertical="center"/>
    </xf>
    <xf numFmtId="165" fontId="40" fillId="6" borderId="36" xfId="0" applyNumberFormat="1" applyFont="1" applyFill="1" applyBorder="1" applyAlignment="1">
      <alignment horizontal="right" vertical="center"/>
    </xf>
    <xf numFmtId="165" fontId="57" fillId="6" borderId="1" xfId="0" applyNumberFormat="1" applyFont="1" applyFill="1" applyBorder="1" applyAlignment="1">
      <alignment horizontal="right" vertical="center"/>
    </xf>
    <xf numFmtId="165" fontId="40" fillId="6" borderId="3" xfId="0" applyNumberFormat="1" applyFont="1" applyFill="1" applyBorder="1" applyAlignment="1">
      <alignment horizontal="right" vertical="center"/>
    </xf>
    <xf numFmtId="165" fontId="40" fillId="0" borderId="3" xfId="0" applyNumberFormat="1" applyFont="1" applyBorder="1" applyAlignment="1">
      <alignment horizontal="right" vertical="center"/>
    </xf>
    <xf numFmtId="165" fontId="50" fillId="18" borderId="3" xfId="0" applyNumberFormat="1" applyFont="1" applyFill="1" applyBorder="1" applyAlignment="1">
      <alignment horizontal="right" vertical="center"/>
    </xf>
    <xf numFmtId="165" fontId="61" fillId="17" borderId="36" xfId="0" applyNumberFormat="1" applyFont="1" applyFill="1" applyBorder="1" applyAlignment="1">
      <alignment horizontal="center" vertical="center"/>
    </xf>
    <xf numFmtId="0" fontId="51" fillId="18" borderId="45" xfId="0" applyFont="1" applyFill="1" applyBorder="1" applyAlignment="1">
      <alignment vertical="center"/>
    </xf>
    <xf numFmtId="10" fontId="51" fillId="15" borderId="1" xfId="4" applyNumberFormat="1" applyFont="1" applyFill="1" applyBorder="1" applyAlignment="1">
      <alignment vertical="center" wrapText="1"/>
    </xf>
    <xf numFmtId="0" fontId="39" fillId="0" borderId="0" xfId="0" applyFont="1" applyAlignment="1">
      <alignment vertical="center"/>
    </xf>
    <xf numFmtId="0" fontId="0" fillId="0" borderId="0" xfId="0" applyAlignment="1">
      <alignment vertical="center" wrapText="1"/>
    </xf>
    <xf numFmtId="165" fontId="0" fillId="35" borderId="0" xfId="1" applyNumberFormat="1" applyFont="1" applyFill="1"/>
    <xf numFmtId="44" fontId="39" fillId="0" borderId="0" xfId="0" applyNumberFormat="1" applyFont="1"/>
    <xf numFmtId="0" fontId="0" fillId="0" borderId="17" xfId="0" applyBorder="1" applyAlignment="1">
      <alignment horizontal="left"/>
    </xf>
    <xf numFmtId="44" fontId="52" fillId="0" borderId="0" xfId="2" applyFont="1" applyBorder="1" applyAlignment="1">
      <alignment wrapText="1"/>
    </xf>
    <xf numFmtId="191" fontId="52" fillId="0" borderId="0" xfId="2" applyNumberFormat="1" applyFont="1" applyBorder="1" applyAlignment="1">
      <alignment wrapText="1"/>
    </xf>
    <xf numFmtId="44" fontId="62" fillId="0" borderId="0" xfId="2" applyFont="1" applyBorder="1" applyAlignment="1">
      <alignment wrapText="1"/>
    </xf>
    <xf numFmtId="191" fontId="51" fillId="22" borderId="1" xfId="0" applyNumberFormat="1" applyFont="1" applyFill="1" applyBorder="1"/>
    <xf numFmtId="0" fontId="39" fillId="7" borderId="33" xfId="0" applyFont="1" applyFill="1" applyBorder="1"/>
    <xf numFmtId="0" fontId="39" fillId="7" borderId="44" xfId="0" applyFont="1" applyFill="1" applyBorder="1"/>
    <xf numFmtId="0" fontId="101" fillId="7" borderId="44" xfId="0" applyFont="1" applyFill="1" applyBorder="1"/>
    <xf numFmtId="0" fontId="101" fillId="7" borderId="45" xfId="0" applyFont="1" applyFill="1" applyBorder="1" applyAlignment="1">
      <alignment vertical="center"/>
    </xf>
    <xf numFmtId="178" fontId="101" fillId="7" borderId="1" xfId="0" applyNumberFormat="1" applyFont="1" applyFill="1" applyBorder="1" applyAlignment="1">
      <alignment horizontal="center"/>
    </xf>
    <xf numFmtId="0" fontId="26" fillId="7" borderId="33" xfId="0" applyFont="1" applyFill="1" applyBorder="1"/>
    <xf numFmtId="0" fontId="26" fillId="7" borderId="44" xfId="0" applyFont="1" applyFill="1" applyBorder="1"/>
    <xf numFmtId="0" fontId="101" fillId="7" borderId="44" xfId="0" applyFont="1" applyFill="1" applyBorder="1" applyAlignment="1">
      <alignment wrapText="1"/>
    </xf>
    <xf numFmtId="0" fontId="102" fillId="0" borderId="1" xfId="0" applyFont="1" applyBorder="1"/>
    <xf numFmtId="165" fontId="102" fillId="0" borderId="1" xfId="0" applyNumberFormat="1" applyFont="1" applyBorder="1"/>
    <xf numFmtId="0" fontId="103" fillId="7" borderId="1" xfId="0" applyFont="1" applyFill="1" applyBorder="1"/>
    <xf numFmtId="165" fontId="103" fillId="7" borderId="1" xfId="0" applyNumberFormat="1" applyFont="1" applyFill="1" applyBorder="1"/>
    <xf numFmtId="44" fontId="0" fillId="0" borderId="17" xfId="0" applyNumberFormat="1" applyBorder="1"/>
    <xf numFmtId="44" fontId="0" fillId="0" borderId="16" xfId="0" applyNumberFormat="1" applyBorder="1" applyAlignment="1">
      <alignment horizontal="left"/>
    </xf>
    <xf numFmtId="165" fontId="0" fillId="0" borderId="17" xfId="0" applyNumberFormat="1" applyBorder="1"/>
    <xf numFmtId="0" fontId="59" fillId="12" borderId="16" xfId="0" applyFont="1" applyFill="1" applyBorder="1" applyAlignment="1">
      <alignment horizontal="center" vertical="center" wrapText="1"/>
    </xf>
    <xf numFmtId="0" fontId="59" fillId="12" borderId="17" xfId="0" applyFont="1" applyFill="1" applyBorder="1" applyAlignment="1">
      <alignment horizontal="center" vertical="center" wrapText="1"/>
    </xf>
    <xf numFmtId="0" fontId="59" fillId="12" borderId="18" xfId="0" applyFont="1" applyFill="1" applyBorder="1" applyAlignment="1">
      <alignment horizontal="center" vertical="center" wrapText="1"/>
    </xf>
    <xf numFmtId="0" fontId="24" fillId="36" borderId="2" xfId="0" applyFont="1" applyFill="1" applyBorder="1" applyAlignment="1">
      <alignment horizontal="center" vertical="center"/>
    </xf>
    <xf numFmtId="0" fontId="24" fillId="36" borderId="35" xfId="0" applyFont="1" applyFill="1" applyBorder="1" applyAlignment="1">
      <alignment horizontal="center" vertical="center"/>
    </xf>
    <xf numFmtId="0" fontId="24" fillId="36" borderId="25" xfId="0" applyFont="1" applyFill="1" applyBorder="1" applyAlignment="1">
      <alignment horizontal="center" vertical="center"/>
    </xf>
    <xf numFmtId="0" fontId="24" fillId="36" borderId="67" xfId="0" applyFont="1" applyFill="1" applyBorder="1" applyAlignment="1">
      <alignment horizontal="center" vertical="center"/>
    </xf>
    <xf numFmtId="0" fontId="24" fillId="36" borderId="19" xfId="0" applyFont="1" applyFill="1" applyBorder="1" applyAlignment="1">
      <alignment horizontal="center" vertical="center"/>
    </xf>
    <xf numFmtId="0" fontId="24" fillId="36" borderId="41" xfId="0" applyFont="1" applyFill="1" applyBorder="1" applyAlignment="1">
      <alignment horizontal="center" vertical="center"/>
    </xf>
    <xf numFmtId="0" fontId="24" fillId="36" borderId="27" xfId="0" applyFont="1" applyFill="1" applyBorder="1" applyAlignment="1">
      <alignment horizontal="center" vertical="center"/>
    </xf>
    <xf numFmtId="0" fontId="1" fillId="0" borderId="22" xfId="0" applyFont="1" applyBorder="1"/>
    <xf numFmtId="165" fontId="0" fillId="0" borderId="23" xfId="0" applyNumberFormat="1" applyBorder="1"/>
    <xf numFmtId="165" fontId="0" fillId="0" borderId="24" xfId="0" applyNumberFormat="1" applyBorder="1"/>
    <xf numFmtId="0" fontId="59" fillId="12" borderId="5" xfId="0" applyFont="1" applyFill="1" applyBorder="1" applyAlignment="1">
      <alignment horizontal="center" vertical="center"/>
    </xf>
    <xf numFmtId="0" fontId="0" fillId="0" borderId="120" xfId="0" applyBorder="1"/>
    <xf numFmtId="0" fontId="59" fillId="12" borderId="26" xfId="0" applyFont="1" applyFill="1" applyBorder="1" applyAlignment="1">
      <alignment horizontal="center" vertical="center" wrapText="1"/>
    </xf>
    <xf numFmtId="191" fontId="1" fillId="0" borderId="1" xfId="2" applyNumberFormat="1" applyFont="1" applyBorder="1"/>
    <xf numFmtId="165" fontId="0" fillId="0" borderId="36" xfId="3" applyNumberFormat="1" applyFont="1" applyFill="1" applyBorder="1" applyAlignment="1">
      <alignment horizontal="center" vertical="center"/>
    </xf>
    <xf numFmtId="0" fontId="105" fillId="0" borderId="0" xfId="0" applyFont="1"/>
    <xf numFmtId="44" fontId="105" fillId="0" borderId="0" xfId="2" applyFont="1"/>
    <xf numFmtId="43" fontId="105" fillId="0" borderId="0" xfId="1" applyFont="1" applyFill="1" applyAlignment="1">
      <alignment horizontal="center" vertical="center"/>
    </xf>
    <xf numFmtId="44" fontId="105" fillId="0" borderId="0" xfId="0" applyNumberFormat="1" applyFont="1"/>
    <xf numFmtId="186" fontId="105" fillId="0" borderId="0" xfId="4" applyNumberFormat="1" applyFont="1"/>
    <xf numFmtId="10" fontId="106" fillId="0" borderId="0" xfId="4" applyNumberFormat="1" applyFont="1"/>
    <xf numFmtId="165" fontId="0" fillId="0" borderId="105" xfId="0" applyNumberFormat="1" applyBorder="1"/>
    <xf numFmtId="165" fontId="0" fillId="0" borderId="42" xfId="0" applyNumberFormat="1" applyBorder="1"/>
    <xf numFmtId="178" fontId="40" fillId="0" borderId="0" xfId="0" applyNumberFormat="1" applyFont="1"/>
    <xf numFmtId="178" fontId="51" fillId="6" borderId="36" xfId="3" applyNumberFormat="1" applyFont="1" applyFill="1" applyBorder="1" applyAlignment="1">
      <alignment horizontal="center" vertical="center"/>
    </xf>
    <xf numFmtId="178" fontId="39" fillId="0" borderId="0" xfId="0" applyNumberFormat="1" applyFont="1"/>
    <xf numFmtId="178" fontId="39" fillId="0" borderId="0" xfId="4" applyNumberFormat="1" applyFont="1"/>
    <xf numFmtId="44" fontId="52" fillId="2" borderId="1" xfId="0" applyNumberFormat="1" applyFont="1" applyFill="1" applyBorder="1"/>
    <xf numFmtId="0" fontId="38" fillId="0" borderId="1" xfId="0" applyFont="1" applyBorder="1"/>
    <xf numFmtId="44" fontId="39" fillId="0" borderId="1" xfId="2" applyFont="1" applyBorder="1"/>
    <xf numFmtId="0" fontId="39" fillId="0" borderId="1" xfId="0" applyFont="1" applyBorder="1"/>
    <xf numFmtId="0" fontId="59" fillId="12" borderId="16" xfId="0" applyFont="1" applyFill="1" applyBorder="1" applyAlignment="1">
      <alignment horizontal="center" vertical="center" wrapText="1"/>
    </xf>
    <xf numFmtId="0" fontId="59" fillId="12" borderId="17" xfId="0" applyFont="1" applyFill="1" applyBorder="1" applyAlignment="1">
      <alignment horizontal="center" vertical="center" wrapText="1"/>
    </xf>
    <xf numFmtId="0" fontId="59" fillId="12" borderId="18" xfId="0" applyFont="1" applyFill="1" applyBorder="1" applyAlignment="1">
      <alignment horizontal="center" vertical="center" wrapText="1"/>
    </xf>
    <xf numFmtId="0" fontId="0" fillId="0" borderId="1" xfId="0" applyBorder="1" applyAlignment="1">
      <alignment horizontal="center"/>
    </xf>
    <xf numFmtId="0" fontId="0" fillId="0" borderId="45" xfId="0" applyBorder="1" applyAlignment="1">
      <alignment horizontal="center" vertical="center"/>
    </xf>
    <xf numFmtId="0" fontId="0" fillId="0" borderId="8" xfId="0" applyBorder="1" applyAlignment="1">
      <alignment horizontal="center" vertical="center" wrapText="1"/>
    </xf>
    <xf numFmtId="0" fontId="0" fillId="0" borderId="1" xfId="0" applyBorder="1" applyAlignment="1">
      <alignment horizontal="center" vertical="center" wrapText="1"/>
    </xf>
    <xf numFmtId="44" fontId="0" fillId="0" borderId="8" xfId="2" applyFont="1" applyBorder="1" applyAlignment="1">
      <alignment horizontal="center" vertical="center" wrapText="1"/>
    </xf>
    <xf numFmtId="44" fontId="0" fillId="0" borderId="1" xfId="2" applyFont="1" applyBorder="1" applyAlignment="1">
      <alignment horizontal="center" vertical="center" wrapText="1"/>
    </xf>
    <xf numFmtId="0" fontId="104" fillId="4" borderId="1" xfId="0" applyFont="1" applyFill="1" applyBorder="1" applyAlignment="1">
      <alignment horizontal="center" vertical="center" wrapText="1"/>
    </xf>
    <xf numFmtId="0" fontId="23" fillId="4" borderId="45" xfId="24" applyFont="1" applyFill="1" applyBorder="1" applyAlignment="1">
      <alignment horizontal="center" vertical="center"/>
    </xf>
    <xf numFmtId="0" fontId="23" fillId="4" borderId="87" xfId="24" applyFont="1" applyFill="1" applyBorder="1" applyAlignment="1">
      <alignment horizontal="center" vertical="center"/>
    </xf>
    <xf numFmtId="0" fontId="23" fillId="4" borderId="91" xfId="24" applyFont="1" applyFill="1" applyBorder="1" applyAlignment="1">
      <alignment horizontal="center" vertical="center"/>
    </xf>
    <xf numFmtId="0" fontId="0" fillId="0" borderId="11" xfId="0" applyBorder="1" applyAlignment="1">
      <alignment horizontal="center" vertical="center"/>
    </xf>
    <xf numFmtId="44" fontId="0" fillId="0" borderId="16" xfId="0" applyNumberFormat="1" applyBorder="1" applyAlignment="1">
      <alignment horizontal="left"/>
    </xf>
    <xf numFmtId="0" fontId="0" fillId="0" borderId="17" xfId="0" applyBorder="1" applyAlignment="1">
      <alignment horizontal="left"/>
    </xf>
    <xf numFmtId="0" fontId="0" fillId="0" borderId="18" xfId="0" applyBorder="1" applyAlignment="1">
      <alignment horizontal="left"/>
    </xf>
    <xf numFmtId="0" fontId="23" fillId="4" borderId="80" xfId="24" applyFont="1" applyFill="1" applyBorder="1" applyAlignment="1">
      <alignment horizontal="center" vertical="center" wrapText="1"/>
    </xf>
    <xf numFmtId="0" fontId="23" fillId="4" borderId="45" xfId="24" applyFont="1" applyFill="1" applyBorder="1" applyAlignment="1">
      <alignment horizontal="center" vertical="center" wrapText="1"/>
    </xf>
    <xf numFmtId="0" fontId="0" fillId="0" borderId="39" xfId="0" applyBorder="1" applyAlignment="1">
      <alignment horizontal="center" vertical="center"/>
    </xf>
    <xf numFmtId="0" fontId="0" fillId="0" borderId="30" xfId="0" applyBorder="1" applyAlignment="1">
      <alignment horizontal="center" vertical="center"/>
    </xf>
    <xf numFmtId="2" fontId="0" fillId="0" borderId="11" xfId="0" applyNumberFormat="1" applyBorder="1" applyAlignment="1">
      <alignment horizontal="center" vertical="center"/>
    </xf>
    <xf numFmtId="174" fontId="0" fillId="0" borderId="7" xfId="0" applyNumberFormat="1" applyBorder="1" applyAlignment="1">
      <alignment horizontal="center" vertical="center"/>
    </xf>
    <xf numFmtId="174" fontId="0" fillId="0" borderId="11" xfId="0" applyNumberFormat="1" applyBorder="1" applyAlignment="1">
      <alignment horizontal="center" vertical="center"/>
    </xf>
    <xf numFmtId="0" fontId="65" fillId="0" borderId="16" xfId="0" applyFont="1" applyBorder="1" applyAlignment="1">
      <alignment horizontal="center"/>
    </xf>
    <xf numFmtId="0" fontId="65" fillId="0" borderId="17" xfId="0" applyFont="1" applyBorder="1" applyAlignment="1">
      <alignment horizontal="center"/>
    </xf>
    <xf numFmtId="0" fontId="65" fillId="0" borderId="18" xfId="0" applyFont="1" applyBorder="1" applyAlignment="1">
      <alignment horizontal="center"/>
    </xf>
    <xf numFmtId="0" fontId="24" fillId="36" borderId="35" xfId="0" applyFont="1" applyFill="1" applyBorder="1" applyAlignment="1">
      <alignment horizontal="center" vertical="center"/>
    </xf>
    <xf numFmtId="0" fontId="24" fillId="36" borderId="67" xfId="0" applyFont="1" applyFill="1" applyBorder="1" applyAlignment="1">
      <alignment horizontal="center" vertical="center"/>
    </xf>
    <xf numFmtId="0" fontId="24" fillId="36" borderId="17" xfId="0" applyFont="1" applyFill="1" applyBorder="1" applyAlignment="1">
      <alignment horizontal="center" vertical="center"/>
    </xf>
    <xf numFmtId="0" fontId="24" fillId="36" borderId="18" xfId="0" applyFont="1" applyFill="1" applyBorder="1" applyAlignment="1">
      <alignment horizontal="center" vertical="center"/>
    </xf>
    <xf numFmtId="0" fontId="24" fillId="36" borderId="16" xfId="0" applyFont="1" applyFill="1" applyBorder="1" applyAlignment="1">
      <alignment horizontal="center" vertical="center"/>
    </xf>
    <xf numFmtId="0" fontId="0" fillId="0" borderId="123" xfId="0" applyBorder="1" applyAlignment="1">
      <alignment horizontal="center" vertical="center"/>
    </xf>
    <xf numFmtId="0" fontId="0" fillId="0" borderId="124" xfId="0" applyBorder="1" applyAlignment="1">
      <alignment horizontal="center" vertical="center"/>
    </xf>
    <xf numFmtId="0" fontId="59" fillId="16" borderId="65" xfId="0" applyFont="1" applyFill="1" applyBorder="1" applyAlignment="1">
      <alignment horizontal="right" vertical="center" wrapText="1"/>
    </xf>
    <xf numFmtId="0" fontId="59" fillId="16" borderId="43" xfId="0" applyFont="1" applyFill="1" applyBorder="1" applyAlignment="1">
      <alignment horizontal="right" vertical="center" wrapText="1"/>
    </xf>
    <xf numFmtId="0" fontId="59" fillId="16" borderId="87" xfId="0" applyFont="1" applyFill="1" applyBorder="1" applyAlignment="1">
      <alignment horizontal="right" vertical="center" wrapText="1"/>
    </xf>
    <xf numFmtId="0" fontId="101" fillId="26" borderId="16" xfId="0" applyFont="1" applyFill="1" applyBorder="1" applyAlignment="1">
      <alignment horizontal="right" vertical="center"/>
    </xf>
    <xf numFmtId="0" fontId="101" fillId="26" borderId="17" xfId="0" applyFont="1" applyFill="1" applyBorder="1" applyAlignment="1">
      <alignment horizontal="right" vertical="center"/>
    </xf>
    <xf numFmtId="0" fontId="101" fillId="26" borderId="18" xfId="0" applyFont="1" applyFill="1" applyBorder="1" applyAlignment="1">
      <alignment horizontal="right" vertical="center"/>
    </xf>
    <xf numFmtId="0" fontId="101" fillId="26" borderId="16" xfId="0" applyFont="1" applyFill="1" applyBorder="1" applyAlignment="1">
      <alignment horizontal="center" vertical="center"/>
    </xf>
    <xf numFmtId="0" fontId="101" fillId="26" borderId="17" xfId="0" applyFont="1" applyFill="1" applyBorder="1" applyAlignment="1">
      <alignment horizontal="center" vertical="center"/>
    </xf>
    <xf numFmtId="0" fontId="101" fillId="26" borderId="18" xfId="0" applyFont="1" applyFill="1" applyBorder="1" applyAlignment="1">
      <alignment horizontal="center" vertical="center"/>
    </xf>
    <xf numFmtId="0" fontId="51" fillId="0" borderId="16" xfId="0" applyFont="1" applyBorder="1" applyAlignment="1">
      <alignment horizontal="center" wrapText="1"/>
    </xf>
    <xf numFmtId="0" fontId="51" fillId="0" borderId="17" xfId="0" applyFont="1" applyBorder="1" applyAlignment="1">
      <alignment horizontal="center" wrapText="1"/>
    </xf>
    <xf numFmtId="0" fontId="51" fillId="0" borderId="18" xfId="0" applyFont="1" applyBorder="1" applyAlignment="1">
      <alignment horizontal="center" wrapText="1"/>
    </xf>
    <xf numFmtId="0" fontId="51" fillId="24" borderId="16" xfId="0" applyFont="1" applyFill="1" applyBorder="1" applyAlignment="1">
      <alignment horizontal="center" vertical="center" wrapText="1"/>
    </xf>
    <xf numFmtId="0" fontId="51" fillId="24" borderId="17" xfId="0" applyFont="1" applyFill="1" applyBorder="1" applyAlignment="1">
      <alignment horizontal="center" vertical="center" wrapText="1"/>
    </xf>
    <xf numFmtId="0" fontId="52" fillId="24" borderId="17" xfId="0" applyFont="1" applyFill="1" applyBorder="1" applyAlignment="1">
      <alignment horizontal="center" vertical="center" wrapText="1"/>
    </xf>
    <xf numFmtId="0" fontId="52" fillId="24" borderId="18" xfId="0" applyFont="1" applyFill="1" applyBorder="1" applyAlignment="1">
      <alignment horizontal="center" vertical="center" wrapText="1"/>
    </xf>
    <xf numFmtId="0" fontId="49" fillId="23" borderId="33" xfId="0" applyFont="1" applyFill="1" applyBorder="1" applyAlignment="1">
      <alignment horizontal="right"/>
    </xf>
    <xf numFmtId="0" fontId="49" fillId="23" borderId="44" xfId="0" applyFont="1" applyFill="1" applyBorder="1" applyAlignment="1">
      <alignment horizontal="right"/>
    </xf>
    <xf numFmtId="0" fontId="49" fillId="23" borderId="45" xfId="0" applyFont="1" applyFill="1" applyBorder="1" applyAlignment="1">
      <alignment horizontal="right"/>
    </xf>
    <xf numFmtId="0" fontId="49" fillId="23" borderId="1" xfId="0" applyFont="1" applyFill="1" applyBorder="1" applyAlignment="1">
      <alignment horizontal="right"/>
    </xf>
    <xf numFmtId="0" fontId="51" fillId="6" borderId="33" xfId="0" applyFont="1" applyFill="1" applyBorder="1" applyAlignment="1">
      <alignment horizontal="right" vertical="center" wrapText="1"/>
    </xf>
    <xf numFmtId="0" fontId="51" fillId="6" borderId="44" xfId="0" applyFont="1" applyFill="1" applyBorder="1" applyAlignment="1">
      <alignment horizontal="right" vertical="center" wrapText="1"/>
    </xf>
    <xf numFmtId="0" fontId="51" fillId="6" borderId="45" xfId="0" applyFont="1" applyFill="1" applyBorder="1" applyAlignment="1">
      <alignment horizontal="right" vertical="center" wrapText="1"/>
    </xf>
    <xf numFmtId="0" fontId="51" fillId="18" borderId="33" xfId="0" applyFont="1" applyFill="1" applyBorder="1" applyAlignment="1">
      <alignment horizontal="right" vertical="center" wrapText="1"/>
    </xf>
    <xf numFmtId="0" fontId="51" fillId="18" borderId="44" xfId="0" applyFont="1" applyFill="1" applyBorder="1" applyAlignment="1">
      <alignment horizontal="right" vertical="center" wrapText="1"/>
    </xf>
    <xf numFmtId="0" fontId="51" fillId="18" borderId="45" xfId="0" applyFont="1" applyFill="1" applyBorder="1" applyAlignment="1">
      <alignment horizontal="right" vertical="center" wrapText="1"/>
    </xf>
    <xf numFmtId="0" fontId="51" fillId="6" borderId="33" xfId="0" applyFont="1" applyFill="1" applyBorder="1" applyAlignment="1">
      <alignment horizontal="center" vertical="center" wrapText="1"/>
    </xf>
    <xf numFmtId="0" fontId="51" fillId="6" borderId="44" xfId="0" applyFont="1" applyFill="1" applyBorder="1" applyAlignment="1">
      <alignment horizontal="center" vertical="center" wrapText="1"/>
    </xf>
    <xf numFmtId="0" fontId="51" fillId="6" borderId="45" xfId="0" applyFont="1" applyFill="1" applyBorder="1" applyAlignment="1">
      <alignment horizontal="center" vertical="center" wrapText="1"/>
    </xf>
    <xf numFmtId="0" fontId="51" fillId="18" borderId="33" xfId="0" applyFont="1" applyFill="1" applyBorder="1" applyAlignment="1">
      <alignment horizontal="center" vertical="center" wrapText="1"/>
    </xf>
    <xf numFmtId="0" fontId="51" fillId="18" borderId="44" xfId="0" applyFont="1" applyFill="1" applyBorder="1" applyAlignment="1">
      <alignment horizontal="center" vertical="center" wrapText="1"/>
    </xf>
    <xf numFmtId="0" fontId="51" fillId="18" borderId="45" xfId="0" applyFont="1" applyFill="1" applyBorder="1" applyAlignment="1">
      <alignment horizontal="center" vertical="center" wrapText="1"/>
    </xf>
    <xf numFmtId="0" fontId="51" fillId="15" borderId="1" xfId="0" applyFont="1" applyFill="1" applyBorder="1" applyAlignment="1">
      <alignment horizontal="center"/>
    </xf>
    <xf numFmtId="49" fontId="51" fillId="0" borderId="1" xfId="0" applyNumberFormat="1" applyFont="1" applyBorder="1" applyAlignment="1">
      <alignment horizontal="center" vertical="center" wrapText="1"/>
    </xf>
    <xf numFmtId="0" fontId="51" fillId="0" borderId="16" xfId="0" applyFont="1" applyBorder="1" applyAlignment="1">
      <alignment horizontal="center" vertical="center" wrapText="1"/>
    </xf>
    <xf numFmtId="0" fontId="51" fillId="0" borderId="17" xfId="0" applyFont="1" applyBorder="1" applyAlignment="1">
      <alignment horizontal="center" vertical="center" wrapText="1"/>
    </xf>
    <xf numFmtId="0" fontId="51" fillId="0" borderId="105" xfId="0" applyFont="1" applyBorder="1" applyAlignment="1">
      <alignment horizontal="center" vertical="center" wrapText="1"/>
    </xf>
    <xf numFmtId="0" fontId="99" fillId="24" borderId="16" xfId="0" applyFont="1" applyFill="1" applyBorder="1" applyAlignment="1">
      <alignment horizontal="center" wrapText="1"/>
    </xf>
    <xf numFmtId="0" fontId="99" fillId="24" borderId="17" xfId="0" applyFont="1" applyFill="1" applyBorder="1" applyAlignment="1">
      <alignment horizontal="center" wrapText="1"/>
    </xf>
    <xf numFmtId="0" fontId="99" fillId="24" borderId="18" xfId="0" applyFont="1" applyFill="1" applyBorder="1" applyAlignment="1">
      <alignment horizontal="center" wrapText="1"/>
    </xf>
    <xf numFmtId="0" fontId="23" fillId="4" borderId="1" xfId="0" applyFont="1" applyFill="1" applyBorder="1" applyAlignment="1">
      <alignment horizontal="center" vertical="center"/>
    </xf>
    <xf numFmtId="0" fontId="55" fillId="0" borderId="0" xfId="44" applyFont="1" applyAlignment="1">
      <alignment horizontal="center" vertical="center"/>
    </xf>
    <xf numFmtId="0" fontId="28" fillId="0" borderId="0" xfId="45" applyFont="1" applyBorder="1" applyAlignment="1" applyProtection="1">
      <alignment horizontal="center" vertical="center" wrapText="1"/>
      <protection locked="0"/>
    </xf>
    <xf numFmtId="0" fontId="28" fillId="0" borderId="90" xfId="45" applyFont="1" applyBorder="1" applyAlignment="1" applyProtection="1">
      <alignment horizontal="center" vertical="center" wrapText="1"/>
      <protection locked="0"/>
    </xf>
    <xf numFmtId="0" fontId="82" fillId="0" borderId="0" xfId="44" applyFont="1" applyAlignment="1">
      <alignment horizontal="center" vertical="center"/>
    </xf>
    <xf numFmtId="0" fontId="90" fillId="0" borderId="16" xfId="54" applyFont="1" applyBorder="1" applyAlignment="1">
      <alignment horizontal="center" vertical="center" wrapText="1"/>
    </xf>
    <xf numFmtId="0" fontId="90" fillId="0" borderId="18" xfId="54" applyFont="1" applyBorder="1" applyAlignment="1">
      <alignment horizontal="center" vertical="center" wrapText="1"/>
    </xf>
    <xf numFmtId="43" fontId="92" fillId="0" borderId="89" xfId="1" applyFont="1" applyBorder="1" applyAlignment="1">
      <alignment horizontal="center"/>
    </xf>
    <xf numFmtId="43" fontId="92" fillId="0" borderId="0" xfId="1" applyFont="1" applyBorder="1" applyAlignment="1">
      <alignment horizontal="center"/>
    </xf>
    <xf numFmtId="0" fontId="24" fillId="0" borderId="16" xfId="0" applyFont="1" applyBorder="1" applyAlignment="1">
      <alignment horizontal="center" wrapText="1"/>
    </xf>
    <xf numFmtId="0" fontId="24" fillId="0" borderId="17" xfId="0" applyFont="1" applyBorder="1" applyAlignment="1">
      <alignment horizontal="center" wrapText="1"/>
    </xf>
    <xf numFmtId="0" fontId="24" fillId="0" borderId="18" xfId="0" applyFont="1" applyBorder="1" applyAlignment="1">
      <alignment horizontal="center" wrapText="1"/>
    </xf>
    <xf numFmtId="166" fontId="12" fillId="5" borderId="26" xfId="0" applyNumberFormat="1" applyFont="1" applyFill="1" applyBorder="1" applyAlignment="1" applyProtection="1">
      <alignment horizontal="center" vertical="center"/>
      <protection hidden="1"/>
    </xf>
    <xf numFmtId="166" fontId="12" fillId="5" borderId="27" xfId="0" applyNumberFormat="1" applyFont="1" applyFill="1" applyBorder="1" applyAlignment="1" applyProtection="1">
      <alignment horizontal="center" vertical="center"/>
      <protection hidden="1"/>
    </xf>
    <xf numFmtId="0" fontId="9" fillId="5" borderId="36" xfId="0" applyFont="1" applyFill="1" applyBorder="1" applyAlignment="1" applyProtection="1">
      <alignment horizontal="center" vertical="center" wrapText="1"/>
      <protection hidden="1"/>
    </xf>
    <xf numFmtId="0" fontId="9" fillId="5" borderId="38" xfId="0" applyFont="1" applyFill="1" applyBorder="1" applyAlignment="1" applyProtection="1">
      <alignment horizontal="center" vertical="center" wrapText="1"/>
      <protection hidden="1"/>
    </xf>
    <xf numFmtId="0" fontId="9" fillId="5" borderId="3" xfId="0" applyFont="1" applyFill="1" applyBorder="1" applyAlignment="1" applyProtection="1">
      <alignment horizontal="center" vertical="center" wrapText="1"/>
      <protection hidden="1"/>
    </xf>
    <xf numFmtId="0" fontId="9" fillId="0" borderId="0" xfId="0" applyFont="1" applyAlignment="1">
      <alignment horizontal="left"/>
    </xf>
    <xf numFmtId="0" fontId="1" fillId="0" borderId="16" xfId="0" applyFont="1" applyBorder="1" applyAlignment="1">
      <alignment horizontal="center" wrapText="1"/>
    </xf>
    <xf numFmtId="0" fontId="1" fillId="0" borderId="17" xfId="0" applyFont="1" applyBorder="1" applyAlignment="1">
      <alignment horizontal="center"/>
    </xf>
    <xf numFmtId="0" fontId="1" fillId="0" borderId="18" xfId="0" applyFont="1" applyBorder="1" applyAlignment="1">
      <alignment horizontal="center"/>
    </xf>
    <xf numFmtId="0" fontId="27" fillId="4" borderId="70" xfId="27" applyFont="1" applyFill="1" applyBorder="1" applyAlignment="1">
      <alignment horizontal="center" wrapText="1"/>
    </xf>
    <xf numFmtId="0" fontId="27" fillId="4" borderId="71" xfId="27" applyFont="1" applyFill="1" applyBorder="1" applyAlignment="1">
      <alignment horizontal="center" wrapText="1"/>
    </xf>
    <xf numFmtId="0" fontId="27" fillId="4" borderId="72" xfId="27" applyFont="1" applyFill="1" applyBorder="1" applyAlignment="1">
      <alignment horizontal="center" wrapText="1"/>
    </xf>
    <xf numFmtId="0" fontId="27" fillId="4" borderId="73" xfId="27" applyFont="1" applyFill="1" applyBorder="1" applyAlignment="1">
      <alignment horizontal="center" wrapText="1"/>
    </xf>
    <xf numFmtId="0" fontId="27" fillId="4" borderId="0" xfId="27" applyFont="1" applyFill="1" applyAlignment="1">
      <alignment horizontal="center" wrapText="1"/>
    </xf>
    <xf numFmtId="0" fontId="27" fillId="4" borderId="74" xfId="27" applyFont="1" applyFill="1" applyBorder="1" applyAlignment="1">
      <alignment horizontal="center" wrapText="1"/>
    </xf>
    <xf numFmtId="0" fontId="24" fillId="0" borderId="75" xfId="27" applyFont="1" applyBorder="1" applyAlignment="1">
      <alignment horizontal="center"/>
    </xf>
    <xf numFmtId="0" fontId="25" fillId="0" borderId="76" xfId="27" applyFont="1" applyBorder="1"/>
    <xf numFmtId="0" fontId="25" fillId="0" borderId="84" xfId="27" applyFont="1" applyBorder="1"/>
    <xf numFmtId="0" fontId="85" fillId="4" borderId="1" xfId="35" applyFont="1" applyFill="1" applyBorder="1" applyAlignment="1">
      <alignment horizontal="center" vertical="center" wrapText="1"/>
    </xf>
    <xf numFmtId="0" fontId="83" fillId="31" borderId="1" xfId="35" applyFont="1" applyFill="1" applyBorder="1" applyAlignment="1">
      <alignment horizontal="left" vertical="center" wrapText="1"/>
    </xf>
    <xf numFmtId="0" fontId="83" fillId="0" borderId="33" xfId="35" applyFont="1" applyBorder="1" applyAlignment="1">
      <alignment horizontal="center" vertical="center"/>
    </xf>
    <xf numFmtId="0" fontId="83" fillId="0" borderId="44" xfId="35" applyFont="1" applyBorder="1" applyAlignment="1">
      <alignment horizontal="center" vertical="center"/>
    </xf>
    <xf numFmtId="0" fontId="84" fillId="12" borderId="1" xfId="35" applyFont="1" applyFill="1" applyBorder="1" applyAlignment="1">
      <alignment horizontal="center" vertical="center" wrapText="1"/>
    </xf>
    <xf numFmtId="0" fontId="85" fillId="12" borderId="1" xfId="35" applyFont="1" applyFill="1" applyBorder="1" applyAlignment="1">
      <alignment horizontal="center" vertical="center" wrapText="1"/>
    </xf>
    <xf numFmtId="0" fontId="83" fillId="6" borderId="33" xfId="35" applyFont="1" applyFill="1" applyBorder="1" applyAlignment="1">
      <alignment horizontal="center" vertical="center" wrapText="1"/>
    </xf>
    <xf numFmtId="0" fontId="83" fillId="6" borderId="44" xfId="35" applyFont="1" applyFill="1" applyBorder="1" applyAlignment="1">
      <alignment horizontal="center" vertical="center" wrapText="1"/>
    </xf>
    <xf numFmtId="0" fontId="83" fillId="6" borderId="45" xfId="35" applyFont="1" applyFill="1" applyBorder="1" applyAlignment="1">
      <alignment horizontal="center" vertical="center" wrapText="1"/>
    </xf>
    <xf numFmtId="0" fontId="86" fillId="4" borderId="1" xfId="35" applyFont="1" applyFill="1" applyBorder="1" applyAlignment="1">
      <alignment horizontal="center" vertical="center" wrapText="1"/>
    </xf>
    <xf numFmtId="9" fontId="5" fillId="6" borderId="16" xfId="4" applyFont="1" applyFill="1" applyBorder="1" applyAlignment="1" applyProtection="1">
      <alignment horizontal="center" vertical="center"/>
      <protection hidden="1"/>
    </xf>
    <xf numFmtId="9" fontId="5" fillId="6" borderId="17" xfId="4" applyFont="1" applyFill="1" applyBorder="1" applyAlignment="1" applyProtection="1">
      <alignment horizontal="center" vertical="center"/>
      <protection hidden="1"/>
    </xf>
    <xf numFmtId="9" fontId="5" fillId="6" borderId="18" xfId="4" applyFont="1" applyFill="1" applyBorder="1" applyAlignment="1" applyProtection="1">
      <alignment horizontal="center" vertical="center"/>
      <protection hidden="1"/>
    </xf>
    <xf numFmtId="0" fontId="12" fillId="0" borderId="16" xfId="0" applyFont="1" applyBorder="1" applyAlignment="1" applyProtection="1">
      <alignment horizontal="center"/>
      <protection hidden="1"/>
    </xf>
    <xf numFmtId="0" fontId="12" fillId="0" borderId="17" xfId="0" applyFont="1" applyBorder="1" applyAlignment="1" applyProtection="1">
      <alignment horizontal="center"/>
      <protection hidden="1"/>
    </xf>
    <xf numFmtId="0" fontId="12" fillId="0" borderId="18" xfId="0" applyFont="1" applyBorder="1" applyAlignment="1" applyProtection="1">
      <alignment horizontal="center"/>
      <protection hidden="1"/>
    </xf>
    <xf numFmtId="0" fontId="28" fillId="13" borderId="16" xfId="0" applyFont="1" applyFill="1" applyBorder="1" applyAlignment="1" applyProtection="1">
      <alignment horizontal="center" vertical="center"/>
      <protection hidden="1"/>
    </xf>
    <xf numFmtId="0" fontId="28" fillId="13" borderId="17" xfId="0" applyFont="1" applyFill="1" applyBorder="1" applyAlignment="1" applyProtection="1">
      <alignment horizontal="center" vertical="center"/>
      <protection hidden="1"/>
    </xf>
    <xf numFmtId="0" fontId="28" fillId="13" borderId="18" xfId="0" applyFont="1" applyFill="1" applyBorder="1" applyAlignment="1" applyProtection="1">
      <alignment horizontal="center" vertical="center"/>
      <protection hidden="1"/>
    </xf>
    <xf numFmtId="0" fontId="65" fillId="0" borderId="16"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18" xfId="0" applyFont="1" applyBorder="1" applyAlignment="1">
      <alignment horizontal="center" vertical="center" wrapText="1"/>
    </xf>
    <xf numFmtId="0" fontId="24" fillId="15" borderId="16" xfId="0" applyFont="1" applyFill="1" applyBorder="1" applyAlignment="1">
      <alignment horizontal="center"/>
    </xf>
    <xf numFmtId="0" fontId="24" fillId="15" borderId="17" xfId="0" applyFont="1" applyFill="1" applyBorder="1" applyAlignment="1">
      <alignment horizontal="center"/>
    </xf>
    <xf numFmtId="0" fontId="24" fillId="15" borderId="105" xfId="0" applyFont="1" applyFill="1" applyBorder="1" applyAlignment="1">
      <alignment horizontal="center"/>
    </xf>
    <xf numFmtId="0" fontId="24" fillId="0" borderId="1" xfId="0" applyFont="1" applyBorder="1" applyAlignment="1">
      <alignment horizontal="center"/>
    </xf>
    <xf numFmtId="0" fontId="24" fillId="6" borderId="1" xfId="0" applyFont="1" applyFill="1" applyBorder="1" applyAlignment="1">
      <alignment horizontal="center" vertical="center"/>
    </xf>
    <xf numFmtId="0" fontId="24" fillId="0" borderId="33"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6" borderId="1" xfId="0" applyFont="1" applyFill="1" applyBorder="1" applyAlignment="1">
      <alignment horizontal="center" vertical="center" wrapText="1"/>
    </xf>
    <xf numFmtId="0" fontId="24" fillId="6" borderId="1" xfId="0" applyFont="1" applyFill="1" applyBorder="1" applyAlignment="1">
      <alignment horizontal="center"/>
    </xf>
    <xf numFmtId="0" fontId="24" fillId="15" borderId="25" xfId="0" applyFont="1" applyFill="1" applyBorder="1" applyAlignment="1">
      <alignment horizontal="center" wrapText="1"/>
    </xf>
    <xf numFmtId="0" fontId="24" fillId="15" borderId="26" xfId="0" applyFont="1" applyFill="1" applyBorder="1" applyAlignment="1">
      <alignment horizontal="center" wrapText="1"/>
    </xf>
    <xf numFmtId="0" fontId="24" fillId="15" borderId="27" xfId="0" applyFont="1" applyFill="1" applyBorder="1" applyAlignment="1">
      <alignment horizontal="center" wrapText="1"/>
    </xf>
    <xf numFmtId="49" fontId="49" fillId="0" borderId="61" xfId="0" applyNumberFormat="1" applyFont="1" applyBorder="1" applyAlignment="1">
      <alignment horizontal="center" vertical="center" wrapText="1"/>
    </xf>
    <xf numFmtId="49" fontId="49" fillId="0" borderId="62" xfId="0" applyNumberFormat="1" applyFont="1" applyBorder="1" applyAlignment="1">
      <alignment horizontal="center" vertical="center" wrapText="1"/>
    </xf>
    <xf numFmtId="49" fontId="49" fillId="0" borderId="106" xfId="0" applyNumberFormat="1" applyFont="1" applyBorder="1" applyAlignment="1">
      <alignment horizontal="center" vertical="center" wrapText="1"/>
    </xf>
    <xf numFmtId="0" fontId="1" fillId="0" borderId="17" xfId="0" applyFont="1" applyBorder="1" applyAlignment="1">
      <alignment horizontal="center" wrapText="1"/>
    </xf>
    <xf numFmtId="0" fontId="1" fillId="0" borderId="18" xfId="0" applyFont="1" applyBorder="1" applyAlignment="1">
      <alignment horizontal="center" wrapText="1"/>
    </xf>
    <xf numFmtId="0" fontId="7" fillId="4" borderId="11" xfId="0" applyFont="1" applyFill="1" applyBorder="1" applyAlignment="1">
      <alignment horizontal="left"/>
    </xf>
    <xf numFmtId="0" fontId="7" fillId="4" borderId="1" xfId="0" applyFont="1" applyFill="1" applyBorder="1" applyAlignment="1">
      <alignment horizontal="left"/>
    </xf>
    <xf numFmtId="0" fontId="7" fillId="4" borderId="81" xfId="0" applyFont="1" applyFill="1" applyBorder="1" applyAlignment="1" applyProtection="1">
      <alignment horizontal="left" vertical="center" wrapText="1"/>
      <protection hidden="1"/>
    </xf>
    <xf numFmtId="0" fontId="7" fillId="4" borderId="0" xfId="0" applyFont="1" applyFill="1" applyAlignment="1" applyProtection="1">
      <alignment horizontal="left" vertical="center" wrapText="1"/>
      <protection hidden="1"/>
    </xf>
    <xf numFmtId="0" fontId="7" fillId="4" borderId="79" xfId="0" applyFont="1" applyFill="1" applyBorder="1" applyAlignment="1" applyProtection="1">
      <alignment horizontal="left" vertical="center" wrapText="1"/>
      <protection hidden="1"/>
    </xf>
    <xf numFmtId="0" fontId="9" fillId="4" borderId="11" xfId="0" applyFont="1" applyFill="1" applyBorder="1" applyAlignment="1" applyProtection="1">
      <alignment horizontal="center" vertical="center" wrapText="1"/>
      <protection hidden="1"/>
    </xf>
    <xf numFmtId="0" fontId="11" fillId="4" borderId="1" xfId="0" applyFont="1" applyFill="1" applyBorder="1" applyAlignment="1" applyProtection="1">
      <alignment horizontal="center" vertical="center"/>
      <protection hidden="1"/>
    </xf>
    <xf numFmtId="0" fontId="11" fillId="4" borderId="10" xfId="0" applyFont="1" applyFill="1" applyBorder="1" applyAlignment="1" applyProtection="1">
      <alignment horizontal="center" vertical="center"/>
      <protection hidden="1"/>
    </xf>
    <xf numFmtId="0" fontId="9" fillId="4" borderId="11" xfId="0" applyFont="1" applyFill="1" applyBorder="1" applyAlignment="1" applyProtection="1">
      <alignment horizontal="left" vertical="center"/>
      <protection hidden="1"/>
    </xf>
    <xf numFmtId="0" fontId="9" fillId="4" borderId="39" xfId="0" applyFont="1" applyFill="1" applyBorder="1" applyAlignment="1" applyProtection="1">
      <alignment horizontal="left" vertical="center" wrapText="1"/>
      <protection hidden="1"/>
    </xf>
    <xf numFmtId="0" fontId="9" fillId="4" borderId="78" xfId="0" applyFont="1" applyFill="1" applyBorder="1" applyAlignment="1" applyProtection="1">
      <alignment horizontal="left" vertical="center" wrapText="1"/>
      <protection hidden="1"/>
    </xf>
    <xf numFmtId="0" fontId="9" fillId="4" borderId="30" xfId="0" applyFont="1" applyFill="1" applyBorder="1" applyAlignment="1" applyProtection="1">
      <alignment horizontal="left" vertical="center" wrapText="1"/>
      <protection hidden="1"/>
    </xf>
    <xf numFmtId="0" fontId="9" fillId="4" borderId="11" xfId="0" applyFont="1" applyFill="1" applyBorder="1" applyAlignment="1" applyProtection="1">
      <alignment horizontal="left" vertical="center" wrapText="1"/>
      <protection hidden="1"/>
    </xf>
    <xf numFmtId="166" fontId="9" fillId="4" borderId="81" xfId="0" applyNumberFormat="1" applyFont="1" applyFill="1" applyBorder="1" applyAlignment="1" applyProtection="1">
      <alignment horizontal="center" vertical="center" wrapText="1"/>
      <protection hidden="1"/>
    </xf>
    <xf numFmtId="166" fontId="9" fillId="4" borderId="0" xfId="0" applyNumberFormat="1" applyFont="1" applyFill="1" applyAlignment="1" applyProtection="1">
      <alignment horizontal="center" vertical="center"/>
      <protection hidden="1"/>
    </xf>
    <xf numFmtId="0" fontId="9" fillId="4" borderId="11" xfId="0" applyFont="1" applyFill="1" applyBorder="1" applyAlignment="1">
      <alignment horizontal="center"/>
    </xf>
    <xf numFmtId="0" fontId="9" fillId="4" borderId="1" xfId="0" applyFont="1" applyFill="1" applyBorder="1" applyAlignment="1">
      <alignment horizontal="center"/>
    </xf>
    <xf numFmtId="0" fontId="28" fillId="4" borderId="71" xfId="27" applyFont="1" applyFill="1" applyBorder="1" applyAlignment="1">
      <alignment horizontal="center"/>
    </xf>
    <xf numFmtId="0" fontId="28" fillId="4" borderId="72" xfId="27" applyFont="1" applyFill="1" applyBorder="1" applyAlignment="1">
      <alignment horizontal="center"/>
    </xf>
    <xf numFmtId="0" fontId="28" fillId="4" borderId="73" xfId="27" applyFont="1" applyFill="1" applyBorder="1" applyAlignment="1">
      <alignment horizontal="center"/>
    </xf>
    <xf numFmtId="0" fontId="1" fillId="4" borderId="0" xfId="27" applyFont="1" applyFill="1" applyAlignment="1">
      <alignment horizontal="center"/>
    </xf>
    <xf numFmtId="0" fontId="28" fillId="4" borderId="74" xfId="27" applyFont="1" applyFill="1" applyBorder="1" applyAlignment="1">
      <alignment horizontal="center"/>
    </xf>
    <xf numFmtId="0" fontId="28" fillId="4" borderId="0" xfId="27" applyFont="1" applyFill="1" applyAlignment="1">
      <alignment horizontal="center"/>
    </xf>
    <xf numFmtId="0" fontId="24" fillId="0" borderId="16" xfId="27" applyFont="1" applyBorder="1" applyAlignment="1">
      <alignment horizontal="center"/>
    </xf>
    <xf numFmtId="0" fontId="25" fillId="0" borderId="17" xfId="27" applyFont="1" applyBorder="1"/>
    <xf numFmtId="0" fontId="25" fillId="0" borderId="18" xfId="27" applyFont="1" applyBorder="1"/>
    <xf numFmtId="0" fontId="11" fillId="0" borderId="1" xfId="30" applyFont="1" applyBorder="1" applyAlignment="1">
      <alignment horizontal="center" wrapText="1"/>
    </xf>
    <xf numFmtId="0" fontId="11" fillId="4" borderId="1" xfId="30" applyFont="1" applyFill="1" applyBorder="1" applyAlignment="1">
      <alignment horizontal="center" wrapText="1"/>
    </xf>
    <xf numFmtId="184" fontId="11" fillId="0" borderId="1" xfId="30" applyNumberFormat="1" applyFont="1" applyBorder="1" applyAlignment="1">
      <alignment horizontal="right" wrapText="1"/>
    </xf>
    <xf numFmtId="9" fontId="10" fillId="0" borderId="33" xfId="39" applyFont="1" applyBorder="1" applyAlignment="1">
      <alignment horizontal="center" vertical="center" wrapText="1"/>
    </xf>
    <xf numFmtId="9" fontId="10" fillId="0" borderId="45" xfId="39" applyFont="1" applyBorder="1" applyAlignment="1">
      <alignment horizontal="center" vertical="center" wrapText="1"/>
    </xf>
    <xf numFmtId="1" fontId="10" fillId="0" borderId="33" xfId="30" applyNumberFormat="1" applyFont="1" applyBorder="1" applyAlignment="1">
      <alignment horizontal="center" vertical="center" wrapText="1"/>
    </xf>
    <xf numFmtId="1" fontId="10" fillId="0" borderId="45" xfId="30" applyNumberFormat="1" applyFont="1" applyBorder="1" applyAlignment="1">
      <alignment horizontal="center" vertical="center" wrapText="1"/>
    </xf>
    <xf numFmtId="184" fontId="10" fillId="0" borderId="33" xfId="30" applyNumberFormat="1" applyFont="1" applyBorder="1" applyAlignment="1">
      <alignment horizontal="right" wrapText="1"/>
    </xf>
    <xf numFmtId="184" fontId="10" fillId="0" borderId="45" xfId="30" applyNumberFormat="1" applyFont="1" applyBorder="1" applyAlignment="1">
      <alignment horizontal="right" wrapText="1"/>
    </xf>
    <xf numFmtId="0" fontId="68" fillId="12" borderId="1" xfId="30" applyFont="1" applyFill="1" applyBorder="1" applyAlignment="1">
      <alignment horizontal="center" vertical="center" wrapText="1"/>
    </xf>
    <xf numFmtId="44" fontId="70" fillId="0" borderId="1" xfId="38" applyFont="1" applyBorder="1" applyAlignment="1">
      <alignment wrapText="1"/>
    </xf>
    <xf numFmtId="0" fontId="69" fillId="0" borderId="1" xfId="30" applyFont="1" applyBorder="1" applyAlignment="1">
      <alignment wrapText="1"/>
    </xf>
    <xf numFmtId="0" fontId="71" fillId="12" borderId="1" xfId="30" applyFont="1" applyFill="1" applyBorder="1" applyAlignment="1">
      <alignment horizontal="center" wrapText="1"/>
    </xf>
    <xf numFmtId="184" fontId="11" fillId="0" borderId="33" xfId="30" applyNumberFormat="1" applyFont="1" applyBorder="1" applyAlignment="1">
      <alignment horizontal="center" vertical="center" wrapText="1"/>
    </xf>
    <xf numFmtId="184" fontId="11" fillId="0" borderId="45" xfId="30" applyNumberFormat="1" applyFont="1" applyBorder="1" applyAlignment="1">
      <alignment horizontal="center" vertical="center" wrapText="1"/>
    </xf>
    <xf numFmtId="184" fontId="10" fillId="0" borderId="1" xfId="30" applyNumberFormat="1" applyFont="1" applyBorder="1" applyAlignment="1">
      <alignment horizontal="right" wrapText="1"/>
    </xf>
    <xf numFmtId="184" fontId="10" fillId="0" borderId="33" xfId="30" applyNumberFormat="1" applyFont="1" applyBorder="1" applyAlignment="1">
      <alignment horizontal="center" wrapText="1"/>
    </xf>
    <xf numFmtId="184" fontId="10" fillId="0" borderId="45" xfId="30" applyNumberFormat="1" applyFont="1" applyBorder="1" applyAlignment="1">
      <alignment horizontal="center" wrapText="1"/>
    </xf>
    <xf numFmtId="0" fontId="10" fillId="0" borderId="1" xfId="30" applyFont="1" applyBorder="1" applyAlignment="1">
      <alignment horizontal="center"/>
    </xf>
    <xf numFmtId="9" fontId="10" fillId="0" borderId="1" xfId="39" applyFont="1" applyBorder="1" applyAlignment="1">
      <alignment horizontal="center" vertical="center" wrapText="1"/>
    </xf>
    <xf numFmtId="184" fontId="10" fillId="4" borderId="1" xfId="30" applyNumberFormat="1" applyFont="1" applyFill="1" applyBorder="1" applyAlignment="1">
      <alignment horizontal="right" wrapText="1"/>
    </xf>
    <xf numFmtId="0" fontId="11" fillId="0" borderId="1" xfId="30" applyFont="1" applyBorder="1" applyAlignment="1">
      <alignment wrapText="1"/>
    </xf>
    <xf numFmtId="0" fontId="11" fillId="0" borderId="1" xfId="30" applyFont="1" applyBorder="1" applyAlignment="1">
      <alignment horizontal="center" vertical="center"/>
    </xf>
    <xf numFmtId="184" fontId="11" fillId="0" borderId="1" xfId="30" applyNumberFormat="1" applyFont="1" applyBorder="1" applyAlignment="1">
      <alignment horizontal="right" vertical="center"/>
    </xf>
    <xf numFmtId="3" fontId="10" fillId="0" borderId="1" xfId="30" applyNumberFormat="1" applyFont="1" applyBorder="1" applyAlignment="1">
      <alignment horizontal="center"/>
    </xf>
    <xf numFmtId="184" fontId="10" fillId="0" borderId="1" xfId="30" applyNumberFormat="1" applyFont="1" applyBorder="1" applyAlignment="1">
      <alignment horizontal="right"/>
    </xf>
    <xf numFmtId="0" fontId="11" fillId="0" borderId="1" xfId="30" applyFont="1" applyBorder="1" applyAlignment="1">
      <alignment horizontal="center"/>
    </xf>
    <xf numFmtId="186" fontId="10" fillId="0" borderId="1" xfId="16" applyNumberFormat="1" applyFont="1" applyBorder="1" applyAlignment="1">
      <alignment horizontal="center"/>
    </xf>
    <xf numFmtId="9" fontId="10" fillId="0" borderId="1" xfId="16" applyFont="1" applyBorder="1" applyAlignment="1">
      <alignment horizontal="right" wrapText="1"/>
    </xf>
    <xf numFmtId="0" fontId="10" fillId="0" borderId="33" xfId="30" applyFont="1" applyBorder="1" applyAlignment="1">
      <alignment horizontal="center"/>
    </xf>
    <xf numFmtId="0" fontId="10" fillId="0" borderId="45" xfId="30" applyFont="1" applyBorder="1" applyAlignment="1">
      <alignment horizontal="center"/>
    </xf>
    <xf numFmtId="186" fontId="10" fillId="0" borderId="33" xfId="16" applyNumberFormat="1" applyFont="1" applyBorder="1" applyAlignment="1">
      <alignment horizontal="center"/>
    </xf>
    <xf numFmtId="186" fontId="10" fillId="0" borderId="45" xfId="16" applyNumberFormat="1" applyFont="1" applyBorder="1" applyAlignment="1">
      <alignment horizontal="center"/>
    </xf>
    <xf numFmtId="184" fontId="10" fillId="4" borderId="33" xfId="30" applyNumberFormat="1" applyFont="1" applyFill="1" applyBorder="1" applyAlignment="1">
      <alignment horizontal="right" wrapText="1"/>
    </xf>
    <xf numFmtId="184" fontId="10" fillId="4" borderId="45" xfId="30" applyNumberFormat="1" applyFont="1" applyFill="1" applyBorder="1" applyAlignment="1">
      <alignment horizontal="right" wrapText="1"/>
    </xf>
    <xf numFmtId="0" fontId="11" fillId="0" borderId="1" xfId="30" applyFont="1" applyBorder="1" applyAlignment="1">
      <alignment horizontal="left" wrapText="1"/>
    </xf>
    <xf numFmtId="0" fontId="11" fillId="0" borderId="33" xfId="30" applyFont="1" applyBorder="1" applyAlignment="1">
      <alignment horizontal="left" wrapText="1"/>
    </xf>
    <xf numFmtId="0" fontId="11" fillId="0" borderId="44" xfId="30" applyFont="1" applyBorder="1" applyAlignment="1">
      <alignment horizontal="left" wrapText="1"/>
    </xf>
    <xf numFmtId="0" fontId="11" fillId="0" borderId="45" xfId="30" applyFont="1" applyBorder="1" applyAlignment="1">
      <alignment horizontal="left" wrapText="1"/>
    </xf>
    <xf numFmtId="0" fontId="10" fillId="0" borderId="44" xfId="30" applyFont="1" applyBorder="1" applyAlignment="1">
      <alignment horizontal="center"/>
    </xf>
    <xf numFmtId="0" fontId="18" fillId="0" borderId="1" xfId="41" applyFont="1" applyBorder="1" applyAlignment="1">
      <alignment horizontal="left"/>
    </xf>
    <xf numFmtId="49" fontId="51" fillId="0" borderId="16" xfId="30" applyNumberFormat="1" applyFont="1" applyBorder="1" applyAlignment="1">
      <alignment horizontal="center" vertical="center" wrapText="1"/>
    </xf>
    <xf numFmtId="49" fontId="51" fillId="0" borderId="17" xfId="30" applyNumberFormat="1" applyFont="1" applyBorder="1" applyAlignment="1">
      <alignment horizontal="center" vertical="center" wrapText="1"/>
    </xf>
    <xf numFmtId="49" fontId="51" fillId="0" borderId="18" xfId="30" applyNumberFormat="1" applyFont="1" applyBorder="1" applyAlignment="1">
      <alignment horizontal="center" vertical="center" wrapText="1"/>
    </xf>
    <xf numFmtId="0" fontId="76" fillId="26" borderId="16" xfId="30" applyFont="1" applyFill="1" applyBorder="1" applyAlignment="1">
      <alignment horizontal="center" vertical="center"/>
    </xf>
    <xf numFmtId="0" fontId="76" fillId="26" borderId="17" xfId="30" applyFont="1" applyFill="1" applyBorder="1" applyAlignment="1">
      <alignment horizontal="center" vertical="center"/>
    </xf>
    <xf numFmtId="0" fontId="76" fillId="26" borderId="18" xfId="30" applyFont="1" applyFill="1" applyBorder="1" applyAlignment="1">
      <alignment horizontal="center" vertical="center"/>
    </xf>
    <xf numFmtId="49" fontId="49" fillId="0" borderId="16" xfId="30" applyNumberFormat="1" applyFont="1" applyBorder="1" applyAlignment="1">
      <alignment horizontal="center" wrapText="1"/>
    </xf>
    <xf numFmtId="49" fontId="49" fillId="0" borderId="17" xfId="30" applyNumberFormat="1" applyFont="1" applyBorder="1" applyAlignment="1">
      <alignment horizontal="center" wrapText="1"/>
    </xf>
    <xf numFmtId="49" fontId="49" fillId="0" borderId="18" xfId="30" applyNumberFormat="1" applyFont="1" applyBorder="1" applyAlignment="1">
      <alignment horizontal="center" wrapText="1"/>
    </xf>
    <xf numFmtId="0" fontId="77" fillId="0" borderId="33" xfId="41" applyFont="1" applyBorder="1" applyAlignment="1">
      <alignment horizontal="left"/>
    </xf>
    <xf numFmtId="0" fontId="77" fillId="0" borderId="44" xfId="41" applyFont="1" applyBorder="1" applyAlignment="1">
      <alignment horizontal="left"/>
    </xf>
    <xf numFmtId="0" fontId="77" fillId="0" borderId="45" xfId="41" applyFont="1" applyBorder="1" applyAlignment="1">
      <alignment horizontal="left"/>
    </xf>
    <xf numFmtId="0" fontId="18" fillId="0" borderId="33" xfId="41" applyFont="1" applyBorder="1" applyAlignment="1">
      <alignment horizontal="left" vertical="center" wrapText="1"/>
    </xf>
    <xf numFmtId="0" fontId="18" fillId="0" borderId="45" xfId="41" applyFont="1" applyBorder="1" applyAlignment="1">
      <alignment horizontal="left" vertical="center" wrapText="1"/>
    </xf>
    <xf numFmtId="0" fontId="78" fillId="0" borderId="33" xfId="41" applyFont="1" applyBorder="1" applyAlignment="1">
      <alignment horizontal="right"/>
    </xf>
    <xf numFmtId="0" fontId="78" fillId="0" borderId="45" xfId="41" applyFont="1" applyBorder="1" applyAlignment="1">
      <alignment horizontal="right"/>
    </xf>
    <xf numFmtId="0" fontId="78" fillId="0" borderId="44" xfId="41" applyFont="1" applyBorder="1" applyAlignment="1">
      <alignment horizontal="right"/>
    </xf>
    <xf numFmtId="0" fontId="44" fillId="27" borderId="1" xfId="42" applyFont="1" applyFill="1" applyBorder="1" applyAlignment="1">
      <alignment horizontal="left" vertical="center"/>
    </xf>
    <xf numFmtId="0" fontId="78" fillId="0" borderId="63" xfId="41" applyFont="1" applyBorder="1" applyAlignment="1">
      <alignment horizontal="right"/>
    </xf>
    <xf numFmtId="0" fontId="78" fillId="0" borderId="64" xfId="41" applyFont="1" applyBorder="1" applyAlignment="1">
      <alignment horizontal="right"/>
    </xf>
    <xf numFmtId="0" fontId="32" fillId="0" borderId="88" xfId="0" applyFont="1" applyBorder="1" applyAlignment="1">
      <alignment horizontal="center" vertical="center"/>
    </xf>
    <xf numFmtId="0" fontId="54" fillId="0" borderId="101" xfId="0" applyFont="1" applyBorder="1"/>
    <xf numFmtId="0" fontId="53" fillId="29" borderId="93" xfId="0" applyFont="1" applyFill="1" applyBorder="1" applyAlignment="1">
      <alignment horizontal="center" vertical="center"/>
    </xf>
    <xf numFmtId="0" fontId="54" fillId="0" borderId="76" xfId="0" applyFont="1" applyBorder="1"/>
    <xf numFmtId="0" fontId="54" fillId="0" borderId="94" xfId="0" applyFont="1" applyBorder="1"/>
    <xf numFmtId="0" fontId="81" fillId="0" borderId="97" xfId="0" applyFont="1" applyBorder="1" applyAlignment="1">
      <alignment horizontal="center" vertical="center" wrapText="1"/>
    </xf>
    <xf numFmtId="0" fontId="54" fillId="0" borderId="98" xfId="0" applyFont="1" applyBorder="1"/>
    <xf numFmtId="0" fontId="54" fillId="0" borderId="99" xfId="0" applyFont="1" applyBorder="1"/>
    <xf numFmtId="0" fontId="80" fillId="0" borderId="0" xfId="0" applyFont="1" applyAlignment="1">
      <alignment horizontal="center" vertical="center"/>
    </xf>
    <xf numFmtId="0" fontId="0" fillId="0" borderId="0" xfId="0"/>
    <xf numFmtId="0" fontId="53" fillId="29" borderId="111" xfId="0" applyFont="1" applyFill="1" applyBorder="1" applyAlignment="1">
      <alignment horizontal="center"/>
    </xf>
    <xf numFmtId="0" fontId="54" fillId="0" borderId="71" xfId="0" applyFont="1" applyBorder="1"/>
    <xf numFmtId="0" fontId="54" fillId="0" borderId="112" xfId="0" applyFont="1" applyBorder="1"/>
    <xf numFmtId="0" fontId="53" fillId="30" borderId="113" xfId="0" applyFont="1" applyFill="1" applyBorder="1" applyAlignment="1">
      <alignment horizontal="center"/>
    </xf>
    <xf numFmtId="0" fontId="32" fillId="0" borderId="88" xfId="0" applyFont="1" applyBorder="1" applyAlignment="1">
      <alignment horizontal="center" vertical="center" wrapText="1"/>
    </xf>
    <xf numFmtId="0" fontId="53" fillId="0" borderId="113" xfId="0" applyFont="1" applyBorder="1" applyAlignment="1">
      <alignment horizontal="center"/>
    </xf>
    <xf numFmtId="0" fontId="53" fillId="0" borderId="71" xfId="0" applyFont="1" applyBorder="1" applyAlignment="1">
      <alignment horizontal="center" wrapText="1"/>
    </xf>
    <xf numFmtId="0" fontId="53" fillId="0" borderId="0" xfId="0" applyFont="1" applyAlignment="1">
      <alignment horizontal="center" wrapText="1"/>
    </xf>
    <xf numFmtId="0" fontId="32" fillId="0" borderId="101" xfId="0" applyFont="1" applyBorder="1" applyAlignment="1">
      <alignment horizontal="center" vertical="center" wrapText="1"/>
    </xf>
  </cellXfs>
  <cellStyles count="58">
    <cellStyle name="Millares" xfId="1" builtinId="3"/>
    <cellStyle name="Millares [0]" xfId="33" builtinId="6"/>
    <cellStyle name="Millares 2" xfId="22"/>
    <cellStyle name="Millares 3" xfId="23"/>
    <cellStyle name="Moneda" xfId="2" builtinId="4"/>
    <cellStyle name="Moneda [0]" xfId="3" builtinId="7"/>
    <cellStyle name="Moneda [0] 2" xfId="25"/>
    <cellStyle name="Moneda [0] 2 3" xfId="46"/>
    <cellStyle name="Moneda [0] 2 4" xfId="34"/>
    <cellStyle name="Moneda [0] 3" xfId="13"/>
    <cellStyle name="Moneda [0] 4" xfId="37"/>
    <cellStyle name="Moneda [0] 4 2" xfId="52"/>
    <cellStyle name="Moneda [0] 6" xfId="48"/>
    <cellStyle name="Moneda 2" xfId="36"/>
    <cellStyle name="Moneda 2 2" xfId="51"/>
    <cellStyle name="Moneda 3" xfId="38"/>
    <cellStyle name="Moneda 4" xfId="49"/>
    <cellStyle name="Moneda 5" xfId="50"/>
    <cellStyle name="Moneda 9" xfId="53"/>
    <cellStyle name="Normal" xfId="0" builtinId="0"/>
    <cellStyle name="Normal 10" xfId="57"/>
    <cellStyle name="Normal 11" xfId="44"/>
    <cellStyle name="Normal 11 2" xfId="17"/>
    <cellStyle name="Normal 11 2 2" xfId="20"/>
    <cellStyle name="Normal 2" xfId="14"/>
    <cellStyle name="Normal 2 10" xfId="54"/>
    <cellStyle name="Normal 2 14" xfId="30"/>
    <cellStyle name="Normal 2 2" xfId="18"/>
    <cellStyle name="Normal 2 2 2" xfId="19"/>
    <cellStyle name="Normal 2 2 2 2 2" xfId="41"/>
    <cellStyle name="Normal 2 2 5" xfId="56"/>
    <cellStyle name="Normal 2 3" xfId="42"/>
    <cellStyle name="Normal 23" xfId="15"/>
    <cellStyle name="Normal 3" xfId="21"/>
    <cellStyle name="Normal 3 13" xfId="29"/>
    <cellStyle name="Normal 4" xfId="11"/>
    <cellStyle name="Normal 4 2" xfId="27"/>
    <cellStyle name="Normal 47 2" xfId="24"/>
    <cellStyle name="Normal 48" xfId="28"/>
    <cellStyle name="Normal 48 3" xfId="32"/>
    <cellStyle name="Normal 5" xfId="5"/>
    <cellStyle name="Normal 5 2" xfId="40"/>
    <cellStyle name="Normal 5 3" xfId="55"/>
    <cellStyle name="Normal 6" xfId="10"/>
    <cellStyle name="Normal 7" xfId="12"/>
    <cellStyle name="Normal 8" xfId="35"/>
    <cellStyle name="Normal 9" xfId="45"/>
    <cellStyle name="Normal_Macro APUS" xfId="6"/>
    <cellStyle name="Normal_PLANOS CONSIGA" xfId="8"/>
    <cellStyle name="Normal_PLANOS CONSIGA 2" xfId="9"/>
    <cellStyle name="Normal_PRESUPUESTO ESCUELA DE INFANTERIA" xfId="7"/>
    <cellStyle name="Porcentaje" xfId="4" builtinId="5"/>
    <cellStyle name="Porcentaje 2" xfId="16"/>
    <cellStyle name="Porcentaje 2 2" xfId="43"/>
    <cellStyle name="Porcentaje 2 2 2" xfId="47"/>
    <cellStyle name="Porcentaje 3" xfId="26"/>
    <cellStyle name="Porcentaje 3 2" xfId="39"/>
    <cellStyle name="Porcentaje 4" xfId="31"/>
  </cellStyles>
  <dxfs count="96">
    <dxf>
      <font>
        <b val="0"/>
        <i val="0"/>
        <strike val="0"/>
        <condense val="0"/>
        <extend val="0"/>
        <outline val="0"/>
        <shadow val="0"/>
        <u val="none"/>
        <vertAlign val="baseline"/>
        <sz val="9"/>
        <color auto="1"/>
        <name val="Arial"/>
        <scheme val="none"/>
      </font>
      <numFmt numFmtId="165" formatCode="&quot;$&quot;\ #,##0.00"/>
      <fill>
        <patternFill patternType="solid">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dxf>
    <dxf>
      <border outline="0">
        <left style="medium">
          <color indexed="64"/>
        </left>
        <right style="medium">
          <color indexed="64"/>
        </right>
        <top style="medium">
          <color indexed="64"/>
        </top>
        <bottom style="medium">
          <color indexed="64"/>
        </bottom>
      </border>
    </dxf>
    <dxf>
      <fill>
        <patternFill patternType="solid">
          <fgColor indexed="64"/>
          <bgColor theme="0"/>
        </patternFill>
      </fill>
    </dxf>
    <dxf>
      <font>
        <b/>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65" formatCode="&quot;$&quot;\ #,##0.00"/>
      <fill>
        <patternFill patternType="solid">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dxf>
    <dxf>
      <border outline="0">
        <left style="medium">
          <color indexed="64"/>
        </left>
        <right style="medium">
          <color indexed="64"/>
        </right>
        <top style="medium">
          <color indexed="64"/>
        </top>
        <bottom style="medium">
          <color indexed="64"/>
        </bottom>
      </border>
    </dxf>
    <dxf>
      <fill>
        <patternFill patternType="solid">
          <fgColor indexed="64"/>
          <bgColor theme="0"/>
        </patternFill>
      </fill>
    </dxf>
    <dxf>
      <font>
        <b/>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65" formatCode="&quot;$&quot;\ #,##0.00"/>
      <fill>
        <patternFill patternType="solid">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solid">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dxf>
    <dxf>
      <border outline="0">
        <left style="medium">
          <color indexed="64"/>
        </left>
        <right style="medium">
          <color indexed="64"/>
        </right>
        <top style="medium">
          <color indexed="64"/>
        </top>
        <bottom style="medium">
          <color indexed="64"/>
        </bottom>
      </border>
    </dxf>
    <dxf>
      <fill>
        <patternFill patternType="solid">
          <fgColor indexed="64"/>
          <bgColor theme="0"/>
        </patternFill>
      </fill>
    </dxf>
    <dxf>
      <font>
        <b/>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2" formatCode="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0" formatCode="General"/>
      <fill>
        <patternFill patternType="none">
          <fgColor indexed="64"/>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border outline="0">
        <left style="medium">
          <color indexed="64"/>
        </left>
        <right style="medium">
          <color indexed="64"/>
        </right>
        <top style="medium">
          <color indexed="64"/>
        </top>
        <bottom style="medium">
          <color indexed="64"/>
        </bottom>
      </border>
    </dxf>
    <dxf>
      <fill>
        <patternFill patternType="none">
          <fgColor indexed="64"/>
          <bgColor theme="0"/>
        </patternFill>
      </fill>
    </dxf>
    <dxf>
      <border outline="0">
        <bottom style="medium">
          <color indexed="64"/>
        </bottom>
      </border>
    </dxf>
    <dxf>
      <font>
        <b/>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2" formatCode="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0" formatCode="General"/>
      <fill>
        <patternFill patternType="none">
          <fgColor indexed="64"/>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border outline="0">
        <left style="medium">
          <color indexed="64"/>
        </left>
        <right style="medium">
          <color indexed="64"/>
        </right>
        <top style="medium">
          <color indexed="64"/>
        </top>
        <bottom style="medium">
          <color indexed="64"/>
        </bottom>
      </border>
    </dxf>
    <dxf>
      <fill>
        <patternFill patternType="none">
          <fgColor indexed="64"/>
          <bgColor theme="0"/>
        </patternFill>
      </fill>
    </dxf>
    <dxf>
      <border outline="0">
        <bottom style="medium">
          <color indexed="64"/>
        </bottom>
      </border>
    </dxf>
    <dxf>
      <font>
        <b/>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2" formatCode="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general"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0" formatCode="General"/>
      <fill>
        <patternFill patternType="none">
          <fgColor indexed="64"/>
          <bgColor theme="0"/>
        </patternFill>
      </fill>
      <alignment horizontal="center" vertical="center" textRotation="0" wrapText="0" indent="0" justifyLastLine="0" shrinkToFit="0" readingOrder="0"/>
      <border diagonalUp="0" diagonalDown="0" outline="0">
        <left/>
        <right/>
        <top style="thin">
          <color indexed="64"/>
        </top>
        <bottom style="thin">
          <color indexed="64"/>
        </bottom>
      </border>
      <protection locked="1" hidden="0"/>
    </dxf>
    <dxf>
      <border outline="0">
        <left style="medium">
          <color indexed="64"/>
        </left>
        <right style="medium">
          <color indexed="64"/>
        </right>
        <top style="medium">
          <color indexed="64"/>
        </top>
        <bottom style="medium">
          <color indexed="64"/>
        </bottom>
      </border>
    </dxf>
    <dxf>
      <fill>
        <patternFill patternType="none">
          <fgColor indexed="64"/>
          <bgColor theme="0"/>
        </patternFill>
      </fill>
    </dxf>
    <dxf>
      <border outline="0">
        <bottom style="medium">
          <color indexed="64"/>
        </bottom>
      </border>
    </dxf>
    <dxf>
      <font>
        <b/>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2" formatCode="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0" formatCode="General"/>
      <fill>
        <patternFill patternType="none">
          <fgColor indexed="64"/>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border outline="0">
        <left style="medium">
          <color indexed="64"/>
        </left>
        <right style="medium">
          <color indexed="64"/>
        </right>
        <top style="medium">
          <color indexed="64"/>
        </top>
        <bottom style="medium">
          <color indexed="64"/>
        </bottom>
      </border>
    </dxf>
    <dxf>
      <fill>
        <patternFill patternType="none">
          <fgColor indexed="64"/>
          <bgColor theme="0"/>
        </patternFill>
      </fill>
    </dxf>
    <dxf>
      <border outline="0">
        <bottom style="medium">
          <color indexed="64"/>
        </bottom>
      </border>
    </dxf>
    <dxf>
      <font>
        <b/>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2" formatCode="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9"/>
        <color auto="1"/>
        <name val="Arial"/>
        <scheme val="none"/>
      </font>
      <numFmt numFmtId="0" formatCode="General"/>
      <fill>
        <patternFill patternType="none">
          <fgColor indexed="64"/>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border outline="0">
        <left style="medium">
          <color indexed="64"/>
        </left>
        <right style="medium">
          <color indexed="64"/>
        </right>
        <top style="medium">
          <color indexed="64"/>
        </top>
        <bottom style="medium">
          <color indexed="64"/>
        </bottom>
      </border>
    </dxf>
    <dxf>
      <fill>
        <patternFill patternType="none">
          <fgColor indexed="64"/>
          <bgColor theme="0"/>
        </patternFill>
      </fill>
    </dxf>
    <dxf>
      <border outline="0">
        <bottom style="medium">
          <color indexed="64"/>
        </bottom>
      </border>
    </dxf>
    <dxf>
      <font>
        <b/>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2" formatCode="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5" formatCode="&quot;$&quot;\ #,##0.00"/>
      <fill>
        <patternFill patternType="none">
          <fgColor indexed="64"/>
          <bgColor theme="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164" formatCode="0.000"/>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fill>
        <patternFill patternType="none">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9"/>
        <color auto="1"/>
        <name val="Arial"/>
        <scheme val="none"/>
      </font>
      <numFmt numFmtId="0" formatCode="General"/>
      <fill>
        <patternFill patternType="none">
          <fgColor indexed="64"/>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border outline="0">
        <left style="medium">
          <color indexed="64"/>
        </left>
        <right style="medium">
          <color indexed="64"/>
        </right>
        <top style="medium">
          <color indexed="64"/>
        </top>
        <bottom style="medium">
          <color indexed="64"/>
        </bottom>
      </border>
    </dxf>
    <dxf>
      <fill>
        <patternFill patternType="none">
          <fgColor indexed="64"/>
          <bgColor theme="0"/>
        </patternFill>
      </fill>
    </dxf>
    <dxf>
      <border outline="0">
        <bottom style="medium">
          <color indexed="64"/>
        </bottom>
      </border>
    </dxf>
    <dxf>
      <font>
        <b/>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1F7EA9"/>
      <color rgb="FF44C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6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3.xml"/><Relationship Id="rId68" Type="http://schemas.openxmlformats.org/officeDocument/2006/relationships/externalLink" Target="externalLinks/externalLink18.xml"/><Relationship Id="rId84" Type="http://schemas.openxmlformats.org/officeDocument/2006/relationships/externalLink" Target="externalLinks/externalLink34.xml"/><Relationship Id="rId89" Type="http://schemas.openxmlformats.org/officeDocument/2006/relationships/externalLink" Target="externalLinks/externalLink39.xml"/><Relationship Id="rId112" Type="http://schemas.openxmlformats.org/officeDocument/2006/relationships/externalLink" Target="externalLinks/externalLink62.xml"/><Relationship Id="rId133" Type="http://schemas.openxmlformats.org/officeDocument/2006/relationships/externalLink" Target="externalLinks/externalLink83.xml"/><Relationship Id="rId138" Type="http://schemas.openxmlformats.org/officeDocument/2006/relationships/externalLink" Target="externalLinks/externalLink88.xml"/><Relationship Id="rId154" Type="http://schemas.openxmlformats.org/officeDocument/2006/relationships/externalLink" Target="externalLinks/externalLink104.xml"/><Relationship Id="rId159" Type="http://schemas.openxmlformats.org/officeDocument/2006/relationships/externalLink" Target="externalLinks/externalLink109.xml"/><Relationship Id="rId16" Type="http://schemas.openxmlformats.org/officeDocument/2006/relationships/worksheet" Target="worksheets/sheet16.xml"/><Relationship Id="rId107" Type="http://schemas.openxmlformats.org/officeDocument/2006/relationships/externalLink" Target="externalLinks/externalLink5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externalLink" Target="externalLinks/externalLink3.xml"/><Relationship Id="rId58" Type="http://schemas.openxmlformats.org/officeDocument/2006/relationships/externalLink" Target="externalLinks/externalLink8.xml"/><Relationship Id="rId74" Type="http://schemas.openxmlformats.org/officeDocument/2006/relationships/externalLink" Target="externalLinks/externalLink24.xml"/><Relationship Id="rId79" Type="http://schemas.openxmlformats.org/officeDocument/2006/relationships/externalLink" Target="externalLinks/externalLink29.xml"/><Relationship Id="rId102" Type="http://schemas.openxmlformats.org/officeDocument/2006/relationships/externalLink" Target="externalLinks/externalLink52.xml"/><Relationship Id="rId123" Type="http://schemas.openxmlformats.org/officeDocument/2006/relationships/externalLink" Target="externalLinks/externalLink73.xml"/><Relationship Id="rId128" Type="http://schemas.openxmlformats.org/officeDocument/2006/relationships/externalLink" Target="externalLinks/externalLink78.xml"/><Relationship Id="rId144" Type="http://schemas.openxmlformats.org/officeDocument/2006/relationships/externalLink" Target="externalLinks/externalLink94.xml"/><Relationship Id="rId149" Type="http://schemas.openxmlformats.org/officeDocument/2006/relationships/externalLink" Target="externalLinks/externalLink99.xml"/><Relationship Id="rId5" Type="http://schemas.openxmlformats.org/officeDocument/2006/relationships/worksheet" Target="worksheets/sheet5.xml"/><Relationship Id="rId90" Type="http://schemas.openxmlformats.org/officeDocument/2006/relationships/externalLink" Target="externalLinks/externalLink40.xml"/><Relationship Id="rId95" Type="http://schemas.openxmlformats.org/officeDocument/2006/relationships/externalLink" Target="externalLinks/externalLink45.xml"/><Relationship Id="rId16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externalLink" Target="externalLinks/externalLink14.xml"/><Relationship Id="rId69" Type="http://schemas.openxmlformats.org/officeDocument/2006/relationships/externalLink" Target="externalLinks/externalLink19.xml"/><Relationship Id="rId113" Type="http://schemas.openxmlformats.org/officeDocument/2006/relationships/externalLink" Target="externalLinks/externalLink63.xml"/><Relationship Id="rId118" Type="http://schemas.openxmlformats.org/officeDocument/2006/relationships/externalLink" Target="externalLinks/externalLink68.xml"/><Relationship Id="rId134" Type="http://schemas.openxmlformats.org/officeDocument/2006/relationships/externalLink" Target="externalLinks/externalLink84.xml"/><Relationship Id="rId139" Type="http://schemas.openxmlformats.org/officeDocument/2006/relationships/externalLink" Target="externalLinks/externalLink89.xml"/><Relationship Id="rId80" Type="http://schemas.openxmlformats.org/officeDocument/2006/relationships/externalLink" Target="externalLinks/externalLink30.xml"/><Relationship Id="rId85" Type="http://schemas.openxmlformats.org/officeDocument/2006/relationships/externalLink" Target="externalLinks/externalLink35.xml"/><Relationship Id="rId150" Type="http://schemas.openxmlformats.org/officeDocument/2006/relationships/externalLink" Target="externalLinks/externalLink100.xml"/><Relationship Id="rId155" Type="http://schemas.openxmlformats.org/officeDocument/2006/relationships/externalLink" Target="externalLinks/externalLink10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9.xml"/><Relationship Id="rId103" Type="http://schemas.openxmlformats.org/officeDocument/2006/relationships/externalLink" Target="externalLinks/externalLink53.xml"/><Relationship Id="rId108" Type="http://schemas.openxmlformats.org/officeDocument/2006/relationships/externalLink" Target="externalLinks/externalLink58.xml"/><Relationship Id="rId124" Type="http://schemas.openxmlformats.org/officeDocument/2006/relationships/externalLink" Target="externalLinks/externalLink74.xml"/><Relationship Id="rId129" Type="http://schemas.openxmlformats.org/officeDocument/2006/relationships/externalLink" Target="externalLinks/externalLink79.xml"/><Relationship Id="rId54" Type="http://schemas.openxmlformats.org/officeDocument/2006/relationships/externalLink" Target="externalLinks/externalLink4.xml"/><Relationship Id="rId70" Type="http://schemas.openxmlformats.org/officeDocument/2006/relationships/externalLink" Target="externalLinks/externalLink20.xml"/><Relationship Id="rId75" Type="http://schemas.openxmlformats.org/officeDocument/2006/relationships/externalLink" Target="externalLinks/externalLink25.xml"/><Relationship Id="rId91" Type="http://schemas.openxmlformats.org/officeDocument/2006/relationships/externalLink" Target="externalLinks/externalLink41.xml"/><Relationship Id="rId96" Type="http://schemas.openxmlformats.org/officeDocument/2006/relationships/externalLink" Target="externalLinks/externalLink46.xml"/><Relationship Id="rId140" Type="http://schemas.openxmlformats.org/officeDocument/2006/relationships/externalLink" Target="externalLinks/externalLink90.xml"/><Relationship Id="rId145" Type="http://schemas.openxmlformats.org/officeDocument/2006/relationships/externalLink" Target="externalLinks/externalLink95.xml"/><Relationship Id="rId16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7.xml"/><Relationship Id="rId106" Type="http://schemas.openxmlformats.org/officeDocument/2006/relationships/externalLink" Target="externalLinks/externalLink56.xml"/><Relationship Id="rId114" Type="http://schemas.openxmlformats.org/officeDocument/2006/relationships/externalLink" Target="externalLinks/externalLink64.xml"/><Relationship Id="rId119" Type="http://schemas.openxmlformats.org/officeDocument/2006/relationships/externalLink" Target="externalLinks/externalLink69.xml"/><Relationship Id="rId127" Type="http://schemas.openxmlformats.org/officeDocument/2006/relationships/externalLink" Target="externalLinks/externalLink7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2.xml"/><Relationship Id="rId60" Type="http://schemas.openxmlformats.org/officeDocument/2006/relationships/externalLink" Target="externalLinks/externalLink10.xml"/><Relationship Id="rId65" Type="http://schemas.openxmlformats.org/officeDocument/2006/relationships/externalLink" Target="externalLinks/externalLink15.xml"/><Relationship Id="rId73" Type="http://schemas.openxmlformats.org/officeDocument/2006/relationships/externalLink" Target="externalLinks/externalLink23.xml"/><Relationship Id="rId78" Type="http://schemas.openxmlformats.org/officeDocument/2006/relationships/externalLink" Target="externalLinks/externalLink28.xml"/><Relationship Id="rId81" Type="http://schemas.openxmlformats.org/officeDocument/2006/relationships/externalLink" Target="externalLinks/externalLink31.xml"/><Relationship Id="rId86" Type="http://schemas.openxmlformats.org/officeDocument/2006/relationships/externalLink" Target="externalLinks/externalLink36.xml"/><Relationship Id="rId94" Type="http://schemas.openxmlformats.org/officeDocument/2006/relationships/externalLink" Target="externalLinks/externalLink44.xml"/><Relationship Id="rId99" Type="http://schemas.openxmlformats.org/officeDocument/2006/relationships/externalLink" Target="externalLinks/externalLink49.xml"/><Relationship Id="rId101" Type="http://schemas.openxmlformats.org/officeDocument/2006/relationships/externalLink" Target="externalLinks/externalLink51.xml"/><Relationship Id="rId122" Type="http://schemas.openxmlformats.org/officeDocument/2006/relationships/externalLink" Target="externalLinks/externalLink72.xml"/><Relationship Id="rId130" Type="http://schemas.openxmlformats.org/officeDocument/2006/relationships/externalLink" Target="externalLinks/externalLink80.xml"/><Relationship Id="rId135" Type="http://schemas.openxmlformats.org/officeDocument/2006/relationships/externalLink" Target="externalLinks/externalLink85.xml"/><Relationship Id="rId143" Type="http://schemas.openxmlformats.org/officeDocument/2006/relationships/externalLink" Target="externalLinks/externalLink93.xml"/><Relationship Id="rId148" Type="http://schemas.openxmlformats.org/officeDocument/2006/relationships/externalLink" Target="externalLinks/externalLink98.xml"/><Relationship Id="rId151" Type="http://schemas.openxmlformats.org/officeDocument/2006/relationships/externalLink" Target="externalLinks/externalLink101.xml"/><Relationship Id="rId156" Type="http://schemas.openxmlformats.org/officeDocument/2006/relationships/externalLink" Target="externalLinks/externalLink10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5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externalLink" Target="externalLinks/externalLink5.xml"/><Relationship Id="rId76" Type="http://schemas.openxmlformats.org/officeDocument/2006/relationships/externalLink" Target="externalLinks/externalLink26.xml"/><Relationship Id="rId97" Type="http://schemas.openxmlformats.org/officeDocument/2006/relationships/externalLink" Target="externalLinks/externalLink47.xml"/><Relationship Id="rId104" Type="http://schemas.openxmlformats.org/officeDocument/2006/relationships/externalLink" Target="externalLinks/externalLink54.xml"/><Relationship Id="rId120" Type="http://schemas.openxmlformats.org/officeDocument/2006/relationships/externalLink" Target="externalLinks/externalLink70.xml"/><Relationship Id="rId125" Type="http://schemas.openxmlformats.org/officeDocument/2006/relationships/externalLink" Target="externalLinks/externalLink75.xml"/><Relationship Id="rId141" Type="http://schemas.openxmlformats.org/officeDocument/2006/relationships/externalLink" Target="externalLinks/externalLink91.xml"/><Relationship Id="rId146" Type="http://schemas.openxmlformats.org/officeDocument/2006/relationships/externalLink" Target="externalLinks/externalLink96.xml"/><Relationship Id="rId7" Type="http://schemas.openxmlformats.org/officeDocument/2006/relationships/worksheet" Target="worksheets/sheet7.xml"/><Relationship Id="rId71" Type="http://schemas.openxmlformats.org/officeDocument/2006/relationships/externalLink" Target="externalLinks/externalLink21.xml"/><Relationship Id="rId92" Type="http://schemas.openxmlformats.org/officeDocument/2006/relationships/externalLink" Target="externalLinks/externalLink42.xml"/><Relationship Id="rId16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16.xml"/><Relationship Id="rId87" Type="http://schemas.openxmlformats.org/officeDocument/2006/relationships/externalLink" Target="externalLinks/externalLink37.xml"/><Relationship Id="rId110" Type="http://schemas.openxmlformats.org/officeDocument/2006/relationships/externalLink" Target="externalLinks/externalLink60.xml"/><Relationship Id="rId115" Type="http://schemas.openxmlformats.org/officeDocument/2006/relationships/externalLink" Target="externalLinks/externalLink65.xml"/><Relationship Id="rId131" Type="http://schemas.openxmlformats.org/officeDocument/2006/relationships/externalLink" Target="externalLinks/externalLink81.xml"/><Relationship Id="rId136" Type="http://schemas.openxmlformats.org/officeDocument/2006/relationships/externalLink" Target="externalLinks/externalLink86.xml"/><Relationship Id="rId157" Type="http://schemas.openxmlformats.org/officeDocument/2006/relationships/externalLink" Target="externalLinks/externalLink107.xml"/><Relationship Id="rId61" Type="http://schemas.openxmlformats.org/officeDocument/2006/relationships/externalLink" Target="externalLinks/externalLink11.xml"/><Relationship Id="rId82" Type="http://schemas.openxmlformats.org/officeDocument/2006/relationships/externalLink" Target="externalLinks/externalLink32.xml"/><Relationship Id="rId152" Type="http://schemas.openxmlformats.org/officeDocument/2006/relationships/externalLink" Target="externalLinks/externalLink10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6.xml"/><Relationship Id="rId77" Type="http://schemas.openxmlformats.org/officeDocument/2006/relationships/externalLink" Target="externalLinks/externalLink27.xml"/><Relationship Id="rId100" Type="http://schemas.openxmlformats.org/officeDocument/2006/relationships/externalLink" Target="externalLinks/externalLink50.xml"/><Relationship Id="rId105" Type="http://schemas.openxmlformats.org/officeDocument/2006/relationships/externalLink" Target="externalLinks/externalLink55.xml"/><Relationship Id="rId126" Type="http://schemas.openxmlformats.org/officeDocument/2006/relationships/externalLink" Target="externalLinks/externalLink76.xml"/><Relationship Id="rId147" Type="http://schemas.openxmlformats.org/officeDocument/2006/relationships/externalLink" Target="externalLinks/externalLink97.xml"/><Relationship Id="rId8" Type="http://schemas.openxmlformats.org/officeDocument/2006/relationships/worksheet" Target="worksheets/sheet8.xml"/><Relationship Id="rId51" Type="http://schemas.openxmlformats.org/officeDocument/2006/relationships/externalLink" Target="externalLinks/externalLink1.xml"/><Relationship Id="rId72" Type="http://schemas.openxmlformats.org/officeDocument/2006/relationships/externalLink" Target="externalLinks/externalLink22.xml"/><Relationship Id="rId93" Type="http://schemas.openxmlformats.org/officeDocument/2006/relationships/externalLink" Target="externalLinks/externalLink43.xml"/><Relationship Id="rId98" Type="http://schemas.openxmlformats.org/officeDocument/2006/relationships/externalLink" Target="externalLinks/externalLink48.xml"/><Relationship Id="rId121" Type="http://schemas.openxmlformats.org/officeDocument/2006/relationships/externalLink" Target="externalLinks/externalLink71.xml"/><Relationship Id="rId142" Type="http://schemas.openxmlformats.org/officeDocument/2006/relationships/externalLink" Target="externalLinks/externalLink92.xml"/><Relationship Id="rId163"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17.xml"/><Relationship Id="rId116" Type="http://schemas.openxmlformats.org/officeDocument/2006/relationships/externalLink" Target="externalLinks/externalLink66.xml"/><Relationship Id="rId137" Type="http://schemas.openxmlformats.org/officeDocument/2006/relationships/externalLink" Target="externalLinks/externalLink87.xml"/><Relationship Id="rId158" Type="http://schemas.openxmlformats.org/officeDocument/2006/relationships/externalLink" Target="externalLinks/externalLink10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2.xml"/><Relationship Id="rId83" Type="http://schemas.openxmlformats.org/officeDocument/2006/relationships/externalLink" Target="externalLinks/externalLink33.xml"/><Relationship Id="rId88" Type="http://schemas.openxmlformats.org/officeDocument/2006/relationships/externalLink" Target="externalLinks/externalLink38.xml"/><Relationship Id="rId111" Type="http://schemas.openxmlformats.org/officeDocument/2006/relationships/externalLink" Target="externalLinks/externalLink61.xml"/><Relationship Id="rId132" Type="http://schemas.openxmlformats.org/officeDocument/2006/relationships/externalLink" Target="externalLinks/externalLink82.xml"/><Relationship Id="rId153" Type="http://schemas.openxmlformats.org/officeDocument/2006/relationships/externalLink" Target="externalLinks/externalLink10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1" Type="http://schemas.openxmlformats.org/officeDocument/2006/relationships/image" Target="../media/image8.png"/></Relationships>
</file>

<file path=xl/drawings/_rels/drawing15.xml.rels><?xml version="1.0" encoding="UTF-8" standalone="yes"?>
<Relationships xmlns="http://schemas.openxmlformats.org/package/2006/relationships"><Relationship Id="rId1" Type="http://schemas.openxmlformats.org/officeDocument/2006/relationships/image" Target="../media/image9.png"/></Relationships>
</file>

<file path=xl/drawings/_rels/drawing16.xml.rels><?xml version="1.0" encoding="UTF-8" standalone="yes"?>
<Relationships xmlns="http://schemas.openxmlformats.org/package/2006/relationships"><Relationship Id="rId1" Type="http://schemas.openxmlformats.org/officeDocument/2006/relationships/image" Target="../media/image9.png"/></Relationships>
</file>

<file path=xl/drawings/_rels/drawing17.xml.rels><?xml version="1.0" encoding="UTF-8" standalone="yes"?>
<Relationships xmlns="http://schemas.openxmlformats.org/package/2006/relationships"><Relationship Id="rId1" Type="http://schemas.openxmlformats.org/officeDocument/2006/relationships/image" Target="../media/image9.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0.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21.xml.rels><?xml version="1.0" encoding="UTF-8" standalone="yes"?>
<Relationships xmlns="http://schemas.openxmlformats.org/package/2006/relationships"><Relationship Id="rId1" Type="http://schemas.openxmlformats.org/officeDocument/2006/relationships/image" Target="../media/image9.png"/></Relationships>
</file>

<file path=xl/drawings/_rels/drawing22.xml.rels><?xml version="1.0" encoding="UTF-8" standalone="yes"?>
<Relationships xmlns="http://schemas.openxmlformats.org/package/2006/relationships"><Relationship Id="rId1" Type="http://schemas.openxmlformats.org/officeDocument/2006/relationships/image" Target="../media/image9.png"/></Relationships>
</file>

<file path=xl/drawings/_rels/drawing23.xml.rels><?xml version="1.0" encoding="UTF-8" standalone="yes"?>
<Relationships xmlns="http://schemas.openxmlformats.org/package/2006/relationships"><Relationship Id="rId1" Type="http://schemas.openxmlformats.org/officeDocument/2006/relationships/image" Target="../media/image9.png"/></Relationships>
</file>

<file path=xl/drawings/_rels/drawing24.xml.rels><?xml version="1.0" encoding="UTF-8" standalone="yes"?>
<Relationships xmlns="http://schemas.openxmlformats.org/package/2006/relationships"><Relationship Id="rId1" Type="http://schemas.openxmlformats.org/officeDocument/2006/relationships/image" Target="../media/image9.png"/></Relationships>
</file>

<file path=xl/drawings/_rels/drawing25.xml.rels><?xml version="1.0" encoding="UTF-8" standalone="yes"?>
<Relationships xmlns="http://schemas.openxmlformats.org/package/2006/relationships"><Relationship Id="rId1" Type="http://schemas.openxmlformats.org/officeDocument/2006/relationships/image" Target="../media/image9.png"/></Relationships>
</file>

<file path=xl/drawings/_rels/drawing26.xml.rels><?xml version="1.0" encoding="UTF-8" standalone="yes"?>
<Relationships xmlns="http://schemas.openxmlformats.org/package/2006/relationships"><Relationship Id="rId1" Type="http://schemas.openxmlformats.org/officeDocument/2006/relationships/image" Target="../media/image9.png"/></Relationships>
</file>

<file path=xl/drawings/_rels/drawing27.xml.rels><?xml version="1.0" encoding="UTF-8" standalone="yes"?>
<Relationships xmlns="http://schemas.openxmlformats.org/package/2006/relationships"><Relationship Id="rId1" Type="http://schemas.openxmlformats.org/officeDocument/2006/relationships/image" Target="../media/image9.png"/></Relationships>
</file>

<file path=xl/drawings/_rels/drawing28.xml.rels><?xml version="1.0" encoding="UTF-8" standalone="yes"?>
<Relationships xmlns="http://schemas.openxmlformats.org/package/2006/relationships"><Relationship Id="rId1" Type="http://schemas.openxmlformats.org/officeDocument/2006/relationships/image" Target="../media/image9.png"/></Relationships>
</file>

<file path=xl/drawings/_rels/drawing29.xml.rels><?xml version="1.0" encoding="UTF-8" standalone="yes"?>
<Relationships xmlns="http://schemas.openxmlformats.org/package/2006/relationships"><Relationship Id="rId1" Type="http://schemas.openxmlformats.org/officeDocument/2006/relationships/image" Target="../media/image9.png"/></Relationships>
</file>

<file path=xl/drawings/_rels/drawing30.xml.rels><?xml version="1.0" encoding="UTF-8" standalone="yes"?>
<Relationships xmlns="http://schemas.openxmlformats.org/package/2006/relationships"><Relationship Id="rId1" Type="http://schemas.openxmlformats.org/officeDocument/2006/relationships/image" Target="../media/image9.png"/></Relationships>
</file>

<file path=xl/drawings/_rels/drawing31.xml.rels><?xml version="1.0" encoding="UTF-8" standalone="yes"?>
<Relationships xmlns="http://schemas.openxmlformats.org/package/2006/relationships"><Relationship Id="rId1" Type="http://schemas.openxmlformats.org/officeDocument/2006/relationships/image" Target="../media/image9.png"/></Relationships>
</file>

<file path=xl/drawings/_rels/drawing32.xml.rels><?xml version="1.0" encoding="UTF-8" standalone="yes"?>
<Relationships xmlns="http://schemas.openxmlformats.org/package/2006/relationships"><Relationship Id="rId1" Type="http://schemas.openxmlformats.org/officeDocument/2006/relationships/image" Target="../media/image9.png"/></Relationships>
</file>

<file path=xl/drawings/_rels/drawing33.xml.rels><?xml version="1.0" encoding="UTF-8" standalone="yes"?>
<Relationships xmlns="http://schemas.openxmlformats.org/package/2006/relationships"><Relationship Id="rId1" Type="http://schemas.openxmlformats.org/officeDocument/2006/relationships/image" Target="../media/image9.png"/></Relationships>
</file>

<file path=xl/drawings/_rels/drawing34.xml.rels><?xml version="1.0" encoding="UTF-8" standalone="yes"?>
<Relationships xmlns="http://schemas.openxmlformats.org/package/2006/relationships"><Relationship Id="rId1" Type="http://schemas.openxmlformats.org/officeDocument/2006/relationships/image" Target="../media/image9.png"/></Relationships>
</file>

<file path=xl/drawings/_rels/drawing35.xml.rels><?xml version="1.0" encoding="UTF-8" standalone="yes"?>
<Relationships xmlns="http://schemas.openxmlformats.org/package/2006/relationships"><Relationship Id="rId1" Type="http://schemas.openxmlformats.org/officeDocument/2006/relationships/image" Target="../media/image9.png"/></Relationships>
</file>

<file path=xl/drawings/_rels/drawing36.xml.rels><?xml version="1.0" encoding="UTF-8" standalone="yes"?>
<Relationships xmlns="http://schemas.openxmlformats.org/package/2006/relationships"><Relationship Id="rId1" Type="http://schemas.openxmlformats.org/officeDocument/2006/relationships/image" Target="../media/image9.png"/></Relationships>
</file>

<file path=xl/drawings/_rels/drawing37.xml.rels><?xml version="1.0" encoding="UTF-8" standalone="yes"?>
<Relationships xmlns="http://schemas.openxmlformats.org/package/2006/relationships"><Relationship Id="rId1" Type="http://schemas.openxmlformats.org/officeDocument/2006/relationships/image" Target="../media/image9.png"/></Relationships>
</file>

<file path=xl/drawings/_rels/drawing38.xml.rels><?xml version="1.0" encoding="UTF-8" standalone="yes"?>
<Relationships xmlns="http://schemas.openxmlformats.org/package/2006/relationships"><Relationship Id="rId1" Type="http://schemas.openxmlformats.org/officeDocument/2006/relationships/image" Target="../media/image9.png"/></Relationships>
</file>

<file path=xl/drawings/_rels/drawing39.xml.rels><?xml version="1.0" encoding="UTF-8" standalone="yes"?>
<Relationships xmlns="http://schemas.openxmlformats.org/package/2006/relationships"><Relationship Id="rId1" Type="http://schemas.openxmlformats.org/officeDocument/2006/relationships/image" Target="../media/image9.png"/></Relationships>
</file>

<file path=xl/drawings/_rels/drawing40.xml.rels><?xml version="1.0" encoding="UTF-8" standalone="yes"?>
<Relationships xmlns="http://schemas.openxmlformats.org/package/2006/relationships"><Relationship Id="rId1" Type="http://schemas.openxmlformats.org/officeDocument/2006/relationships/image" Target="../media/image9.png"/></Relationships>
</file>

<file path=xl/drawings/_rels/drawing41.xml.rels><?xml version="1.0" encoding="UTF-8" standalone="yes"?>
<Relationships xmlns="http://schemas.openxmlformats.org/package/2006/relationships"><Relationship Id="rId1" Type="http://schemas.openxmlformats.org/officeDocument/2006/relationships/image" Target="../media/image9.png"/></Relationships>
</file>

<file path=xl/drawings/_rels/drawing42.xml.rels><?xml version="1.0" encoding="UTF-8" standalone="yes"?>
<Relationships xmlns="http://schemas.openxmlformats.org/package/2006/relationships"><Relationship Id="rId1" Type="http://schemas.openxmlformats.org/officeDocument/2006/relationships/image" Target="../media/image9.png"/></Relationships>
</file>

<file path=xl/drawings/_rels/drawing43.xml.rels><?xml version="1.0" encoding="UTF-8" standalone="yes"?>
<Relationships xmlns="http://schemas.openxmlformats.org/package/2006/relationships"><Relationship Id="rId1" Type="http://schemas.openxmlformats.org/officeDocument/2006/relationships/image" Target="../media/image9.png"/></Relationships>
</file>

<file path=xl/drawings/_rels/drawing44.xml.rels><?xml version="1.0" encoding="UTF-8" standalone="yes"?>
<Relationships xmlns="http://schemas.openxmlformats.org/package/2006/relationships"><Relationship Id="rId1" Type="http://schemas.openxmlformats.org/officeDocument/2006/relationships/image" Target="../media/image9.png"/></Relationships>
</file>

<file path=xl/drawings/_rels/drawing45.xml.rels><?xml version="1.0" encoding="UTF-8" standalone="yes"?>
<Relationships xmlns="http://schemas.openxmlformats.org/package/2006/relationships"><Relationship Id="rId1" Type="http://schemas.openxmlformats.org/officeDocument/2006/relationships/image" Target="../media/image9.png"/></Relationships>
</file>

<file path=xl/drawings/_rels/drawing46.xml.rels><?xml version="1.0" encoding="UTF-8" standalone="yes"?>
<Relationships xmlns="http://schemas.openxmlformats.org/package/2006/relationships"><Relationship Id="rId1" Type="http://schemas.openxmlformats.org/officeDocument/2006/relationships/image" Target="../media/image9.png"/></Relationships>
</file>

<file path=xl/drawings/_rels/drawing47.xml.rels><?xml version="1.0" encoding="UTF-8" standalone="yes"?>
<Relationships xmlns="http://schemas.openxmlformats.org/package/2006/relationships"><Relationship Id="rId1" Type="http://schemas.openxmlformats.org/officeDocument/2006/relationships/image" Target="../media/image9.png"/></Relationships>
</file>

<file path=xl/drawings/_rels/drawing48.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714375</xdr:colOff>
      <xdr:row>243</xdr:row>
      <xdr:rowOff>28575</xdr:rowOff>
    </xdr:from>
    <xdr:to>
      <xdr:col>2</xdr:col>
      <xdr:colOff>2276780</xdr:colOff>
      <xdr:row>246</xdr:row>
      <xdr:rowOff>157403</xdr:rowOff>
    </xdr:to>
    <xdr:pic>
      <xdr:nvPicPr>
        <xdr:cNvPr id="2" name="Imagen 1">
          <a:extLst>
            <a:ext uri="{FF2B5EF4-FFF2-40B4-BE49-F238E27FC236}">
              <a16:creationId xmlns:a16="http://schemas.microsoft.com/office/drawing/2014/main" xmlns="" id="{FBA39152-9931-4154-B4F2-30BC640AFCAF}"/>
            </a:ext>
          </a:extLst>
        </xdr:cNvPr>
        <xdr:cNvPicPr>
          <a:picLocks noChangeAspect="1"/>
        </xdr:cNvPicPr>
      </xdr:nvPicPr>
      <xdr:blipFill>
        <a:blip xmlns:r="http://schemas.openxmlformats.org/officeDocument/2006/relationships" r:embed="rId1"/>
        <a:stretch>
          <a:fillRect/>
        </a:stretch>
      </xdr:blipFill>
      <xdr:spPr>
        <a:xfrm>
          <a:off x="714375" y="10363200"/>
          <a:ext cx="2261812" cy="700328"/>
        </a:xfrm>
        <a:prstGeom prst="rect">
          <a:avLst/>
        </a:prstGeom>
      </xdr:spPr>
    </xdr:pic>
    <xdr:clientData/>
  </xdr:twoCellAnchor>
  <xdr:twoCellAnchor editAs="oneCell">
    <xdr:from>
      <xdr:col>1</xdr:col>
      <xdr:colOff>348343</xdr:colOff>
      <xdr:row>0</xdr:row>
      <xdr:rowOff>185058</xdr:rowOff>
    </xdr:from>
    <xdr:to>
      <xdr:col>2</xdr:col>
      <xdr:colOff>2451246</xdr:colOff>
      <xdr:row>0</xdr:row>
      <xdr:rowOff>696686</xdr:rowOff>
    </xdr:to>
    <xdr:pic>
      <xdr:nvPicPr>
        <xdr:cNvPr id="4" name="Imagen 3">
          <a:extLst>
            <a:ext uri="{FF2B5EF4-FFF2-40B4-BE49-F238E27FC236}">
              <a16:creationId xmlns:a16="http://schemas.microsoft.com/office/drawing/2014/main" xmlns="" id="{590CBC0D-A31F-4093-A56B-1509367B0222}"/>
            </a:ext>
          </a:extLst>
        </xdr:cNvPr>
        <xdr:cNvPicPr>
          <a:picLocks noChangeAspect="1"/>
        </xdr:cNvPicPr>
      </xdr:nvPicPr>
      <xdr:blipFill>
        <a:blip xmlns:r="http://schemas.openxmlformats.org/officeDocument/2006/relationships" r:embed="rId2"/>
        <a:stretch>
          <a:fillRect/>
        </a:stretch>
      </xdr:blipFill>
      <xdr:spPr>
        <a:xfrm>
          <a:off x="1077686" y="185058"/>
          <a:ext cx="2817278" cy="5116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203</xdr:row>
      <xdr:rowOff>27472</xdr:rowOff>
    </xdr:from>
    <xdr:to>
      <xdr:col>3</xdr:col>
      <xdr:colOff>2350139</xdr:colOff>
      <xdr:row>207</xdr:row>
      <xdr:rowOff>74385</xdr:rowOff>
    </xdr:to>
    <xdr:pic>
      <xdr:nvPicPr>
        <xdr:cNvPr id="4" name="Imagen 3">
          <a:extLst>
            <a:ext uri="{FF2B5EF4-FFF2-40B4-BE49-F238E27FC236}">
              <a16:creationId xmlns:a16="http://schemas.microsoft.com/office/drawing/2014/main" xmlns="" id="{A514CAB7-9BC3-46A1-8380-3970A369D15C}"/>
            </a:ext>
          </a:extLst>
        </xdr:cNvPr>
        <xdr:cNvPicPr>
          <a:picLocks noChangeAspect="1"/>
        </xdr:cNvPicPr>
      </xdr:nvPicPr>
      <xdr:blipFill>
        <a:blip xmlns:r="http://schemas.openxmlformats.org/officeDocument/2006/relationships" r:embed="rId1"/>
        <a:stretch>
          <a:fillRect/>
        </a:stretch>
      </xdr:blipFill>
      <xdr:spPr>
        <a:xfrm>
          <a:off x="1407367" y="80807248"/>
          <a:ext cx="3124573" cy="917770"/>
        </a:xfrm>
        <a:prstGeom prst="rect">
          <a:avLst/>
        </a:prstGeom>
      </xdr:spPr>
    </xdr:pic>
    <xdr:clientData/>
  </xdr:twoCellAnchor>
  <xdr:twoCellAnchor editAs="oneCell">
    <xdr:from>
      <xdr:col>1</xdr:col>
      <xdr:colOff>824204</xdr:colOff>
      <xdr:row>194</xdr:row>
      <xdr:rowOff>132183</xdr:rowOff>
    </xdr:from>
    <xdr:to>
      <xdr:col>3</xdr:col>
      <xdr:colOff>2353483</xdr:colOff>
      <xdr:row>197</xdr:row>
      <xdr:rowOff>202577</xdr:rowOff>
    </xdr:to>
    <xdr:pic>
      <xdr:nvPicPr>
        <xdr:cNvPr id="3" name="Imagen 2">
          <a:extLst>
            <a:ext uri="{FF2B5EF4-FFF2-40B4-BE49-F238E27FC236}">
              <a16:creationId xmlns:a16="http://schemas.microsoft.com/office/drawing/2014/main" xmlns="" id="{A2BE1B5F-5129-428B-B44D-55FA1976AC35}"/>
            </a:ext>
          </a:extLst>
        </xdr:cNvPr>
        <xdr:cNvPicPr>
          <a:picLocks noChangeAspect="1"/>
        </xdr:cNvPicPr>
      </xdr:nvPicPr>
      <xdr:blipFill>
        <a:blip xmlns:r="http://schemas.openxmlformats.org/officeDocument/2006/relationships" r:embed="rId1"/>
        <a:stretch>
          <a:fillRect/>
        </a:stretch>
      </xdr:blipFill>
      <xdr:spPr>
        <a:xfrm>
          <a:off x="1384041" y="79006959"/>
          <a:ext cx="3124573" cy="917770"/>
        </a:xfrm>
        <a:prstGeom prst="rect">
          <a:avLst/>
        </a:prstGeom>
      </xdr:spPr>
    </xdr:pic>
    <xdr:clientData/>
  </xdr:twoCellAnchor>
  <xdr:twoCellAnchor editAs="oneCell">
    <xdr:from>
      <xdr:col>1</xdr:col>
      <xdr:colOff>77755</xdr:colOff>
      <xdr:row>0</xdr:row>
      <xdr:rowOff>132184</xdr:rowOff>
    </xdr:from>
    <xdr:to>
      <xdr:col>3</xdr:col>
      <xdr:colOff>407263</xdr:colOff>
      <xdr:row>0</xdr:row>
      <xdr:rowOff>478271</xdr:rowOff>
    </xdr:to>
    <xdr:pic>
      <xdr:nvPicPr>
        <xdr:cNvPr id="5" name="Imagen 4">
          <a:extLst>
            <a:ext uri="{FF2B5EF4-FFF2-40B4-BE49-F238E27FC236}">
              <a16:creationId xmlns:a16="http://schemas.microsoft.com/office/drawing/2014/main" xmlns="" id="{C0FF75A4-87B6-219E-92B9-64D8908F0325}"/>
            </a:ext>
          </a:extLst>
        </xdr:cNvPr>
        <xdr:cNvPicPr>
          <a:picLocks noChangeAspect="1"/>
        </xdr:cNvPicPr>
      </xdr:nvPicPr>
      <xdr:blipFill>
        <a:blip xmlns:r="http://schemas.openxmlformats.org/officeDocument/2006/relationships" r:embed="rId2"/>
        <a:stretch>
          <a:fillRect/>
        </a:stretch>
      </xdr:blipFill>
      <xdr:spPr>
        <a:xfrm>
          <a:off x="637592" y="132184"/>
          <a:ext cx="1926707" cy="34989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496956</xdr:colOff>
      <xdr:row>47</xdr:row>
      <xdr:rowOff>179456</xdr:rowOff>
    </xdr:from>
    <xdr:to>
      <xdr:col>2</xdr:col>
      <xdr:colOff>3103133</xdr:colOff>
      <xdr:row>50</xdr:row>
      <xdr:rowOff>46067</xdr:rowOff>
    </xdr:to>
    <xdr:pic>
      <xdr:nvPicPr>
        <xdr:cNvPr id="2" name="Imagen 1">
          <a:extLst>
            <a:ext uri="{FF2B5EF4-FFF2-40B4-BE49-F238E27FC236}">
              <a16:creationId xmlns:a16="http://schemas.microsoft.com/office/drawing/2014/main" xmlns="" id="{26345ED8-4CE2-462A-EBF0-C6B937507105}"/>
            </a:ext>
          </a:extLst>
        </xdr:cNvPr>
        <xdr:cNvPicPr>
          <a:picLocks noChangeAspect="1"/>
        </xdr:cNvPicPr>
      </xdr:nvPicPr>
      <xdr:blipFill>
        <a:blip xmlns:r="http://schemas.openxmlformats.org/officeDocument/2006/relationships" r:embed="rId1"/>
        <a:stretch>
          <a:fillRect/>
        </a:stretch>
      </xdr:blipFill>
      <xdr:spPr>
        <a:xfrm>
          <a:off x="938695" y="16592826"/>
          <a:ext cx="3103133" cy="957155"/>
        </a:xfrm>
        <a:prstGeom prst="rect">
          <a:avLst/>
        </a:prstGeom>
      </xdr:spPr>
    </xdr:pic>
    <xdr:clientData/>
  </xdr:twoCellAnchor>
  <xdr:twoCellAnchor editAs="oneCell">
    <xdr:from>
      <xdr:col>11</xdr:col>
      <xdr:colOff>0</xdr:colOff>
      <xdr:row>1</xdr:row>
      <xdr:rowOff>154608</xdr:rowOff>
    </xdr:from>
    <xdr:to>
      <xdr:col>16</xdr:col>
      <xdr:colOff>856628</xdr:colOff>
      <xdr:row>1</xdr:row>
      <xdr:rowOff>695739</xdr:rowOff>
    </xdr:to>
    <xdr:pic>
      <xdr:nvPicPr>
        <xdr:cNvPr id="4" name="Imagen 3">
          <a:extLst>
            <a:ext uri="{FF2B5EF4-FFF2-40B4-BE49-F238E27FC236}">
              <a16:creationId xmlns:a16="http://schemas.microsoft.com/office/drawing/2014/main" xmlns="" id="{4DB2781A-2EF9-4831-AAA6-5C520AA84F5C}"/>
            </a:ext>
          </a:extLst>
        </xdr:cNvPr>
        <xdr:cNvPicPr>
          <a:picLocks noChangeAspect="1"/>
        </xdr:cNvPicPr>
      </xdr:nvPicPr>
      <xdr:blipFill>
        <a:blip xmlns:r="http://schemas.openxmlformats.org/officeDocument/2006/relationships" r:embed="rId2"/>
        <a:stretch>
          <a:fillRect/>
        </a:stretch>
      </xdr:blipFill>
      <xdr:spPr>
        <a:xfrm>
          <a:off x="10701131" y="386521"/>
          <a:ext cx="2979737" cy="5411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655321</xdr:colOff>
      <xdr:row>0</xdr:row>
      <xdr:rowOff>0</xdr:rowOff>
    </xdr:from>
    <xdr:to>
      <xdr:col>3</xdr:col>
      <xdr:colOff>1386841</xdr:colOff>
      <xdr:row>0</xdr:row>
      <xdr:rowOff>374793</xdr:rowOff>
    </xdr:to>
    <xdr:pic>
      <xdr:nvPicPr>
        <xdr:cNvPr id="3" name="Imagen 2">
          <a:extLst>
            <a:ext uri="{FF2B5EF4-FFF2-40B4-BE49-F238E27FC236}">
              <a16:creationId xmlns:a16="http://schemas.microsoft.com/office/drawing/2014/main" xmlns="" id="{B2579DED-FABC-444E-992A-F5B92E5AC3BC}"/>
            </a:ext>
          </a:extLst>
        </xdr:cNvPr>
        <xdr:cNvPicPr>
          <a:picLocks noChangeAspect="1"/>
        </xdr:cNvPicPr>
      </xdr:nvPicPr>
      <xdr:blipFill>
        <a:blip xmlns:r="http://schemas.openxmlformats.org/officeDocument/2006/relationships" r:embed="rId1"/>
        <a:stretch>
          <a:fillRect/>
        </a:stretch>
      </xdr:blipFill>
      <xdr:spPr>
        <a:xfrm>
          <a:off x="922021" y="0"/>
          <a:ext cx="2001520" cy="37479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2857500</xdr:colOff>
      <xdr:row>48</xdr:row>
      <xdr:rowOff>76200</xdr:rowOff>
    </xdr:from>
    <xdr:to>
      <xdr:col>5</xdr:col>
      <xdr:colOff>295275</xdr:colOff>
      <xdr:row>53</xdr:row>
      <xdr:rowOff>69521</xdr:rowOff>
    </xdr:to>
    <xdr:pic>
      <xdr:nvPicPr>
        <xdr:cNvPr id="3" name="Imagen 2">
          <a:extLst>
            <a:ext uri="{FF2B5EF4-FFF2-40B4-BE49-F238E27FC236}">
              <a16:creationId xmlns:a16="http://schemas.microsoft.com/office/drawing/2014/main" xmlns="" id="{5CC01C00-2853-B8A4-3284-81FDA7897D00}"/>
            </a:ext>
          </a:extLst>
        </xdr:cNvPr>
        <xdr:cNvPicPr>
          <a:picLocks noChangeAspect="1"/>
        </xdr:cNvPicPr>
      </xdr:nvPicPr>
      <xdr:blipFill>
        <a:blip xmlns:r="http://schemas.openxmlformats.org/officeDocument/2006/relationships" r:embed="rId1"/>
        <a:stretch>
          <a:fillRect/>
        </a:stretch>
      </xdr:blipFill>
      <xdr:spPr>
        <a:xfrm>
          <a:off x="3038475" y="9210675"/>
          <a:ext cx="2495550" cy="74579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33494</xdr:colOff>
      <xdr:row>0</xdr:row>
      <xdr:rowOff>175844</xdr:rowOff>
    </xdr:from>
    <xdr:to>
      <xdr:col>1</xdr:col>
      <xdr:colOff>2284726</xdr:colOff>
      <xdr:row>0</xdr:row>
      <xdr:rowOff>716975</xdr:rowOff>
    </xdr:to>
    <xdr:pic>
      <xdr:nvPicPr>
        <xdr:cNvPr id="2" name="Imagen 1">
          <a:extLst>
            <a:ext uri="{FF2B5EF4-FFF2-40B4-BE49-F238E27FC236}">
              <a16:creationId xmlns:a16="http://schemas.microsoft.com/office/drawing/2014/main" xmlns="" id="{D26E232D-598F-409F-9E81-927CA1103E52}"/>
            </a:ext>
          </a:extLst>
        </xdr:cNvPr>
        <xdr:cNvPicPr>
          <a:picLocks noChangeAspect="1"/>
        </xdr:cNvPicPr>
      </xdr:nvPicPr>
      <xdr:blipFill>
        <a:blip xmlns:r="http://schemas.openxmlformats.org/officeDocument/2006/relationships" r:embed="rId1"/>
        <a:stretch>
          <a:fillRect/>
        </a:stretch>
      </xdr:blipFill>
      <xdr:spPr>
        <a:xfrm>
          <a:off x="33494" y="175844"/>
          <a:ext cx="2979737" cy="54113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106680</xdr:colOff>
      <xdr:row>0</xdr:row>
      <xdr:rowOff>45720</xdr:rowOff>
    </xdr:from>
    <xdr:to>
      <xdr:col>2</xdr:col>
      <xdr:colOff>1181417</xdr:colOff>
      <xdr:row>0</xdr:row>
      <xdr:rowOff>586851</xdr:rowOff>
    </xdr:to>
    <xdr:pic>
      <xdr:nvPicPr>
        <xdr:cNvPr id="3" name="Imagen 2">
          <a:extLst>
            <a:ext uri="{FF2B5EF4-FFF2-40B4-BE49-F238E27FC236}">
              <a16:creationId xmlns:a16="http://schemas.microsoft.com/office/drawing/2014/main" xmlns="" id="{37128BF3-D0A1-42E9-9B59-25D9E2C99CB9}"/>
            </a:ext>
          </a:extLst>
        </xdr:cNvPr>
        <xdr:cNvPicPr>
          <a:picLocks noChangeAspect="1"/>
        </xdr:cNvPicPr>
      </xdr:nvPicPr>
      <xdr:blipFill>
        <a:blip xmlns:r="http://schemas.openxmlformats.org/officeDocument/2006/relationships" r:embed="rId1"/>
        <a:stretch>
          <a:fillRect/>
        </a:stretch>
      </xdr:blipFill>
      <xdr:spPr>
        <a:xfrm>
          <a:off x="106680" y="45720"/>
          <a:ext cx="2979737" cy="54113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213360</xdr:colOff>
      <xdr:row>0</xdr:row>
      <xdr:rowOff>121920</xdr:rowOff>
    </xdr:from>
    <xdr:to>
      <xdr:col>3</xdr:col>
      <xdr:colOff>114300</xdr:colOff>
      <xdr:row>1</xdr:row>
      <xdr:rowOff>235788</xdr:rowOff>
    </xdr:to>
    <xdr:pic>
      <xdr:nvPicPr>
        <xdr:cNvPr id="3" name="Imagen 2">
          <a:extLst>
            <a:ext uri="{FF2B5EF4-FFF2-40B4-BE49-F238E27FC236}">
              <a16:creationId xmlns:a16="http://schemas.microsoft.com/office/drawing/2014/main" xmlns="" id="{1CB5243C-C51B-480F-B899-8BEF20049DF5}"/>
            </a:ext>
          </a:extLst>
        </xdr:cNvPr>
        <xdr:cNvPicPr>
          <a:picLocks noChangeAspect="1"/>
        </xdr:cNvPicPr>
      </xdr:nvPicPr>
      <xdr:blipFill>
        <a:blip xmlns:r="http://schemas.openxmlformats.org/officeDocument/2006/relationships" r:embed="rId1"/>
        <a:stretch>
          <a:fillRect/>
        </a:stretch>
      </xdr:blipFill>
      <xdr:spPr>
        <a:xfrm>
          <a:off x="944880" y="121920"/>
          <a:ext cx="2011680" cy="36532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11900190</xdr:colOff>
      <xdr:row>0</xdr:row>
      <xdr:rowOff>0</xdr:rowOff>
    </xdr:from>
    <xdr:ext cx="1639081" cy="468682"/>
    <xdr:pic>
      <xdr:nvPicPr>
        <xdr:cNvPr id="2" name="image1.png">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57860" y="0"/>
          <a:ext cx="1639081" cy="468682"/>
        </a:xfrm>
        <a:prstGeom prst="rect">
          <a:avLst/>
        </a:prstGeom>
      </xdr:spPr>
    </xdr:pic>
    <xdr:clientData/>
  </xdr:oneCellAnchor>
  <xdr:twoCellAnchor editAs="oneCell">
    <xdr:from>
      <xdr:col>1</xdr:col>
      <xdr:colOff>161925</xdr:colOff>
      <xdr:row>1882</xdr:row>
      <xdr:rowOff>87525</xdr:rowOff>
    </xdr:from>
    <xdr:to>
      <xdr:col>1</xdr:col>
      <xdr:colOff>1543050</xdr:colOff>
      <xdr:row>1888</xdr:row>
      <xdr:rowOff>142875</xdr:rowOff>
    </xdr:to>
    <xdr:pic>
      <xdr:nvPicPr>
        <xdr:cNvPr id="3" name="Imagen 2">
          <a:extLst>
            <a:ext uri="{FF2B5EF4-FFF2-40B4-BE49-F238E27FC236}">
              <a16:creationId xmlns:a16="http://schemas.microsoft.com/office/drawing/2014/main" xmlns=""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23925" y="7078875"/>
          <a:ext cx="1381125" cy="119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2026920</xdr:colOff>
      <xdr:row>1</xdr:row>
      <xdr:rowOff>53340</xdr:rowOff>
    </xdr:from>
    <xdr:to>
      <xdr:col>4</xdr:col>
      <xdr:colOff>510857</xdr:colOff>
      <xdr:row>1</xdr:row>
      <xdr:rowOff>594471</xdr:rowOff>
    </xdr:to>
    <xdr:pic>
      <xdr:nvPicPr>
        <xdr:cNvPr id="2" name="Imagen 1">
          <a:extLst>
            <a:ext uri="{FF2B5EF4-FFF2-40B4-BE49-F238E27FC236}">
              <a16:creationId xmlns:a16="http://schemas.microsoft.com/office/drawing/2014/main" xmlns="" id="{5EC88BE2-3FBD-4957-963B-C45356E5C5BA}"/>
            </a:ext>
          </a:extLst>
        </xdr:cNvPr>
        <xdr:cNvPicPr>
          <a:picLocks noChangeAspect="1"/>
        </xdr:cNvPicPr>
      </xdr:nvPicPr>
      <xdr:blipFill>
        <a:blip xmlns:r="http://schemas.openxmlformats.org/officeDocument/2006/relationships" r:embed="rId1"/>
        <a:stretch>
          <a:fillRect/>
        </a:stretch>
      </xdr:blipFill>
      <xdr:spPr>
        <a:xfrm>
          <a:off x="2362200" y="243840"/>
          <a:ext cx="2979737" cy="54113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53341</xdr:colOff>
      <xdr:row>0</xdr:row>
      <xdr:rowOff>129541</xdr:rowOff>
    </xdr:from>
    <xdr:to>
      <xdr:col>1</xdr:col>
      <xdr:colOff>899161</xdr:colOff>
      <xdr:row>0</xdr:row>
      <xdr:rowOff>494869</xdr:rowOff>
    </xdr:to>
    <xdr:pic>
      <xdr:nvPicPr>
        <xdr:cNvPr id="4" name="Imagen 3">
          <a:extLst>
            <a:ext uri="{FF2B5EF4-FFF2-40B4-BE49-F238E27FC236}">
              <a16:creationId xmlns:a16="http://schemas.microsoft.com/office/drawing/2014/main" xmlns="" id="{7F508654-F90F-49D0-8EF2-627E40BD4919}"/>
            </a:ext>
          </a:extLst>
        </xdr:cNvPr>
        <xdr:cNvPicPr>
          <a:picLocks noChangeAspect="1"/>
        </xdr:cNvPicPr>
      </xdr:nvPicPr>
      <xdr:blipFill>
        <a:blip xmlns:r="http://schemas.openxmlformats.org/officeDocument/2006/relationships" r:embed="rId1"/>
        <a:stretch>
          <a:fillRect/>
        </a:stretch>
      </xdr:blipFill>
      <xdr:spPr>
        <a:xfrm>
          <a:off x="53341" y="129541"/>
          <a:ext cx="2011680" cy="36532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76200</xdr:colOff>
      <xdr:row>1</xdr:row>
      <xdr:rowOff>30480</xdr:rowOff>
    </xdr:from>
    <xdr:to>
      <xdr:col>3</xdr:col>
      <xdr:colOff>3810</xdr:colOff>
      <xdr:row>3</xdr:row>
      <xdr:rowOff>30048</xdr:rowOff>
    </xdr:to>
    <xdr:pic>
      <xdr:nvPicPr>
        <xdr:cNvPr id="4" name="Imagen 3">
          <a:extLst>
            <a:ext uri="{FF2B5EF4-FFF2-40B4-BE49-F238E27FC236}">
              <a16:creationId xmlns:a16="http://schemas.microsoft.com/office/drawing/2014/main" xmlns="" id="{0A5C9EC7-F1E8-42D9-A858-A99F65024A95}"/>
            </a:ext>
          </a:extLst>
        </xdr:cNvPr>
        <xdr:cNvPicPr>
          <a:picLocks noChangeAspect="1"/>
        </xdr:cNvPicPr>
      </xdr:nvPicPr>
      <xdr:blipFill>
        <a:blip xmlns:r="http://schemas.openxmlformats.org/officeDocument/2006/relationships" r:embed="rId1"/>
        <a:stretch>
          <a:fillRect/>
        </a:stretch>
      </xdr:blipFill>
      <xdr:spPr>
        <a:xfrm>
          <a:off x="807720" y="213360"/>
          <a:ext cx="2011680" cy="36532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62313</xdr:colOff>
      <xdr:row>44</xdr:row>
      <xdr:rowOff>35607</xdr:rowOff>
    </xdr:from>
    <xdr:to>
      <xdr:col>1</xdr:col>
      <xdr:colOff>2324183</xdr:colOff>
      <xdr:row>48</xdr:row>
      <xdr:rowOff>77297</xdr:rowOff>
    </xdr:to>
    <xdr:pic>
      <xdr:nvPicPr>
        <xdr:cNvPr id="2" name="Imagen 1">
          <a:extLst>
            <a:ext uri="{FF2B5EF4-FFF2-40B4-BE49-F238E27FC236}">
              <a16:creationId xmlns:a16="http://schemas.microsoft.com/office/drawing/2014/main" xmlns="" id="{586ABB5B-C6A4-4BC8-8630-14E3332633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9493" y="8303307"/>
          <a:ext cx="2261870" cy="712250"/>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5</xdr:col>
      <xdr:colOff>187940</xdr:colOff>
      <xdr:row>24</xdr:row>
      <xdr:rowOff>104775</xdr:rowOff>
    </xdr:from>
    <xdr:to>
      <xdr:col>11</xdr:col>
      <xdr:colOff>562747</xdr:colOff>
      <xdr:row>33</xdr:row>
      <xdr:rowOff>9738</xdr:rowOff>
    </xdr:to>
    <xdr:pic>
      <xdr:nvPicPr>
        <xdr:cNvPr id="2" name="Imagen 1">
          <a:extLst>
            <a:ext uri="{FF2B5EF4-FFF2-40B4-BE49-F238E27FC236}">
              <a16:creationId xmlns:a16="http://schemas.microsoft.com/office/drawing/2014/main" xmlns="" id="{0EA4F0C0-41F9-4921-BF64-13639B6C0DC6}"/>
            </a:ext>
          </a:extLst>
        </xdr:cNvPr>
        <xdr:cNvPicPr>
          <a:picLocks noChangeAspect="1"/>
        </xdr:cNvPicPr>
      </xdr:nvPicPr>
      <xdr:blipFill>
        <a:blip xmlns:r="http://schemas.openxmlformats.org/officeDocument/2006/relationships" r:embed="rId1"/>
        <a:stretch>
          <a:fillRect/>
        </a:stretch>
      </xdr:blipFill>
      <xdr:spPr>
        <a:xfrm>
          <a:off x="6931640" y="5065395"/>
          <a:ext cx="5083967" cy="155088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571918</xdr:colOff>
      <xdr:row>11</xdr:row>
      <xdr:rowOff>66675</xdr:rowOff>
    </xdr:from>
    <xdr:to>
      <xdr:col>6</xdr:col>
      <xdr:colOff>339090</xdr:colOff>
      <xdr:row>27</xdr:row>
      <xdr:rowOff>55938</xdr:rowOff>
    </xdr:to>
    <xdr:pic>
      <xdr:nvPicPr>
        <xdr:cNvPr id="6" name="Imagen 5">
          <a:extLst>
            <a:ext uri="{FF2B5EF4-FFF2-40B4-BE49-F238E27FC236}">
              <a16:creationId xmlns:a16="http://schemas.microsoft.com/office/drawing/2014/main" xmlns="" id="{4AD1C95C-89FC-F039-1CC7-B0BC854ABFF0}"/>
            </a:ext>
          </a:extLst>
        </xdr:cNvPr>
        <xdr:cNvPicPr>
          <a:picLocks noChangeAspect="1"/>
        </xdr:cNvPicPr>
      </xdr:nvPicPr>
      <xdr:blipFill>
        <a:blip xmlns:r="http://schemas.openxmlformats.org/officeDocument/2006/relationships" r:embed="rId1"/>
        <a:stretch>
          <a:fillRect/>
        </a:stretch>
      </xdr:blipFill>
      <xdr:spPr>
        <a:xfrm>
          <a:off x="571918" y="3755799"/>
          <a:ext cx="5143720" cy="3251880"/>
        </a:xfrm>
        <a:prstGeom prst="rect">
          <a:avLst/>
        </a:prstGeom>
      </xdr:spPr>
    </xdr:pic>
    <xdr:clientData/>
  </xdr:twoCellAnchor>
  <xdr:twoCellAnchor>
    <xdr:from>
      <xdr:col>1</xdr:col>
      <xdr:colOff>610674</xdr:colOff>
      <xdr:row>12</xdr:row>
      <xdr:rowOff>28721</xdr:rowOff>
    </xdr:from>
    <xdr:to>
      <xdr:col>4</xdr:col>
      <xdr:colOff>323852</xdr:colOff>
      <xdr:row>17</xdr:row>
      <xdr:rowOff>190500</xdr:rowOff>
    </xdr:to>
    <xdr:sp macro="" textlink="">
      <xdr:nvSpPr>
        <xdr:cNvPr id="3" name="Rectángulo: esquinas superiores cortadas 4">
          <a:extLst>
            <a:ext uri="{FF2B5EF4-FFF2-40B4-BE49-F238E27FC236}">
              <a16:creationId xmlns:a16="http://schemas.microsoft.com/office/drawing/2014/main" xmlns="" id="{101347D2-F828-4DD5-B81A-49834E4FEB8D}"/>
            </a:ext>
          </a:extLst>
        </xdr:cNvPr>
        <xdr:cNvSpPr/>
      </xdr:nvSpPr>
      <xdr:spPr>
        <a:xfrm rot="5400000">
          <a:off x="2211363" y="3060992"/>
          <a:ext cx="1152379" cy="2890718"/>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583348</xdr:colOff>
      <xdr:row>11</xdr:row>
      <xdr:rowOff>60960</xdr:rowOff>
    </xdr:from>
    <xdr:to>
      <xdr:col>6</xdr:col>
      <xdr:colOff>361950</xdr:colOff>
      <xdr:row>27</xdr:row>
      <xdr:rowOff>55938</xdr:rowOff>
    </xdr:to>
    <xdr:pic>
      <xdr:nvPicPr>
        <xdr:cNvPr id="2" name="Imagen 1">
          <a:extLst>
            <a:ext uri="{FF2B5EF4-FFF2-40B4-BE49-F238E27FC236}">
              <a16:creationId xmlns:a16="http://schemas.microsoft.com/office/drawing/2014/main" xmlns="" id="{86A57BF9-4C09-494F-A67C-83C04D59B9EA}"/>
            </a:ext>
          </a:extLst>
        </xdr:cNvPr>
        <xdr:cNvPicPr>
          <a:picLocks noChangeAspect="1"/>
        </xdr:cNvPicPr>
      </xdr:nvPicPr>
      <xdr:blipFill>
        <a:blip xmlns:r="http://schemas.openxmlformats.org/officeDocument/2006/relationships" r:embed="rId1"/>
        <a:stretch>
          <a:fillRect/>
        </a:stretch>
      </xdr:blipFill>
      <xdr:spPr>
        <a:xfrm>
          <a:off x="583348" y="3771900"/>
          <a:ext cx="5146892" cy="3309678"/>
        </a:xfrm>
        <a:prstGeom prst="rect">
          <a:avLst/>
        </a:prstGeom>
      </xdr:spPr>
    </xdr:pic>
    <xdr:clientData/>
  </xdr:twoCellAnchor>
  <xdr:twoCellAnchor>
    <xdr:from>
      <xdr:col>1</xdr:col>
      <xdr:colOff>1301114</xdr:colOff>
      <xdr:row>17</xdr:row>
      <xdr:rowOff>171597</xdr:rowOff>
    </xdr:from>
    <xdr:to>
      <xdr:col>1</xdr:col>
      <xdr:colOff>1402079</xdr:colOff>
      <xdr:row>21</xdr:row>
      <xdr:rowOff>87634</xdr:rowOff>
    </xdr:to>
    <xdr:sp macro="" textlink="">
      <xdr:nvSpPr>
        <xdr:cNvPr id="3" name="Rectángulo: esquinas superiores cortadas 4">
          <a:extLst>
            <a:ext uri="{FF2B5EF4-FFF2-40B4-BE49-F238E27FC236}">
              <a16:creationId xmlns:a16="http://schemas.microsoft.com/office/drawing/2014/main" xmlns="" id="{B16B33CE-08BF-4DCE-B18A-86E7CF3A8457}"/>
            </a:ext>
          </a:extLst>
        </xdr:cNvPr>
        <xdr:cNvSpPr/>
      </xdr:nvSpPr>
      <xdr:spPr>
        <a:xfrm rot="5400000">
          <a:off x="1725048" y="5405513"/>
          <a:ext cx="723757" cy="10096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373991</xdr:colOff>
      <xdr:row>14</xdr:row>
      <xdr:rowOff>137770</xdr:rowOff>
    </xdr:from>
    <xdr:to>
      <xdr:col>2</xdr:col>
      <xdr:colOff>566249</xdr:colOff>
      <xdr:row>15</xdr:row>
      <xdr:rowOff>56686</xdr:rowOff>
    </xdr:to>
    <xdr:sp macro="" textlink="">
      <xdr:nvSpPr>
        <xdr:cNvPr id="5" name="Rectángulo: esquinas superiores cortadas 4">
          <a:extLst>
            <a:ext uri="{FF2B5EF4-FFF2-40B4-BE49-F238E27FC236}">
              <a16:creationId xmlns:a16="http://schemas.microsoft.com/office/drawing/2014/main" xmlns="" id="{329A7F0B-C891-4FCA-9B2B-04F3A7FDC5D4}"/>
            </a:ext>
          </a:extLst>
        </xdr:cNvPr>
        <xdr:cNvSpPr/>
      </xdr:nvSpPr>
      <xdr:spPr>
        <a:xfrm rot="10800000">
          <a:off x="2690471" y="4454500"/>
          <a:ext cx="192258" cy="12084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781120</xdr:colOff>
      <xdr:row>17</xdr:row>
      <xdr:rowOff>175337</xdr:rowOff>
    </xdr:from>
    <xdr:to>
      <xdr:col>1</xdr:col>
      <xdr:colOff>1514402</xdr:colOff>
      <xdr:row>18</xdr:row>
      <xdr:rowOff>62942</xdr:rowOff>
    </xdr:to>
    <xdr:sp macro="" textlink="">
      <xdr:nvSpPr>
        <xdr:cNvPr id="6" name="Rectángulo: esquinas superiores cortadas 4">
          <a:extLst>
            <a:ext uri="{FF2B5EF4-FFF2-40B4-BE49-F238E27FC236}">
              <a16:creationId xmlns:a16="http://schemas.microsoft.com/office/drawing/2014/main" xmlns="" id="{C39057AD-5892-411E-AD6D-F8EDCE639C8E}"/>
            </a:ext>
          </a:extLst>
        </xdr:cNvPr>
        <xdr:cNvSpPr/>
      </xdr:nvSpPr>
      <xdr:spPr>
        <a:xfrm>
          <a:off x="1516450" y="5097857"/>
          <a:ext cx="733282" cy="8953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1161541</xdr:colOff>
      <xdr:row>14</xdr:row>
      <xdr:rowOff>131682</xdr:rowOff>
    </xdr:from>
    <xdr:to>
      <xdr:col>1</xdr:col>
      <xdr:colOff>1353799</xdr:colOff>
      <xdr:row>15</xdr:row>
      <xdr:rowOff>58218</xdr:rowOff>
    </xdr:to>
    <xdr:sp macro="" textlink="">
      <xdr:nvSpPr>
        <xdr:cNvPr id="7" name="Rectángulo: esquinas superiores cortadas 6">
          <a:extLst>
            <a:ext uri="{FF2B5EF4-FFF2-40B4-BE49-F238E27FC236}">
              <a16:creationId xmlns:a16="http://schemas.microsoft.com/office/drawing/2014/main" xmlns="" id="{08A66C1C-D500-47FD-AED4-D195BA3CCA33}"/>
            </a:ext>
          </a:extLst>
        </xdr:cNvPr>
        <xdr:cNvSpPr/>
      </xdr:nvSpPr>
      <xdr:spPr>
        <a:xfrm rot="10800000">
          <a:off x="1897335" y="4450690"/>
          <a:ext cx="192258" cy="12812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571918</xdr:colOff>
      <xdr:row>11</xdr:row>
      <xdr:rowOff>66675</xdr:rowOff>
    </xdr:from>
    <xdr:to>
      <xdr:col>6</xdr:col>
      <xdr:colOff>339090</xdr:colOff>
      <xdr:row>27</xdr:row>
      <xdr:rowOff>55938</xdr:rowOff>
    </xdr:to>
    <xdr:pic>
      <xdr:nvPicPr>
        <xdr:cNvPr id="2" name="Imagen 1">
          <a:extLst>
            <a:ext uri="{FF2B5EF4-FFF2-40B4-BE49-F238E27FC236}">
              <a16:creationId xmlns:a16="http://schemas.microsoft.com/office/drawing/2014/main" xmlns="" id="{780E8C28-F35A-46C2-89E2-19000407795F}"/>
            </a:ext>
          </a:extLst>
        </xdr:cNvPr>
        <xdr:cNvPicPr>
          <a:picLocks noChangeAspect="1"/>
        </xdr:cNvPicPr>
      </xdr:nvPicPr>
      <xdr:blipFill>
        <a:blip xmlns:r="http://schemas.openxmlformats.org/officeDocument/2006/relationships" r:embed="rId1"/>
        <a:stretch>
          <a:fillRect/>
        </a:stretch>
      </xdr:blipFill>
      <xdr:spPr>
        <a:xfrm>
          <a:off x="571918" y="3769995"/>
          <a:ext cx="5139272" cy="3277293"/>
        </a:xfrm>
        <a:prstGeom prst="rect">
          <a:avLst/>
        </a:prstGeom>
      </xdr:spPr>
    </xdr:pic>
    <xdr:clientData/>
  </xdr:twoCellAnchor>
  <xdr:twoCellAnchor>
    <xdr:from>
      <xdr:col>1</xdr:col>
      <xdr:colOff>713544</xdr:colOff>
      <xdr:row>18</xdr:row>
      <xdr:rowOff>19197</xdr:rowOff>
    </xdr:from>
    <xdr:to>
      <xdr:col>1</xdr:col>
      <xdr:colOff>1333500</xdr:colOff>
      <xdr:row>22</xdr:row>
      <xdr:rowOff>114300</xdr:rowOff>
    </xdr:to>
    <xdr:sp macro="" textlink="">
      <xdr:nvSpPr>
        <xdr:cNvPr id="3" name="Rectángulo: esquinas superiores cortadas 4">
          <a:extLst>
            <a:ext uri="{FF2B5EF4-FFF2-40B4-BE49-F238E27FC236}">
              <a16:creationId xmlns:a16="http://schemas.microsoft.com/office/drawing/2014/main" xmlns="" id="{C1222155-A31F-4F80-A3E9-C2713DA4D8A0}"/>
            </a:ext>
          </a:extLst>
        </xdr:cNvPr>
        <xdr:cNvSpPr/>
      </xdr:nvSpPr>
      <xdr:spPr>
        <a:xfrm rot="5400000">
          <a:off x="1311250" y="5243171"/>
          <a:ext cx="887583" cy="61995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1463941</xdr:colOff>
      <xdr:row>21</xdr:row>
      <xdr:rowOff>4695</xdr:rowOff>
    </xdr:from>
    <xdr:to>
      <xdr:col>1</xdr:col>
      <xdr:colOff>1534322</xdr:colOff>
      <xdr:row>23</xdr:row>
      <xdr:rowOff>139346</xdr:rowOff>
    </xdr:to>
    <xdr:sp macro="" textlink="">
      <xdr:nvSpPr>
        <xdr:cNvPr id="4" name="Rectángulo: esquinas superiores cortadas 4">
          <a:extLst>
            <a:ext uri="{FF2B5EF4-FFF2-40B4-BE49-F238E27FC236}">
              <a16:creationId xmlns:a16="http://schemas.microsoft.com/office/drawing/2014/main" xmlns="" id="{05E63138-EF91-4FFA-8BBD-3F71CEDAC323}"/>
            </a:ext>
          </a:extLst>
        </xdr:cNvPr>
        <xdr:cNvSpPr/>
      </xdr:nvSpPr>
      <xdr:spPr>
        <a:xfrm rot="5400000">
          <a:off x="1962015" y="5977052"/>
          <a:ext cx="538173" cy="70381"/>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573405</xdr:colOff>
      <xdr:row>11</xdr:row>
      <xdr:rowOff>85725</xdr:rowOff>
    </xdr:from>
    <xdr:to>
      <xdr:col>6</xdr:col>
      <xdr:colOff>524914</xdr:colOff>
      <xdr:row>28</xdr:row>
      <xdr:rowOff>6001</xdr:rowOff>
    </xdr:to>
    <xdr:pic>
      <xdr:nvPicPr>
        <xdr:cNvPr id="5" name="Imagen 4">
          <a:extLst>
            <a:ext uri="{FF2B5EF4-FFF2-40B4-BE49-F238E27FC236}">
              <a16:creationId xmlns:a16="http://schemas.microsoft.com/office/drawing/2014/main" xmlns="" id="{5D892CC6-BFD5-3304-DE22-AE37BCA595A4}"/>
            </a:ext>
          </a:extLst>
        </xdr:cNvPr>
        <xdr:cNvPicPr>
          <a:picLocks noChangeAspect="1"/>
        </xdr:cNvPicPr>
      </xdr:nvPicPr>
      <xdr:blipFill>
        <a:blip xmlns:r="http://schemas.openxmlformats.org/officeDocument/2006/relationships" r:embed="rId1"/>
        <a:stretch>
          <a:fillRect/>
        </a:stretch>
      </xdr:blipFill>
      <xdr:spPr>
        <a:xfrm>
          <a:off x="573405" y="3789045"/>
          <a:ext cx="5325514" cy="3377851"/>
        </a:xfrm>
        <a:prstGeom prst="rect">
          <a:avLst/>
        </a:prstGeom>
      </xdr:spPr>
    </xdr:pic>
    <xdr:clientData/>
  </xdr:twoCellAnchor>
  <xdr:twoCellAnchor>
    <xdr:from>
      <xdr:col>1</xdr:col>
      <xdr:colOff>816412</xdr:colOff>
      <xdr:row>18</xdr:row>
      <xdr:rowOff>133351</xdr:rowOff>
    </xdr:from>
    <xdr:to>
      <xdr:col>1</xdr:col>
      <xdr:colOff>1085849</xdr:colOff>
      <xdr:row>20</xdr:row>
      <xdr:rowOff>114301</xdr:rowOff>
    </xdr:to>
    <xdr:sp macro="" textlink="">
      <xdr:nvSpPr>
        <xdr:cNvPr id="3" name="Rectángulo: esquinas superiores cortadas 4">
          <a:extLst>
            <a:ext uri="{FF2B5EF4-FFF2-40B4-BE49-F238E27FC236}">
              <a16:creationId xmlns:a16="http://schemas.microsoft.com/office/drawing/2014/main" xmlns="" id="{1062CDC2-6D33-4424-84C2-426DB5275856}"/>
            </a:ext>
          </a:extLst>
        </xdr:cNvPr>
        <xdr:cNvSpPr/>
      </xdr:nvSpPr>
      <xdr:spPr>
        <a:xfrm rot="5400000">
          <a:off x="1494056" y="5277387"/>
          <a:ext cx="377190" cy="269437"/>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607696</xdr:colOff>
      <xdr:row>23</xdr:row>
      <xdr:rowOff>253513</xdr:rowOff>
    </xdr:from>
    <xdr:to>
      <xdr:col>6</xdr:col>
      <xdr:colOff>491489</xdr:colOff>
      <xdr:row>25</xdr:row>
      <xdr:rowOff>152404</xdr:rowOff>
    </xdr:to>
    <xdr:sp macro="" textlink="">
      <xdr:nvSpPr>
        <xdr:cNvPr id="4" name="Rectángulo: esquinas superiores cortadas 4">
          <a:extLst>
            <a:ext uri="{FF2B5EF4-FFF2-40B4-BE49-F238E27FC236}">
              <a16:creationId xmlns:a16="http://schemas.microsoft.com/office/drawing/2014/main" xmlns="" id="{8B58130E-796D-4414-ACF4-04CFCF09E9E1}"/>
            </a:ext>
          </a:extLst>
        </xdr:cNvPr>
        <xdr:cNvSpPr/>
      </xdr:nvSpPr>
      <xdr:spPr>
        <a:xfrm rot="5400000">
          <a:off x="5362647" y="6219902"/>
          <a:ext cx="386571" cy="61531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573405</xdr:colOff>
      <xdr:row>11</xdr:row>
      <xdr:rowOff>85725</xdr:rowOff>
    </xdr:from>
    <xdr:to>
      <xdr:col>6</xdr:col>
      <xdr:colOff>513484</xdr:colOff>
      <xdr:row>28</xdr:row>
      <xdr:rowOff>15526</xdr:rowOff>
    </xdr:to>
    <xdr:pic>
      <xdr:nvPicPr>
        <xdr:cNvPr id="2" name="Imagen 1">
          <a:extLst>
            <a:ext uri="{FF2B5EF4-FFF2-40B4-BE49-F238E27FC236}">
              <a16:creationId xmlns:a16="http://schemas.microsoft.com/office/drawing/2014/main" xmlns="" id="{DE81042B-4EE2-47C1-A97A-B3D2DCD928CF}"/>
            </a:ext>
          </a:extLst>
        </xdr:cNvPr>
        <xdr:cNvPicPr>
          <a:picLocks noChangeAspect="1"/>
        </xdr:cNvPicPr>
      </xdr:nvPicPr>
      <xdr:blipFill>
        <a:blip xmlns:r="http://schemas.openxmlformats.org/officeDocument/2006/relationships" r:embed="rId1"/>
        <a:stretch>
          <a:fillRect/>
        </a:stretch>
      </xdr:blipFill>
      <xdr:spPr>
        <a:xfrm>
          <a:off x="573405" y="3792855"/>
          <a:ext cx="5321704" cy="3406426"/>
        </a:xfrm>
        <a:prstGeom prst="rect">
          <a:avLst/>
        </a:prstGeom>
      </xdr:spPr>
    </xdr:pic>
    <xdr:clientData/>
  </xdr:twoCellAnchor>
  <xdr:twoCellAnchor>
    <xdr:from>
      <xdr:col>1</xdr:col>
      <xdr:colOff>816412</xdr:colOff>
      <xdr:row>18</xdr:row>
      <xdr:rowOff>133351</xdr:rowOff>
    </xdr:from>
    <xdr:to>
      <xdr:col>1</xdr:col>
      <xdr:colOff>1085849</xdr:colOff>
      <xdr:row>20</xdr:row>
      <xdr:rowOff>114301</xdr:rowOff>
    </xdr:to>
    <xdr:sp macro="" textlink="">
      <xdr:nvSpPr>
        <xdr:cNvPr id="3" name="Rectángulo: esquinas superiores cortadas 4">
          <a:extLst>
            <a:ext uri="{FF2B5EF4-FFF2-40B4-BE49-F238E27FC236}">
              <a16:creationId xmlns:a16="http://schemas.microsoft.com/office/drawing/2014/main" xmlns="" id="{5D581445-82DA-4B69-B91F-B2F0278B665D}"/>
            </a:ext>
          </a:extLst>
        </xdr:cNvPr>
        <xdr:cNvSpPr/>
      </xdr:nvSpPr>
      <xdr:spPr>
        <a:xfrm rot="5400000">
          <a:off x="1495961" y="5292627"/>
          <a:ext cx="384810" cy="269437"/>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607696</xdr:colOff>
      <xdr:row>23</xdr:row>
      <xdr:rowOff>253513</xdr:rowOff>
    </xdr:from>
    <xdr:to>
      <xdr:col>6</xdr:col>
      <xdr:colOff>491489</xdr:colOff>
      <xdr:row>25</xdr:row>
      <xdr:rowOff>152404</xdr:rowOff>
    </xdr:to>
    <xdr:sp macro="" textlink="">
      <xdr:nvSpPr>
        <xdr:cNvPr id="4" name="Rectángulo: esquinas superiores cortadas 4">
          <a:extLst>
            <a:ext uri="{FF2B5EF4-FFF2-40B4-BE49-F238E27FC236}">
              <a16:creationId xmlns:a16="http://schemas.microsoft.com/office/drawing/2014/main" xmlns="" id="{FA637550-A1B1-486B-A241-BB441D5DA9BB}"/>
            </a:ext>
          </a:extLst>
        </xdr:cNvPr>
        <xdr:cNvSpPr/>
      </xdr:nvSpPr>
      <xdr:spPr>
        <a:xfrm rot="5400000">
          <a:off x="5359790" y="6241809"/>
          <a:ext cx="388476" cy="61531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573405</xdr:colOff>
      <xdr:row>11</xdr:row>
      <xdr:rowOff>85725</xdr:rowOff>
    </xdr:from>
    <xdr:to>
      <xdr:col>6</xdr:col>
      <xdr:colOff>517294</xdr:colOff>
      <xdr:row>28</xdr:row>
      <xdr:rowOff>19336</xdr:rowOff>
    </xdr:to>
    <xdr:pic>
      <xdr:nvPicPr>
        <xdr:cNvPr id="2" name="Imagen 1">
          <a:extLst>
            <a:ext uri="{FF2B5EF4-FFF2-40B4-BE49-F238E27FC236}">
              <a16:creationId xmlns:a16="http://schemas.microsoft.com/office/drawing/2014/main" xmlns="" id="{FAD5708C-B84B-4577-93DB-E4AB1E1262AC}"/>
            </a:ext>
          </a:extLst>
        </xdr:cNvPr>
        <xdr:cNvPicPr>
          <a:picLocks noChangeAspect="1"/>
        </xdr:cNvPicPr>
      </xdr:nvPicPr>
      <xdr:blipFill>
        <a:blip xmlns:r="http://schemas.openxmlformats.org/officeDocument/2006/relationships" r:embed="rId1"/>
        <a:stretch>
          <a:fillRect/>
        </a:stretch>
      </xdr:blipFill>
      <xdr:spPr>
        <a:xfrm>
          <a:off x="573405" y="3792855"/>
          <a:ext cx="5315989" cy="3417856"/>
        </a:xfrm>
        <a:prstGeom prst="rect">
          <a:avLst/>
        </a:prstGeom>
      </xdr:spPr>
    </xdr:pic>
    <xdr:clientData/>
  </xdr:twoCellAnchor>
  <xdr:twoCellAnchor>
    <xdr:from>
      <xdr:col>1</xdr:col>
      <xdr:colOff>770692</xdr:colOff>
      <xdr:row>20</xdr:row>
      <xdr:rowOff>15241</xdr:rowOff>
    </xdr:from>
    <xdr:to>
      <xdr:col>1</xdr:col>
      <xdr:colOff>1314449</xdr:colOff>
      <xdr:row>23</xdr:row>
      <xdr:rowOff>22862</xdr:rowOff>
    </xdr:to>
    <xdr:sp macro="" textlink="">
      <xdr:nvSpPr>
        <xdr:cNvPr id="3" name="Rectángulo: esquinas superiores cortadas 4">
          <a:extLst>
            <a:ext uri="{FF2B5EF4-FFF2-40B4-BE49-F238E27FC236}">
              <a16:creationId xmlns:a16="http://schemas.microsoft.com/office/drawing/2014/main" xmlns="" id="{43E109F9-FFAF-4A32-94D3-CA3160DE3F72}"/>
            </a:ext>
          </a:extLst>
        </xdr:cNvPr>
        <xdr:cNvSpPr/>
      </xdr:nvSpPr>
      <xdr:spPr>
        <a:xfrm rot="5400000">
          <a:off x="1473100" y="5530753"/>
          <a:ext cx="601981" cy="543757"/>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607696</xdr:colOff>
      <xdr:row>23</xdr:row>
      <xdr:rowOff>253513</xdr:rowOff>
    </xdr:from>
    <xdr:to>
      <xdr:col>6</xdr:col>
      <xdr:colOff>491489</xdr:colOff>
      <xdr:row>25</xdr:row>
      <xdr:rowOff>152404</xdr:rowOff>
    </xdr:to>
    <xdr:sp macro="" textlink="">
      <xdr:nvSpPr>
        <xdr:cNvPr id="4" name="Rectángulo: esquinas superiores cortadas 4">
          <a:extLst>
            <a:ext uri="{FF2B5EF4-FFF2-40B4-BE49-F238E27FC236}">
              <a16:creationId xmlns:a16="http://schemas.microsoft.com/office/drawing/2014/main" xmlns="" id="{A6F59B45-F4C0-4BB5-BB4A-D85DDD39D267}"/>
            </a:ext>
          </a:extLst>
        </xdr:cNvPr>
        <xdr:cNvSpPr/>
      </xdr:nvSpPr>
      <xdr:spPr>
        <a:xfrm rot="5400000">
          <a:off x="5359790" y="6241809"/>
          <a:ext cx="388476" cy="61531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2CE6BF69-61B1-4F0C-8AF6-6736AE117286}"/>
            </a:ext>
          </a:extLst>
        </xdr:cNvPr>
        <xdr:cNvPicPr>
          <a:picLocks noChangeAspect="1"/>
        </xdr:cNvPicPr>
      </xdr:nvPicPr>
      <xdr:blipFill>
        <a:blip xmlns:r="http://schemas.openxmlformats.org/officeDocument/2006/relationships" r:embed="rId1"/>
        <a:stretch>
          <a:fillRect/>
        </a:stretch>
      </xdr:blipFill>
      <xdr:spPr>
        <a:xfrm>
          <a:off x="688848" y="3852672"/>
          <a:ext cx="5137748" cy="3303201"/>
        </a:xfrm>
        <a:prstGeom prst="rect">
          <a:avLst/>
        </a:prstGeom>
      </xdr:spPr>
    </xdr:pic>
    <xdr:clientData/>
  </xdr:twoCellAnchor>
  <xdr:twoCellAnchor>
    <xdr:from>
      <xdr:col>2</xdr:col>
      <xdr:colOff>737996</xdr:colOff>
      <xdr:row>14</xdr:row>
      <xdr:rowOff>191644</xdr:rowOff>
    </xdr:from>
    <xdr:to>
      <xdr:col>3</xdr:col>
      <xdr:colOff>9523</xdr:colOff>
      <xdr:row>16</xdr:row>
      <xdr:rowOff>116205</xdr:rowOff>
    </xdr:to>
    <xdr:sp macro="" textlink="">
      <xdr:nvSpPr>
        <xdr:cNvPr id="3" name="Rectángulo: esquinas superiores cortadas 4">
          <a:extLst>
            <a:ext uri="{FF2B5EF4-FFF2-40B4-BE49-F238E27FC236}">
              <a16:creationId xmlns:a16="http://schemas.microsoft.com/office/drawing/2014/main" xmlns="" id="{D6C71F74-14D5-49BB-9DA9-7A43B0DF1262}"/>
            </a:ext>
          </a:extLst>
        </xdr:cNvPr>
        <xdr:cNvSpPr/>
      </xdr:nvSpPr>
      <xdr:spPr>
        <a:xfrm rot="10800000">
          <a:off x="3054476" y="4501516"/>
          <a:ext cx="131063" cy="326897"/>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1E822BCE-C350-40FC-BE82-B9E23326A971}"/>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633984</xdr:colOff>
      <xdr:row>15</xdr:row>
      <xdr:rowOff>88394</xdr:rowOff>
    </xdr:from>
    <xdr:to>
      <xdr:col>2</xdr:col>
      <xdr:colOff>774192</xdr:colOff>
      <xdr:row>16</xdr:row>
      <xdr:rowOff>12195</xdr:rowOff>
    </xdr:to>
    <xdr:sp macro="" textlink="">
      <xdr:nvSpPr>
        <xdr:cNvPr id="3" name="Rectángulo: esquinas superiores cortadas 4">
          <a:extLst>
            <a:ext uri="{FF2B5EF4-FFF2-40B4-BE49-F238E27FC236}">
              <a16:creationId xmlns:a16="http://schemas.microsoft.com/office/drawing/2014/main" xmlns="" id="{B6A931FD-8AA3-480A-ACF4-CE920CF2A3F7}"/>
            </a:ext>
          </a:extLst>
        </xdr:cNvPr>
        <xdr:cNvSpPr/>
      </xdr:nvSpPr>
      <xdr:spPr>
        <a:xfrm rot="5400000">
          <a:off x="2165603" y="3799335"/>
          <a:ext cx="124969" cy="1725168"/>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841250</xdr:colOff>
      <xdr:row>14</xdr:row>
      <xdr:rowOff>64012</xdr:rowOff>
    </xdr:from>
    <xdr:to>
      <xdr:col>3</xdr:col>
      <xdr:colOff>694944</xdr:colOff>
      <xdr:row>14</xdr:row>
      <xdr:rowOff>176787</xdr:rowOff>
    </xdr:to>
    <xdr:sp macro="" textlink="">
      <xdr:nvSpPr>
        <xdr:cNvPr id="4" name="Rectángulo: esquinas superiores cortadas 4">
          <a:extLst>
            <a:ext uri="{FF2B5EF4-FFF2-40B4-BE49-F238E27FC236}">
              <a16:creationId xmlns:a16="http://schemas.microsoft.com/office/drawing/2014/main" xmlns="" id="{AC265D4E-6096-49B6-BF9B-801B2DC7A627}"/>
            </a:ext>
          </a:extLst>
        </xdr:cNvPr>
        <xdr:cNvSpPr/>
      </xdr:nvSpPr>
      <xdr:spPr>
        <a:xfrm rot="5400000">
          <a:off x="3457957" y="4073657"/>
          <a:ext cx="112775" cy="713230"/>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6098</xdr:colOff>
      <xdr:row>15</xdr:row>
      <xdr:rowOff>57918</xdr:rowOff>
    </xdr:from>
    <xdr:to>
      <xdr:col>4</xdr:col>
      <xdr:colOff>347472</xdr:colOff>
      <xdr:row>15</xdr:row>
      <xdr:rowOff>182883</xdr:rowOff>
    </xdr:to>
    <xdr:sp macro="" textlink="">
      <xdr:nvSpPr>
        <xdr:cNvPr id="5" name="Rectángulo: esquinas superiores cortadas 4">
          <a:extLst>
            <a:ext uri="{FF2B5EF4-FFF2-40B4-BE49-F238E27FC236}">
              <a16:creationId xmlns:a16="http://schemas.microsoft.com/office/drawing/2014/main" xmlns="" id="{7E9E5C3D-D7ED-4CED-A0B1-753A1A6B21E9}"/>
            </a:ext>
          </a:extLst>
        </xdr:cNvPr>
        <xdr:cNvSpPr/>
      </xdr:nvSpPr>
      <xdr:spPr>
        <a:xfrm rot="5400000">
          <a:off x="4021838" y="4460754"/>
          <a:ext cx="124965" cy="341374"/>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646175</xdr:colOff>
      <xdr:row>10</xdr:row>
      <xdr:rowOff>163074</xdr:rowOff>
    </xdr:from>
    <xdr:to>
      <xdr:col>1</xdr:col>
      <xdr:colOff>824482</xdr:colOff>
      <xdr:row>15</xdr:row>
      <xdr:rowOff>67055</xdr:rowOff>
    </xdr:to>
    <xdr:sp macro="" textlink="">
      <xdr:nvSpPr>
        <xdr:cNvPr id="6" name="Rectángulo: esquinas superiores cortadas 5">
          <a:extLst>
            <a:ext uri="{FF2B5EF4-FFF2-40B4-BE49-F238E27FC236}">
              <a16:creationId xmlns:a16="http://schemas.microsoft.com/office/drawing/2014/main" xmlns="" id="{0A0D48C3-F445-43CF-8F46-AE2A8810AAF4}"/>
            </a:ext>
          </a:extLst>
        </xdr:cNvPr>
        <xdr:cNvSpPr/>
      </xdr:nvSpPr>
      <xdr:spPr>
        <a:xfrm rot="10800000">
          <a:off x="1377695" y="3668274"/>
          <a:ext cx="178307" cy="909821"/>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571918</xdr:colOff>
      <xdr:row>11</xdr:row>
      <xdr:rowOff>66675</xdr:rowOff>
    </xdr:from>
    <xdr:to>
      <xdr:col>6</xdr:col>
      <xdr:colOff>339090</xdr:colOff>
      <xdr:row>27</xdr:row>
      <xdr:rowOff>59748</xdr:rowOff>
    </xdr:to>
    <xdr:pic>
      <xdr:nvPicPr>
        <xdr:cNvPr id="2" name="Imagen 1">
          <a:extLst>
            <a:ext uri="{FF2B5EF4-FFF2-40B4-BE49-F238E27FC236}">
              <a16:creationId xmlns:a16="http://schemas.microsoft.com/office/drawing/2014/main" xmlns="" id="{A4CECEAA-1C25-479E-A733-379E5E0B2B74}"/>
            </a:ext>
          </a:extLst>
        </xdr:cNvPr>
        <xdr:cNvPicPr>
          <a:picLocks noChangeAspect="1"/>
        </xdr:cNvPicPr>
      </xdr:nvPicPr>
      <xdr:blipFill>
        <a:blip xmlns:r="http://schemas.openxmlformats.org/officeDocument/2006/relationships" r:embed="rId1"/>
        <a:stretch>
          <a:fillRect/>
        </a:stretch>
      </xdr:blipFill>
      <xdr:spPr>
        <a:xfrm>
          <a:off x="571918" y="3769995"/>
          <a:ext cx="5139272" cy="3281103"/>
        </a:xfrm>
        <a:prstGeom prst="rect">
          <a:avLst/>
        </a:prstGeom>
      </xdr:spPr>
    </xdr:pic>
    <xdr:clientData/>
  </xdr:twoCellAnchor>
  <xdr:twoCellAnchor>
    <xdr:from>
      <xdr:col>1</xdr:col>
      <xdr:colOff>926903</xdr:colOff>
      <xdr:row>18</xdr:row>
      <xdr:rowOff>7766</xdr:rowOff>
    </xdr:from>
    <xdr:to>
      <xdr:col>1</xdr:col>
      <xdr:colOff>1343024</xdr:colOff>
      <xdr:row>21</xdr:row>
      <xdr:rowOff>30483</xdr:rowOff>
    </xdr:to>
    <xdr:sp macro="" textlink="">
      <xdr:nvSpPr>
        <xdr:cNvPr id="3" name="Rectángulo: esquinas superiores cortadas 4">
          <a:extLst>
            <a:ext uri="{FF2B5EF4-FFF2-40B4-BE49-F238E27FC236}">
              <a16:creationId xmlns:a16="http://schemas.microsoft.com/office/drawing/2014/main" xmlns="" id="{C3EA1B46-DCC5-4B45-BE41-16CDDAB07A17}"/>
            </a:ext>
          </a:extLst>
        </xdr:cNvPr>
        <xdr:cNvSpPr/>
      </xdr:nvSpPr>
      <xdr:spPr>
        <a:xfrm rot="5400000">
          <a:off x="1557945" y="5198404"/>
          <a:ext cx="617077" cy="416121"/>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670560</xdr:colOff>
      <xdr:row>18</xdr:row>
      <xdr:rowOff>40152</xdr:rowOff>
    </xdr:from>
    <xdr:to>
      <xdr:col>2</xdr:col>
      <xdr:colOff>840104</xdr:colOff>
      <xdr:row>20</xdr:row>
      <xdr:rowOff>38103</xdr:rowOff>
    </xdr:to>
    <xdr:sp macro="" textlink="">
      <xdr:nvSpPr>
        <xdr:cNvPr id="4" name="Rectángulo: esquinas superiores cortadas 4">
          <a:extLst>
            <a:ext uri="{FF2B5EF4-FFF2-40B4-BE49-F238E27FC236}">
              <a16:creationId xmlns:a16="http://schemas.microsoft.com/office/drawing/2014/main" xmlns="" id="{F9492DE8-2E4D-4940-9302-9BC4974ADBD5}"/>
            </a:ext>
          </a:extLst>
        </xdr:cNvPr>
        <xdr:cNvSpPr/>
      </xdr:nvSpPr>
      <xdr:spPr>
        <a:xfrm rot="5400000">
          <a:off x="2874716" y="5242636"/>
          <a:ext cx="394191" cy="169544"/>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3B4DB33D-4D51-44DB-9704-8D7DFD392BB0}"/>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957072</xdr:colOff>
      <xdr:row>17</xdr:row>
      <xdr:rowOff>76205</xdr:rowOff>
    </xdr:from>
    <xdr:to>
      <xdr:col>1</xdr:col>
      <xdr:colOff>1542288</xdr:colOff>
      <xdr:row>21</xdr:row>
      <xdr:rowOff>12196</xdr:rowOff>
    </xdr:to>
    <xdr:sp macro="" textlink="">
      <xdr:nvSpPr>
        <xdr:cNvPr id="3" name="Rectángulo: esquinas superiores cortadas 4">
          <a:extLst>
            <a:ext uri="{FF2B5EF4-FFF2-40B4-BE49-F238E27FC236}">
              <a16:creationId xmlns:a16="http://schemas.microsoft.com/office/drawing/2014/main" xmlns="" id="{6B152B5B-92B4-47D0-A203-F158F34CEC8E}"/>
            </a:ext>
          </a:extLst>
        </xdr:cNvPr>
        <xdr:cNvSpPr/>
      </xdr:nvSpPr>
      <xdr:spPr>
        <a:xfrm rot="5400000">
          <a:off x="1610868" y="5067305"/>
          <a:ext cx="740663"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7803D512-F1C3-4A90-89FF-FB970D371D89}"/>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957072</xdr:colOff>
      <xdr:row>17</xdr:row>
      <xdr:rowOff>76205</xdr:rowOff>
    </xdr:from>
    <xdr:to>
      <xdr:col>1</xdr:col>
      <xdr:colOff>1542288</xdr:colOff>
      <xdr:row>21</xdr:row>
      <xdr:rowOff>12196</xdr:rowOff>
    </xdr:to>
    <xdr:sp macro="" textlink="">
      <xdr:nvSpPr>
        <xdr:cNvPr id="3" name="Rectángulo: esquinas superiores cortadas 4">
          <a:extLst>
            <a:ext uri="{FF2B5EF4-FFF2-40B4-BE49-F238E27FC236}">
              <a16:creationId xmlns:a16="http://schemas.microsoft.com/office/drawing/2014/main" xmlns="" id="{5A2961D5-31C4-4CE9-9847-F37F512471C5}"/>
            </a:ext>
          </a:extLst>
        </xdr:cNvPr>
        <xdr:cNvSpPr/>
      </xdr:nvSpPr>
      <xdr:spPr>
        <a:xfrm rot="5400000">
          <a:off x="1616964" y="5039873"/>
          <a:ext cx="728471"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60099A6F-B199-4D5A-B97E-BC3F3B061DC0}"/>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957072</xdr:colOff>
      <xdr:row>17</xdr:row>
      <xdr:rowOff>76205</xdr:rowOff>
    </xdr:from>
    <xdr:to>
      <xdr:col>1</xdr:col>
      <xdr:colOff>1542288</xdr:colOff>
      <xdr:row>21</xdr:row>
      <xdr:rowOff>12196</xdr:rowOff>
    </xdr:to>
    <xdr:sp macro="" textlink="">
      <xdr:nvSpPr>
        <xdr:cNvPr id="3" name="Rectángulo: esquinas superiores cortadas 4">
          <a:extLst>
            <a:ext uri="{FF2B5EF4-FFF2-40B4-BE49-F238E27FC236}">
              <a16:creationId xmlns:a16="http://schemas.microsoft.com/office/drawing/2014/main" xmlns="" id="{979D651E-38CF-4C94-945F-5A3AD3101843}"/>
            </a:ext>
          </a:extLst>
        </xdr:cNvPr>
        <xdr:cNvSpPr/>
      </xdr:nvSpPr>
      <xdr:spPr>
        <a:xfrm rot="5400000">
          <a:off x="1616964" y="5039873"/>
          <a:ext cx="728471"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688848</xdr:colOff>
      <xdr:row>11</xdr:row>
      <xdr:rowOff>158496</xdr:rowOff>
    </xdr:from>
    <xdr:to>
      <xdr:col>6</xdr:col>
      <xdr:colOff>456020</xdr:colOff>
      <xdr:row>27</xdr:row>
      <xdr:rowOff>151569</xdr:rowOff>
    </xdr:to>
    <xdr:pic>
      <xdr:nvPicPr>
        <xdr:cNvPr id="2" name="Imagen 1">
          <a:extLst>
            <a:ext uri="{FF2B5EF4-FFF2-40B4-BE49-F238E27FC236}">
              <a16:creationId xmlns:a16="http://schemas.microsoft.com/office/drawing/2014/main" xmlns="" id="{F9B76B1D-CCCA-484B-B459-BC3AFE24CA26}"/>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957072</xdr:colOff>
      <xdr:row>18</xdr:row>
      <xdr:rowOff>76205</xdr:rowOff>
    </xdr:from>
    <xdr:to>
      <xdr:col>1</xdr:col>
      <xdr:colOff>1542288</xdr:colOff>
      <xdr:row>22</xdr:row>
      <xdr:rowOff>12196</xdr:rowOff>
    </xdr:to>
    <xdr:sp macro="" textlink="">
      <xdr:nvSpPr>
        <xdr:cNvPr id="3" name="Rectángulo: esquinas superiores cortadas 4">
          <a:extLst>
            <a:ext uri="{FF2B5EF4-FFF2-40B4-BE49-F238E27FC236}">
              <a16:creationId xmlns:a16="http://schemas.microsoft.com/office/drawing/2014/main" xmlns="" id="{32C646CE-8598-4345-B9BC-1356F36A1851}"/>
            </a:ext>
          </a:extLst>
        </xdr:cNvPr>
        <xdr:cNvSpPr/>
      </xdr:nvSpPr>
      <xdr:spPr>
        <a:xfrm rot="5400000">
          <a:off x="1616964" y="5039873"/>
          <a:ext cx="728471"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25AF8E2B-391C-41DA-9B9F-90408815B56F}"/>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957072</xdr:colOff>
      <xdr:row>17</xdr:row>
      <xdr:rowOff>76205</xdr:rowOff>
    </xdr:from>
    <xdr:to>
      <xdr:col>1</xdr:col>
      <xdr:colOff>1542288</xdr:colOff>
      <xdr:row>21</xdr:row>
      <xdr:rowOff>12196</xdr:rowOff>
    </xdr:to>
    <xdr:sp macro="" textlink="">
      <xdr:nvSpPr>
        <xdr:cNvPr id="3" name="Rectángulo: esquinas superiores cortadas 4">
          <a:extLst>
            <a:ext uri="{FF2B5EF4-FFF2-40B4-BE49-F238E27FC236}">
              <a16:creationId xmlns:a16="http://schemas.microsoft.com/office/drawing/2014/main" xmlns="" id="{54F24387-BD45-4E51-8828-51BEF20E4E46}"/>
            </a:ext>
          </a:extLst>
        </xdr:cNvPr>
        <xdr:cNvSpPr/>
      </xdr:nvSpPr>
      <xdr:spPr>
        <a:xfrm rot="5400000">
          <a:off x="1616964" y="5039873"/>
          <a:ext cx="728471"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780288</xdr:colOff>
      <xdr:row>17</xdr:row>
      <xdr:rowOff>109736</xdr:rowOff>
    </xdr:from>
    <xdr:to>
      <xdr:col>3</xdr:col>
      <xdr:colOff>201168</xdr:colOff>
      <xdr:row>23</xdr:row>
      <xdr:rowOff>85347</xdr:rowOff>
    </xdr:to>
    <xdr:sp macro="" textlink="">
      <xdr:nvSpPr>
        <xdr:cNvPr id="4" name="Rectángulo: esquinas superiores cortadas 4">
          <a:extLst>
            <a:ext uri="{FF2B5EF4-FFF2-40B4-BE49-F238E27FC236}">
              <a16:creationId xmlns:a16="http://schemas.microsoft.com/office/drawing/2014/main" xmlns="" id="{37862E97-CC06-4CC7-816A-3DE6E4E84283}"/>
            </a:ext>
          </a:extLst>
        </xdr:cNvPr>
        <xdr:cNvSpPr/>
      </xdr:nvSpPr>
      <xdr:spPr>
        <a:xfrm rot="5400000">
          <a:off x="2599946" y="5519934"/>
          <a:ext cx="1274059" cy="2804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237744</xdr:colOff>
      <xdr:row>14</xdr:row>
      <xdr:rowOff>54873</xdr:rowOff>
    </xdr:from>
    <xdr:to>
      <xdr:col>2</xdr:col>
      <xdr:colOff>822960</xdr:colOff>
      <xdr:row>17</xdr:row>
      <xdr:rowOff>192032</xdr:rowOff>
    </xdr:to>
    <xdr:sp macro="" textlink="">
      <xdr:nvSpPr>
        <xdr:cNvPr id="5" name="Rectángulo: esquinas superiores cortadas 4">
          <a:extLst>
            <a:ext uri="{FF2B5EF4-FFF2-40B4-BE49-F238E27FC236}">
              <a16:creationId xmlns:a16="http://schemas.microsoft.com/office/drawing/2014/main" xmlns="" id="{B0DDF02E-FFB3-432D-8DF8-645BB8E0F015}"/>
            </a:ext>
          </a:extLst>
        </xdr:cNvPr>
        <xdr:cNvSpPr/>
      </xdr:nvSpPr>
      <xdr:spPr>
        <a:xfrm rot="5400000">
          <a:off x="2476500" y="4442469"/>
          <a:ext cx="740663"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963168</xdr:colOff>
      <xdr:row>13</xdr:row>
      <xdr:rowOff>152412</xdr:rowOff>
    </xdr:from>
    <xdr:to>
      <xdr:col>1</xdr:col>
      <xdr:colOff>1170432</xdr:colOff>
      <xdr:row>14</xdr:row>
      <xdr:rowOff>152404</xdr:rowOff>
    </xdr:to>
    <xdr:sp macro="" textlink="">
      <xdr:nvSpPr>
        <xdr:cNvPr id="6" name="Rectángulo: esquinas superiores cortadas 4">
          <a:extLst>
            <a:ext uri="{FF2B5EF4-FFF2-40B4-BE49-F238E27FC236}">
              <a16:creationId xmlns:a16="http://schemas.microsoft.com/office/drawing/2014/main" xmlns="" id="{489CA3CB-742C-47A2-BD3B-02F4623E04ED}"/>
            </a:ext>
          </a:extLst>
        </xdr:cNvPr>
        <xdr:cNvSpPr/>
      </xdr:nvSpPr>
      <xdr:spPr>
        <a:xfrm rot="5400000">
          <a:off x="1697740" y="4258064"/>
          <a:ext cx="201160" cy="207264"/>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274320</xdr:colOff>
      <xdr:row>10</xdr:row>
      <xdr:rowOff>140220</xdr:rowOff>
    </xdr:from>
    <xdr:to>
      <xdr:col>1</xdr:col>
      <xdr:colOff>481584</xdr:colOff>
      <xdr:row>11</xdr:row>
      <xdr:rowOff>140212</xdr:rowOff>
    </xdr:to>
    <xdr:sp macro="" textlink="">
      <xdr:nvSpPr>
        <xdr:cNvPr id="8" name="Rectángulo: esquinas superiores cortadas 4">
          <a:extLst>
            <a:ext uri="{FF2B5EF4-FFF2-40B4-BE49-F238E27FC236}">
              <a16:creationId xmlns:a16="http://schemas.microsoft.com/office/drawing/2014/main" xmlns="" id="{197894A1-490B-4618-B6A8-AFF1E3F7728A}"/>
            </a:ext>
          </a:extLst>
        </xdr:cNvPr>
        <xdr:cNvSpPr/>
      </xdr:nvSpPr>
      <xdr:spPr>
        <a:xfrm rot="5400000">
          <a:off x="1008892" y="3642368"/>
          <a:ext cx="201160" cy="207264"/>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C00FD99E-6018-4644-93A4-ECEE0767EAF0}"/>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957072</xdr:colOff>
      <xdr:row>17</xdr:row>
      <xdr:rowOff>76205</xdr:rowOff>
    </xdr:from>
    <xdr:to>
      <xdr:col>1</xdr:col>
      <xdr:colOff>1542288</xdr:colOff>
      <xdr:row>21</xdr:row>
      <xdr:rowOff>12196</xdr:rowOff>
    </xdr:to>
    <xdr:sp macro="" textlink="">
      <xdr:nvSpPr>
        <xdr:cNvPr id="3" name="Rectángulo: esquinas superiores cortadas 4">
          <a:extLst>
            <a:ext uri="{FF2B5EF4-FFF2-40B4-BE49-F238E27FC236}">
              <a16:creationId xmlns:a16="http://schemas.microsoft.com/office/drawing/2014/main" xmlns="" id="{043249DD-67A1-4627-BCE2-F2A8C4448562}"/>
            </a:ext>
          </a:extLst>
        </xdr:cNvPr>
        <xdr:cNvSpPr/>
      </xdr:nvSpPr>
      <xdr:spPr>
        <a:xfrm rot="5400000">
          <a:off x="1616964" y="5039873"/>
          <a:ext cx="728471"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780288</xdr:colOff>
      <xdr:row>17</xdr:row>
      <xdr:rowOff>109736</xdr:rowOff>
    </xdr:from>
    <xdr:to>
      <xdr:col>3</xdr:col>
      <xdr:colOff>201168</xdr:colOff>
      <xdr:row>23</xdr:row>
      <xdr:rowOff>85347</xdr:rowOff>
    </xdr:to>
    <xdr:sp macro="" textlink="">
      <xdr:nvSpPr>
        <xdr:cNvPr id="4" name="Rectángulo: esquinas superiores cortadas 4">
          <a:extLst>
            <a:ext uri="{FF2B5EF4-FFF2-40B4-BE49-F238E27FC236}">
              <a16:creationId xmlns:a16="http://schemas.microsoft.com/office/drawing/2014/main" xmlns="" id="{C64786EE-0EAB-47C2-8081-BA8DC18C899B}"/>
            </a:ext>
          </a:extLst>
        </xdr:cNvPr>
        <xdr:cNvSpPr/>
      </xdr:nvSpPr>
      <xdr:spPr>
        <a:xfrm rot="5400000">
          <a:off x="2609852" y="5488692"/>
          <a:ext cx="1255771" cy="281940"/>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7A902FF7-3C03-4614-BA4B-7C6A802E3FBD}"/>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957072</xdr:colOff>
      <xdr:row>17</xdr:row>
      <xdr:rowOff>76205</xdr:rowOff>
    </xdr:from>
    <xdr:to>
      <xdr:col>1</xdr:col>
      <xdr:colOff>1542288</xdr:colOff>
      <xdr:row>21</xdr:row>
      <xdr:rowOff>12196</xdr:rowOff>
    </xdr:to>
    <xdr:sp macro="" textlink="">
      <xdr:nvSpPr>
        <xdr:cNvPr id="3" name="Rectángulo: esquinas superiores cortadas 4">
          <a:extLst>
            <a:ext uri="{FF2B5EF4-FFF2-40B4-BE49-F238E27FC236}">
              <a16:creationId xmlns:a16="http://schemas.microsoft.com/office/drawing/2014/main" xmlns="" id="{636FF4BE-0BE8-4560-B879-9BD81ADDDA6B}"/>
            </a:ext>
          </a:extLst>
        </xdr:cNvPr>
        <xdr:cNvSpPr/>
      </xdr:nvSpPr>
      <xdr:spPr>
        <a:xfrm rot="5400000">
          <a:off x="1616964" y="5039873"/>
          <a:ext cx="728471"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780288</xdr:colOff>
      <xdr:row>17</xdr:row>
      <xdr:rowOff>109736</xdr:rowOff>
    </xdr:from>
    <xdr:to>
      <xdr:col>3</xdr:col>
      <xdr:colOff>201168</xdr:colOff>
      <xdr:row>23</xdr:row>
      <xdr:rowOff>85347</xdr:rowOff>
    </xdr:to>
    <xdr:sp macro="" textlink="">
      <xdr:nvSpPr>
        <xdr:cNvPr id="4" name="Rectángulo: esquinas superiores cortadas 4">
          <a:extLst>
            <a:ext uri="{FF2B5EF4-FFF2-40B4-BE49-F238E27FC236}">
              <a16:creationId xmlns:a16="http://schemas.microsoft.com/office/drawing/2014/main" xmlns="" id="{76849893-7EA5-4992-81E8-A81300F30B1C}"/>
            </a:ext>
          </a:extLst>
        </xdr:cNvPr>
        <xdr:cNvSpPr/>
      </xdr:nvSpPr>
      <xdr:spPr>
        <a:xfrm rot="5400000">
          <a:off x="2609852" y="5488692"/>
          <a:ext cx="1255771" cy="281940"/>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237744</xdr:colOff>
      <xdr:row>14</xdr:row>
      <xdr:rowOff>54873</xdr:rowOff>
    </xdr:from>
    <xdr:to>
      <xdr:col>2</xdr:col>
      <xdr:colOff>822960</xdr:colOff>
      <xdr:row>17</xdr:row>
      <xdr:rowOff>192032</xdr:rowOff>
    </xdr:to>
    <xdr:sp macro="" textlink="">
      <xdr:nvSpPr>
        <xdr:cNvPr id="5" name="Rectángulo: esquinas superiores cortadas 4">
          <a:extLst>
            <a:ext uri="{FF2B5EF4-FFF2-40B4-BE49-F238E27FC236}">
              <a16:creationId xmlns:a16="http://schemas.microsoft.com/office/drawing/2014/main" xmlns="" id="{FA80FA37-796C-4CEC-A9F0-5B4A2525A737}"/>
            </a:ext>
          </a:extLst>
        </xdr:cNvPr>
        <xdr:cNvSpPr/>
      </xdr:nvSpPr>
      <xdr:spPr>
        <a:xfrm rot="5400000">
          <a:off x="2481072" y="4425705"/>
          <a:ext cx="731519" cy="58521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963168</xdr:colOff>
      <xdr:row>13</xdr:row>
      <xdr:rowOff>152412</xdr:rowOff>
    </xdr:from>
    <xdr:to>
      <xdr:col>1</xdr:col>
      <xdr:colOff>1170432</xdr:colOff>
      <xdr:row>14</xdr:row>
      <xdr:rowOff>152404</xdr:rowOff>
    </xdr:to>
    <xdr:sp macro="" textlink="">
      <xdr:nvSpPr>
        <xdr:cNvPr id="6" name="Rectángulo: esquinas superiores cortadas 4">
          <a:extLst>
            <a:ext uri="{FF2B5EF4-FFF2-40B4-BE49-F238E27FC236}">
              <a16:creationId xmlns:a16="http://schemas.microsoft.com/office/drawing/2014/main" xmlns="" id="{BA1EFFCB-7120-438B-AADA-1403AE588CD1}"/>
            </a:ext>
          </a:extLst>
        </xdr:cNvPr>
        <xdr:cNvSpPr/>
      </xdr:nvSpPr>
      <xdr:spPr>
        <a:xfrm rot="5400000">
          <a:off x="1699264" y="4247396"/>
          <a:ext cx="198112" cy="207264"/>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274320</xdr:colOff>
      <xdr:row>10</xdr:row>
      <xdr:rowOff>140220</xdr:rowOff>
    </xdr:from>
    <xdr:to>
      <xdr:col>1</xdr:col>
      <xdr:colOff>481584</xdr:colOff>
      <xdr:row>11</xdr:row>
      <xdr:rowOff>140212</xdr:rowOff>
    </xdr:to>
    <xdr:sp macro="" textlink="">
      <xdr:nvSpPr>
        <xdr:cNvPr id="7" name="Rectángulo: esquinas superiores cortadas 4">
          <a:extLst>
            <a:ext uri="{FF2B5EF4-FFF2-40B4-BE49-F238E27FC236}">
              <a16:creationId xmlns:a16="http://schemas.microsoft.com/office/drawing/2014/main" xmlns="" id="{A45F286A-C7FC-4C40-854B-C45D32D8B588}"/>
            </a:ext>
          </a:extLst>
        </xdr:cNvPr>
        <xdr:cNvSpPr/>
      </xdr:nvSpPr>
      <xdr:spPr>
        <a:xfrm rot="5400000">
          <a:off x="1010416" y="3640844"/>
          <a:ext cx="198112" cy="207264"/>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8ED7BD1E-A1A0-4CA0-BEEE-40C08E6D4C4E}"/>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341376</xdr:colOff>
      <xdr:row>17</xdr:row>
      <xdr:rowOff>24384</xdr:rowOff>
    </xdr:from>
    <xdr:to>
      <xdr:col>1</xdr:col>
      <xdr:colOff>1030224</xdr:colOff>
      <xdr:row>18</xdr:row>
      <xdr:rowOff>30484</xdr:rowOff>
    </xdr:to>
    <xdr:sp macro="" textlink="">
      <xdr:nvSpPr>
        <xdr:cNvPr id="3" name="Rectángulo: esquinas superiores cortadas 4">
          <a:extLst>
            <a:ext uri="{FF2B5EF4-FFF2-40B4-BE49-F238E27FC236}">
              <a16:creationId xmlns:a16="http://schemas.microsoft.com/office/drawing/2014/main" xmlns="" id="{8DEA8BCB-DDE8-4146-9BA9-294538076F41}"/>
            </a:ext>
          </a:extLst>
        </xdr:cNvPr>
        <xdr:cNvSpPr/>
      </xdr:nvSpPr>
      <xdr:spPr>
        <a:xfrm rot="5400000">
          <a:off x="1313686" y="4696970"/>
          <a:ext cx="207268" cy="688848"/>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592455</xdr:colOff>
      <xdr:row>10</xdr:row>
      <xdr:rowOff>186690</xdr:rowOff>
    </xdr:from>
    <xdr:to>
      <xdr:col>6</xdr:col>
      <xdr:colOff>363437</xdr:colOff>
      <xdr:row>26</xdr:row>
      <xdr:rowOff>179763</xdr:rowOff>
    </xdr:to>
    <xdr:pic>
      <xdr:nvPicPr>
        <xdr:cNvPr id="2" name="Imagen 1">
          <a:extLst>
            <a:ext uri="{FF2B5EF4-FFF2-40B4-BE49-F238E27FC236}">
              <a16:creationId xmlns:a16="http://schemas.microsoft.com/office/drawing/2014/main" xmlns="" id="{E2C74BFA-CCFF-421A-B178-2E657E2E18DE}"/>
            </a:ext>
          </a:extLst>
        </xdr:cNvPr>
        <xdr:cNvPicPr>
          <a:picLocks noChangeAspect="1"/>
        </xdr:cNvPicPr>
      </xdr:nvPicPr>
      <xdr:blipFill>
        <a:blip xmlns:r="http://schemas.openxmlformats.org/officeDocument/2006/relationships" r:embed="rId1"/>
        <a:stretch>
          <a:fillRect/>
        </a:stretch>
      </xdr:blipFill>
      <xdr:spPr>
        <a:xfrm>
          <a:off x="592455" y="3699510"/>
          <a:ext cx="5135462" cy="3258243"/>
        </a:xfrm>
        <a:prstGeom prst="rect">
          <a:avLst/>
        </a:prstGeom>
      </xdr:spPr>
    </xdr:pic>
    <xdr:clientData/>
  </xdr:twoCellAnchor>
  <xdr:twoCellAnchor>
    <xdr:from>
      <xdr:col>5</xdr:col>
      <xdr:colOff>457199</xdr:colOff>
      <xdr:row>20</xdr:row>
      <xdr:rowOff>167640</xdr:rowOff>
    </xdr:from>
    <xdr:to>
      <xdr:col>6</xdr:col>
      <xdr:colOff>316991</xdr:colOff>
      <xdr:row>24</xdr:row>
      <xdr:rowOff>15240</xdr:rowOff>
    </xdr:to>
    <xdr:sp macro="" textlink="">
      <xdr:nvSpPr>
        <xdr:cNvPr id="3" name="Rectángulo: esquinas superiores cortadas 4">
          <a:extLst>
            <a:ext uri="{FF2B5EF4-FFF2-40B4-BE49-F238E27FC236}">
              <a16:creationId xmlns:a16="http://schemas.microsoft.com/office/drawing/2014/main" xmlns="" id="{387C9B71-9AF3-4E55-A85F-9364389B936A}"/>
            </a:ext>
          </a:extLst>
        </xdr:cNvPr>
        <xdr:cNvSpPr/>
      </xdr:nvSpPr>
      <xdr:spPr>
        <a:xfrm rot="5400000" flipH="1">
          <a:off x="5027675" y="5731764"/>
          <a:ext cx="731520" cy="591312"/>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594358</xdr:colOff>
      <xdr:row>13</xdr:row>
      <xdr:rowOff>83818</xdr:rowOff>
    </xdr:from>
    <xdr:to>
      <xdr:col>4</xdr:col>
      <xdr:colOff>352424</xdr:colOff>
      <xdr:row>21</xdr:row>
      <xdr:rowOff>160019</xdr:rowOff>
    </xdr:to>
    <xdr:sp macro="" textlink="">
      <xdr:nvSpPr>
        <xdr:cNvPr id="4" name="Rectángulo: esquinas superiores cortadas 4">
          <a:extLst>
            <a:ext uri="{FF2B5EF4-FFF2-40B4-BE49-F238E27FC236}">
              <a16:creationId xmlns:a16="http://schemas.microsoft.com/office/drawing/2014/main" xmlns="" id="{1B936EC5-FA78-45E8-B7C4-CC34D44AC45B}"/>
            </a:ext>
          </a:extLst>
        </xdr:cNvPr>
        <xdr:cNvSpPr/>
      </xdr:nvSpPr>
      <xdr:spPr>
        <a:xfrm rot="5400000" flipH="1">
          <a:off x="1963100" y="3553776"/>
          <a:ext cx="1661161" cy="293560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5D0328A2-DD64-4AB7-A292-167B1BF082A5}"/>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86868</xdr:colOff>
      <xdr:row>10</xdr:row>
      <xdr:rowOff>111633</xdr:rowOff>
    </xdr:from>
    <xdr:to>
      <xdr:col>6</xdr:col>
      <xdr:colOff>375285</xdr:colOff>
      <xdr:row>25</xdr:row>
      <xdr:rowOff>184023</xdr:rowOff>
    </xdr:to>
    <xdr:sp macro="" textlink="">
      <xdr:nvSpPr>
        <xdr:cNvPr id="3" name="Rectángulo: esquinas superiores cortadas 4">
          <a:extLst>
            <a:ext uri="{FF2B5EF4-FFF2-40B4-BE49-F238E27FC236}">
              <a16:creationId xmlns:a16="http://schemas.microsoft.com/office/drawing/2014/main" xmlns="" id="{CB00B9C6-0857-45C9-9949-B76ECA4D714F}"/>
            </a:ext>
          </a:extLst>
        </xdr:cNvPr>
        <xdr:cNvSpPr/>
      </xdr:nvSpPr>
      <xdr:spPr>
        <a:xfrm rot="5400000" flipH="1">
          <a:off x="1715072" y="2727769"/>
          <a:ext cx="3135630" cy="4928997"/>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6D8F96F9-2459-4E01-8184-20C15D26CDFF}"/>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140208</xdr:colOff>
      <xdr:row>10</xdr:row>
      <xdr:rowOff>170688</xdr:rowOff>
    </xdr:from>
    <xdr:to>
      <xdr:col>2</xdr:col>
      <xdr:colOff>493776</xdr:colOff>
      <xdr:row>21</xdr:row>
      <xdr:rowOff>188976</xdr:rowOff>
    </xdr:to>
    <xdr:sp macro="" textlink="">
      <xdr:nvSpPr>
        <xdr:cNvPr id="3" name="Rectángulo: esquinas superiores cortadas 4">
          <a:extLst>
            <a:ext uri="{FF2B5EF4-FFF2-40B4-BE49-F238E27FC236}">
              <a16:creationId xmlns:a16="http://schemas.microsoft.com/office/drawing/2014/main" xmlns="" id="{164B5ECF-4E4D-4391-9915-23C4A24124B5}"/>
            </a:ext>
          </a:extLst>
        </xdr:cNvPr>
        <xdr:cNvSpPr/>
      </xdr:nvSpPr>
      <xdr:spPr>
        <a:xfrm rot="5400000" flipH="1">
          <a:off x="725424" y="3822192"/>
          <a:ext cx="2231136" cy="1938528"/>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DB0A5F6D-69C4-4D34-BC3D-7C6A614ECEB7}"/>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140208</xdr:colOff>
      <xdr:row>10</xdr:row>
      <xdr:rowOff>170688</xdr:rowOff>
    </xdr:from>
    <xdr:to>
      <xdr:col>2</xdr:col>
      <xdr:colOff>493776</xdr:colOff>
      <xdr:row>21</xdr:row>
      <xdr:rowOff>188976</xdr:rowOff>
    </xdr:to>
    <xdr:sp macro="" textlink="">
      <xdr:nvSpPr>
        <xdr:cNvPr id="3" name="Rectángulo: esquinas superiores cortadas 4">
          <a:extLst>
            <a:ext uri="{FF2B5EF4-FFF2-40B4-BE49-F238E27FC236}">
              <a16:creationId xmlns:a16="http://schemas.microsoft.com/office/drawing/2014/main" xmlns="" id="{B46F2DBA-2082-444F-82B6-2F6C34844404}"/>
            </a:ext>
          </a:extLst>
        </xdr:cNvPr>
        <xdr:cNvSpPr/>
      </xdr:nvSpPr>
      <xdr:spPr>
        <a:xfrm rot="5400000" flipH="1">
          <a:off x="742188" y="3805428"/>
          <a:ext cx="2197608" cy="1938528"/>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BAA2CE28-18E0-4352-9A7D-71226A434F52}"/>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1</xdr:col>
      <xdr:colOff>140208</xdr:colOff>
      <xdr:row>10</xdr:row>
      <xdr:rowOff>170688</xdr:rowOff>
    </xdr:from>
    <xdr:to>
      <xdr:col>2</xdr:col>
      <xdr:colOff>493776</xdr:colOff>
      <xdr:row>21</xdr:row>
      <xdr:rowOff>188976</xdr:rowOff>
    </xdr:to>
    <xdr:sp macro="" textlink="">
      <xdr:nvSpPr>
        <xdr:cNvPr id="3" name="Rectángulo: esquinas superiores cortadas 4">
          <a:extLst>
            <a:ext uri="{FF2B5EF4-FFF2-40B4-BE49-F238E27FC236}">
              <a16:creationId xmlns:a16="http://schemas.microsoft.com/office/drawing/2014/main" xmlns="" id="{FB48FF9D-FDCE-44BB-BF87-ADAED94ECB75}"/>
            </a:ext>
          </a:extLst>
        </xdr:cNvPr>
        <xdr:cNvSpPr/>
      </xdr:nvSpPr>
      <xdr:spPr>
        <a:xfrm rot="5400000" flipH="1">
          <a:off x="742188" y="3805428"/>
          <a:ext cx="2197608" cy="1938528"/>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57DD0B3B-15E6-455B-9317-788D9C60E1F6}"/>
            </a:ext>
          </a:extLst>
        </xdr:cNvPr>
        <xdr:cNvPicPr>
          <a:picLocks noChangeAspect="1"/>
        </xdr:cNvPicPr>
      </xdr:nvPicPr>
      <xdr:blipFill>
        <a:blip xmlns:r="http://schemas.openxmlformats.org/officeDocument/2006/relationships" r:embed="rId1"/>
        <a:stretch>
          <a:fillRect/>
        </a:stretch>
      </xdr:blipFill>
      <xdr:spPr>
        <a:xfrm>
          <a:off x="688848" y="3675126"/>
          <a:ext cx="5139272" cy="3277293"/>
        </a:xfrm>
        <a:prstGeom prst="rect">
          <a:avLst/>
        </a:prstGeom>
      </xdr:spPr>
    </xdr:pic>
    <xdr:clientData/>
  </xdr:twoCellAnchor>
  <xdr:twoCellAnchor>
    <xdr:from>
      <xdr:col>3</xdr:col>
      <xdr:colOff>41148</xdr:colOff>
      <xdr:row>17</xdr:row>
      <xdr:rowOff>37338</xdr:rowOff>
    </xdr:from>
    <xdr:to>
      <xdr:col>3</xdr:col>
      <xdr:colOff>299085</xdr:colOff>
      <xdr:row>23</xdr:row>
      <xdr:rowOff>175259</xdr:rowOff>
    </xdr:to>
    <xdr:sp macro="" textlink="">
      <xdr:nvSpPr>
        <xdr:cNvPr id="3" name="Rectángulo: esquinas superiores cortadas 4">
          <a:extLst>
            <a:ext uri="{FF2B5EF4-FFF2-40B4-BE49-F238E27FC236}">
              <a16:creationId xmlns:a16="http://schemas.microsoft.com/office/drawing/2014/main" xmlns="" id="{90C4A824-AF1A-40E6-B246-748DDA56AAEC}"/>
            </a:ext>
          </a:extLst>
        </xdr:cNvPr>
        <xdr:cNvSpPr/>
      </xdr:nvSpPr>
      <xdr:spPr>
        <a:xfrm rot="5400000" flipH="1">
          <a:off x="2638616" y="5517070"/>
          <a:ext cx="1418081" cy="257937"/>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323088</xdr:colOff>
      <xdr:row>17</xdr:row>
      <xdr:rowOff>60198</xdr:rowOff>
    </xdr:from>
    <xdr:to>
      <xdr:col>1</xdr:col>
      <xdr:colOff>1076324</xdr:colOff>
      <xdr:row>18</xdr:row>
      <xdr:rowOff>7620</xdr:rowOff>
    </xdr:to>
    <xdr:sp macro="" textlink="">
      <xdr:nvSpPr>
        <xdr:cNvPr id="4" name="Rectángulo: esquinas superiores cortadas 4">
          <a:extLst>
            <a:ext uri="{FF2B5EF4-FFF2-40B4-BE49-F238E27FC236}">
              <a16:creationId xmlns:a16="http://schemas.microsoft.com/office/drawing/2014/main" xmlns="" id="{B31C43D1-43D2-4A0C-89AD-1988BD0C3C55}"/>
            </a:ext>
          </a:extLst>
        </xdr:cNvPr>
        <xdr:cNvSpPr/>
      </xdr:nvSpPr>
      <xdr:spPr>
        <a:xfrm rot="5400000" flipH="1">
          <a:off x="1358455" y="4656011"/>
          <a:ext cx="145542" cy="75323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837438</xdr:colOff>
      <xdr:row>20</xdr:row>
      <xdr:rowOff>56388</xdr:rowOff>
    </xdr:from>
    <xdr:to>
      <xdr:col>2</xdr:col>
      <xdr:colOff>1904</xdr:colOff>
      <xdr:row>21</xdr:row>
      <xdr:rowOff>17145</xdr:rowOff>
    </xdr:to>
    <xdr:sp macro="" textlink="">
      <xdr:nvSpPr>
        <xdr:cNvPr id="5" name="Rectángulo: esquinas superiores cortadas 4">
          <a:extLst>
            <a:ext uri="{FF2B5EF4-FFF2-40B4-BE49-F238E27FC236}">
              <a16:creationId xmlns:a16="http://schemas.microsoft.com/office/drawing/2014/main" xmlns="" id="{2E6C6CC3-4BC9-4A3E-92C5-3094BA279716}"/>
            </a:ext>
          </a:extLst>
        </xdr:cNvPr>
        <xdr:cNvSpPr/>
      </xdr:nvSpPr>
      <xdr:spPr>
        <a:xfrm rot="5400000" flipH="1">
          <a:off x="1864232" y="5255134"/>
          <a:ext cx="158877" cy="749426"/>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946023</xdr:colOff>
      <xdr:row>18</xdr:row>
      <xdr:rowOff>18288</xdr:rowOff>
    </xdr:from>
    <xdr:to>
      <xdr:col>1</xdr:col>
      <xdr:colOff>1097280</xdr:colOff>
      <xdr:row>20</xdr:row>
      <xdr:rowOff>76200</xdr:rowOff>
    </xdr:to>
    <xdr:sp macro="" textlink="">
      <xdr:nvSpPr>
        <xdr:cNvPr id="6" name="Rectángulo: esquinas superiores cortadas 4">
          <a:extLst>
            <a:ext uri="{FF2B5EF4-FFF2-40B4-BE49-F238E27FC236}">
              <a16:creationId xmlns:a16="http://schemas.microsoft.com/office/drawing/2014/main" xmlns="" id="{B0C7FA2E-54C3-4527-AB49-54BCC76CD260}"/>
            </a:ext>
          </a:extLst>
        </xdr:cNvPr>
        <xdr:cNvSpPr/>
      </xdr:nvSpPr>
      <xdr:spPr>
        <a:xfrm rot="5400000" flipH="1">
          <a:off x="1526096" y="5267515"/>
          <a:ext cx="454152" cy="151257"/>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1A656B1E-D3B4-4959-870C-E580980B5C3B}"/>
            </a:ext>
          </a:extLst>
        </xdr:cNvPr>
        <xdr:cNvPicPr>
          <a:picLocks noChangeAspect="1"/>
        </xdr:cNvPicPr>
      </xdr:nvPicPr>
      <xdr:blipFill>
        <a:blip xmlns:r="http://schemas.openxmlformats.org/officeDocument/2006/relationships" r:embed="rId1"/>
        <a:stretch>
          <a:fillRect/>
        </a:stretch>
      </xdr:blipFill>
      <xdr:spPr>
        <a:xfrm>
          <a:off x="688848" y="3675126"/>
          <a:ext cx="5139272" cy="3277293"/>
        </a:xfrm>
        <a:prstGeom prst="rect">
          <a:avLst/>
        </a:prstGeom>
      </xdr:spPr>
    </xdr:pic>
    <xdr:clientData/>
  </xdr:twoCellAnchor>
  <xdr:twoCellAnchor>
    <xdr:from>
      <xdr:col>2</xdr:col>
      <xdr:colOff>755522</xdr:colOff>
      <xdr:row>17</xdr:row>
      <xdr:rowOff>84963</xdr:rowOff>
    </xdr:from>
    <xdr:to>
      <xdr:col>3</xdr:col>
      <xdr:colOff>205739</xdr:colOff>
      <xdr:row>20</xdr:row>
      <xdr:rowOff>60959</xdr:rowOff>
    </xdr:to>
    <xdr:sp macro="" textlink="">
      <xdr:nvSpPr>
        <xdr:cNvPr id="3" name="Rectángulo: esquinas superiores cortadas 4">
          <a:extLst>
            <a:ext uri="{FF2B5EF4-FFF2-40B4-BE49-F238E27FC236}">
              <a16:creationId xmlns:a16="http://schemas.microsoft.com/office/drawing/2014/main" xmlns="" id="{0556790D-E5CC-4FF0-B03D-3029153F3A7D}"/>
            </a:ext>
          </a:extLst>
        </xdr:cNvPr>
        <xdr:cNvSpPr/>
      </xdr:nvSpPr>
      <xdr:spPr>
        <a:xfrm rot="5400000" flipH="1">
          <a:off x="2942463" y="5114162"/>
          <a:ext cx="570356" cy="311277"/>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B0AA477E-BA12-44FF-A1FE-DE17D8C38F5A}"/>
            </a:ext>
          </a:extLst>
        </xdr:cNvPr>
        <xdr:cNvPicPr>
          <a:picLocks noChangeAspect="1"/>
        </xdr:cNvPicPr>
      </xdr:nvPicPr>
      <xdr:blipFill>
        <a:blip xmlns:r="http://schemas.openxmlformats.org/officeDocument/2006/relationships" r:embed="rId1"/>
        <a:stretch>
          <a:fillRect/>
        </a:stretch>
      </xdr:blipFill>
      <xdr:spPr>
        <a:xfrm>
          <a:off x="688848" y="3675126"/>
          <a:ext cx="5139272" cy="3277293"/>
        </a:xfrm>
        <a:prstGeom prst="rect">
          <a:avLst/>
        </a:prstGeom>
      </xdr:spPr>
    </xdr:pic>
    <xdr:clientData/>
  </xdr:twoCellAnchor>
  <xdr:twoCellAnchor>
    <xdr:from>
      <xdr:col>1</xdr:col>
      <xdr:colOff>914399</xdr:colOff>
      <xdr:row>17</xdr:row>
      <xdr:rowOff>117348</xdr:rowOff>
    </xdr:from>
    <xdr:to>
      <xdr:col>2</xdr:col>
      <xdr:colOff>49529</xdr:colOff>
      <xdr:row>21</xdr:row>
      <xdr:rowOff>7620</xdr:rowOff>
    </xdr:to>
    <xdr:sp macro="" textlink="">
      <xdr:nvSpPr>
        <xdr:cNvPr id="3" name="Rectángulo: esquinas superiores cortadas 4">
          <a:extLst>
            <a:ext uri="{FF2B5EF4-FFF2-40B4-BE49-F238E27FC236}">
              <a16:creationId xmlns:a16="http://schemas.microsoft.com/office/drawing/2014/main" xmlns="" id="{F9E993C3-8E4A-48E8-9089-134C874F4B8E}"/>
            </a:ext>
          </a:extLst>
        </xdr:cNvPr>
        <xdr:cNvSpPr/>
      </xdr:nvSpPr>
      <xdr:spPr>
        <a:xfrm rot="5400000" flipH="1">
          <a:off x="1664588" y="4998339"/>
          <a:ext cx="682752" cy="720090"/>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799335</xdr:colOff>
      <xdr:row>17</xdr:row>
      <xdr:rowOff>99058</xdr:rowOff>
    </xdr:from>
    <xdr:to>
      <xdr:col>3</xdr:col>
      <xdr:colOff>209548</xdr:colOff>
      <xdr:row>20</xdr:row>
      <xdr:rowOff>30479</xdr:rowOff>
    </xdr:to>
    <xdr:sp macro="" textlink="">
      <xdr:nvSpPr>
        <xdr:cNvPr id="4" name="Rectángulo: esquinas superiores cortadas 4">
          <a:extLst>
            <a:ext uri="{FF2B5EF4-FFF2-40B4-BE49-F238E27FC236}">
              <a16:creationId xmlns:a16="http://schemas.microsoft.com/office/drawing/2014/main" xmlns="" id="{4D895294-1491-4E40-B71F-EA74F3403E3B}"/>
            </a:ext>
          </a:extLst>
        </xdr:cNvPr>
        <xdr:cNvSpPr/>
      </xdr:nvSpPr>
      <xdr:spPr>
        <a:xfrm rot="5400000" flipH="1">
          <a:off x="2988561" y="5125972"/>
          <a:ext cx="525781" cy="27127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55215C0B-04F2-40ED-86E3-AC0E9BEFE808}"/>
            </a:ext>
          </a:extLst>
        </xdr:cNvPr>
        <xdr:cNvPicPr>
          <a:picLocks noChangeAspect="1"/>
        </xdr:cNvPicPr>
      </xdr:nvPicPr>
      <xdr:blipFill>
        <a:blip xmlns:r="http://schemas.openxmlformats.org/officeDocument/2006/relationships" r:embed="rId1"/>
        <a:stretch>
          <a:fillRect/>
        </a:stretch>
      </xdr:blipFill>
      <xdr:spPr>
        <a:xfrm>
          <a:off x="688848" y="3675126"/>
          <a:ext cx="5139272" cy="3277293"/>
        </a:xfrm>
        <a:prstGeom prst="rect">
          <a:avLst/>
        </a:prstGeom>
      </xdr:spPr>
    </xdr:pic>
    <xdr:clientData/>
  </xdr:twoCellAnchor>
  <xdr:twoCellAnchor>
    <xdr:from>
      <xdr:col>1</xdr:col>
      <xdr:colOff>914399</xdr:colOff>
      <xdr:row>17</xdr:row>
      <xdr:rowOff>117348</xdr:rowOff>
    </xdr:from>
    <xdr:to>
      <xdr:col>2</xdr:col>
      <xdr:colOff>49529</xdr:colOff>
      <xdr:row>21</xdr:row>
      <xdr:rowOff>7620</xdr:rowOff>
    </xdr:to>
    <xdr:sp macro="" textlink="">
      <xdr:nvSpPr>
        <xdr:cNvPr id="3" name="Rectángulo: esquinas superiores cortadas 4">
          <a:extLst>
            <a:ext uri="{FF2B5EF4-FFF2-40B4-BE49-F238E27FC236}">
              <a16:creationId xmlns:a16="http://schemas.microsoft.com/office/drawing/2014/main" xmlns="" id="{56D1A6A6-0F44-4EF6-8218-CCEB062F95BC}"/>
            </a:ext>
          </a:extLst>
        </xdr:cNvPr>
        <xdr:cNvSpPr/>
      </xdr:nvSpPr>
      <xdr:spPr>
        <a:xfrm rot="5400000" flipH="1">
          <a:off x="1660778" y="5019294"/>
          <a:ext cx="692277" cy="71818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799335</xdr:colOff>
      <xdr:row>17</xdr:row>
      <xdr:rowOff>99058</xdr:rowOff>
    </xdr:from>
    <xdr:to>
      <xdr:col>3</xdr:col>
      <xdr:colOff>209548</xdr:colOff>
      <xdr:row>20</xdr:row>
      <xdr:rowOff>30479</xdr:rowOff>
    </xdr:to>
    <xdr:sp macro="" textlink="">
      <xdr:nvSpPr>
        <xdr:cNvPr id="4" name="Rectángulo: esquinas superiores cortadas 4">
          <a:extLst>
            <a:ext uri="{FF2B5EF4-FFF2-40B4-BE49-F238E27FC236}">
              <a16:creationId xmlns:a16="http://schemas.microsoft.com/office/drawing/2014/main" xmlns="" id="{5114E41C-F97A-419B-882C-22BFC9FA1DCD}"/>
            </a:ext>
          </a:extLst>
        </xdr:cNvPr>
        <xdr:cNvSpPr/>
      </xdr:nvSpPr>
      <xdr:spPr>
        <a:xfrm rot="5400000" flipH="1">
          <a:off x="2982846" y="5141212"/>
          <a:ext cx="533401" cy="27127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AC675B6F-6FAE-43DC-9BD6-13A19C6D48A0}"/>
            </a:ext>
          </a:extLst>
        </xdr:cNvPr>
        <xdr:cNvPicPr>
          <a:picLocks noChangeAspect="1"/>
        </xdr:cNvPicPr>
      </xdr:nvPicPr>
      <xdr:blipFill>
        <a:blip xmlns:r="http://schemas.openxmlformats.org/officeDocument/2006/relationships" r:embed="rId1"/>
        <a:stretch>
          <a:fillRect/>
        </a:stretch>
      </xdr:blipFill>
      <xdr:spPr>
        <a:xfrm>
          <a:off x="688848" y="3675126"/>
          <a:ext cx="5139272" cy="3277293"/>
        </a:xfrm>
        <a:prstGeom prst="rect">
          <a:avLst/>
        </a:prstGeom>
      </xdr:spPr>
    </xdr:pic>
    <xdr:clientData/>
  </xdr:twoCellAnchor>
  <xdr:twoCellAnchor>
    <xdr:from>
      <xdr:col>1</xdr:col>
      <xdr:colOff>914399</xdr:colOff>
      <xdr:row>17</xdr:row>
      <xdr:rowOff>117348</xdr:rowOff>
    </xdr:from>
    <xdr:to>
      <xdr:col>2</xdr:col>
      <xdr:colOff>49529</xdr:colOff>
      <xdr:row>21</xdr:row>
      <xdr:rowOff>7620</xdr:rowOff>
    </xdr:to>
    <xdr:sp macro="" textlink="">
      <xdr:nvSpPr>
        <xdr:cNvPr id="3" name="Rectángulo: esquinas superiores cortadas 4">
          <a:extLst>
            <a:ext uri="{FF2B5EF4-FFF2-40B4-BE49-F238E27FC236}">
              <a16:creationId xmlns:a16="http://schemas.microsoft.com/office/drawing/2014/main" xmlns="" id="{6192FA9B-9F05-4DD3-84BD-2C970060E2CE}"/>
            </a:ext>
          </a:extLst>
        </xdr:cNvPr>
        <xdr:cNvSpPr/>
      </xdr:nvSpPr>
      <xdr:spPr>
        <a:xfrm rot="5400000" flipH="1">
          <a:off x="1660778" y="5019294"/>
          <a:ext cx="692277" cy="71818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799335</xdr:colOff>
      <xdr:row>17</xdr:row>
      <xdr:rowOff>99058</xdr:rowOff>
    </xdr:from>
    <xdr:to>
      <xdr:col>3</xdr:col>
      <xdr:colOff>209548</xdr:colOff>
      <xdr:row>20</xdr:row>
      <xdr:rowOff>30479</xdr:rowOff>
    </xdr:to>
    <xdr:sp macro="" textlink="">
      <xdr:nvSpPr>
        <xdr:cNvPr id="4" name="Rectángulo: esquinas superiores cortadas 4">
          <a:extLst>
            <a:ext uri="{FF2B5EF4-FFF2-40B4-BE49-F238E27FC236}">
              <a16:creationId xmlns:a16="http://schemas.microsoft.com/office/drawing/2014/main" xmlns="" id="{68619DB2-045F-4057-8C7B-BB0252468E92}"/>
            </a:ext>
          </a:extLst>
        </xdr:cNvPr>
        <xdr:cNvSpPr/>
      </xdr:nvSpPr>
      <xdr:spPr>
        <a:xfrm rot="5400000" flipH="1">
          <a:off x="2982846" y="5141212"/>
          <a:ext cx="533401" cy="27127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9ED94CDA-FE60-4B2D-8EEF-6CB3B28FC5F3}"/>
            </a:ext>
          </a:extLst>
        </xdr:cNvPr>
        <xdr:cNvPicPr>
          <a:picLocks noChangeAspect="1"/>
        </xdr:cNvPicPr>
      </xdr:nvPicPr>
      <xdr:blipFill>
        <a:blip xmlns:r="http://schemas.openxmlformats.org/officeDocument/2006/relationships" r:embed="rId1"/>
        <a:stretch>
          <a:fillRect/>
        </a:stretch>
      </xdr:blipFill>
      <xdr:spPr>
        <a:xfrm>
          <a:off x="688848" y="3675126"/>
          <a:ext cx="5139272" cy="3277293"/>
        </a:xfrm>
        <a:prstGeom prst="rect">
          <a:avLst/>
        </a:prstGeom>
      </xdr:spPr>
    </xdr:pic>
    <xdr:clientData/>
  </xdr:twoCellAnchor>
  <xdr:twoCellAnchor>
    <xdr:from>
      <xdr:col>1</xdr:col>
      <xdr:colOff>914399</xdr:colOff>
      <xdr:row>17</xdr:row>
      <xdr:rowOff>117348</xdr:rowOff>
    </xdr:from>
    <xdr:to>
      <xdr:col>2</xdr:col>
      <xdr:colOff>49529</xdr:colOff>
      <xdr:row>21</xdr:row>
      <xdr:rowOff>7620</xdr:rowOff>
    </xdr:to>
    <xdr:sp macro="" textlink="">
      <xdr:nvSpPr>
        <xdr:cNvPr id="3" name="Rectángulo: esquinas superiores cortadas 4">
          <a:extLst>
            <a:ext uri="{FF2B5EF4-FFF2-40B4-BE49-F238E27FC236}">
              <a16:creationId xmlns:a16="http://schemas.microsoft.com/office/drawing/2014/main" xmlns="" id="{DAFAD9A7-9B43-4E72-ACFC-0143B1ED742F}"/>
            </a:ext>
          </a:extLst>
        </xdr:cNvPr>
        <xdr:cNvSpPr/>
      </xdr:nvSpPr>
      <xdr:spPr>
        <a:xfrm rot="5400000" flipH="1">
          <a:off x="1660778" y="5019294"/>
          <a:ext cx="692277" cy="71818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799335</xdr:colOff>
      <xdr:row>17</xdr:row>
      <xdr:rowOff>99058</xdr:rowOff>
    </xdr:from>
    <xdr:to>
      <xdr:col>3</xdr:col>
      <xdr:colOff>209548</xdr:colOff>
      <xdr:row>20</xdr:row>
      <xdr:rowOff>30479</xdr:rowOff>
    </xdr:to>
    <xdr:sp macro="" textlink="">
      <xdr:nvSpPr>
        <xdr:cNvPr id="4" name="Rectángulo: esquinas superiores cortadas 4">
          <a:extLst>
            <a:ext uri="{FF2B5EF4-FFF2-40B4-BE49-F238E27FC236}">
              <a16:creationId xmlns:a16="http://schemas.microsoft.com/office/drawing/2014/main" xmlns="" id="{8F91E97B-A0CB-4451-8105-003D7701DBC0}"/>
            </a:ext>
          </a:extLst>
        </xdr:cNvPr>
        <xdr:cNvSpPr/>
      </xdr:nvSpPr>
      <xdr:spPr>
        <a:xfrm rot="5400000" flipH="1">
          <a:off x="2982846" y="5141212"/>
          <a:ext cx="533401" cy="27127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6BBCFE40-FA46-4D8B-8EF0-FB30E811C8A2}"/>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2</xdr:col>
      <xdr:colOff>799334</xdr:colOff>
      <xdr:row>17</xdr:row>
      <xdr:rowOff>99057</xdr:rowOff>
    </xdr:from>
    <xdr:to>
      <xdr:col>3</xdr:col>
      <xdr:colOff>109727</xdr:colOff>
      <xdr:row>20</xdr:row>
      <xdr:rowOff>30478</xdr:rowOff>
    </xdr:to>
    <xdr:sp macro="" textlink="">
      <xdr:nvSpPr>
        <xdr:cNvPr id="4" name="Rectángulo: esquinas superiores cortadas 4">
          <a:extLst>
            <a:ext uri="{FF2B5EF4-FFF2-40B4-BE49-F238E27FC236}">
              <a16:creationId xmlns:a16="http://schemas.microsoft.com/office/drawing/2014/main" xmlns="" id="{96059443-0BCB-43DD-9272-D75A6A302841}"/>
            </a:ext>
          </a:extLst>
        </xdr:cNvPr>
        <xdr:cNvSpPr/>
      </xdr:nvSpPr>
      <xdr:spPr>
        <a:xfrm rot="5400000" flipH="1">
          <a:off x="2933316" y="5194931"/>
          <a:ext cx="534925" cy="169929"/>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77B4FBC8-2B3C-471D-9734-4F111405C03C}"/>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2</xdr:col>
      <xdr:colOff>799334</xdr:colOff>
      <xdr:row>17</xdr:row>
      <xdr:rowOff>99057</xdr:rowOff>
    </xdr:from>
    <xdr:to>
      <xdr:col>3</xdr:col>
      <xdr:colOff>109727</xdr:colOff>
      <xdr:row>20</xdr:row>
      <xdr:rowOff>30478</xdr:rowOff>
    </xdr:to>
    <xdr:sp macro="" textlink="">
      <xdr:nvSpPr>
        <xdr:cNvPr id="3" name="Rectángulo: esquinas superiores cortadas 4">
          <a:extLst>
            <a:ext uri="{FF2B5EF4-FFF2-40B4-BE49-F238E27FC236}">
              <a16:creationId xmlns:a16="http://schemas.microsoft.com/office/drawing/2014/main" xmlns="" id="{16870DD0-05B9-4299-BE06-5900ED9DB9BC}"/>
            </a:ext>
          </a:extLst>
        </xdr:cNvPr>
        <xdr:cNvSpPr/>
      </xdr:nvSpPr>
      <xdr:spPr>
        <a:xfrm rot="5400000" flipH="1">
          <a:off x="2938650" y="5168261"/>
          <a:ext cx="525781" cy="171453"/>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61EADF44-3AAA-4DC3-B9DF-6CD95C3F4CA6}"/>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3</xdr:col>
      <xdr:colOff>61718</xdr:colOff>
      <xdr:row>17</xdr:row>
      <xdr:rowOff>92961</xdr:rowOff>
    </xdr:from>
    <xdr:to>
      <xdr:col>3</xdr:col>
      <xdr:colOff>231647</xdr:colOff>
      <xdr:row>20</xdr:row>
      <xdr:rowOff>24382</xdr:rowOff>
    </xdr:to>
    <xdr:sp macro="" textlink="">
      <xdr:nvSpPr>
        <xdr:cNvPr id="3" name="Rectángulo: esquinas superiores cortadas 4">
          <a:extLst>
            <a:ext uri="{FF2B5EF4-FFF2-40B4-BE49-F238E27FC236}">
              <a16:creationId xmlns:a16="http://schemas.microsoft.com/office/drawing/2014/main" xmlns="" id="{C7BBB831-3800-4D74-8D1F-3D175D5AF3E5}"/>
            </a:ext>
          </a:extLst>
        </xdr:cNvPr>
        <xdr:cNvSpPr/>
      </xdr:nvSpPr>
      <xdr:spPr>
        <a:xfrm rot="5400000" flipH="1">
          <a:off x="3055236" y="5188835"/>
          <a:ext cx="534925" cy="169929"/>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208021</xdr:colOff>
      <xdr:row>14</xdr:row>
      <xdr:rowOff>111248</xdr:rowOff>
    </xdr:from>
    <xdr:to>
      <xdr:col>3</xdr:col>
      <xdr:colOff>18287</xdr:colOff>
      <xdr:row>17</xdr:row>
      <xdr:rowOff>42669</xdr:rowOff>
    </xdr:to>
    <xdr:sp macro="" textlink="">
      <xdr:nvSpPr>
        <xdr:cNvPr id="4" name="Rectángulo: esquinas superiores cortadas 4">
          <a:extLst>
            <a:ext uri="{FF2B5EF4-FFF2-40B4-BE49-F238E27FC236}">
              <a16:creationId xmlns:a16="http://schemas.microsoft.com/office/drawing/2014/main" xmlns="" id="{31EBC855-046C-4CD4-A630-7F2E87853F0A}"/>
            </a:ext>
          </a:extLst>
        </xdr:cNvPr>
        <xdr:cNvSpPr/>
      </xdr:nvSpPr>
      <xdr:spPr>
        <a:xfrm rot="5400000" flipH="1">
          <a:off x="2591939" y="4353682"/>
          <a:ext cx="534925" cy="669802"/>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616454</xdr:colOff>
      <xdr:row>15</xdr:row>
      <xdr:rowOff>1520</xdr:rowOff>
    </xdr:from>
    <xdr:to>
      <xdr:col>4</xdr:col>
      <xdr:colOff>554736</xdr:colOff>
      <xdr:row>19</xdr:row>
      <xdr:rowOff>24383</xdr:rowOff>
    </xdr:to>
    <xdr:sp macro="" textlink="">
      <xdr:nvSpPr>
        <xdr:cNvPr id="5" name="Rectángulo: esquinas superiores cortadas 4">
          <a:extLst>
            <a:ext uri="{FF2B5EF4-FFF2-40B4-BE49-F238E27FC236}">
              <a16:creationId xmlns:a16="http://schemas.microsoft.com/office/drawing/2014/main" xmlns="" id="{573AA7F9-73C0-4B82-B7BA-33A9679FF932}"/>
            </a:ext>
          </a:extLst>
        </xdr:cNvPr>
        <xdr:cNvSpPr/>
      </xdr:nvSpPr>
      <xdr:spPr>
        <a:xfrm rot="5400000" flipH="1">
          <a:off x="3713603" y="4591427"/>
          <a:ext cx="827535" cy="669802"/>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945638</xdr:colOff>
      <xdr:row>17</xdr:row>
      <xdr:rowOff>44192</xdr:rowOff>
    </xdr:from>
    <xdr:to>
      <xdr:col>2</xdr:col>
      <xdr:colOff>30480</xdr:colOff>
      <xdr:row>21</xdr:row>
      <xdr:rowOff>67055</xdr:rowOff>
    </xdr:to>
    <xdr:sp macro="" textlink="">
      <xdr:nvSpPr>
        <xdr:cNvPr id="6" name="Rectángulo: esquinas superiores cortadas 5">
          <a:extLst>
            <a:ext uri="{FF2B5EF4-FFF2-40B4-BE49-F238E27FC236}">
              <a16:creationId xmlns:a16="http://schemas.microsoft.com/office/drawing/2014/main" xmlns="" id="{64AFF59E-1C66-4170-A054-FD836608F4EB}"/>
            </a:ext>
          </a:extLst>
        </xdr:cNvPr>
        <xdr:cNvSpPr/>
      </xdr:nvSpPr>
      <xdr:spPr>
        <a:xfrm rot="5400000" flipH="1">
          <a:off x="1598291" y="5036435"/>
          <a:ext cx="827535" cy="669802"/>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66EC95D0-EBDF-4C22-8134-803A79B30259}"/>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2</xdr:col>
      <xdr:colOff>262885</xdr:colOff>
      <xdr:row>16</xdr:row>
      <xdr:rowOff>92960</xdr:rowOff>
    </xdr:from>
    <xdr:to>
      <xdr:col>2</xdr:col>
      <xdr:colOff>457200</xdr:colOff>
      <xdr:row>17</xdr:row>
      <xdr:rowOff>54863</xdr:rowOff>
    </xdr:to>
    <xdr:sp macro="" textlink="">
      <xdr:nvSpPr>
        <xdr:cNvPr id="4" name="Rectángulo: esquinas superiores cortadas 4">
          <a:extLst>
            <a:ext uri="{FF2B5EF4-FFF2-40B4-BE49-F238E27FC236}">
              <a16:creationId xmlns:a16="http://schemas.microsoft.com/office/drawing/2014/main" xmlns="" id="{E12176BC-9BF8-43E7-918E-4035310826CF}"/>
            </a:ext>
          </a:extLst>
        </xdr:cNvPr>
        <xdr:cNvSpPr/>
      </xdr:nvSpPr>
      <xdr:spPr>
        <a:xfrm rot="5400000" flipH="1">
          <a:off x="2594987" y="4789546"/>
          <a:ext cx="163071" cy="19431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F440CB67-20D5-4F86-85D8-3E22E3F5D04B}"/>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2</xdr:col>
      <xdr:colOff>275077</xdr:colOff>
      <xdr:row>13</xdr:row>
      <xdr:rowOff>166112</xdr:rowOff>
    </xdr:from>
    <xdr:to>
      <xdr:col>2</xdr:col>
      <xdr:colOff>469392</xdr:colOff>
      <xdr:row>14</xdr:row>
      <xdr:rowOff>128015</xdr:rowOff>
    </xdr:to>
    <xdr:sp macro="" textlink="">
      <xdr:nvSpPr>
        <xdr:cNvPr id="3" name="Rectángulo: esquinas superiores cortadas 4">
          <a:extLst>
            <a:ext uri="{FF2B5EF4-FFF2-40B4-BE49-F238E27FC236}">
              <a16:creationId xmlns:a16="http://schemas.microsoft.com/office/drawing/2014/main" xmlns="" id="{AE2A738C-FB5E-46F4-9C26-E86C0E444A2A}"/>
            </a:ext>
          </a:extLst>
        </xdr:cNvPr>
        <xdr:cNvSpPr/>
      </xdr:nvSpPr>
      <xdr:spPr>
        <a:xfrm rot="5400000" flipH="1">
          <a:off x="2607179" y="4259194"/>
          <a:ext cx="163071" cy="19431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951733</xdr:colOff>
      <xdr:row>13</xdr:row>
      <xdr:rowOff>160016</xdr:rowOff>
    </xdr:from>
    <xdr:to>
      <xdr:col>1</xdr:col>
      <xdr:colOff>1146048</xdr:colOff>
      <xdr:row>14</xdr:row>
      <xdr:rowOff>121919</xdr:rowOff>
    </xdr:to>
    <xdr:sp macro="" textlink="">
      <xdr:nvSpPr>
        <xdr:cNvPr id="4" name="Rectángulo: esquinas superiores cortadas 4">
          <a:extLst>
            <a:ext uri="{FF2B5EF4-FFF2-40B4-BE49-F238E27FC236}">
              <a16:creationId xmlns:a16="http://schemas.microsoft.com/office/drawing/2014/main" xmlns="" id="{C15A060D-D54B-4F29-A6A5-67E1DC6AA9B3}"/>
            </a:ext>
          </a:extLst>
        </xdr:cNvPr>
        <xdr:cNvSpPr/>
      </xdr:nvSpPr>
      <xdr:spPr>
        <a:xfrm rot="5400000" flipH="1">
          <a:off x="1698875" y="4253098"/>
          <a:ext cx="163071" cy="19431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915157</xdr:colOff>
      <xdr:row>16</xdr:row>
      <xdr:rowOff>50288</xdr:rowOff>
    </xdr:from>
    <xdr:to>
      <xdr:col>1</xdr:col>
      <xdr:colOff>1109472</xdr:colOff>
      <xdr:row>17</xdr:row>
      <xdr:rowOff>12191</xdr:rowOff>
    </xdr:to>
    <xdr:sp macro="" textlink="">
      <xdr:nvSpPr>
        <xdr:cNvPr id="5" name="Rectángulo: esquinas superiores cortadas 4">
          <a:extLst>
            <a:ext uri="{FF2B5EF4-FFF2-40B4-BE49-F238E27FC236}">
              <a16:creationId xmlns:a16="http://schemas.microsoft.com/office/drawing/2014/main" xmlns="" id="{7C7FA359-24B5-43E9-A033-A431BB9D96E4}"/>
            </a:ext>
          </a:extLst>
        </xdr:cNvPr>
        <xdr:cNvSpPr/>
      </xdr:nvSpPr>
      <xdr:spPr>
        <a:xfrm rot="5400000" flipH="1">
          <a:off x="1662299" y="4746874"/>
          <a:ext cx="163071" cy="19431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688848</xdr:colOff>
      <xdr:row>10</xdr:row>
      <xdr:rowOff>158496</xdr:rowOff>
    </xdr:from>
    <xdr:to>
      <xdr:col>6</xdr:col>
      <xdr:colOff>456020</xdr:colOff>
      <xdr:row>26</xdr:row>
      <xdr:rowOff>151569</xdr:rowOff>
    </xdr:to>
    <xdr:pic>
      <xdr:nvPicPr>
        <xdr:cNvPr id="2" name="Imagen 1">
          <a:extLst>
            <a:ext uri="{FF2B5EF4-FFF2-40B4-BE49-F238E27FC236}">
              <a16:creationId xmlns:a16="http://schemas.microsoft.com/office/drawing/2014/main" xmlns="" id="{F465ABDA-0847-4563-BC9A-D5472952070A}"/>
            </a:ext>
          </a:extLst>
        </xdr:cNvPr>
        <xdr:cNvPicPr>
          <a:picLocks noChangeAspect="1"/>
        </xdr:cNvPicPr>
      </xdr:nvPicPr>
      <xdr:blipFill>
        <a:blip xmlns:r="http://schemas.openxmlformats.org/officeDocument/2006/relationships" r:embed="rId1"/>
        <a:stretch>
          <a:fillRect/>
        </a:stretch>
      </xdr:blipFill>
      <xdr:spPr>
        <a:xfrm>
          <a:off x="688848" y="3663696"/>
          <a:ext cx="5139272" cy="3254433"/>
        </a:xfrm>
        <a:prstGeom prst="rect">
          <a:avLst/>
        </a:prstGeom>
      </xdr:spPr>
    </xdr:pic>
    <xdr:clientData/>
  </xdr:twoCellAnchor>
  <xdr:twoCellAnchor>
    <xdr:from>
      <xdr:col>2</xdr:col>
      <xdr:colOff>677413</xdr:colOff>
      <xdr:row>16</xdr:row>
      <xdr:rowOff>172208</xdr:rowOff>
    </xdr:from>
    <xdr:to>
      <xdr:col>3</xdr:col>
      <xdr:colOff>12192</xdr:colOff>
      <xdr:row>17</xdr:row>
      <xdr:rowOff>134111</xdr:rowOff>
    </xdr:to>
    <xdr:sp macro="" textlink="">
      <xdr:nvSpPr>
        <xdr:cNvPr id="3" name="Rectángulo: esquinas superiores cortadas 4">
          <a:extLst>
            <a:ext uri="{FF2B5EF4-FFF2-40B4-BE49-F238E27FC236}">
              <a16:creationId xmlns:a16="http://schemas.microsoft.com/office/drawing/2014/main" xmlns="" id="{10B16E5B-3441-4088-8182-A2F36E734B5F}"/>
            </a:ext>
          </a:extLst>
        </xdr:cNvPr>
        <xdr:cNvSpPr/>
      </xdr:nvSpPr>
      <xdr:spPr>
        <a:xfrm rot="5400000" flipH="1">
          <a:off x="3009515" y="4868794"/>
          <a:ext cx="163071" cy="19431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811525</xdr:colOff>
      <xdr:row>19</xdr:row>
      <xdr:rowOff>56384</xdr:rowOff>
    </xdr:from>
    <xdr:to>
      <xdr:col>3</xdr:col>
      <xdr:colOff>146304</xdr:colOff>
      <xdr:row>20</xdr:row>
      <xdr:rowOff>18287</xdr:rowOff>
    </xdr:to>
    <xdr:sp macro="" textlink="">
      <xdr:nvSpPr>
        <xdr:cNvPr id="4" name="Rectángulo: esquinas superiores cortadas 4">
          <a:extLst>
            <a:ext uri="{FF2B5EF4-FFF2-40B4-BE49-F238E27FC236}">
              <a16:creationId xmlns:a16="http://schemas.microsoft.com/office/drawing/2014/main" xmlns="" id="{2EF855AA-88B6-4F51-8ACF-50C2A2DEAE42}"/>
            </a:ext>
          </a:extLst>
        </xdr:cNvPr>
        <xdr:cNvSpPr/>
      </xdr:nvSpPr>
      <xdr:spPr>
        <a:xfrm rot="5400000" flipH="1">
          <a:off x="3143627" y="5356474"/>
          <a:ext cx="163071" cy="194315"/>
        </a:xfrm>
        <a:prstGeom prst="snip2SameRect">
          <a:avLst>
            <a:gd name="adj1" fmla="val 0"/>
            <a:gd name="adj2" fmla="val 0"/>
          </a:avLst>
        </a:prstGeom>
        <a:solidFill>
          <a:srgbClr val="FF0000">
            <a:alpha val="10000"/>
          </a:srgbClr>
        </a:solidFill>
        <a:ln>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aldasgovco-my.sharepoint.com/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aldasgovco-my.sharepoint.com/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ldasgovco-my.sharepoint.com/Documentos/JJMA/MAINTENANCE%20SYSTEMS%202/PRESUPUESTOS/CDJ/PRE2007-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Documentos/JJMA/MAINTENANCE%20SYSTEMS%202/PRESUPUESTOS/CDJ/PRE2007-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COSTOS%20UNITARIOS%20monach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ldasgovco-my.sharepoint.com/Users/Usuario/Google%20Drive/APU/presupuesto%20pintada%20alcaldi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7FB151\PRESUPUESTO%20Y%20APUS%20608-MONIQUIRAMARZO.LXS.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PRESUPUESTO%20AC%20TIERRA%20DE%20PROMISION.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Marquetalia%20imprimir\Downloads\Comit&#233;%20de%20cafeteros\MEN\Informaci&#243;n%20MEN\Archivos%20Estacion%20Cad\Presupuestos%20finales%20luego%20de%20acuerdo%20con%20ARQ.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campo\Desktop\201409-C0022014-APUSDPS%20(CARUPAPOLIDEP)%20V1%20SEPARADO.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aldasgovco-my.sharepoint.com/G/presupuesto%20idu/CANTIDADES%20OBRA/comunicaciones/PTTO%20COMUNICACIONES%2014-ABR-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aldasgovco-my.sharepoint.com/G/Familia%20Monsalvo%20D&#237;az/Equipo%20Anterior/Rossana/CONSULTORIA/2009/Insumos%2020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PROYECTOS%20NOVIEMBRE\ESCUELA%20EL%20CERRO%20VALLE\MGA%20CHARTA%201\anexos\anex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aldasgovco-my.sharepoint.com/G/cjparrao1/Desktop/Presupuesto/IDU%20-%20copia/Componentes%20enTrabajo/Presupuesto%20Por%20Tramo/Tramo%203/Presupuesto%20Tramo%20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JMD\La%20plata\LA%20UNION%20Y%20EL%20CARMEN\PRESUPUES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wnloads/Presupuesto%20Cancha%20Solferin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Camila/Documents/Secretar&#237;a%20del%20deporte/Cameguadua/PRESUPUESTO%20CAMEGUADUA%20FINAL-%2006%20-%2010%20-%20202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aldasgovco-my.sharepoint.com/Trabajo%20Gobernacion%20de%20AntioquiaV1-05/Bases%20de%20Referencia%20Actualizadas/Plantillas%20Entidad%202023/Plantilla_Estructuraci&#243;n_Presupuestos_Municipios_v5.1.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O:\wilson%20benitez\Comite%2024%20de%20octubre\Base_ERU_WILSON_BENITEZ%2014%2009%20-%20ULTIMO%2010-10.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Centauro/datos/1/CIRCUITOS%20CODENS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Documents%20and%20Settings\pc\Mis%20documentos\PROYECTOS\ACCION%20SOCIAL\FLORENCIA\ANALISIS%20DE%20PRECIOS%20UNITARIOS.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Perfil/Desktop/PPTO_CANTIDADES_PROYECTO.AUTOMAT_PTAP_AGUAS.DE.MZLES_V_18_2016(DESPROTEGIDO)%20-%20copi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aldasgovco-my.sharepoint.com/Perfil/Desktop/PPTO_CANTIDADES_PROYECTO.AUTOMAT_PTAP_AGUAS.DE.MZLES_V_18_2016(DESPROTEGIDO)%20-%20copi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aldasgovco-my.sharepoint.com/METODOLO1/Usuario/proyecto%20valle%20mantenimiento/PE_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ldasgovco-my.sharepoint.com/BIIM/RAFAEL%20-%20PROYECTOS%20TIPO%20BIIM%20MARZO/14.0%20PRESUPUESTOS%20FINALES%20PARA%20IMPRESI&#211;N/Presupuestos%20placa%20huellas/SOACHA%20Presupuesto_750%20_Intermedia_Suelo%20CD_V04V2.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Downloads/PPTO%20CANCHA%20111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EA327C4\DESGLOSE%20AIU%20POLIDEPORTIVO%2030%25%20V1.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Hp-alexander/Documentos/winnt/perfiles/Co80097831/Mis%20documentos/Formatos/Presupuesto%20Da&#241;os%20Interinstitucionales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aldasgovco-my.sharepoint.com/Users/adolfo/Desktop/PRESUPUESTO%20INGENIE.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aldasgovco-my.sharepoint.com/G/TRONCAL%2010/PRESUPUESTO/RECIBIDA/PRESUPUESTO/An&#225;lisis%20de%20precios%20unitarios/Datos%20b&#225;sic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02%20NICOL&#193;S/CALDAS/CANTIDADES/OTROS%20TRABAJOS/FORMATO_CALDAS.xlsm"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A0838/nuevos%20tdr/01_TRABAJO/IDU_202/PRESUPUESTOS/ABRIL_18/Ppto%20de%20Obra%20INARE-IDU-202-05%20-%20Tramo%20Cra-15-19%20-Separador-%20v.16-04-0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aldasgovco-my.sharepoint.com/BIIM/CAROLINA%20OLARTE/Consolidacion%20Territorial/Entregables/PROYECTOS%20UACT%20-%20Finales/7.%20Nechi/3.%20Presupuesto/Presupuesto%20Nechi%20(2Feb.2015).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Centauro/datos/Trab/Codensa-RSA/Densidades%20de%20carga/Cargabilidad%20econ&#243;mica5.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aldasgovco-my.sharepoint.com/Users/adolfo/Desktop/ING%20INGENIRIA%20S.A/B7A%20-Cancha%20750/3.%20Dise&#241;o%20Hidrosanitario/SABANA_PRESUPUESTO_CanchaMultiple_900_08sep2012.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E014AA2\Copia%20de%20PRESUPUESTO%20PUENTE%20TRANSVERSAL%2045%20-%20V.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Servidor/f/C.701%20DISE&#209;OS%20IDU%20GRUPO%20G/09%20Productos%20de%20la%20Consultor&#237;a/701_SIN_ANALISIS_PRECIOS_UNITARIOS%20en%20proceso/APU_GRUPO_G-Base.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Servidor/DATOS%20(F)/Documents%20and%20Settings/Administrador/Mis%20documentos/Mis%20archivos%20recibidos/APUS%20JUNIO%2015-04.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APU'S%20CALDAS%20NSH.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JMD\La%20plata\LA%20UNION%20Y%20EL%20CARMEN\PRESUPUESTO%2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aldasgovco-my.sharepoint.com/G/Documents%20and%20Settings/cmcarden1/Mis%20documentos/MARIA%20CAROLINA/PRESUPUESTO/CONSTRUCCI&#211;N/CALI%20TUNA%20BAJA/1.%20PRESUPUESTO%20CALI%20TUNA%20BAJA%20FIN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CIUDAD%20BOLIVAR/FRENTE%201CB/replanteos/MARLO/CB%205/5921.FLORIDA%20PRUEB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aldasgovco-my.sharepoint.com/Users/nubia%20prada/Downloads/PRESUPUESTOS%2017%20-%2010%20-%202013/21-PRESUPUESTO%20EL%20CARMEN%20-%20YARIMA/Gepa/PRECIOS%20INVIAS/apus%20febrero%20de%202012%20-%20GRUPO%203.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rramirez/Documents/documentos%20escritorio/SECRETAR&#205;A%20DE%20INFRAESTRUCTURA/APUS/APU&#180;S%20SECRETAR&#205;A%20DE%20INFRAESTRUCTURA%202013.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aldasgovco-my.sharepoint.com/Users/USUARIO/Downloads/apus%20febrero%202012%20BOYACA%20(1)/apus%20febrero%20de%202012%20-%20GRUPO%201.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aldasgovco-my.sharepoint.com/Desktop/PPTO%20ZAPA.xlsm"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aldasgovco-my.sharepoint.com/G/Escritorio/PP/PP%20no%20usados/1&#186;%20de%20Mayo%20con%2049C.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MATRIZ%20PARA%20EL%20CALCULO%20DEL%20AIU%202009.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Concol/REVISION%20CANTIDADES%20CALDAS/04%20FLORENCIA/ALCANTARILLADO/PRESUPUESTO%20REDES%20ALC%20FLORENCI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aldasgovco-my.sharepoint.com/Users/jmperez/Documents/TECNICA/DEPORTE%20Y%20RECREACION/02%20ESTANDARIZADO%20POLIDEPORTIVO/05%20HOJA%20CALCULO%20ESTANDARIZADO/PRESUPUESTO%20DEL%20POLIDEPORTIVO%20COMPLETO.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darve-dc1\Doc\omolano\Mis%20documentos\2017\PARTICULARES\OLD%20MUTUAL\MERCADO%20OFICINAS%20USADAS%2015-AUTONORTE-100-127--ULTIMO.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darve-dc1\Doc\omolano\Mis%20documentos\2017\PARTICULARES\OLD%20MUTUAL\PARA%20FICHAS.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bucaramanga\Presupuesto%20GDN%20modificado%20ULTIM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aldasgovco-my.sharepoint.com/Users/Julian/AppData/Roaming/Microsoft/Excel/PTO%20PUERTO%20MATILDE%20V2-11-08-21%20(version%201).xlsb"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ggarciab/Desktop/Presupuestos%20Anillo%20Vial,%207_01_10/PRESUPUESTOS_03_02_2010/Presupuesto_3puertas-alto_pais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Users/jairo/Downloads/CAMPOALEGRE_DESARENADOR.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aldasgovco-my.sharepoint.com/2016/PROYECTA-BIIM/PROYECTO/PROYECTO/Proyecto%20Tipacoqu&#233;%20ALC/13.%20Presupuesto%20Y%20APU&#180;S/PRESUPUESTO%20Y%20APU&#180;s%20TIPACOQUE%20%20%2006-10-2014.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aldasgovco-my.sharepoint.com/Users/USUARIO/Desktop/ESPB/1.%20PROYECTOS/MUNICIPIOS/MACRO%20PARA%20PRESUPUESTO/APU'S%20GOBERNACION%202013%20GENERAL%20-%20CABETO.xlsm"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aldasgovco-my.sharepoint.com/Documentos%20Alvaro/1%20YONDO/Contratos%202014/Proyecto%20Adoquin/Presupuestos/Presupuesto%20final%20adoquine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Contrataci&#243;n\B.%20Presupuestos\5.%20Presupuestos%202011\1.%20Aducci&#243;n%20Olivares%20Niza\3.%20Presupuesto%20Ingenier&#237;a%20definitivo\2.%20Presupuesto%20Olivares%20Niza%20version%2010%20Actualiz%20preci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Mclondono\documentaci&#243;n\MisDocumentos\LABORATORIO\HOJASCALCULO\9%20TC%20SEPTBRE.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pradamanuel\Documents\EL%20FARO%20MEDELLIN\CANTIDADES%20Y%20PRESUPUESTO\INFORME\ANEXOS\ANEXO%203%20-PRESUPUESTO%20DE%20OBRA\2012_12_18_PRESUPUESTO_REDES_DEFINITIVO_v2.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Servidorsma/761/PRODUCTOS/E&amp;D/P127/Informes/Presupuestos/P127-PO-GE-002%20V1%20EN%20PROCES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aldasgovco-my.sharepoint.com/Users/ACER/Downloads/Proyecto%20Cancha%20Tigre%202017/Cancha%20Tigre%20V1/002%20FLUJO%20CAJA%20PRESUPUESTO%20Y%20APU&#180;s/Presupuesto%20Cancha%20Tigre%20V1.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ALIRIO\Acued%20y%20Alcant\Presup%20Colector%20Aux.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Downloads/PPTO%20CANCHA%20111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BASE%20DE%20DATOS%20011015.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Lcopc2421/correo/PLANOBRASING.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aldasgovco-my.sharepoint.com/A/costodisteeb.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aldasgovco-my.sharepoint.com/Mis%20Documentos/Licitaciones/LIC-2000/OFERTAS/noviciado%20la%20caba&#241;a/CANTIDADES-ZOFICI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elcondor-my.sharepoint.com/Users/yleon/AppData/Local/Microsoft/Windows/Temporary%20Internet%20Files/Content.Outlook/RHW4SX5I/29%20DE%20JUNIO/adrian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aldasgovco-my.sharepoint.com/MIJ/NL%20Costeos/Costeo%20Consultoria%20Banco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elcondor-my.sharepoint.com/Documents%20and%20Settings/pcastro/Configuraci&#243;n%20local/Archivos%20temporales%20de%20Internet/Content.Outlook/SYS0SW1Q/Formato%20planilla%20comites%20de%20avaluo.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Users/User/Documents/A-PLANEACION%20DEPARTAMENTAL/A&#209;O%202025/Presupuesto%20zonas%20exteriores%20PBA%20Palestina-Caldas%20.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aldasgovco-my.sharepoint.com/Users/User/Desktop/Formatos%20para%20presupuestos/Presupuestos%20gobernacion%20de%20caldas/Secretaria%20de%20agricultura/Visitas%20a%20obra/Salamina/BASE%20CRISTAL%20ENERO%202023%20origin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aldasgovco-my.sharepoint.com/Users/User/Desktop/PARA%20TRABAJAR%20DONDE%20MAMA%20SEPTIEMBRE%2016/BASE%20CRISTAL%20ENERO%202023%20origina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aldasgovco-my.sharepoint.com/personal/variasg_caldas_gov_co/Documents/PLANIMETRIA%20PBA/ETAPA%203/Palestina/Presupuesto%20PBA%20Palestina.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aldasgovco-my.sharepoint.com/Users/User/Desktop/Formatos%20para%20presupuestos/Presupuestos%20gobernacion%20de%20caldas/BASE%20CRISTAL%20ENERO%202023%20origina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Users/User/Documents/A-PLANEACION%20DEPARTAMENTAL/A&#209;O%202023/ALBERGUE%20REGIONAL/PRESUPUESTO%20ALBERGUE%20REGIONAL.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aldasgovco-my.sharepoint.com/personal/variasg_caldas_gov_co/Documents/PLANIMETRIA%20PBA/ETAPA%203/Salamina/Entrega%20Salamina%202024/PRESUP%20INTERVENTORIA%20PBA%20Salamina.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aldasgovco-my.sharepoint.com/Users/vagar/Downloads/FORMATO%20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EQUIPOS"/>
      <sheetName val="M.O."/>
      <sheetName val="MATERIALES"/>
      <sheetName val="Listado"/>
      <sheetName val="Facturacion M&amp;E Marzo"/>
      <sheetName val="Disponibilidad"/>
      <sheetName val="Utilizacion"/>
      <sheetName val="DISTRITOS"/>
      <sheetName val="Anexo 1"/>
      <sheetName val="Anexo 2"/>
      <sheetName val="Anexo 3"/>
      <sheetName val="Anexo 4"/>
      <sheetName val="Lista"/>
      <sheetName val="Hoja6"/>
      <sheetName val="Lineas"/>
      <sheetName val="Act_"/>
      <sheetName val="PRESUPUESTO_LICITACIÓN_SRN_001"/>
      <sheetName val="Facturacion_M&amp;E_Marzo"/>
      <sheetName val="Anexo_1"/>
      <sheetName val="Anexo_2"/>
      <sheetName val="Anexo_3"/>
      <sheetName val="Anexo_4"/>
      <sheetName val="Resumen_Alternativa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SOPORTE ALC PLUVIAL"/>
      <sheetName val="DATOS"/>
      <sheetName val="SOPORTE "/>
      <sheetName val="Quadro-Orç. Resumo"/>
      <sheetName val="ESTRUCTURA"/>
      <sheetName val="ARQUITECTONICO PEAJE"/>
      <sheetName val="HE"/>
      <sheetName val="Localizaciones"/>
      <sheetName val="Res-Accide-10"/>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 val="Presup_Cancha"/>
    </sheetNames>
    <sheetDataSet>
      <sheetData sheetId="0" refreshError="1">
        <row r="5">
          <cell r="E5">
            <v>1</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0">
          <cell r="M10">
            <v>1302940.7487084535</v>
          </cell>
        </row>
      </sheetData>
      <sheetData sheetId="21">
        <row r="10">
          <cell r="M10">
            <v>1302940.7487084535</v>
          </cell>
        </row>
      </sheetData>
      <sheetData sheetId="22">
        <row r="10">
          <cell r="M10">
            <v>1302940.7487084535</v>
          </cell>
        </row>
      </sheetData>
      <sheetData sheetId="23">
        <row r="10">
          <cell r="M10">
            <v>1302940.7487084535</v>
          </cell>
        </row>
      </sheetData>
      <sheetData sheetId="24">
        <row r="10">
          <cell r="M10">
            <v>1302940.7487084535</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10">
          <cell r="M10">
            <v>1302940.7487084535</v>
          </cell>
        </row>
      </sheetData>
      <sheetData sheetId="46">
        <row r="10">
          <cell r="M10">
            <v>1302940.7487084535</v>
          </cell>
        </row>
      </sheetData>
      <sheetData sheetId="47">
        <row r="10">
          <cell r="M10">
            <v>1302940.7487084535</v>
          </cell>
        </row>
      </sheetData>
      <sheetData sheetId="48">
        <row r="10">
          <cell r="M10">
            <v>1302940.7487084535</v>
          </cell>
        </row>
      </sheetData>
      <sheetData sheetId="49">
        <row r="10">
          <cell r="M10">
            <v>1302940.7487084535</v>
          </cell>
        </row>
      </sheetData>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sheetData sheetId="77">
        <row r="6">
          <cell r="D6">
            <v>0</v>
          </cell>
        </row>
      </sheetData>
      <sheetData sheetId="78">
        <row r="10">
          <cell r="M10">
            <v>1302940.7487084535</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sheetData sheetId="98">
        <row r="6">
          <cell r="D6">
            <v>0</v>
          </cell>
        </row>
      </sheetData>
      <sheetData sheetId="99"/>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sheetData sheetId="120"/>
      <sheetData sheetId="121">
        <row r="6">
          <cell r="D6">
            <v>0</v>
          </cell>
        </row>
      </sheetData>
      <sheetData sheetId="122"/>
      <sheetData sheetId="123">
        <row r="6">
          <cell r="D6">
            <v>0</v>
          </cell>
        </row>
      </sheetData>
      <sheetData sheetId="124"/>
      <sheetData sheetId="125">
        <row r="6">
          <cell r="D6">
            <v>0</v>
          </cell>
        </row>
      </sheetData>
      <sheetData sheetId="126">
        <row r="10">
          <cell r="M10">
            <v>1302940.7487084535</v>
          </cell>
        </row>
      </sheetData>
      <sheetData sheetId="127">
        <row r="6">
          <cell r="D6">
            <v>0</v>
          </cell>
        </row>
      </sheetData>
      <sheetData sheetId="128"/>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row r="6">
          <cell r="D6">
            <v>5433063.0008333344</v>
          </cell>
        </row>
      </sheetData>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sheetData sheetId="440"/>
      <sheetData sheetId="441">
        <row r="6">
          <cell r="D6" t="str">
            <v>CONSORCIO CONSTRUCTOR PACIFICO 3</v>
          </cell>
        </row>
      </sheetData>
      <sheetData sheetId="442">
        <row r="6">
          <cell r="D6">
            <v>5433063.0008333344</v>
          </cell>
        </row>
      </sheetData>
      <sheetData sheetId="443">
        <row r="6">
          <cell r="D6">
            <v>5433063.0008333344</v>
          </cell>
        </row>
      </sheetData>
      <sheetData sheetId="444"/>
      <sheetData sheetId="445"/>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ow r="6">
          <cell r="D6" t="str">
            <v>CONSORCIO CONSTRUCTOR PACIFICO 3</v>
          </cell>
        </row>
      </sheetData>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ow r="6">
          <cell r="D6">
            <v>0</v>
          </cell>
        </row>
      </sheetData>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LUB"/>
      <sheetName val="SUPLUB"/>
      <sheetName val="GR ENGTOOL"/>
      <sheetName val="MAJMINREP"/>
      <sheetName val="BUDTOTAL"/>
      <sheetName val="RH120E Diesel Cat"/>
      <sheetName val="RH120E Diesel Cummins"/>
      <sheetName val="777D"/>
      <sheetName val="777F"/>
      <sheetName val="16H"/>
      <sheetName val="834H"/>
      <sheetName val="D9T"/>
      <sheetName val="330CL"/>
      <sheetName val="GR ENG TOOL RH120E"/>
      <sheetName val="Parts - Comp IR"/>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LUB"/>
      <sheetName val="SUPLUB"/>
      <sheetName val="GR ENGTOOL"/>
      <sheetName val="MAJMINREP"/>
      <sheetName val="BUDTOTAL"/>
      <sheetName val="RH120E Diesel Cat"/>
      <sheetName val="RH120E Diesel Cummins"/>
      <sheetName val="777D"/>
      <sheetName val="777F"/>
      <sheetName val="16H"/>
      <sheetName val="834H"/>
      <sheetName val="D9T"/>
      <sheetName val="330CL"/>
      <sheetName val="GR ENG TOOL RH120E"/>
      <sheetName val="Parts - Comp IR"/>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8599"/>
      <sheetName val="Hoja1"/>
      <sheetName val="G_TAL_MEN_UF7_F3"/>
      <sheetName val="N_TAL_MEN_UF7_F3"/>
      <sheetName val="RESUMEN"/>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71">
          <cell r="D71">
            <v>2300</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68">
          <cell r="D168">
            <v>23800</v>
          </cell>
        </row>
        <row r="177">
          <cell r="D177">
            <v>72</v>
          </cell>
        </row>
        <row r="179">
          <cell r="D179">
            <v>72</v>
          </cell>
        </row>
        <row r="181">
          <cell r="D181">
            <v>20000</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10">
          <cell r="B10">
            <v>85000</v>
          </cell>
        </row>
        <row r="11">
          <cell r="B11">
            <v>1250</v>
          </cell>
        </row>
        <row r="14">
          <cell r="B14">
            <v>2750</v>
          </cell>
        </row>
        <row r="15">
          <cell r="B15">
            <v>3950</v>
          </cell>
        </row>
        <row r="16">
          <cell r="B16">
            <v>300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row r="3">
          <cell r="B3" t="str">
            <v>ALEJANDRÍA</v>
          </cell>
        </row>
        <row r="4">
          <cell r="B4" t="str">
            <v>CONCEPCIÓN</v>
          </cell>
        </row>
        <row r="5">
          <cell r="B5" t="str">
            <v>EL PEÑOL</v>
          </cell>
        </row>
        <row r="6">
          <cell r="B6" t="str">
            <v>GRANADA</v>
          </cell>
        </row>
        <row r="7">
          <cell r="B7" t="str">
            <v>MARINILLA</v>
          </cell>
        </row>
        <row r="8">
          <cell r="B8" t="str">
            <v>SAN CARLOS</v>
          </cell>
        </row>
        <row r="9">
          <cell r="B9" t="str">
            <v>SANTO DOMINGO</v>
          </cell>
        </row>
        <row r="13">
          <cell r="B13">
            <v>5</v>
          </cell>
        </row>
      </sheetData>
      <sheetData sheetId="1">
        <row r="22">
          <cell r="D22" t="str">
            <v>MEJORAMIENTO DE VÍAS TERCIARIAS EN LOS MUNICIPIOS CONCEPCIÓN, ALEJANDRÍA, EL PEÑOL, GRANADA, MARINILLA, SAN CARLOS Y SANTO DOMINGO</v>
          </cell>
        </row>
        <row r="165">
          <cell r="H165">
            <v>8426594464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04">
          <cell r="E104">
            <v>6500000</v>
          </cell>
        </row>
        <row r="110">
          <cell r="I110">
            <v>0.22700173974881133</v>
          </cell>
        </row>
        <row r="111">
          <cell r="I111">
            <v>0.01</v>
          </cell>
        </row>
        <row r="112">
          <cell r="I112">
            <v>0.05</v>
          </cell>
        </row>
      </sheetData>
      <sheetData sheetId="25">
        <row r="78">
          <cell r="G78">
            <v>1893140</v>
          </cell>
        </row>
      </sheetData>
      <sheetData sheetId="26">
        <row r="48">
          <cell r="B48">
            <v>908526</v>
          </cell>
        </row>
        <row r="49">
          <cell r="B49">
            <v>106454</v>
          </cell>
        </row>
        <row r="73">
          <cell r="B73">
            <v>1.5628666666666668</v>
          </cell>
          <cell r="C73">
            <v>1.5328666666666666</v>
          </cell>
        </row>
      </sheetData>
      <sheetData sheetId="27"/>
      <sheetData sheetId="28"/>
      <sheetData sheetId="29"/>
      <sheetData sheetId="30">
        <row r="82">
          <cell r="G82">
            <v>48212665</v>
          </cell>
        </row>
      </sheetData>
      <sheetData sheetId="31"/>
      <sheetData sheetId="32">
        <row r="69">
          <cell r="G69">
            <v>51924</v>
          </cell>
        </row>
      </sheetData>
      <sheetData sheetId="33">
        <row r="20">
          <cell r="D20">
            <v>6326.0077971634992</v>
          </cell>
        </row>
        <row r="24">
          <cell r="D24">
            <v>4950</v>
          </cell>
        </row>
        <row r="25">
          <cell r="D25">
            <v>31000</v>
          </cell>
        </row>
        <row r="26">
          <cell r="D26">
            <v>47000</v>
          </cell>
        </row>
        <row r="27">
          <cell r="D27">
            <v>55000</v>
          </cell>
        </row>
        <row r="28">
          <cell r="D28">
            <v>35600</v>
          </cell>
        </row>
        <row r="29">
          <cell r="D29">
            <v>55000</v>
          </cell>
        </row>
        <row r="30">
          <cell r="D30">
            <v>670.58823529411768</v>
          </cell>
        </row>
        <row r="35">
          <cell r="D35">
            <v>14500</v>
          </cell>
        </row>
        <row r="36">
          <cell r="D36">
            <v>390000</v>
          </cell>
        </row>
        <row r="38">
          <cell r="D38">
            <v>80907</v>
          </cell>
        </row>
        <row r="39">
          <cell r="D39">
            <v>227767</v>
          </cell>
        </row>
        <row r="42">
          <cell r="D42">
            <v>48000</v>
          </cell>
        </row>
        <row r="43">
          <cell r="D43">
            <v>520000</v>
          </cell>
        </row>
        <row r="44">
          <cell r="D44">
            <v>1.8</v>
          </cell>
        </row>
        <row r="45">
          <cell r="D45">
            <v>85000</v>
          </cell>
        </row>
        <row r="67">
          <cell r="D67">
            <v>13048</v>
          </cell>
        </row>
      </sheetData>
      <sheetData sheetId="34">
        <row r="27">
          <cell r="E27">
            <v>336773</v>
          </cell>
        </row>
        <row r="28">
          <cell r="E28">
            <v>414446</v>
          </cell>
        </row>
        <row r="30">
          <cell r="E30">
            <v>345269</v>
          </cell>
        </row>
        <row r="221">
          <cell r="E221">
            <v>306635</v>
          </cell>
        </row>
        <row r="222">
          <cell r="E222">
            <v>377420</v>
          </cell>
        </row>
        <row r="224">
          <cell r="E224">
            <v>329725</v>
          </cell>
        </row>
        <row r="420">
          <cell r="E420">
            <v>356142</v>
          </cell>
        </row>
        <row r="421">
          <cell r="E421">
            <v>438243</v>
          </cell>
        </row>
        <row r="423">
          <cell r="E423">
            <v>358182</v>
          </cell>
        </row>
        <row r="619">
          <cell r="E619">
            <v>411135</v>
          </cell>
        </row>
        <row r="620">
          <cell r="E620">
            <v>505805</v>
          </cell>
        </row>
        <row r="622">
          <cell r="E622">
            <v>394844</v>
          </cell>
        </row>
      </sheetData>
      <sheetData sheetId="35">
        <row r="10">
          <cell r="D10">
            <v>185000</v>
          </cell>
        </row>
        <row r="11">
          <cell r="D11">
            <v>7800</v>
          </cell>
        </row>
        <row r="12">
          <cell r="D12">
            <v>125000</v>
          </cell>
        </row>
        <row r="13">
          <cell r="D13">
            <v>30000</v>
          </cell>
        </row>
        <row r="14">
          <cell r="D14">
            <v>3600</v>
          </cell>
        </row>
        <row r="16">
          <cell r="D16">
            <v>75000</v>
          </cell>
        </row>
        <row r="17">
          <cell r="D17">
            <v>85412</v>
          </cell>
        </row>
        <row r="18">
          <cell r="D18">
            <v>1290</v>
          </cell>
        </row>
        <row r="19">
          <cell r="D19">
            <v>68000</v>
          </cell>
        </row>
        <row r="20">
          <cell r="D20">
            <v>120000</v>
          </cell>
        </row>
        <row r="21">
          <cell r="D21">
            <v>140166.66666666666</v>
          </cell>
        </row>
        <row r="24">
          <cell r="D24">
            <v>55000</v>
          </cell>
        </row>
        <row r="25">
          <cell r="D25">
            <v>82500</v>
          </cell>
        </row>
        <row r="26">
          <cell r="D26">
            <v>6000000</v>
          </cell>
        </row>
        <row r="29">
          <cell r="D29">
            <v>55000</v>
          </cell>
        </row>
      </sheetData>
      <sheetData sheetId="36">
        <row r="8">
          <cell r="G8">
            <v>1526359</v>
          </cell>
        </row>
        <row r="11">
          <cell r="B11">
            <v>1907904.6</v>
          </cell>
        </row>
        <row r="12">
          <cell r="B12">
            <v>908526</v>
          </cell>
        </row>
        <row r="13">
          <cell r="B13">
            <v>1817052</v>
          </cell>
        </row>
        <row r="14">
          <cell r="B14">
            <v>3270693.6</v>
          </cell>
        </row>
        <row r="15">
          <cell r="B15">
            <v>2089609.7999999998</v>
          </cell>
        </row>
        <row r="16">
          <cell r="B16">
            <v>4996893</v>
          </cell>
        </row>
        <row r="17">
          <cell r="B17">
            <v>3270693.6</v>
          </cell>
        </row>
        <row r="19">
          <cell r="B19">
            <v>908526</v>
          </cell>
        </row>
        <row r="21">
          <cell r="B21">
            <v>2492280</v>
          </cell>
        </row>
        <row r="25">
          <cell r="B25">
            <v>908526</v>
          </cell>
        </row>
        <row r="26">
          <cell r="B26">
            <v>1107336</v>
          </cell>
        </row>
      </sheetData>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row>
        <row r="4">
          <cell r="H4">
            <v>0.1</v>
          </cell>
        </row>
        <row r="5">
          <cell r="H5">
            <v>0.03</v>
          </cell>
        </row>
        <row r="6">
          <cell r="H6">
            <v>7.0000000000000007E-2</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Sheet1"/>
      <sheetName val="OBSERVACIONES GENERALES"/>
      <sheetName val="Cañaveral"/>
      <sheetName val="Naranjal"/>
      <sheetName val="Acta 1 Naranjal"/>
      <sheetName val="LaFelisa"/>
      <sheetName val="Acta 1 La felisa Marmato"/>
      <sheetName val="Marmato"/>
      <sheetName val="RESUMEN REVISION PROYECT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 val="materiales"/>
    </sheet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row r="1">
          <cell r="A1" t="str">
            <v>REFERENCIA</v>
          </cell>
          <cell r="I1" t="str">
            <v>REFERENCIA</v>
          </cell>
          <cell r="J1" t="str">
            <v>DESCRIPCION</v>
          </cell>
          <cell r="K1" t="str">
            <v>UND</v>
          </cell>
          <cell r="L1" t="str">
            <v>VR/ UNIT</v>
          </cell>
        </row>
        <row r="2">
          <cell r="I2">
            <v>1</v>
          </cell>
          <cell r="J2" t="str">
            <v>MORTERO 1:4</v>
          </cell>
          <cell r="K2" t="str">
            <v>M3</v>
          </cell>
          <cell r="L2">
            <v>279503</v>
          </cell>
        </row>
        <row r="3">
          <cell r="I3">
            <v>2</v>
          </cell>
          <cell r="J3" t="str">
            <v xml:space="preserve">CONSTRUCCION DE BOCATOMA EN CON CONCRETO 3000 PSI A TODO COSTO. </v>
          </cell>
          <cell r="K3" t="str">
            <v>M3</v>
          </cell>
          <cell r="L3">
            <v>490001</v>
          </cell>
        </row>
        <row r="4">
          <cell r="I4">
            <v>3</v>
          </cell>
          <cell r="J4" t="str">
            <v>REJILLA DE .80*.40 CON BARROTES DE 5/8" LISAS, SEPARADAS CADA 10 mm</v>
          </cell>
          <cell r="K4" t="str">
            <v>UN</v>
          </cell>
          <cell r="L4">
            <v>250000</v>
          </cell>
        </row>
        <row r="5">
          <cell r="F5" t="str">
            <v>OFICIAL</v>
          </cell>
          <cell r="I5">
            <v>4</v>
          </cell>
          <cell r="J5" t="str">
            <v>PAÑETE IMPERMEABILIZADO Y ESMALTADO</v>
          </cell>
          <cell r="K5" t="str">
            <v>M2</v>
          </cell>
          <cell r="L5">
            <v>20000</v>
          </cell>
        </row>
        <row r="6">
          <cell r="F6" t="str">
            <v>AYUDANTE</v>
          </cell>
          <cell r="G6">
            <v>10000</v>
          </cell>
          <cell r="I6">
            <v>5</v>
          </cell>
          <cell r="J6" t="str">
            <v>FORMALETA</v>
          </cell>
          <cell r="K6" t="str">
            <v>M3</v>
          </cell>
          <cell r="L6">
            <v>36695</v>
          </cell>
        </row>
        <row r="7">
          <cell r="G7">
            <v>0</v>
          </cell>
          <cell r="I7">
            <v>6</v>
          </cell>
          <cell r="J7" t="str">
            <v>EXCAVACION</v>
          </cell>
          <cell r="K7" t="str">
            <v>M3</v>
          </cell>
          <cell r="L7">
            <v>12950</v>
          </cell>
        </row>
        <row r="8">
          <cell r="G8">
            <v>0.05</v>
          </cell>
          <cell r="I8">
            <v>7</v>
          </cell>
        </row>
        <row r="9">
          <cell r="I9">
            <v>8</v>
          </cell>
        </row>
        <row r="10">
          <cell r="I10">
            <v>9</v>
          </cell>
        </row>
        <row r="11">
          <cell r="I11">
            <v>10</v>
          </cell>
        </row>
        <row r="12">
          <cell r="I12">
            <v>11</v>
          </cell>
        </row>
        <row r="13">
          <cell r="I13">
            <v>12</v>
          </cell>
        </row>
        <row r="14">
          <cell r="I14">
            <v>13</v>
          </cell>
        </row>
        <row r="15">
          <cell r="I15">
            <v>14</v>
          </cell>
        </row>
        <row r="16">
          <cell r="I16">
            <v>15</v>
          </cell>
        </row>
        <row r="17">
          <cell r="I17">
            <v>16</v>
          </cell>
        </row>
        <row r="18">
          <cell r="I18">
            <v>17</v>
          </cell>
        </row>
        <row r="19">
          <cell r="I19">
            <v>18</v>
          </cell>
        </row>
        <row r="20">
          <cell r="I20">
            <v>19</v>
          </cell>
        </row>
        <row r="21">
          <cell r="I21">
            <v>20</v>
          </cell>
        </row>
        <row r="22">
          <cell r="I22">
            <v>21</v>
          </cell>
        </row>
        <row r="23">
          <cell r="I23">
            <v>22</v>
          </cell>
        </row>
        <row r="24">
          <cell r="I24">
            <v>23</v>
          </cell>
        </row>
        <row r="25">
          <cell r="I25">
            <v>24</v>
          </cell>
        </row>
        <row r="26">
          <cell r="I26">
            <v>25</v>
          </cell>
        </row>
        <row r="27">
          <cell r="I27">
            <v>26</v>
          </cell>
        </row>
        <row r="28">
          <cell r="I28">
            <v>27</v>
          </cell>
        </row>
        <row r="29">
          <cell r="I29">
            <v>28</v>
          </cell>
        </row>
        <row r="30">
          <cell r="I30">
            <v>29</v>
          </cell>
        </row>
        <row r="31">
          <cell r="I31">
            <v>30</v>
          </cell>
        </row>
        <row r="32">
          <cell r="I32">
            <v>31</v>
          </cell>
        </row>
        <row r="33">
          <cell r="I33">
            <v>32</v>
          </cell>
        </row>
        <row r="34">
          <cell r="I34">
            <v>33</v>
          </cell>
        </row>
        <row r="35">
          <cell r="I35">
            <v>34</v>
          </cell>
        </row>
        <row r="36">
          <cell r="I36">
            <v>35</v>
          </cell>
        </row>
        <row r="37">
          <cell r="I37">
            <v>36</v>
          </cell>
        </row>
        <row r="38">
          <cell r="I38">
            <v>37</v>
          </cell>
        </row>
        <row r="39">
          <cell r="I39">
            <v>38</v>
          </cell>
        </row>
        <row r="40">
          <cell r="I40">
            <v>39</v>
          </cell>
        </row>
        <row r="41">
          <cell r="I41">
            <v>40</v>
          </cell>
        </row>
        <row r="42">
          <cell r="I42">
            <v>41</v>
          </cell>
        </row>
        <row r="43">
          <cell r="I43">
            <v>42</v>
          </cell>
        </row>
        <row r="44">
          <cell r="I44">
            <v>43</v>
          </cell>
        </row>
        <row r="45">
          <cell r="I45">
            <v>44</v>
          </cell>
        </row>
        <row r="46">
          <cell r="I46">
            <v>45</v>
          </cell>
        </row>
        <row r="47">
          <cell r="I47">
            <v>46</v>
          </cell>
        </row>
        <row r="48">
          <cell r="I48">
            <v>47</v>
          </cell>
        </row>
        <row r="49">
          <cell r="I49">
            <v>48</v>
          </cell>
        </row>
        <row r="50">
          <cell r="I50">
            <v>49</v>
          </cell>
        </row>
        <row r="51">
          <cell r="I51">
            <v>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CANTIDADES"/>
      <sheetName val="Insumos"/>
      <sheetName val="Analisis Mano de Obra"/>
      <sheetName val="Analisis Herramienta Menor"/>
      <sheetName val="Analisis Factor Prestacional"/>
      <sheetName val="Analisis AIU"/>
      <sheetName val="PMA"/>
      <sheetName val="Factor Multiplicador"/>
      <sheetName val="Interventoria"/>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PTO RESUMEN"/>
      <sheetName val="RESUMEN"/>
      <sheetName val="APU"/>
      <sheetName val="PRESUPUESTO"/>
      <sheetName val="Insumos"/>
      <sheetName val="Cantidades"/>
      <sheetName val="A. Mano de Obra"/>
      <sheetName val="A. Herramienta Menor"/>
      <sheetName val="A. Factor Prestacional"/>
      <sheetName val="F. M"/>
      <sheetName val="Interventoria"/>
      <sheetName val="PMA"/>
      <sheetName val="Analisis AU"/>
    </sheetNames>
    <sheetDataSet>
      <sheetData sheetId="0"/>
      <sheetData sheetId="1"/>
      <sheetData sheetId="2"/>
      <sheetData sheetId="3">
        <row r="17">
          <cell r="A17" t="str">
            <v>001.042</v>
          </cell>
          <cell r="B17" t="str">
            <v>H2</v>
          </cell>
          <cell r="C17" t="str">
            <v>EQUIPO BASICO (HERRAMIENTA MENOR)</v>
          </cell>
          <cell r="D17" t="str">
            <v>Herramienta</v>
          </cell>
          <cell r="E17" t="str">
            <v>UND</v>
          </cell>
          <cell r="F17">
            <v>1</v>
          </cell>
          <cell r="G17">
            <v>2536</v>
          </cell>
          <cell r="H17">
            <v>2536</v>
          </cell>
        </row>
        <row r="18">
          <cell r="A18" t="str">
            <v>001.042</v>
          </cell>
          <cell r="B18" t="str">
            <v>I1615</v>
          </cell>
          <cell r="C18" t="str">
            <v>COMISIÓN DE TOPOGRAFÍA CON EQUIPOS</v>
          </cell>
          <cell r="D18" t="str">
            <v>Insumo</v>
          </cell>
          <cell r="E18" t="str">
            <v>DIA</v>
          </cell>
          <cell r="F18">
            <v>1</v>
          </cell>
          <cell r="G18">
            <v>593451</v>
          </cell>
          <cell r="H18">
            <v>593451</v>
          </cell>
        </row>
        <row r="19">
          <cell r="A19" t="str">
            <v>001.042</v>
          </cell>
          <cell r="B19" t="str">
            <v>I1616</v>
          </cell>
          <cell r="C19" t="str">
            <v>DIBUJO DE PLANOS</v>
          </cell>
          <cell r="D19" t="str">
            <v>Insumo</v>
          </cell>
          <cell r="E19" t="str">
            <v>UND</v>
          </cell>
          <cell r="F19">
            <v>1</v>
          </cell>
          <cell r="G19">
            <v>296727</v>
          </cell>
          <cell r="H19">
            <v>296727</v>
          </cell>
        </row>
        <row r="20">
          <cell r="A20" t="str">
            <v>001.042</v>
          </cell>
          <cell r="B20" t="str">
            <v>I425</v>
          </cell>
          <cell r="C20" t="str">
            <v>PUNTILLA CON CABEZA 2"</v>
          </cell>
          <cell r="D20" t="str">
            <v>Insumo</v>
          </cell>
          <cell r="E20" t="str">
            <v>LB</v>
          </cell>
          <cell r="F20">
            <v>0.01</v>
          </cell>
          <cell r="G20">
            <v>3585</v>
          </cell>
          <cell r="H20">
            <v>36</v>
          </cell>
        </row>
        <row r="22">
          <cell r="A22" t="str">
            <v>001.047</v>
          </cell>
          <cell r="B22" t="str">
            <v>-</v>
          </cell>
          <cell r="C22" t="str">
            <v>BODEGA PARA CAMPAMENTO (INCLUYE ADECUACIONES)</v>
          </cell>
          <cell r="D22" t="str">
            <v>Actividad</v>
          </cell>
          <cell r="E22" t="str">
            <v>M2 - MES</v>
          </cell>
          <cell r="H22">
            <v>17628</v>
          </cell>
        </row>
        <row r="23">
          <cell r="A23" t="str">
            <v>001.047</v>
          </cell>
          <cell r="B23" t="str">
            <v>C1</v>
          </cell>
          <cell r="C23" t="str">
            <v>CUADRILLA AA TIPO 1 (1 OFICIAL + 1 AYUDANTE) (Albañileria)</v>
          </cell>
          <cell r="D23" t="str">
            <v>Cuadrilla</v>
          </cell>
          <cell r="E23" t="str">
            <v>HR</v>
          </cell>
          <cell r="F23">
            <v>0.4</v>
          </cell>
          <cell r="G23">
            <v>16712</v>
          </cell>
          <cell r="H23">
            <v>6685</v>
          </cell>
        </row>
        <row r="24">
          <cell r="A24" t="str">
            <v>001.047</v>
          </cell>
          <cell r="B24" t="str">
            <v>E127</v>
          </cell>
          <cell r="C24" t="str">
            <v>ALQUILER DE BODEGA PARA CAMPAMENTO</v>
          </cell>
          <cell r="D24" t="str">
            <v>Equipos</v>
          </cell>
          <cell r="E24" t="str">
            <v>MES</v>
          </cell>
          <cell r="F24">
            <v>4.1000000000000002E-2</v>
          </cell>
          <cell r="G24">
            <v>242163</v>
          </cell>
          <cell r="H24">
            <v>9929</v>
          </cell>
        </row>
        <row r="25">
          <cell r="A25" t="str">
            <v>001.047</v>
          </cell>
          <cell r="B25" t="str">
            <v>H2</v>
          </cell>
          <cell r="C25" t="str">
            <v>EQUIPO BASICO (HERRAMIENTA MENOR)</v>
          </cell>
          <cell r="D25" t="str">
            <v>Herramienta</v>
          </cell>
          <cell r="E25" t="str">
            <v>UND</v>
          </cell>
          <cell r="F25">
            <v>0.4</v>
          </cell>
          <cell r="G25">
            <v>2536</v>
          </cell>
          <cell r="H25">
            <v>1014</v>
          </cell>
        </row>
        <row r="27">
          <cell r="A27" t="str">
            <v>001.048</v>
          </cell>
          <cell r="B27" t="str">
            <v>-</v>
          </cell>
          <cell r="C27" t="str">
            <v>CAMPAMENTO CONTENEDOR</v>
          </cell>
          <cell r="D27" t="str">
            <v>Actividad</v>
          </cell>
          <cell r="E27" t="str">
            <v>UND</v>
          </cell>
          <cell r="H27">
            <v>1653762</v>
          </cell>
        </row>
        <row r="28">
          <cell r="A28" t="str">
            <v>001.048</v>
          </cell>
          <cell r="B28" t="str">
            <v>C1</v>
          </cell>
          <cell r="C28" t="str">
            <v>CUADRILLA AA TIPO 1 (1 OFICIAL + 1 AYUDANTE) (Albañileria)</v>
          </cell>
          <cell r="D28" t="str">
            <v>Cuadrilla</v>
          </cell>
          <cell r="E28" t="str">
            <v>HR</v>
          </cell>
          <cell r="F28">
            <v>1</v>
          </cell>
          <cell r="G28">
            <v>16712</v>
          </cell>
          <cell r="H28">
            <v>16712</v>
          </cell>
        </row>
        <row r="29">
          <cell r="A29" t="str">
            <v>001.048</v>
          </cell>
          <cell r="B29" t="str">
            <v>E128</v>
          </cell>
          <cell r="C29" t="str">
            <v>CONTENEDOR 24 PIES</v>
          </cell>
          <cell r="D29" t="str">
            <v>Equipos</v>
          </cell>
          <cell r="E29" t="str">
            <v>MES</v>
          </cell>
          <cell r="F29">
            <v>1</v>
          </cell>
          <cell r="G29">
            <v>332110</v>
          </cell>
          <cell r="H29">
            <v>332110</v>
          </cell>
        </row>
        <row r="30">
          <cell r="A30" t="str">
            <v>001.048</v>
          </cell>
          <cell r="B30" t="str">
            <v>E33</v>
          </cell>
          <cell r="C30" t="str">
            <v>MONTACARGA</v>
          </cell>
          <cell r="D30" t="str">
            <v>Equipos</v>
          </cell>
          <cell r="E30" t="str">
            <v>DIA</v>
          </cell>
          <cell r="F30">
            <v>0.87</v>
          </cell>
          <cell r="G30">
            <v>207569</v>
          </cell>
          <cell r="H30">
            <v>180585</v>
          </cell>
        </row>
        <row r="31">
          <cell r="A31" t="str">
            <v>001.048</v>
          </cell>
          <cell r="B31" t="str">
            <v>E34</v>
          </cell>
          <cell r="C31" t="str">
            <v>CAMABAJA -  DIA</v>
          </cell>
          <cell r="D31" t="str">
            <v>Equipos</v>
          </cell>
          <cell r="E31" t="str">
            <v>DIA</v>
          </cell>
          <cell r="F31">
            <v>0.56999999999999995</v>
          </cell>
          <cell r="G31">
            <v>1968103</v>
          </cell>
          <cell r="H31">
            <v>1121819</v>
          </cell>
        </row>
        <row r="32">
          <cell r="A32" t="str">
            <v>001.048</v>
          </cell>
          <cell r="B32" t="str">
            <v>H2</v>
          </cell>
          <cell r="C32" t="str">
            <v>EQUIPO BASICO (HERRAMIENTA MENOR)</v>
          </cell>
          <cell r="D32" t="str">
            <v>Herramienta</v>
          </cell>
          <cell r="E32" t="str">
            <v>UND</v>
          </cell>
          <cell r="F32">
            <v>1</v>
          </cell>
          <cell r="G32">
            <v>2536</v>
          </cell>
          <cell r="H32">
            <v>2536</v>
          </cell>
        </row>
        <row r="34">
          <cell r="A34" t="str">
            <v>001.049</v>
          </cell>
          <cell r="B34" t="str">
            <v>-</v>
          </cell>
          <cell r="C34" t="str">
            <v>SUMINISTRO, TRANSPORTE E INSTALACIÓN CERRAMIENTO EN YUTE H= 2 M</v>
          </cell>
          <cell r="D34" t="str">
            <v>Actividad</v>
          </cell>
          <cell r="E34" t="str">
            <v>ML</v>
          </cell>
          <cell r="H34">
            <v>9398</v>
          </cell>
        </row>
        <row r="35">
          <cell r="A35" t="str">
            <v>001.049</v>
          </cell>
          <cell r="B35" t="str">
            <v>C1</v>
          </cell>
          <cell r="C35" t="str">
            <v>CUADRILLA AA TIPO 1 (1 OFICIAL + 1 AYUDANTE) (Albañileria)</v>
          </cell>
          <cell r="D35" t="str">
            <v>Cuadrilla</v>
          </cell>
          <cell r="E35" t="str">
            <v>HR</v>
          </cell>
          <cell r="F35">
            <v>0.16</v>
          </cell>
          <cell r="G35">
            <v>16712</v>
          </cell>
          <cell r="H35">
            <v>2674</v>
          </cell>
        </row>
        <row r="36">
          <cell r="A36" t="str">
            <v>001.049</v>
          </cell>
          <cell r="B36" t="str">
            <v>H2</v>
          </cell>
          <cell r="C36" t="str">
            <v>EQUIPO BASICO (HERRAMIENTA MENOR)</v>
          </cell>
          <cell r="D36" t="str">
            <v>Herramienta</v>
          </cell>
          <cell r="E36" t="str">
            <v>UND</v>
          </cell>
          <cell r="F36">
            <v>0.16</v>
          </cell>
          <cell r="G36">
            <v>2536</v>
          </cell>
          <cell r="H36">
            <v>406</v>
          </cell>
        </row>
        <row r="37">
          <cell r="A37" t="str">
            <v>001.049</v>
          </cell>
          <cell r="B37" t="str">
            <v>I425</v>
          </cell>
          <cell r="C37" t="str">
            <v>PUNTILLA CON CABEZA 2"</v>
          </cell>
          <cell r="D37" t="str">
            <v>Insumo</v>
          </cell>
          <cell r="E37" t="str">
            <v>LB</v>
          </cell>
          <cell r="F37">
            <v>0.2</v>
          </cell>
          <cell r="G37">
            <v>3585</v>
          </cell>
          <cell r="H37">
            <v>717</v>
          </cell>
        </row>
        <row r="38">
          <cell r="A38" t="str">
            <v>001.049</v>
          </cell>
          <cell r="B38" t="str">
            <v>I447</v>
          </cell>
          <cell r="C38" t="str">
            <v>FIBRA PARA CERRAMIENTO PROVISIONAL H=2,1M</v>
          </cell>
          <cell r="D38" t="str">
            <v>Insumo</v>
          </cell>
          <cell r="E38" t="str">
            <v>M</v>
          </cell>
          <cell r="F38">
            <v>1</v>
          </cell>
          <cell r="G38">
            <v>3154</v>
          </cell>
          <cell r="H38">
            <v>3154</v>
          </cell>
        </row>
        <row r="39">
          <cell r="A39" t="str">
            <v>001.049</v>
          </cell>
          <cell r="B39" t="str">
            <v>I986</v>
          </cell>
          <cell r="C39" t="str">
            <v>GUADUA CEPA DE 5 VARAS</v>
          </cell>
          <cell r="D39" t="str">
            <v>Insumo</v>
          </cell>
          <cell r="E39" t="str">
            <v>UND</v>
          </cell>
          <cell r="F39">
            <v>0.35</v>
          </cell>
          <cell r="G39">
            <v>6991</v>
          </cell>
          <cell r="H39">
            <v>2447</v>
          </cell>
        </row>
        <row r="41">
          <cell r="A41" t="str">
            <v>001.050</v>
          </cell>
          <cell r="B41" t="str">
            <v>-</v>
          </cell>
          <cell r="C41" t="str">
            <v>INSTALACION PROVISIONAL DE ACUEDUCTO</v>
          </cell>
          <cell r="D41" t="str">
            <v>Actividad</v>
          </cell>
          <cell r="E41" t="str">
            <v>UND</v>
          </cell>
          <cell r="H41">
            <v>62923</v>
          </cell>
        </row>
        <row r="42">
          <cell r="A42" t="str">
            <v>001.050</v>
          </cell>
          <cell r="B42" t="str">
            <v>I1558</v>
          </cell>
          <cell r="C42" t="str">
            <v>SERVICIO DE AGUA</v>
          </cell>
          <cell r="D42" t="str">
            <v>Insumo</v>
          </cell>
          <cell r="E42" t="str">
            <v>MES</v>
          </cell>
          <cell r="F42">
            <v>1</v>
          </cell>
          <cell r="G42">
            <v>62923</v>
          </cell>
          <cell r="H42">
            <v>62923</v>
          </cell>
        </row>
        <row r="44">
          <cell r="A44" t="str">
            <v>001.051</v>
          </cell>
          <cell r="B44" t="str">
            <v>-</v>
          </cell>
          <cell r="C44" t="str">
            <v>INSTALACION PROVISIONAL DE ENERGIA</v>
          </cell>
          <cell r="D44" t="str">
            <v>Actividad</v>
          </cell>
          <cell r="E44" t="str">
            <v>UND</v>
          </cell>
          <cell r="H44">
            <v>55930</v>
          </cell>
        </row>
        <row r="45">
          <cell r="A45" t="str">
            <v>001.051</v>
          </cell>
          <cell r="B45" t="str">
            <v>I1559</v>
          </cell>
          <cell r="C45" t="str">
            <v>SERVICIO DE ENERGIA</v>
          </cell>
          <cell r="D45" t="str">
            <v>Insumo</v>
          </cell>
          <cell r="E45" t="str">
            <v>MES</v>
          </cell>
          <cell r="F45">
            <v>1</v>
          </cell>
          <cell r="G45">
            <v>55930</v>
          </cell>
          <cell r="H45">
            <v>55930</v>
          </cell>
        </row>
        <row r="47">
          <cell r="A47" t="str">
            <v>001.052</v>
          </cell>
          <cell r="B47" t="str">
            <v>-</v>
          </cell>
          <cell r="C47" t="str">
            <v>SUMINISTRO, TRANSPORTE E INSTALACION VALLA INFORMATIVA GENERAL DEL PROYECTO</v>
          </cell>
          <cell r="D47" t="str">
            <v>Actividad</v>
          </cell>
          <cell r="E47" t="str">
            <v>M2</v>
          </cell>
          <cell r="H47">
            <v>167128</v>
          </cell>
        </row>
        <row r="48">
          <cell r="A48" t="str">
            <v>001.052</v>
          </cell>
          <cell r="B48" t="str">
            <v>C8</v>
          </cell>
          <cell r="C48" t="str">
            <v>CUADRILLA AA TIPO 2 (1 OFICIAL + 2 AYUDANTE) (Albañileria)</v>
          </cell>
          <cell r="D48" t="str">
            <v>Cuadrilla</v>
          </cell>
          <cell r="E48" t="str">
            <v>HR</v>
          </cell>
          <cell r="F48">
            <v>1.5</v>
          </cell>
          <cell r="G48">
            <v>23140</v>
          </cell>
          <cell r="H48">
            <v>34710</v>
          </cell>
        </row>
        <row r="49">
          <cell r="A49" t="str">
            <v>001.052</v>
          </cell>
          <cell r="B49" t="str">
            <v>E12</v>
          </cell>
          <cell r="C49" t="str">
            <v>EQUIPO DE TRANSPORTE</v>
          </cell>
          <cell r="D49" t="str">
            <v>Equipos</v>
          </cell>
          <cell r="E49" t="str">
            <v>DIA</v>
          </cell>
          <cell r="F49">
            <v>1.8800000000000001E-2</v>
          </cell>
          <cell r="G49">
            <v>131205</v>
          </cell>
          <cell r="H49">
            <v>2467</v>
          </cell>
        </row>
        <row r="50">
          <cell r="A50" t="str">
            <v>001.052</v>
          </cell>
          <cell r="B50" t="str">
            <v>H2</v>
          </cell>
          <cell r="C50" t="str">
            <v>EQUIPO BASICO (HERRAMIENTA MENOR)</v>
          </cell>
          <cell r="D50" t="str">
            <v>Herramienta</v>
          </cell>
          <cell r="E50" t="str">
            <v>UND</v>
          </cell>
          <cell r="F50">
            <v>1.5</v>
          </cell>
          <cell r="G50">
            <v>2536</v>
          </cell>
          <cell r="H50">
            <v>3804</v>
          </cell>
        </row>
        <row r="51">
          <cell r="A51" t="str">
            <v>001.052</v>
          </cell>
          <cell r="B51" t="str">
            <v>I1565</v>
          </cell>
          <cell r="C51" t="str">
            <v>ACARREO INTERNO</v>
          </cell>
          <cell r="D51" t="str">
            <v>Insumo</v>
          </cell>
          <cell r="E51" t="str">
            <v>UND</v>
          </cell>
          <cell r="F51">
            <v>2.1</v>
          </cell>
          <cell r="G51">
            <v>1327</v>
          </cell>
          <cell r="H51">
            <v>2787</v>
          </cell>
        </row>
        <row r="52">
          <cell r="A52" t="str">
            <v>001.052</v>
          </cell>
          <cell r="B52" t="str">
            <v>I345</v>
          </cell>
          <cell r="C52" t="str">
            <v>PERFIL METALICO CAL 12 - 2,5MM. - 2,44M.</v>
          </cell>
          <cell r="D52" t="str">
            <v>Insumo</v>
          </cell>
          <cell r="E52" t="str">
            <v>UND</v>
          </cell>
          <cell r="F52">
            <v>1</v>
          </cell>
          <cell r="G52">
            <v>51640</v>
          </cell>
          <cell r="H52">
            <v>51640</v>
          </cell>
        </row>
        <row r="53">
          <cell r="A53" t="str">
            <v>001.052</v>
          </cell>
          <cell r="B53" t="str">
            <v>I448</v>
          </cell>
          <cell r="C53" t="str">
            <v>VALLA EN LONA</v>
          </cell>
          <cell r="D53" t="str">
            <v>Insumo</v>
          </cell>
          <cell r="E53" t="str">
            <v>M2</v>
          </cell>
          <cell r="F53">
            <v>1</v>
          </cell>
          <cell r="G53">
            <v>71720</v>
          </cell>
          <cell r="H53">
            <v>71720</v>
          </cell>
        </row>
        <row r="55">
          <cell r="A55" t="str">
            <v>001.054</v>
          </cell>
          <cell r="B55" t="str">
            <v>-</v>
          </cell>
          <cell r="C55" t="str">
            <v>SUMINISTRO, TRANSPORTE E INSTALACION SEÑAL PREVENTIVA, REGLAMENTARIA E INFORMATIVA</v>
          </cell>
          <cell r="D55" t="str">
            <v>Actividad</v>
          </cell>
          <cell r="E55" t="str">
            <v>UND</v>
          </cell>
          <cell r="H55">
            <v>160565</v>
          </cell>
        </row>
        <row r="56">
          <cell r="A56" t="str">
            <v>001.054</v>
          </cell>
          <cell r="B56" t="str">
            <v>AB4</v>
          </cell>
          <cell r="C56" t="str">
            <v>CONCRETO 2500 psi - 17.5 Mpa</v>
          </cell>
          <cell r="D56" t="str">
            <v>Analisis</v>
          </cell>
          <cell r="E56" t="str">
            <v>M3</v>
          </cell>
          <cell r="F56">
            <v>0.01</v>
          </cell>
          <cell r="G56">
            <v>380250</v>
          </cell>
          <cell r="H56">
            <v>3803</v>
          </cell>
        </row>
        <row r="57">
          <cell r="A57" t="str">
            <v>001.054</v>
          </cell>
          <cell r="B57" t="str">
            <v>C1</v>
          </cell>
          <cell r="C57" t="str">
            <v>CUADRILLA AA TIPO 1 (1 OFICIAL + 1 AYUDANTE) (Albañileria)</v>
          </cell>
          <cell r="D57" t="str">
            <v>Cuadrilla</v>
          </cell>
          <cell r="E57" t="str">
            <v>HR</v>
          </cell>
          <cell r="F57">
            <v>2</v>
          </cell>
          <cell r="G57">
            <v>16712</v>
          </cell>
          <cell r="H57">
            <v>33424</v>
          </cell>
        </row>
        <row r="58">
          <cell r="A58" t="str">
            <v>001.054</v>
          </cell>
          <cell r="B58" t="str">
            <v>E111</v>
          </cell>
          <cell r="C58" t="str">
            <v>FORMALETA PARA BASE DE CONCRETO</v>
          </cell>
          <cell r="D58" t="str">
            <v>Equipos</v>
          </cell>
          <cell r="E58" t="str">
            <v>UND</v>
          </cell>
          <cell r="F58">
            <v>0.5</v>
          </cell>
          <cell r="G58">
            <v>4151</v>
          </cell>
          <cell r="H58">
            <v>2076</v>
          </cell>
        </row>
        <row r="59">
          <cell r="A59" t="str">
            <v>001.054</v>
          </cell>
          <cell r="B59" t="str">
            <v>E12</v>
          </cell>
          <cell r="C59" t="str">
            <v>EQUIPO DE TRANSPORTE</v>
          </cell>
          <cell r="D59" t="str">
            <v>Equipos</v>
          </cell>
          <cell r="E59" t="str">
            <v>DIA</v>
          </cell>
          <cell r="F59">
            <v>0.22800000000000001</v>
          </cell>
          <cell r="G59">
            <v>131205</v>
          </cell>
          <cell r="H59">
            <v>29915</v>
          </cell>
        </row>
        <row r="60">
          <cell r="A60" t="str">
            <v>001.054</v>
          </cell>
          <cell r="B60" t="str">
            <v>H2</v>
          </cell>
          <cell r="C60" t="str">
            <v>EQUIPO BASICO (HERRAMIENTA MENOR)</v>
          </cell>
          <cell r="D60" t="str">
            <v>Herramienta</v>
          </cell>
          <cell r="E60" t="str">
            <v>UND</v>
          </cell>
          <cell r="F60">
            <v>2</v>
          </cell>
          <cell r="G60">
            <v>2536</v>
          </cell>
          <cell r="H60">
            <v>5072</v>
          </cell>
        </row>
        <row r="61">
          <cell r="A61" t="str">
            <v>001.054</v>
          </cell>
          <cell r="B61" t="str">
            <v>I1565</v>
          </cell>
          <cell r="C61" t="str">
            <v>ACARREO INTERNO</v>
          </cell>
          <cell r="D61" t="str">
            <v>Insumo</v>
          </cell>
          <cell r="E61" t="str">
            <v>UND</v>
          </cell>
          <cell r="F61">
            <v>0.158</v>
          </cell>
          <cell r="G61">
            <v>1327</v>
          </cell>
          <cell r="H61">
            <v>210</v>
          </cell>
        </row>
        <row r="62">
          <cell r="A62" t="str">
            <v>001.054</v>
          </cell>
          <cell r="B62" t="str">
            <v>I450</v>
          </cell>
          <cell r="C62" t="str">
            <v>SEÑAL PREVENTIVA, REGLAMENTARIA E INFORMATIVA (2 USOS)</v>
          </cell>
          <cell r="D62" t="str">
            <v>Insumo</v>
          </cell>
          <cell r="E62" t="str">
            <v>UND</v>
          </cell>
          <cell r="F62">
            <v>0.6</v>
          </cell>
          <cell r="G62">
            <v>143441</v>
          </cell>
          <cell r="H62">
            <v>86065</v>
          </cell>
        </row>
        <row r="65">
          <cell r="A65" t="str">
            <v>002</v>
          </cell>
          <cell r="C65" t="str">
            <v>MOVIMIENTO DE TIERRAS</v>
          </cell>
          <cell r="D65" t="str">
            <v>Capitulo</v>
          </cell>
        </row>
        <row r="68">
          <cell r="A68" t="str">
            <v>002.001</v>
          </cell>
          <cell r="B68" t="str">
            <v>-</v>
          </cell>
          <cell r="C68" t="str">
            <v>EXCAVACIÓN EN ZANJA - MATERIAL COMÚN - 0.0 A 2.0 M</v>
          </cell>
          <cell r="D68" t="str">
            <v>Actividad</v>
          </cell>
          <cell r="E68" t="str">
            <v>M3</v>
          </cell>
          <cell r="H68">
            <v>23703</v>
          </cell>
        </row>
        <row r="69">
          <cell r="A69" t="str">
            <v>002.001</v>
          </cell>
          <cell r="B69" t="str">
            <v>C22</v>
          </cell>
          <cell r="C69" t="str">
            <v>CUADRILLA AA TIPO 4 (1 OFICIAL + 4 AYUDANTE) (Albañileria)</v>
          </cell>
          <cell r="D69" t="str">
            <v>Cuadrilla</v>
          </cell>
          <cell r="E69" t="str">
            <v>HR</v>
          </cell>
          <cell r="F69">
            <v>0.6</v>
          </cell>
          <cell r="G69">
            <v>35996</v>
          </cell>
          <cell r="H69">
            <v>21598</v>
          </cell>
        </row>
        <row r="70">
          <cell r="A70" t="str">
            <v>002.001</v>
          </cell>
          <cell r="B70" t="str">
            <v>E36</v>
          </cell>
          <cell r="C70" t="str">
            <v>EQUIPO MANEJO DE AGUAS DIFERENTE A AGUAS RESIDUALES</v>
          </cell>
          <cell r="D70" t="str">
            <v>Equipos</v>
          </cell>
          <cell r="E70" t="str">
            <v>DIA</v>
          </cell>
          <cell r="F70">
            <v>3.3000000000000002E-2</v>
          </cell>
          <cell r="G70">
            <v>48431</v>
          </cell>
          <cell r="H70">
            <v>1598</v>
          </cell>
        </row>
        <row r="71">
          <cell r="A71" t="str">
            <v>002.001</v>
          </cell>
          <cell r="B71" t="str">
            <v>H2</v>
          </cell>
          <cell r="C71" t="str">
            <v>EQUIPO BASICO (HERRAMIENTA MENOR)</v>
          </cell>
          <cell r="D71" t="str">
            <v>Herramienta</v>
          </cell>
          <cell r="E71" t="str">
            <v>UND</v>
          </cell>
          <cell r="F71">
            <v>0.2</v>
          </cell>
          <cell r="G71">
            <v>2536</v>
          </cell>
          <cell r="H71">
            <v>507</v>
          </cell>
        </row>
        <row r="73">
          <cell r="A73" t="str">
            <v>002.018</v>
          </cell>
          <cell r="B73" t="str">
            <v>-</v>
          </cell>
          <cell r="C73" t="str">
            <v xml:space="preserve">EXCAVACIÓN MECANIZADA CIELO ABIERTO-MAT COMÚN/CONGLOM  0.0 A 6.0 M.                                                                                                                                              </v>
          </cell>
          <cell r="D73" t="str">
            <v>Actividad</v>
          </cell>
          <cell r="E73" t="str">
            <v>M3</v>
          </cell>
          <cell r="H73">
            <v>11645</v>
          </cell>
        </row>
        <row r="74">
          <cell r="A74" t="str">
            <v>002.018</v>
          </cell>
          <cell r="B74" t="str">
            <v>C22</v>
          </cell>
          <cell r="C74" t="str">
            <v>CUADRILLA AA TIPO 4 (1 OFICIAL + 4 AYUDANTE) (Albañileria)</v>
          </cell>
          <cell r="D74" t="str">
            <v>Cuadrilla</v>
          </cell>
          <cell r="E74" t="str">
            <v>HR</v>
          </cell>
          <cell r="F74">
            <v>0.1</v>
          </cell>
          <cell r="G74">
            <v>35996</v>
          </cell>
          <cell r="H74">
            <v>3600</v>
          </cell>
        </row>
        <row r="75">
          <cell r="A75" t="str">
            <v>002.018</v>
          </cell>
          <cell r="B75" t="str">
            <v>E18</v>
          </cell>
          <cell r="C75" t="str">
            <v>RETROEXCAVADORA SOBRE ORUGAS</v>
          </cell>
          <cell r="D75" t="str">
            <v>Equipos</v>
          </cell>
          <cell r="E75" t="str">
            <v>HR</v>
          </cell>
          <cell r="F75">
            <v>2.8000000000000001E-2</v>
          </cell>
          <cell r="G75">
            <v>213079</v>
          </cell>
          <cell r="H75">
            <v>5966</v>
          </cell>
        </row>
        <row r="76">
          <cell r="A76" t="str">
            <v>002.018</v>
          </cell>
          <cell r="B76" t="str">
            <v>E37</v>
          </cell>
          <cell r="C76" t="str">
            <v>MOTOBOMBA DE 2" A GASOLINA</v>
          </cell>
          <cell r="D76" t="str">
            <v>Equipos</v>
          </cell>
          <cell r="E76" t="str">
            <v>DIA</v>
          </cell>
          <cell r="F76">
            <v>2.1999999999999999E-2</v>
          </cell>
          <cell r="G76">
            <v>48431</v>
          </cell>
          <cell r="H76">
            <v>1065</v>
          </cell>
        </row>
        <row r="77">
          <cell r="A77" t="str">
            <v>002.018</v>
          </cell>
          <cell r="B77" t="str">
            <v>H2</v>
          </cell>
          <cell r="C77" t="str">
            <v>EQUIPO BASICO (HERRAMIENTA MENOR)</v>
          </cell>
          <cell r="D77" t="str">
            <v>Herramienta</v>
          </cell>
          <cell r="E77" t="str">
            <v>UND</v>
          </cell>
          <cell r="F77">
            <v>0.4</v>
          </cell>
          <cell r="G77">
            <v>2536</v>
          </cell>
          <cell r="H77">
            <v>1014</v>
          </cell>
        </row>
        <row r="79">
          <cell r="A79" t="str">
            <v>002.019</v>
          </cell>
          <cell r="B79" t="str">
            <v>-</v>
          </cell>
          <cell r="C79" t="str">
            <v>CONFORMACIÓN DE TALUDES CON EQUIPO MECÁNICO</v>
          </cell>
          <cell r="D79" t="str">
            <v>Actividad</v>
          </cell>
          <cell r="E79" t="str">
            <v>M3</v>
          </cell>
          <cell r="H79">
            <v>7816</v>
          </cell>
        </row>
        <row r="80">
          <cell r="A80" t="str">
            <v>002.019</v>
          </cell>
          <cell r="B80" t="str">
            <v>C1</v>
          </cell>
          <cell r="C80" t="str">
            <v>CUADRILLA AA TIPO 1 (1 OFICIAL + 1 AYUDANTE) (Albañileria)</v>
          </cell>
          <cell r="D80" t="str">
            <v>Cuadrilla</v>
          </cell>
          <cell r="E80" t="str">
            <v>HR</v>
          </cell>
          <cell r="F80">
            <v>0.05</v>
          </cell>
          <cell r="G80">
            <v>16712</v>
          </cell>
          <cell r="H80">
            <v>836</v>
          </cell>
        </row>
        <row r="81">
          <cell r="A81" t="str">
            <v>002.019</v>
          </cell>
          <cell r="B81" t="str">
            <v>E18</v>
          </cell>
          <cell r="C81" t="str">
            <v>RETROEXCAVADORA SOBRE ORUGAS</v>
          </cell>
          <cell r="D81" t="str">
            <v>Equipos</v>
          </cell>
          <cell r="E81" t="str">
            <v>HR</v>
          </cell>
          <cell r="F81">
            <v>2.8000000000000001E-2</v>
          </cell>
          <cell r="G81">
            <v>213079</v>
          </cell>
          <cell r="H81">
            <v>5966</v>
          </cell>
        </row>
        <row r="82">
          <cell r="A82" t="str">
            <v>002.019</v>
          </cell>
          <cell r="B82" t="str">
            <v>H2</v>
          </cell>
          <cell r="C82" t="str">
            <v>EQUIPO BASICO (HERRAMIENTA MENOR)</v>
          </cell>
          <cell r="D82" t="str">
            <v>Herramienta</v>
          </cell>
          <cell r="E82" t="str">
            <v>UND</v>
          </cell>
          <cell r="F82">
            <v>0.4</v>
          </cell>
          <cell r="G82">
            <v>2536</v>
          </cell>
          <cell r="H82">
            <v>1014</v>
          </cell>
        </row>
        <row r="84">
          <cell r="A84" t="str">
            <v>002.025</v>
          </cell>
          <cell r="B84" t="str">
            <v>-</v>
          </cell>
          <cell r="C84" t="str">
            <v>EXCAVACION PARA CAISSONS EN TIERRA 0-4 m</v>
          </cell>
          <cell r="D84" t="str">
            <v>Actividad</v>
          </cell>
          <cell r="E84" t="str">
            <v>M3</v>
          </cell>
          <cell r="H84">
            <v>90853</v>
          </cell>
        </row>
        <row r="85">
          <cell r="A85" t="str">
            <v>002.025</v>
          </cell>
          <cell r="B85" t="str">
            <v>C22</v>
          </cell>
          <cell r="C85" t="str">
            <v>CUADRILLA AA TIPO 4 (1 OFICIAL + 4 AYUDANTE) (Albañileria)</v>
          </cell>
          <cell r="D85" t="str">
            <v>Cuadrilla</v>
          </cell>
          <cell r="E85" t="str">
            <v>HR</v>
          </cell>
          <cell r="F85">
            <v>1.3</v>
          </cell>
          <cell r="G85">
            <v>35996</v>
          </cell>
          <cell r="H85">
            <v>46795</v>
          </cell>
        </row>
        <row r="86">
          <cell r="A86" t="str">
            <v>002.025</v>
          </cell>
          <cell r="B86" t="str">
            <v>E27</v>
          </cell>
          <cell r="C86" t="str">
            <v>VOLQUETA  6M3 (CARGUE A MANO) RETIRO INTERNO</v>
          </cell>
          <cell r="D86" t="str">
            <v>Equipos</v>
          </cell>
          <cell r="E86" t="str">
            <v>VJE</v>
          </cell>
          <cell r="F86">
            <v>0.2</v>
          </cell>
          <cell r="G86">
            <v>166055</v>
          </cell>
          <cell r="H86">
            <v>33211</v>
          </cell>
        </row>
        <row r="87">
          <cell r="A87" t="str">
            <v>002.025</v>
          </cell>
          <cell r="B87" t="str">
            <v>H2</v>
          </cell>
          <cell r="C87" t="str">
            <v>EQUIPO BASICO (HERRAMIENTA MENOR)</v>
          </cell>
          <cell r="D87" t="str">
            <v>Herramienta</v>
          </cell>
          <cell r="E87" t="str">
            <v>UND</v>
          </cell>
          <cell r="F87">
            <v>2</v>
          </cell>
          <cell r="G87">
            <v>2536</v>
          </cell>
          <cell r="H87">
            <v>5072</v>
          </cell>
        </row>
        <row r="88">
          <cell r="A88" t="str">
            <v>002.025</v>
          </cell>
          <cell r="B88" t="str">
            <v>I1564</v>
          </cell>
          <cell r="C88" t="str">
            <v>ENTIBADO</v>
          </cell>
          <cell r="D88" t="str">
            <v>Insumo</v>
          </cell>
          <cell r="E88" t="str">
            <v>UND</v>
          </cell>
          <cell r="F88">
            <v>1.02</v>
          </cell>
          <cell r="G88">
            <v>5303</v>
          </cell>
          <cell r="H88">
            <v>5409</v>
          </cell>
        </row>
        <row r="89">
          <cell r="A89" t="str">
            <v>002.025</v>
          </cell>
          <cell r="B89" t="str">
            <v>I1565</v>
          </cell>
          <cell r="C89" t="str">
            <v>ACARREO INTERNO</v>
          </cell>
          <cell r="D89" t="str">
            <v>Insumo</v>
          </cell>
          <cell r="E89" t="str">
            <v>UND</v>
          </cell>
          <cell r="F89">
            <v>0.27600000000000002</v>
          </cell>
          <cell r="G89">
            <v>1327</v>
          </cell>
          <cell r="H89">
            <v>366</v>
          </cell>
        </row>
        <row r="91">
          <cell r="A91" t="str">
            <v>032.083</v>
          </cell>
          <cell r="B91" t="str">
            <v>-</v>
          </cell>
          <cell r="C91" t="str">
            <v xml:space="preserve">EXCAVACION PARA PILOTES D=&lt;  a 35 cm (0-6)m </v>
          </cell>
          <cell r="D91" t="str">
            <v>Actividad</v>
          </cell>
          <cell r="E91" t="str">
            <v>ML</v>
          </cell>
          <cell r="H91">
            <v>84501</v>
          </cell>
        </row>
        <row r="92">
          <cell r="A92" t="str">
            <v>032.083</v>
          </cell>
          <cell r="B92" t="str">
            <v>C22</v>
          </cell>
          <cell r="C92" t="str">
            <v>CUADRILLA AA TIPO 4 (1 OFICIAL + 4 AYUDANTE) (Albañileria)</v>
          </cell>
          <cell r="D92" t="str">
            <v>Cuadrilla</v>
          </cell>
          <cell r="E92" t="str">
            <v>HR</v>
          </cell>
          <cell r="F92">
            <v>1.75</v>
          </cell>
          <cell r="G92">
            <v>35996</v>
          </cell>
          <cell r="H92">
            <v>62993</v>
          </cell>
        </row>
        <row r="93">
          <cell r="A93" t="str">
            <v>032.083</v>
          </cell>
          <cell r="B93" t="str">
            <v>E27</v>
          </cell>
          <cell r="C93" t="str">
            <v>VOLQUETA  6M3 (CARGUE A MANO) RETIRO INTERNO</v>
          </cell>
          <cell r="D93" t="str">
            <v>Equipos</v>
          </cell>
          <cell r="E93" t="str">
            <v>VJE</v>
          </cell>
          <cell r="F93">
            <v>0.1</v>
          </cell>
          <cell r="G93">
            <v>166055</v>
          </cell>
          <cell r="H93">
            <v>16606</v>
          </cell>
        </row>
        <row r="94">
          <cell r="A94" t="str">
            <v>032.083</v>
          </cell>
          <cell r="B94" t="str">
            <v>H2</v>
          </cell>
          <cell r="C94" t="str">
            <v>EQUIPO BASICO (HERRAMIENTA MENOR)</v>
          </cell>
          <cell r="D94" t="str">
            <v>Herramienta</v>
          </cell>
          <cell r="E94" t="str">
            <v>UND</v>
          </cell>
          <cell r="F94">
            <v>1.75</v>
          </cell>
          <cell r="G94">
            <v>2536</v>
          </cell>
          <cell r="H94">
            <v>4438</v>
          </cell>
        </row>
        <row r="95">
          <cell r="A95" t="str">
            <v>032.083</v>
          </cell>
          <cell r="B95" t="str">
            <v>I1565</v>
          </cell>
          <cell r="C95" t="str">
            <v>ACARREO INTERNO</v>
          </cell>
          <cell r="D95" t="str">
            <v>Insumo</v>
          </cell>
          <cell r="E95" t="str">
            <v>UND</v>
          </cell>
          <cell r="F95">
            <v>0.35</v>
          </cell>
          <cell r="G95">
            <v>1327</v>
          </cell>
          <cell r="H95">
            <v>464</v>
          </cell>
        </row>
        <row r="97">
          <cell r="A97" t="str">
            <v>002.050</v>
          </cell>
          <cell r="B97" t="str">
            <v>-</v>
          </cell>
          <cell r="C97" t="str">
            <v>RELLENO EN MATERIAL SELECCIONADO PROVENIENTE DE LA EXCAVACION (CANGURO)</v>
          </cell>
          <cell r="D97" t="str">
            <v>Actividad</v>
          </cell>
          <cell r="E97" t="str">
            <v>M3</v>
          </cell>
          <cell r="H97">
            <v>20958</v>
          </cell>
        </row>
        <row r="98">
          <cell r="A98" t="str">
            <v>002.050</v>
          </cell>
          <cell r="B98" t="str">
            <v>C1</v>
          </cell>
          <cell r="C98" t="str">
            <v>CUADRILLA AA TIPO 1 (1 OFICIAL + 1 AYUDANTE) (Albañileria)</v>
          </cell>
          <cell r="D98" t="str">
            <v>Cuadrilla</v>
          </cell>
          <cell r="E98" t="str">
            <v>HR</v>
          </cell>
          <cell r="F98">
            <v>0.86</v>
          </cell>
          <cell r="G98">
            <v>16712</v>
          </cell>
          <cell r="H98">
            <v>14372</v>
          </cell>
        </row>
        <row r="99">
          <cell r="A99" t="str">
            <v>002.050</v>
          </cell>
          <cell r="B99" t="str">
            <v>E48</v>
          </cell>
          <cell r="C99" t="str">
            <v>CANGURO</v>
          </cell>
          <cell r="D99" t="str">
            <v>Equipos</v>
          </cell>
          <cell r="E99" t="str">
            <v>DIA</v>
          </cell>
          <cell r="F99">
            <v>0.12</v>
          </cell>
          <cell r="G99">
            <v>47233</v>
          </cell>
          <cell r="H99">
            <v>5668</v>
          </cell>
        </row>
        <row r="100">
          <cell r="A100" t="str">
            <v>002.050</v>
          </cell>
          <cell r="B100" t="str">
            <v>H2</v>
          </cell>
          <cell r="C100" t="str">
            <v>EQUIPO BASICO (HERRAMIENTA MENOR)</v>
          </cell>
          <cell r="D100" t="str">
            <v>Herramienta</v>
          </cell>
          <cell r="E100" t="str">
            <v>UND</v>
          </cell>
          <cell r="F100">
            <v>0.1</v>
          </cell>
          <cell r="G100">
            <v>2536</v>
          </cell>
          <cell r="H100">
            <v>254</v>
          </cell>
        </row>
        <row r="101">
          <cell r="A101" t="str">
            <v>002.050</v>
          </cell>
          <cell r="B101" t="str">
            <v>I1565</v>
          </cell>
          <cell r="C101" t="str">
            <v>ACARREO INTERNO</v>
          </cell>
          <cell r="D101" t="str">
            <v>Insumo</v>
          </cell>
          <cell r="E101" t="str">
            <v>UND</v>
          </cell>
          <cell r="F101">
            <v>0.5</v>
          </cell>
          <cell r="G101">
            <v>1327</v>
          </cell>
          <cell r="H101">
            <v>664</v>
          </cell>
        </row>
        <row r="103">
          <cell r="A103" t="str">
            <v>002.055</v>
          </cell>
          <cell r="B103" t="str">
            <v>-</v>
          </cell>
          <cell r="C103" t="str">
            <v>RETIRO DE MATERIAL SOBRANTE EN VOLQUETA, CARGUE MECANICO</v>
          </cell>
          <cell r="D103" t="str">
            <v>Actividad</v>
          </cell>
          <cell r="E103" t="str">
            <v>M3</v>
          </cell>
          <cell r="H103">
            <v>23473</v>
          </cell>
        </row>
        <row r="104">
          <cell r="A104" t="str">
            <v>002.055</v>
          </cell>
          <cell r="B104" t="str">
            <v>C15</v>
          </cell>
          <cell r="C104" t="str">
            <v>CUADRILLA AA TIPO 3 (1 OFICIAL + 3 AYUDANTE) (Albañileria)</v>
          </cell>
          <cell r="D104" t="str">
            <v>Cuadrilla</v>
          </cell>
          <cell r="E104" t="str">
            <v>HR</v>
          </cell>
          <cell r="F104">
            <v>0.04</v>
          </cell>
          <cell r="G104">
            <v>29568</v>
          </cell>
          <cell r="H104">
            <v>1183</v>
          </cell>
        </row>
        <row r="105">
          <cell r="A105" t="str">
            <v>002.055</v>
          </cell>
          <cell r="B105" t="str">
            <v>E18</v>
          </cell>
          <cell r="C105" t="str">
            <v>RETROEXCAVADORA SOBRE ORUGAS</v>
          </cell>
          <cell r="D105" t="str">
            <v>Equipos</v>
          </cell>
          <cell r="E105" t="str">
            <v>HR</v>
          </cell>
          <cell r="F105">
            <v>0.04</v>
          </cell>
          <cell r="G105">
            <v>213079</v>
          </cell>
          <cell r="H105">
            <v>8523</v>
          </cell>
        </row>
        <row r="106">
          <cell r="A106" t="str">
            <v>002.055</v>
          </cell>
          <cell r="B106" t="str">
            <v>E25</v>
          </cell>
          <cell r="C106" t="str">
            <v>VOLQUETA  6M3 (CARGUE MECÁNICO)</v>
          </cell>
          <cell r="D106" t="str">
            <v>Equipos</v>
          </cell>
          <cell r="E106" t="str">
            <v>VJE</v>
          </cell>
          <cell r="F106">
            <v>0.217</v>
          </cell>
          <cell r="G106">
            <v>62978</v>
          </cell>
          <cell r="H106">
            <v>13666</v>
          </cell>
        </row>
        <row r="107">
          <cell r="A107" t="str">
            <v>002.055</v>
          </cell>
          <cell r="B107" t="str">
            <v>H2</v>
          </cell>
          <cell r="C107" t="str">
            <v>EQUIPO BASICO (HERRAMIENTA MENOR)</v>
          </cell>
          <cell r="D107" t="str">
            <v>Herramienta</v>
          </cell>
          <cell r="E107" t="str">
            <v>UND</v>
          </cell>
          <cell r="F107">
            <v>0.04</v>
          </cell>
          <cell r="G107">
            <v>2536</v>
          </cell>
          <cell r="H107">
            <v>101</v>
          </cell>
        </row>
        <row r="110">
          <cell r="A110" t="str">
            <v>003</v>
          </cell>
          <cell r="C110" t="str">
            <v>CIMENTACIONES</v>
          </cell>
          <cell r="D110" t="str">
            <v>Capitulo</v>
          </cell>
        </row>
        <row r="112">
          <cell r="A112" t="str">
            <v>033.176</v>
          </cell>
          <cell r="B112" t="str">
            <v>-</v>
          </cell>
          <cell r="C112" t="str">
            <v xml:space="preserve">SUMINISTRO, TRANSPORTE E INSTALACION CONCRETO 3000 PSI E= 0.10M.  </v>
          </cell>
          <cell r="D112" t="str">
            <v>Actividad</v>
          </cell>
          <cell r="E112" t="str">
            <v>M2</v>
          </cell>
          <cell r="H112">
            <v>94774.180000000008</v>
          </cell>
        </row>
        <row r="113">
          <cell r="A113" t="str">
            <v>033.176</v>
          </cell>
          <cell r="B113" t="str">
            <v>AB20</v>
          </cell>
          <cell r="C113" t="str">
            <v>MORTERO 1:3</v>
          </cell>
          <cell r="D113" t="str">
            <v>Analisis</v>
          </cell>
          <cell r="E113" t="str">
            <v>M3</v>
          </cell>
          <cell r="F113">
            <v>1.0999999999999999E-2</v>
          </cell>
          <cell r="G113">
            <v>449080</v>
          </cell>
          <cell r="H113">
            <v>4940</v>
          </cell>
        </row>
        <row r="114">
          <cell r="A114" t="str">
            <v>033.176</v>
          </cell>
          <cell r="B114" t="str">
            <v>AB5</v>
          </cell>
          <cell r="C114" t="str">
            <v>CONCRETO 3000 psi - 21 Mpa</v>
          </cell>
          <cell r="D114" t="str">
            <v>Analisis</v>
          </cell>
          <cell r="E114" t="str">
            <v>M3</v>
          </cell>
          <cell r="F114">
            <v>0.1</v>
          </cell>
          <cell r="G114">
            <v>421155</v>
          </cell>
          <cell r="H114">
            <v>42116</v>
          </cell>
        </row>
        <row r="115">
          <cell r="A115" t="str">
            <v>033.176</v>
          </cell>
          <cell r="B115" t="str">
            <v>C15</v>
          </cell>
          <cell r="C115" t="str">
            <v>CUADRILLA AA TIPO 3 (1 OFICIAL + 3 AYUDANTE) (Albañileria)</v>
          </cell>
          <cell r="D115" t="str">
            <v>Cuadrilla</v>
          </cell>
          <cell r="E115" t="str">
            <v>HR</v>
          </cell>
          <cell r="F115">
            <v>1</v>
          </cell>
          <cell r="G115">
            <v>29568</v>
          </cell>
          <cell r="H115">
            <v>29568</v>
          </cell>
        </row>
        <row r="116">
          <cell r="A116" t="str">
            <v>033.176</v>
          </cell>
          <cell r="B116" t="str">
            <v>E104</v>
          </cell>
          <cell r="C116" t="str">
            <v>FORMALETA SARDINEL DESDE 0.20 HASTA 0.60 M. DE ALTURA POR 2.00 M. DE LONGITUD</v>
          </cell>
          <cell r="D116" t="str">
            <v>Equipos</v>
          </cell>
          <cell r="E116" t="str">
            <v>DIA</v>
          </cell>
          <cell r="F116">
            <v>1.5</v>
          </cell>
          <cell r="G116">
            <v>353</v>
          </cell>
          <cell r="H116">
            <v>530</v>
          </cell>
        </row>
        <row r="117">
          <cell r="A117" t="str">
            <v>033.176</v>
          </cell>
          <cell r="B117" t="str">
            <v>E12</v>
          </cell>
          <cell r="C117" t="str">
            <v>EQUIPO DE TRANSPORTE</v>
          </cell>
          <cell r="D117" t="str">
            <v>Equipos</v>
          </cell>
          <cell r="E117" t="str">
            <v>DIA</v>
          </cell>
          <cell r="F117">
            <v>1.4E-2</v>
          </cell>
          <cell r="G117">
            <v>131205</v>
          </cell>
          <cell r="H117">
            <v>1837</v>
          </cell>
        </row>
        <row r="118">
          <cell r="A118" t="str">
            <v>033.176</v>
          </cell>
          <cell r="B118" t="str">
            <v>H2</v>
          </cell>
          <cell r="C118" t="str">
            <v>EQUIPO BASICO (HERRAMIENTA MENOR)</v>
          </cell>
          <cell r="D118" t="str">
            <v>Herramienta</v>
          </cell>
          <cell r="E118" t="str">
            <v>UND</v>
          </cell>
          <cell r="F118">
            <v>0.4</v>
          </cell>
          <cell r="G118">
            <v>2536</v>
          </cell>
          <cell r="H118">
            <v>1014</v>
          </cell>
        </row>
        <row r="119">
          <cell r="A119" t="str">
            <v>033.176</v>
          </cell>
          <cell r="B119" t="str">
            <v>I1565</v>
          </cell>
          <cell r="C119" t="str">
            <v>ACARREO INTERNO</v>
          </cell>
          <cell r="D119" t="str">
            <v>Insumo</v>
          </cell>
          <cell r="E119" t="str">
            <v>UND</v>
          </cell>
          <cell r="F119">
            <v>1.8</v>
          </cell>
          <cell r="G119">
            <v>1327</v>
          </cell>
          <cell r="H119">
            <v>2389</v>
          </cell>
        </row>
        <row r="120">
          <cell r="A120" t="str">
            <v>033.176</v>
          </cell>
          <cell r="B120" t="str">
            <v>I423</v>
          </cell>
          <cell r="C120" t="str">
            <v>POLIETILENO NO. 6</v>
          </cell>
          <cell r="D120" t="str">
            <v>Insumo</v>
          </cell>
          <cell r="E120" t="str">
            <v>M2</v>
          </cell>
          <cell r="F120">
            <v>1</v>
          </cell>
          <cell r="G120">
            <v>3585</v>
          </cell>
          <cell r="H120">
            <v>3585</v>
          </cell>
        </row>
        <row r="121">
          <cell r="A121" t="str">
            <v>033.176</v>
          </cell>
          <cell r="B121" t="str">
            <v>I957</v>
          </cell>
          <cell r="C121" t="str">
            <v>LISTON 2 X 4</v>
          </cell>
          <cell r="D121" t="str">
            <v>Insumo</v>
          </cell>
          <cell r="E121" t="str">
            <v>M</v>
          </cell>
          <cell r="F121">
            <v>0.8</v>
          </cell>
          <cell r="G121">
            <v>3244</v>
          </cell>
          <cell r="H121">
            <v>2595</v>
          </cell>
        </row>
        <row r="123">
          <cell r="A123" t="str">
            <v>002A.004</v>
          </cell>
          <cell r="B123" t="str">
            <v>-</v>
          </cell>
          <cell r="C123" t="str">
            <v>SUMINISTRO, TRANSPORTE E INSTALACION CONCRETO 3000 PSI</v>
          </cell>
          <cell r="D123" t="str">
            <v>Actividad</v>
          </cell>
          <cell r="E123" t="str">
            <v>M3</v>
          </cell>
          <cell r="H123">
            <v>544968</v>
          </cell>
        </row>
        <row r="124">
          <cell r="A124" t="str">
            <v>002A.004</v>
          </cell>
          <cell r="B124" t="str">
            <v>AB5</v>
          </cell>
          <cell r="C124" t="str">
            <v>CONCRETO 3000 psi - 21 Mpa</v>
          </cell>
          <cell r="D124" t="str">
            <v>Analisis</v>
          </cell>
          <cell r="E124" t="str">
            <v>M3</v>
          </cell>
          <cell r="F124">
            <v>1</v>
          </cell>
          <cell r="G124">
            <v>421155</v>
          </cell>
          <cell r="H124">
            <v>421155</v>
          </cell>
        </row>
        <row r="125">
          <cell r="A125" t="str">
            <v>002A.004</v>
          </cell>
          <cell r="B125" t="str">
            <v>C22</v>
          </cell>
          <cell r="C125" t="str">
            <v>CUADRILLA AA TIPO 4 (1 OFICIAL + 4 AYUDANTE) (Albañileria)</v>
          </cell>
          <cell r="D125" t="str">
            <v>Cuadrilla</v>
          </cell>
          <cell r="E125" t="str">
            <v>HR</v>
          </cell>
          <cell r="F125">
            <v>2.2000000000000002</v>
          </cell>
          <cell r="G125">
            <v>35996</v>
          </cell>
          <cell r="H125">
            <v>79191</v>
          </cell>
        </row>
        <row r="126">
          <cell r="A126" t="str">
            <v>002A.004</v>
          </cell>
          <cell r="B126" t="str">
            <v>E12</v>
          </cell>
          <cell r="C126" t="str">
            <v>EQUIPO DE TRANSPORTE</v>
          </cell>
          <cell r="D126" t="str">
            <v>Equipos</v>
          </cell>
          <cell r="E126" t="str">
            <v>DIA</v>
          </cell>
          <cell r="F126">
            <v>0.1</v>
          </cell>
          <cell r="G126">
            <v>131205</v>
          </cell>
          <cell r="H126">
            <v>13121</v>
          </cell>
        </row>
        <row r="127">
          <cell r="A127" t="str">
            <v>002A.004</v>
          </cell>
          <cell r="B127" t="str">
            <v>E21</v>
          </cell>
          <cell r="C127" t="str">
            <v>VIBRADOR A GASOLINA</v>
          </cell>
          <cell r="D127" t="str">
            <v>Equipos</v>
          </cell>
          <cell r="E127" t="str">
            <v>DIA</v>
          </cell>
          <cell r="F127">
            <v>0.15</v>
          </cell>
          <cell r="G127">
            <v>51948</v>
          </cell>
          <cell r="H127">
            <v>7792</v>
          </cell>
        </row>
        <row r="128">
          <cell r="A128" t="str">
            <v>002A.004</v>
          </cell>
          <cell r="B128" t="str">
            <v>H1</v>
          </cell>
          <cell r="C128" t="str">
            <v>EQUIPO BASICO ( CONSTRUCCIÓN )</v>
          </cell>
          <cell r="D128" t="str">
            <v>Herramienta</v>
          </cell>
          <cell r="E128" t="str">
            <v>UND</v>
          </cell>
          <cell r="F128">
            <v>1.5</v>
          </cell>
          <cell r="G128">
            <v>2536</v>
          </cell>
          <cell r="H128">
            <v>3804</v>
          </cell>
        </row>
        <row r="129">
          <cell r="A129" t="str">
            <v>002A.004</v>
          </cell>
          <cell r="B129" t="str">
            <v>I1565</v>
          </cell>
          <cell r="C129" t="str">
            <v>ACARREO INTERNO</v>
          </cell>
          <cell r="D129" t="str">
            <v>Insumo</v>
          </cell>
          <cell r="E129" t="str">
            <v>UND</v>
          </cell>
          <cell r="F129">
            <v>15</v>
          </cell>
          <cell r="G129">
            <v>1327</v>
          </cell>
          <cell r="H129">
            <v>19905</v>
          </cell>
        </row>
        <row r="131">
          <cell r="A131" t="str">
            <v>002A.003</v>
          </cell>
          <cell r="B131" t="str">
            <v>-</v>
          </cell>
          <cell r="C131" t="str">
            <v>SUMINISTRO, TRANSPORTE E INSTALACION SOLADO DE LIMPIEZA 2.000 PSI  E = 5 CM</v>
          </cell>
          <cell r="D131" t="str">
            <v>Actividad</v>
          </cell>
          <cell r="E131" t="str">
            <v>M2</v>
          </cell>
          <cell r="H131">
            <v>21094</v>
          </cell>
        </row>
        <row r="132">
          <cell r="A132" t="str">
            <v>002A.003</v>
          </cell>
          <cell r="B132" t="str">
            <v>AB3</v>
          </cell>
          <cell r="C132" t="str">
            <v>CONCRETO 2000 PSI - 14 MPA</v>
          </cell>
          <cell r="D132" t="str">
            <v>Analisis</v>
          </cell>
          <cell r="E132" t="str">
            <v>M3</v>
          </cell>
          <cell r="F132">
            <v>5.0999999999999997E-2</v>
          </cell>
          <cell r="G132">
            <v>337644</v>
          </cell>
          <cell r="H132">
            <v>17220</v>
          </cell>
        </row>
        <row r="133">
          <cell r="A133" t="str">
            <v>002A.003</v>
          </cell>
          <cell r="B133" t="str">
            <v>C15</v>
          </cell>
          <cell r="C133" t="str">
            <v>CUADRILLA AA TIPO 3 (1 OFICIAL + 3 AYUDANTE) (Albañileria)</v>
          </cell>
          <cell r="D133" t="str">
            <v>Cuadrilla</v>
          </cell>
          <cell r="E133" t="str">
            <v>HR</v>
          </cell>
          <cell r="F133">
            <v>0.13</v>
          </cell>
          <cell r="G133">
            <v>29568</v>
          </cell>
          <cell r="H133">
            <v>3844</v>
          </cell>
        </row>
        <row r="134">
          <cell r="A134" t="str">
            <v>002A.003</v>
          </cell>
          <cell r="B134" t="str">
            <v>H2</v>
          </cell>
          <cell r="C134" t="str">
            <v>EQUIPO BASICO (HERRAMIENTA MENOR)</v>
          </cell>
          <cell r="D134" t="str">
            <v>Herramienta</v>
          </cell>
          <cell r="E134" t="str">
            <v>UND</v>
          </cell>
          <cell r="F134">
            <v>1.2E-2</v>
          </cell>
          <cell r="G134">
            <v>2536</v>
          </cell>
          <cell r="H134">
            <v>30</v>
          </cell>
        </row>
        <row r="136">
          <cell r="A136" t="str">
            <v>005.008</v>
          </cell>
          <cell r="B136" t="str">
            <v>-</v>
          </cell>
          <cell r="C136" t="str">
            <v>SUMINISTRO, TRANSPORTE E INSTALACION MALLA ELECTROSOLDADA M-188 Q-5 F  6 mm c/.15m en ambos sentidos (Incluye alambre negro, colocación y traslapo).</v>
          </cell>
          <cell r="D136" t="str">
            <v>Actividad</v>
          </cell>
          <cell r="E136" t="str">
            <v>KG</v>
          </cell>
          <cell r="H136">
            <v>4739</v>
          </cell>
        </row>
        <row r="137">
          <cell r="A137" t="str">
            <v>005.008</v>
          </cell>
          <cell r="B137" t="str">
            <v>C8</v>
          </cell>
          <cell r="C137" t="str">
            <v>CUADRILLA AA TIPO 2 (1 OFICIAL + 2 AYUDANTE) (Albañileria)</v>
          </cell>
          <cell r="D137" t="str">
            <v>Cuadrilla</v>
          </cell>
          <cell r="E137" t="str">
            <v>HR</v>
          </cell>
          <cell r="F137">
            <v>0.05</v>
          </cell>
          <cell r="G137">
            <v>23140</v>
          </cell>
          <cell r="H137">
            <v>1157</v>
          </cell>
        </row>
        <row r="138">
          <cell r="A138" t="str">
            <v>005.008</v>
          </cell>
          <cell r="B138" t="str">
            <v>E12</v>
          </cell>
          <cell r="C138" t="str">
            <v>EQUIPO DE TRANSPORTE</v>
          </cell>
          <cell r="D138" t="str">
            <v>Equipos</v>
          </cell>
          <cell r="E138" t="str">
            <v>DIA</v>
          </cell>
          <cell r="F138">
            <v>5.0000000000000001E-4</v>
          </cell>
          <cell r="G138">
            <v>131205</v>
          </cell>
          <cell r="H138">
            <v>66</v>
          </cell>
        </row>
        <row r="139">
          <cell r="A139" t="str">
            <v>005.008</v>
          </cell>
          <cell r="B139" t="str">
            <v>I10</v>
          </cell>
          <cell r="C139" t="str">
            <v>MALLA ELECTROSOLDADA M-188. Q-5  6.0MM  15 X 15CM.</v>
          </cell>
          <cell r="D139" t="str">
            <v>Insumo</v>
          </cell>
          <cell r="E139" t="str">
            <v>KG</v>
          </cell>
          <cell r="F139">
            <v>1.05</v>
          </cell>
          <cell r="G139">
            <v>3154</v>
          </cell>
          <cell r="H139">
            <v>3312</v>
          </cell>
        </row>
        <row r="140">
          <cell r="A140" t="str">
            <v>005.008</v>
          </cell>
          <cell r="B140" t="str">
            <v>I1565</v>
          </cell>
          <cell r="C140" t="str">
            <v>ACARREO INTERNO</v>
          </cell>
          <cell r="D140" t="str">
            <v>Insumo</v>
          </cell>
          <cell r="E140" t="str">
            <v>UND</v>
          </cell>
          <cell r="F140">
            <v>5.2999999999999999E-2</v>
          </cell>
          <cell r="G140">
            <v>1327</v>
          </cell>
          <cell r="H140">
            <v>70</v>
          </cell>
        </row>
        <row r="141">
          <cell r="A141" t="str">
            <v>005.008</v>
          </cell>
          <cell r="B141" t="str">
            <v>I3</v>
          </cell>
          <cell r="C141" t="str">
            <v>ALAMBRE NEGRO NO. 18</v>
          </cell>
          <cell r="D141" t="str">
            <v>Insumo</v>
          </cell>
          <cell r="E141" t="str">
            <v>KG</v>
          </cell>
          <cell r="F141">
            <v>3.1E-2</v>
          </cell>
          <cell r="G141">
            <v>4323</v>
          </cell>
          <cell r="H141">
            <v>134</v>
          </cell>
        </row>
        <row r="143">
          <cell r="A143" t="str">
            <v>002A.005</v>
          </cell>
          <cell r="B143" t="str">
            <v>-</v>
          </cell>
          <cell r="C143" t="str">
            <v>SUMINISTRO, TRANSPORTE E INSTALACION VIGA CIMENTACION CONCRETO 4000 PSI</v>
          </cell>
          <cell r="D143" t="str">
            <v>Actividad</v>
          </cell>
          <cell r="E143" t="str">
            <v>M3</v>
          </cell>
          <cell r="H143">
            <v>671263</v>
          </cell>
        </row>
        <row r="144">
          <cell r="A144" t="str">
            <v>005.015</v>
          </cell>
          <cell r="B144" t="str">
            <v>AB7</v>
          </cell>
          <cell r="C144" t="str">
            <v>CONCRETO 4000 psi - 28 Mpa</v>
          </cell>
          <cell r="D144" t="str">
            <v>Analisis</v>
          </cell>
          <cell r="E144" t="str">
            <v>M3</v>
          </cell>
          <cell r="F144">
            <v>1.05</v>
          </cell>
          <cell r="G144">
            <v>473475</v>
          </cell>
          <cell r="H144">
            <v>497149</v>
          </cell>
        </row>
        <row r="145">
          <cell r="A145" t="str">
            <v>002A.005</v>
          </cell>
          <cell r="B145" t="str">
            <v>C29</v>
          </cell>
          <cell r="C145" t="str">
            <v>CUADRILLA AA TIPO 5 (1 OFICIAL + 5 AYUDANTE) (Albañileria)</v>
          </cell>
          <cell r="D145" t="str">
            <v>Cuadrilla</v>
          </cell>
          <cell r="E145" t="str">
            <v>HR</v>
          </cell>
          <cell r="F145">
            <v>3</v>
          </cell>
          <cell r="G145">
            <v>42424</v>
          </cell>
          <cell r="H145">
            <v>127272</v>
          </cell>
        </row>
        <row r="146">
          <cell r="A146" t="str">
            <v>002A.005</v>
          </cell>
          <cell r="B146" t="str">
            <v>E111</v>
          </cell>
          <cell r="C146" t="str">
            <v>FORMALETA PARA BASE DE CONCRETO</v>
          </cell>
          <cell r="D146" t="str">
            <v>Equipos</v>
          </cell>
          <cell r="E146" t="str">
            <v>UND</v>
          </cell>
          <cell r="F146">
            <v>3</v>
          </cell>
          <cell r="G146">
            <v>4151</v>
          </cell>
          <cell r="H146">
            <v>12453</v>
          </cell>
        </row>
        <row r="147">
          <cell r="A147" t="str">
            <v>002A.005</v>
          </cell>
          <cell r="B147" t="str">
            <v>E12</v>
          </cell>
          <cell r="C147" t="str">
            <v>EQUIPO DE TRANSPORTE</v>
          </cell>
          <cell r="D147" t="str">
            <v>Equipos</v>
          </cell>
          <cell r="E147" t="str">
            <v>DIA</v>
          </cell>
          <cell r="F147">
            <v>0.1</v>
          </cell>
          <cell r="G147">
            <v>131205</v>
          </cell>
          <cell r="H147">
            <v>13121</v>
          </cell>
        </row>
        <row r="148">
          <cell r="A148" t="str">
            <v>002A.005</v>
          </cell>
          <cell r="B148" t="str">
            <v>E21</v>
          </cell>
          <cell r="C148" t="str">
            <v>VIBRADOR A GASOLINA</v>
          </cell>
          <cell r="D148" t="str">
            <v>Equipos</v>
          </cell>
          <cell r="E148" t="str">
            <v>DIA</v>
          </cell>
          <cell r="F148">
            <v>0.18</v>
          </cell>
          <cell r="G148">
            <v>51948</v>
          </cell>
          <cell r="H148">
            <v>9351</v>
          </cell>
        </row>
        <row r="149">
          <cell r="A149" t="str">
            <v>002A.005</v>
          </cell>
          <cell r="B149" t="str">
            <v>H1</v>
          </cell>
          <cell r="C149" t="str">
            <v>EQUIPO BASICO ( CONSTRUCCIÓN )</v>
          </cell>
          <cell r="D149" t="str">
            <v>Herramienta</v>
          </cell>
          <cell r="E149" t="str">
            <v>UND</v>
          </cell>
          <cell r="F149">
            <v>1.5</v>
          </cell>
          <cell r="G149">
            <v>2536</v>
          </cell>
          <cell r="H149">
            <v>3804</v>
          </cell>
        </row>
        <row r="150">
          <cell r="A150" t="str">
            <v>002A.005</v>
          </cell>
          <cell r="B150" t="str">
            <v>H2</v>
          </cell>
          <cell r="C150" t="str">
            <v>EQUIPO BASICO (HERRAMIENTA MENOR)</v>
          </cell>
          <cell r="D150" t="str">
            <v>Herramienta</v>
          </cell>
          <cell r="E150" t="str">
            <v>UND</v>
          </cell>
          <cell r="F150">
            <v>2.1</v>
          </cell>
          <cell r="G150">
            <v>2536</v>
          </cell>
          <cell r="H150">
            <v>5326</v>
          </cell>
        </row>
        <row r="151">
          <cell r="A151" t="str">
            <v>002A.005</v>
          </cell>
          <cell r="B151" t="str">
            <v>I1565</v>
          </cell>
          <cell r="C151" t="str">
            <v>ACARREO INTERNO</v>
          </cell>
          <cell r="D151" t="str">
            <v>Insumo</v>
          </cell>
          <cell r="E151" t="str">
            <v>UND</v>
          </cell>
          <cell r="F151">
            <v>2.1</v>
          </cell>
          <cell r="G151">
            <v>1327</v>
          </cell>
          <cell r="H151">
            <v>2787</v>
          </cell>
        </row>
        <row r="153">
          <cell r="A153" t="str">
            <v>002A.015</v>
          </cell>
          <cell r="B153" t="str">
            <v>-</v>
          </cell>
          <cell r="C153" t="str">
            <v>SUMINISTRO, TRANSPORTE E INSTALACION CAISSONS 4000 PSI</v>
          </cell>
          <cell r="D153" t="str">
            <v>Actividad</v>
          </cell>
          <cell r="E153" t="str">
            <v>M3</v>
          </cell>
          <cell r="H153">
            <v>606398</v>
          </cell>
        </row>
        <row r="154">
          <cell r="A154" t="str">
            <v>005.015</v>
          </cell>
          <cell r="B154" t="str">
            <v>AB7</v>
          </cell>
          <cell r="C154" t="str">
            <v>CONCRETO 4000 psi - 28 Mpa</v>
          </cell>
          <cell r="D154" t="str">
            <v>Analisis</v>
          </cell>
          <cell r="E154" t="str">
            <v>M3</v>
          </cell>
          <cell r="F154">
            <v>1.05</v>
          </cell>
          <cell r="G154">
            <v>473475</v>
          </cell>
          <cell r="H154">
            <v>497149</v>
          </cell>
        </row>
        <row r="155">
          <cell r="A155" t="str">
            <v>002A.015</v>
          </cell>
          <cell r="B155" t="str">
            <v>C29</v>
          </cell>
          <cell r="C155" t="str">
            <v>CUADRILLA AA TIPO 5 (1 OFICIAL + 5 AYUDANTE) (Albañileria)</v>
          </cell>
          <cell r="D155" t="str">
            <v>Cuadrilla</v>
          </cell>
          <cell r="E155" t="str">
            <v>HR</v>
          </cell>
          <cell r="F155">
            <v>1.9</v>
          </cell>
          <cell r="G155">
            <v>42424</v>
          </cell>
          <cell r="H155">
            <v>80606</v>
          </cell>
        </row>
        <row r="156">
          <cell r="A156" t="str">
            <v>002A.015</v>
          </cell>
          <cell r="B156" t="str">
            <v>E114</v>
          </cell>
          <cell r="C156" t="str">
            <v>FORMALETA METALICA PARA CAISSONS</v>
          </cell>
          <cell r="D156" t="str">
            <v>Equipos</v>
          </cell>
          <cell r="E156" t="str">
            <v>DIA</v>
          </cell>
          <cell r="F156">
            <v>1</v>
          </cell>
          <cell r="G156">
            <v>18263</v>
          </cell>
          <cell r="H156">
            <v>18263</v>
          </cell>
        </row>
        <row r="157">
          <cell r="A157" t="str">
            <v>002A.015</v>
          </cell>
          <cell r="B157" t="str">
            <v>H2</v>
          </cell>
          <cell r="C157" t="str">
            <v>EQUIPO BASICO (HERRAMIENTA MENOR)</v>
          </cell>
          <cell r="D157" t="str">
            <v>Herramienta</v>
          </cell>
          <cell r="E157" t="str">
            <v>UND</v>
          </cell>
          <cell r="F157">
            <v>2</v>
          </cell>
          <cell r="G157">
            <v>2536</v>
          </cell>
          <cell r="H157">
            <v>5072</v>
          </cell>
        </row>
        <row r="158">
          <cell r="A158" t="str">
            <v>002A.015</v>
          </cell>
          <cell r="B158" t="str">
            <v>I1565</v>
          </cell>
          <cell r="C158" t="str">
            <v>ACARREO INTERNO</v>
          </cell>
          <cell r="D158" t="str">
            <v>Insumo</v>
          </cell>
          <cell r="E158" t="str">
            <v>UND</v>
          </cell>
          <cell r="F158">
            <v>4</v>
          </cell>
          <cell r="G158">
            <v>1327</v>
          </cell>
          <cell r="H158">
            <v>5308</v>
          </cell>
        </row>
        <row r="160">
          <cell r="A160" t="str">
            <v>002A.019</v>
          </cell>
          <cell r="B160" t="str">
            <v>-</v>
          </cell>
          <cell r="C160" t="str">
            <v>SUMINISTRO, TRANSPORTE E INSTALACION PILOTES EN CONCRETO 4000 PSI D= 0.35 m</v>
          </cell>
          <cell r="D160" t="str">
            <v>Actividad</v>
          </cell>
          <cell r="E160" t="str">
            <v>M3</v>
          </cell>
          <cell r="H160">
            <v>637659</v>
          </cell>
        </row>
        <row r="161">
          <cell r="A161" t="str">
            <v>005.015</v>
          </cell>
          <cell r="B161" t="str">
            <v>AB7</v>
          </cell>
          <cell r="C161" t="str">
            <v>CONCRETO 4000 psi - 28 Mpa</v>
          </cell>
          <cell r="D161" t="str">
            <v>Analisis</v>
          </cell>
          <cell r="E161" t="str">
            <v>M3</v>
          </cell>
          <cell r="F161">
            <v>1.05</v>
          </cell>
          <cell r="G161">
            <v>473475</v>
          </cell>
          <cell r="H161">
            <v>497149</v>
          </cell>
        </row>
        <row r="162">
          <cell r="A162" t="str">
            <v>002A.019</v>
          </cell>
          <cell r="B162" t="str">
            <v>C29</v>
          </cell>
          <cell r="C162" t="str">
            <v>CUADRILLA AA TIPO 5 (1 OFICIAL + 5 AYUDANTE) (Albañileria)</v>
          </cell>
          <cell r="D162" t="str">
            <v>Cuadrilla</v>
          </cell>
          <cell r="E162" t="str">
            <v>HR</v>
          </cell>
          <cell r="F162">
            <v>2.6</v>
          </cell>
          <cell r="G162">
            <v>42424</v>
          </cell>
          <cell r="H162">
            <v>110302</v>
          </cell>
        </row>
        <row r="163">
          <cell r="A163" t="str">
            <v>002A.019</v>
          </cell>
          <cell r="B163" t="str">
            <v>E21</v>
          </cell>
          <cell r="C163" t="str">
            <v>VIBRADOR A GASOLINA</v>
          </cell>
          <cell r="D163" t="str">
            <v>Equipos</v>
          </cell>
          <cell r="E163" t="str">
            <v>DIA</v>
          </cell>
          <cell r="F163">
            <v>0.12</v>
          </cell>
          <cell r="G163">
            <v>51948</v>
          </cell>
          <cell r="H163">
            <v>6234</v>
          </cell>
        </row>
        <row r="164">
          <cell r="A164" t="str">
            <v>002A.019</v>
          </cell>
          <cell r="B164" t="str">
            <v>H2</v>
          </cell>
          <cell r="C164" t="str">
            <v>EQUIPO BASICO (HERRAMIENTA MENOR)</v>
          </cell>
          <cell r="D164" t="str">
            <v>Herramienta</v>
          </cell>
          <cell r="E164" t="str">
            <v>UND</v>
          </cell>
          <cell r="F164">
            <v>6</v>
          </cell>
          <cell r="G164">
            <v>2536</v>
          </cell>
          <cell r="H164">
            <v>15216</v>
          </cell>
        </row>
        <row r="165">
          <cell r="A165" t="str">
            <v>002A.019</v>
          </cell>
          <cell r="B165" t="str">
            <v>I1565</v>
          </cell>
          <cell r="C165" t="str">
            <v>ACARREO INTERNO</v>
          </cell>
          <cell r="D165" t="str">
            <v>Insumo</v>
          </cell>
          <cell r="E165" t="str">
            <v>UND</v>
          </cell>
          <cell r="F165">
            <v>6.6</v>
          </cell>
          <cell r="G165">
            <v>1327</v>
          </cell>
          <cell r="H165">
            <v>8758</v>
          </cell>
        </row>
        <row r="167">
          <cell r="A167" t="str">
            <v>002A.024</v>
          </cell>
          <cell r="B167" t="str">
            <v>-</v>
          </cell>
          <cell r="C167" t="str">
            <v>SUMINISTRO, TRANSPORTE E INSTALACION DE ANILLO DE PROTECCIÓN PARA CAISSON CONCRETO CAISSONS 3000 PSI</v>
          </cell>
          <cell r="D167" t="str">
            <v>Actividad</v>
          </cell>
          <cell r="E167" t="str">
            <v>M3</v>
          </cell>
          <cell r="H167">
            <v>617412</v>
          </cell>
        </row>
        <row r="168">
          <cell r="A168" t="str">
            <v>002A.024</v>
          </cell>
          <cell r="B168" t="str">
            <v>AB5</v>
          </cell>
          <cell r="C168" t="str">
            <v>CONCRETO 3000 psi - 21 Mpa</v>
          </cell>
          <cell r="D168" t="str">
            <v>Analisis</v>
          </cell>
          <cell r="E168" t="str">
            <v>M3</v>
          </cell>
          <cell r="F168">
            <v>1.05</v>
          </cell>
          <cell r="G168">
            <v>421155</v>
          </cell>
          <cell r="H168">
            <v>442213</v>
          </cell>
        </row>
        <row r="169">
          <cell r="A169" t="str">
            <v>002A.024</v>
          </cell>
          <cell r="B169" t="str">
            <v>C36</v>
          </cell>
          <cell r="C169" t="str">
            <v>CUADRILLA AA TIPO 6 (1 OFICIAL + 6 AYUDANTE) (Albañileria)</v>
          </cell>
          <cell r="D169" t="str">
            <v>Cuadrilla</v>
          </cell>
          <cell r="E169" t="str">
            <v>HR</v>
          </cell>
          <cell r="F169">
            <v>3</v>
          </cell>
          <cell r="G169">
            <v>48852</v>
          </cell>
          <cell r="H169">
            <v>146556</v>
          </cell>
        </row>
        <row r="170">
          <cell r="A170" t="str">
            <v>002A.024</v>
          </cell>
          <cell r="B170" t="str">
            <v>E114</v>
          </cell>
          <cell r="C170" t="str">
            <v>FORMALETA METALICA PARA CAISSONS</v>
          </cell>
          <cell r="D170" t="str">
            <v>Equipos</v>
          </cell>
          <cell r="E170" t="str">
            <v>DIA</v>
          </cell>
          <cell r="F170">
            <v>1</v>
          </cell>
          <cell r="G170">
            <v>18263</v>
          </cell>
          <cell r="H170">
            <v>18263</v>
          </cell>
        </row>
        <row r="171">
          <cell r="A171" t="str">
            <v>002A.024</v>
          </cell>
          <cell r="B171" t="str">
            <v>H2</v>
          </cell>
          <cell r="C171" t="str">
            <v>EQUIPO BASICO (HERRAMIENTA MENOR)</v>
          </cell>
          <cell r="D171" t="str">
            <v>Herramienta</v>
          </cell>
          <cell r="E171" t="str">
            <v>UND</v>
          </cell>
          <cell r="F171">
            <v>2</v>
          </cell>
          <cell r="G171">
            <v>2536</v>
          </cell>
          <cell r="H171">
            <v>5072</v>
          </cell>
        </row>
        <row r="172">
          <cell r="A172" t="str">
            <v>002A.024</v>
          </cell>
          <cell r="B172" t="str">
            <v>I1565</v>
          </cell>
          <cell r="C172" t="str">
            <v>ACARREO INTERNO</v>
          </cell>
          <cell r="D172" t="str">
            <v>Insumo</v>
          </cell>
          <cell r="E172" t="str">
            <v>UND</v>
          </cell>
          <cell r="F172">
            <v>4</v>
          </cell>
          <cell r="G172">
            <v>1327</v>
          </cell>
          <cell r="H172">
            <v>5308</v>
          </cell>
        </row>
        <row r="174">
          <cell r="A174" t="str">
            <v>027.015</v>
          </cell>
          <cell r="B174" t="str">
            <v>-</v>
          </cell>
          <cell r="C174" t="str">
            <v xml:space="preserve">SUMINISTRO, TRANSPORTE E INSTALACION DADOS EN CONCRETO REFORZADO 4000 PSI </v>
          </cell>
          <cell r="D174" t="str">
            <v>Actividad</v>
          </cell>
          <cell r="E174" t="str">
            <v>M3</v>
          </cell>
          <cell r="H174">
            <v>726075</v>
          </cell>
        </row>
        <row r="175">
          <cell r="A175" t="str">
            <v>027.015</v>
          </cell>
          <cell r="B175" t="str">
            <v>AB7</v>
          </cell>
          <cell r="C175" t="str">
            <v>CONCRETO 4000 psi - 28 Mpa</v>
          </cell>
          <cell r="D175" t="str">
            <v>Analisis</v>
          </cell>
          <cell r="E175" t="str">
            <v>M3</v>
          </cell>
          <cell r="F175">
            <v>1.05</v>
          </cell>
          <cell r="G175">
            <v>473475</v>
          </cell>
          <cell r="H175">
            <v>497149</v>
          </cell>
        </row>
        <row r="176">
          <cell r="A176" t="str">
            <v>027.015</v>
          </cell>
          <cell r="B176" t="str">
            <v>C36</v>
          </cell>
          <cell r="C176" t="str">
            <v>CUADRILLA AA TIPO 6 (1 OFICIAL + 6 AYUDANTE) (Albañileria)</v>
          </cell>
          <cell r="D176" t="str">
            <v>Cuadrilla</v>
          </cell>
          <cell r="E176" t="str">
            <v>HR</v>
          </cell>
          <cell r="F176">
            <v>3.35</v>
          </cell>
          <cell r="G176">
            <v>48852</v>
          </cell>
          <cell r="H176">
            <v>163654</v>
          </cell>
        </row>
        <row r="177">
          <cell r="A177" t="str">
            <v>027.015</v>
          </cell>
          <cell r="B177" t="str">
            <v>E117</v>
          </cell>
          <cell r="C177" t="str">
            <v>CERCHA VIGA METALICA</v>
          </cell>
          <cell r="D177" t="str">
            <v>Equipos</v>
          </cell>
          <cell r="E177" t="str">
            <v>DIA</v>
          </cell>
          <cell r="F177">
            <v>45</v>
          </cell>
          <cell r="G177">
            <v>154</v>
          </cell>
          <cell r="H177">
            <v>6930</v>
          </cell>
        </row>
        <row r="178">
          <cell r="A178" t="str">
            <v>027.015</v>
          </cell>
          <cell r="B178" t="str">
            <v>E12</v>
          </cell>
          <cell r="C178" t="str">
            <v>EQUIPO DE TRANSPORTE</v>
          </cell>
          <cell r="D178" t="str">
            <v>Equipos</v>
          </cell>
          <cell r="E178" t="str">
            <v>DIA</v>
          </cell>
          <cell r="F178">
            <v>7.6999999999999999E-2</v>
          </cell>
          <cell r="G178">
            <v>131205</v>
          </cell>
          <cell r="H178">
            <v>10103</v>
          </cell>
        </row>
        <row r="179">
          <cell r="A179" t="str">
            <v>027.015</v>
          </cell>
          <cell r="B179" t="str">
            <v>E21</v>
          </cell>
          <cell r="C179" t="str">
            <v>VIBRADOR A GASOLINA</v>
          </cell>
          <cell r="D179" t="str">
            <v>Equipos</v>
          </cell>
          <cell r="E179" t="str">
            <v>DIA</v>
          </cell>
          <cell r="F179">
            <v>0.1</v>
          </cell>
          <cell r="G179">
            <v>51948</v>
          </cell>
          <cell r="H179">
            <v>5195</v>
          </cell>
        </row>
        <row r="180">
          <cell r="A180" t="str">
            <v>027.015</v>
          </cell>
          <cell r="B180" t="str">
            <v>E35</v>
          </cell>
          <cell r="C180" t="str">
            <v>TABLERO  1.40 X 0,70</v>
          </cell>
          <cell r="D180" t="str">
            <v>Equipos</v>
          </cell>
          <cell r="E180" t="str">
            <v>DIA</v>
          </cell>
          <cell r="F180">
            <v>45</v>
          </cell>
          <cell r="G180">
            <v>343</v>
          </cell>
          <cell r="H180">
            <v>15435</v>
          </cell>
        </row>
        <row r="181">
          <cell r="A181" t="str">
            <v>027.015</v>
          </cell>
          <cell r="B181" t="str">
            <v>H2</v>
          </cell>
          <cell r="C181" t="str">
            <v>EQUIPO BASICO (HERRAMIENTA MENOR)</v>
          </cell>
          <cell r="D181" t="str">
            <v>Herramienta</v>
          </cell>
          <cell r="E181" t="str">
            <v>UND</v>
          </cell>
          <cell r="F181">
            <v>3.35</v>
          </cell>
          <cell r="G181">
            <v>2536</v>
          </cell>
          <cell r="H181">
            <v>8496</v>
          </cell>
        </row>
        <row r="182">
          <cell r="A182" t="str">
            <v>027.015</v>
          </cell>
          <cell r="B182" t="str">
            <v>I1565</v>
          </cell>
          <cell r="C182" t="str">
            <v>ACARREO INTERNO</v>
          </cell>
          <cell r="D182" t="str">
            <v>Insumo</v>
          </cell>
          <cell r="E182" t="str">
            <v>UND</v>
          </cell>
          <cell r="F182">
            <v>9</v>
          </cell>
          <cell r="G182">
            <v>1327</v>
          </cell>
          <cell r="H182">
            <v>11943</v>
          </cell>
        </row>
        <row r="183">
          <cell r="A183" t="str">
            <v>027.015</v>
          </cell>
          <cell r="B183" t="str">
            <v>I425</v>
          </cell>
          <cell r="C183" t="str">
            <v>PUNTILLA CON CABEZA 2"</v>
          </cell>
          <cell r="D183" t="str">
            <v>Insumo</v>
          </cell>
          <cell r="E183" t="str">
            <v>LB</v>
          </cell>
          <cell r="F183">
            <v>2</v>
          </cell>
          <cell r="G183">
            <v>3585</v>
          </cell>
          <cell r="H183">
            <v>7170</v>
          </cell>
        </row>
        <row r="185">
          <cell r="A185" t="str">
            <v>005.062</v>
          </cell>
          <cell r="B185" t="str">
            <v>-</v>
          </cell>
          <cell r="C185" t="str">
            <v xml:space="preserve">SUMINISTRO, TRANSPORTE E INSTALACION COLUMNAS CONCRETO 4000 PSI  A LA VISTA </v>
          </cell>
          <cell r="D185" t="str">
            <v>Actividad</v>
          </cell>
          <cell r="E185" t="str">
            <v>M3</v>
          </cell>
          <cell r="H185">
            <v>974232</v>
          </cell>
        </row>
        <row r="186">
          <cell r="A186" t="str">
            <v>005.062</v>
          </cell>
          <cell r="B186" t="str">
            <v>AB7</v>
          </cell>
          <cell r="C186" t="str">
            <v>CONCRETO 4000 psi - 28 Mpa</v>
          </cell>
          <cell r="D186" t="str">
            <v>Analisis</v>
          </cell>
          <cell r="E186" t="str">
            <v>M3</v>
          </cell>
          <cell r="F186">
            <v>1.05</v>
          </cell>
          <cell r="G186">
            <v>473475</v>
          </cell>
          <cell r="H186">
            <v>497149</v>
          </cell>
        </row>
        <row r="187">
          <cell r="A187" t="str">
            <v>005.062</v>
          </cell>
          <cell r="B187" t="str">
            <v>C36</v>
          </cell>
          <cell r="C187" t="str">
            <v>CUADRILLA AA TIPO 6 (1 OFICIAL + 6 AYUDANTE) (Albañileria)</v>
          </cell>
          <cell r="D187" t="str">
            <v>Cuadrilla</v>
          </cell>
          <cell r="E187" t="str">
            <v>HR</v>
          </cell>
          <cell r="F187">
            <v>4.5999999999999996</v>
          </cell>
          <cell r="G187">
            <v>48852</v>
          </cell>
          <cell r="H187">
            <v>224719</v>
          </cell>
        </row>
        <row r="188">
          <cell r="A188" t="str">
            <v>005.062</v>
          </cell>
          <cell r="B188" t="str">
            <v>E1</v>
          </cell>
          <cell r="C188" t="str">
            <v>ANDAMIO METALICO CERTIFICADO, INCLUYE ESCALERILLA CON BARANDAS Y PLATAFORMAS DE TRABAJO</v>
          </cell>
          <cell r="D188" t="str">
            <v>Equipos</v>
          </cell>
          <cell r="E188" t="str">
            <v>UND</v>
          </cell>
          <cell r="F188">
            <v>3</v>
          </cell>
          <cell r="G188">
            <v>7257</v>
          </cell>
          <cell r="H188">
            <v>21771</v>
          </cell>
        </row>
        <row r="189">
          <cell r="A189" t="str">
            <v>005.062</v>
          </cell>
          <cell r="B189" t="str">
            <v>E105</v>
          </cell>
          <cell r="C189" t="str">
            <v>MORDAZA METALICA</v>
          </cell>
          <cell r="D189" t="str">
            <v>Equipos</v>
          </cell>
          <cell r="E189" t="str">
            <v>DIA</v>
          </cell>
          <cell r="F189">
            <v>6</v>
          </cell>
          <cell r="G189">
            <v>104</v>
          </cell>
          <cell r="H189">
            <v>624</v>
          </cell>
        </row>
        <row r="190">
          <cell r="A190" t="str">
            <v>005.062</v>
          </cell>
          <cell r="B190" t="str">
            <v>E108</v>
          </cell>
          <cell r="C190" t="str">
            <v>PARAL LARGO 2.00 A 3.50 M</v>
          </cell>
          <cell r="D190" t="str">
            <v>Equipos</v>
          </cell>
          <cell r="E190" t="str">
            <v>DIA</v>
          </cell>
          <cell r="F190">
            <v>3</v>
          </cell>
          <cell r="G190">
            <v>173</v>
          </cell>
          <cell r="H190">
            <v>519</v>
          </cell>
        </row>
        <row r="191">
          <cell r="A191" t="str">
            <v>005.062</v>
          </cell>
          <cell r="B191" t="str">
            <v>E109</v>
          </cell>
          <cell r="C191" t="str">
            <v xml:space="preserve">FORMALETA TABLEMAC 4MM SUPER T O EQUIVALENTE </v>
          </cell>
          <cell r="D191" t="str">
            <v>Equipos</v>
          </cell>
          <cell r="E191" t="str">
            <v>M2</v>
          </cell>
          <cell r="F191">
            <v>11.1</v>
          </cell>
          <cell r="G191">
            <v>7752</v>
          </cell>
          <cell r="H191">
            <v>86047</v>
          </cell>
        </row>
        <row r="192">
          <cell r="A192" t="str">
            <v>005.062</v>
          </cell>
          <cell r="B192" t="str">
            <v>E12</v>
          </cell>
          <cell r="C192" t="str">
            <v>EQUIPO DE TRANSPORTE</v>
          </cell>
          <cell r="D192" t="str">
            <v>Equipos</v>
          </cell>
          <cell r="E192" t="str">
            <v>DIA</v>
          </cell>
          <cell r="F192">
            <v>0.1036</v>
          </cell>
          <cell r="G192">
            <v>131205</v>
          </cell>
          <cell r="H192">
            <v>13593</v>
          </cell>
        </row>
        <row r="193">
          <cell r="A193" t="str">
            <v>005.062</v>
          </cell>
          <cell r="B193" t="str">
            <v>E21</v>
          </cell>
          <cell r="C193" t="str">
            <v>VIBRADOR A GASOLINA</v>
          </cell>
          <cell r="D193" t="str">
            <v>Equipos</v>
          </cell>
          <cell r="E193" t="str">
            <v>DIA</v>
          </cell>
          <cell r="F193">
            <v>7.0000000000000007E-2</v>
          </cell>
          <cell r="G193">
            <v>51948</v>
          </cell>
          <cell r="H193">
            <v>3636</v>
          </cell>
        </row>
        <row r="194">
          <cell r="A194" t="str">
            <v>005.062</v>
          </cell>
          <cell r="B194" t="str">
            <v>E9</v>
          </cell>
          <cell r="C194" t="str">
            <v>PLUMA  GRUA 250KG CON BALDE</v>
          </cell>
          <cell r="D194" t="str">
            <v>Equipos</v>
          </cell>
          <cell r="E194" t="str">
            <v>DIA</v>
          </cell>
          <cell r="F194">
            <v>1</v>
          </cell>
          <cell r="G194">
            <v>30440</v>
          </cell>
          <cell r="H194">
            <v>30440</v>
          </cell>
        </row>
        <row r="195">
          <cell r="A195" t="str">
            <v>005.062</v>
          </cell>
          <cell r="B195" t="str">
            <v>H2</v>
          </cell>
          <cell r="C195" t="str">
            <v>EQUIPO BASICO (HERRAMIENTA MENOR)</v>
          </cell>
          <cell r="D195" t="str">
            <v>Herramienta</v>
          </cell>
          <cell r="E195" t="str">
            <v>UND</v>
          </cell>
          <cell r="F195">
            <v>4.5999999999999996</v>
          </cell>
          <cell r="G195">
            <v>2536</v>
          </cell>
          <cell r="H195">
            <v>11666</v>
          </cell>
        </row>
        <row r="196">
          <cell r="A196" t="str">
            <v>005.062</v>
          </cell>
          <cell r="B196" t="str">
            <v>I1565</v>
          </cell>
          <cell r="C196" t="str">
            <v>ACARREO INTERNO</v>
          </cell>
          <cell r="D196" t="str">
            <v>Insumo</v>
          </cell>
          <cell r="E196" t="str">
            <v>UND</v>
          </cell>
          <cell r="F196">
            <v>12</v>
          </cell>
          <cell r="G196">
            <v>1327</v>
          </cell>
          <cell r="H196">
            <v>15924</v>
          </cell>
        </row>
        <row r="197">
          <cell r="A197" t="str">
            <v>005.062</v>
          </cell>
          <cell r="B197" t="str">
            <v>I425</v>
          </cell>
          <cell r="C197" t="str">
            <v>PUNTILLA CON CABEZA 2"</v>
          </cell>
          <cell r="D197" t="str">
            <v>Insumo</v>
          </cell>
          <cell r="E197" t="str">
            <v>LB</v>
          </cell>
          <cell r="F197">
            <v>1</v>
          </cell>
          <cell r="G197">
            <v>3585</v>
          </cell>
          <cell r="H197">
            <v>3585</v>
          </cell>
        </row>
        <row r="198">
          <cell r="A198" t="str">
            <v>005.062</v>
          </cell>
          <cell r="B198" t="str">
            <v>I441</v>
          </cell>
          <cell r="C198" t="str">
            <v xml:space="preserve">SIKA ANTISOL ROJO </v>
          </cell>
          <cell r="D198" t="str">
            <v>Insumo</v>
          </cell>
          <cell r="E198" t="str">
            <v>KG</v>
          </cell>
          <cell r="F198">
            <v>2.2200000000000002</v>
          </cell>
          <cell r="G198">
            <v>14890</v>
          </cell>
          <cell r="H198">
            <v>33056</v>
          </cell>
        </row>
        <row r="199">
          <cell r="A199" t="str">
            <v>005.062</v>
          </cell>
          <cell r="B199" t="str">
            <v>I442</v>
          </cell>
          <cell r="C199" t="str">
            <v xml:space="preserve">SIKA SEPAROL </v>
          </cell>
          <cell r="D199" t="str">
            <v>Insumo</v>
          </cell>
          <cell r="E199" t="str">
            <v>KG</v>
          </cell>
          <cell r="F199">
            <v>0.67</v>
          </cell>
          <cell r="G199">
            <v>19302</v>
          </cell>
          <cell r="H199">
            <v>12932</v>
          </cell>
        </row>
        <row r="200">
          <cell r="A200" t="str">
            <v>005.062</v>
          </cell>
          <cell r="B200" t="str">
            <v>I443</v>
          </cell>
          <cell r="C200" t="str">
            <v xml:space="preserve">POLIETILENO NEGRO CAL 3.5 </v>
          </cell>
          <cell r="D200" t="str">
            <v>Insumo</v>
          </cell>
          <cell r="E200" t="str">
            <v>M</v>
          </cell>
          <cell r="F200">
            <v>3.5</v>
          </cell>
          <cell r="G200">
            <v>5306</v>
          </cell>
          <cell r="H200">
            <v>18571</v>
          </cell>
        </row>
        <row r="203">
          <cell r="A203" t="str">
            <v>005.061</v>
          </cell>
          <cell r="B203" t="str">
            <v>-</v>
          </cell>
          <cell r="C203" t="str">
            <v xml:space="preserve">SUMINISTRO, TRANSPORTE E INSTALACION LOSA CONTRAPISO CONCRETO 3000 PSI  E=0.10  </v>
          </cell>
          <cell r="D203" t="str">
            <v>Actividad</v>
          </cell>
          <cell r="E203" t="str">
            <v>M2</v>
          </cell>
          <cell r="H203">
            <v>118833</v>
          </cell>
        </row>
        <row r="204">
          <cell r="A204" t="str">
            <v>005.061</v>
          </cell>
          <cell r="B204" t="str">
            <v>AB7</v>
          </cell>
          <cell r="C204" t="str">
            <v>CONCRETO 3000 psi - 21 Mpa</v>
          </cell>
          <cell r="D204" t="str">
            <v>Analisis</v>
          </cell>
          <cell r="E204" t="str">
            <v>M3</v>
          </cell>
          <cell r="F204">
            <v>0.13</v>
          </cell>
          <cell r="G204">
            <v>473475</v>
          </cell>
          <cell r="H204">
            <v>61552</v>
          </cell>
        </row>
        <row r="205">
          <cell r="A205" t="str">
            <v>005.061</v>
          </cell>
          <cell r="B205" t="str">
            <v>C36</v>
          </cell>
          <cell r="C205" t="str">
            <v>CUADRILLA AA TIPO 6 (1 OFICIAL + 6 AYUDANTE) (Albañileria)</v>
          </cell>
          <cell r="D205" t="str">
            <v>Cuadrilla</v>
          </cell>
          <cell r="E205" t="str">
            <v>HR</v>
          </cell>
          <cell r="F205">
            <v>0.75</v>
          </cell>
          <cell r="G205">
            <v>48852</v>
          </cell>
          <cell r="H205">
            <v>36639</v>
          </cell>
        </row>
        <row r="206">
          <cell r="A206" t="str">
            <v>005.061</v>
          </cell>
          <cell r="B206" t="str">
            <v>E12</v>
          </cell>
          <cell r="C206" t="str">
            <v>EQUIPO DE TRANSPORTE</v>
          </cell>
          <cell r="D206" t="str">
            <v>Equipos</v>
          </cell>
          <cell r="E206" t="str">
            <v>DIA</v>
          </cell>
          <cell r="F206">
            <v>1.14E-2</v>
          </cell>
          <cell r="G206">
            <v>131205</v>
          </cell>
          <cell r="H206">
            <v>1496</v>
          </cell>
        </row>
        <row r="207">
          <cell r="A207" t="str">
            <v>005.061</v>
          </cell>
          <cell r="B207" t="str">
            <v>E21</v>
          </cell>
          <cell r="C207" t="str">
            <v>VIBRADOR A GASOLINA</v>
          </cell>
          <cell r="D207" t="str">
            <v>Equipos</v>
          </cell>
          <cell r="E207" t="str">
            <v>DIA</v>
          </cell>
          <cell r="F207">
            <v>1.4E-2</v>
          </cell>
          <cell r="G207">
            <v>51948</v>
          </cell>
          <cell r="H207">
            <v>727</v>
          </cell>
        </row>
        <row r="208">
          <cell r="A208" t="str">
            <v>005.061</v>
          </cell>
          <cell r="B208" t="str">
            <v>H2</v>
          </cell>
          <cell r="C208" t="str">
            <v>EQUIPO BASICO (HERRAMIENTA MENOR)</v>
          </cell>
          <cell r="D208" t="str">
            <v>Herramienta</v>
          </cell>
          <cell r="E208" t="str">
            <v>UND</v>
          </cell>
          <cell r="F208">
            <v>0.06</v>
          </cell>
          <cell r="G208">
            <v>2536</v>
          </cell>
          <cell r="H208">
            <v>152</v>
          </cell>
        </row>
        <row r="209">
          <cell r="A209" t="str">
            <v>005.061</v>
          </cell>
          <cell r="B209" t="str">
            <v>I1565</v>
          </cell>
          <cell r="C209" t="str">
            <v>ACARREO INTERNO</v>
          </cell>
          <cell r="D209" t="str">
            <v>Insumo</v>
          </cell>
          <cell r="E209" t="str">
            <v>UND</v>
          </cell>
          <cell r="F209">
            <v>1.9</v>
          </cell>
          <cell r="G209">
            <v>1327</v>
          </cell>
          <cell r="H209">
            <v>2521</v>
          </cell>
        </row>
        <row r="210">
          <cell r="A210" t="str">
            <v>005.061</v>
          </cell>
          <cell r="B210" t="str">
            <v>I425</v>
          </cell>
          <cell r="C210" t="str">
            <v>PUNTILLA CON CABEZA 2"</v>
          </cell>
          <cell r="D210" t="str">
            <v>Insumo</v>
          </cell>
          <cell r="E210" t="str">
            <v>LB</v>
          </cell>
          <cell r="F210">
            <v>0.06</v>
          </cell>
          <cell r="G210">
            <v>3585</v>
          </cell>
          <cell r="H210">
            <v>215</v>
          </cell>
        </row>
        <row r="211">
          <cell r="A211" t="str">
            <v>005.061</v>
          </cell>
          <cell r="B211" t="str">
            <v>I957</v>
          </cell>
          <cell r="C211" t="str">
            <v>LISTON 2 X 4</v>
          </cell>
          <cell r="D211" t="str">
            <v>Insumo</v>
          </cell>
          <cell r="E211" t="str">
            <v>M</v>
          </cell>
          <cell r="F211">
            <v>2</v>
          </cell>
          <cell r="G211">
            <v>3244</v>
          </cell>
          <cell r="H211">
            <v>6488</v>
          </cell>
        </row>
        <row r="212">
          <cell r="A212" t="str">
            <v>005.061</v>
          </cell>
          <cell r="B212" t="str">
            <v>I979</v>
          </cell>
          <cell r="C212" t="str">
            <v>TABLA CHAPA ORDINARIO 30 CM X 2 CM X 3 M.</v>
          </cell>
          <cell r="D212" t="str">
            <v>Insumo</v>
          </cell>
          <cell r="E212" t="str">
            <v>UND</v>
          </cell>
          <cell r="F212">
            <v>0.66</v>
          </cell>
          <cell r="G212">
            <v>13702</v>
          </cell>
          <cell r="H212">
            <v>9043</v>
          </cell>
        </row>
        <row r="215">
          <cell r="A215" t="str">
            <v>033.123</v>
          </cell>
          <cell r="B215" t="str">
            <v>-</v>
          </cell>
          <cell r="C215" t="str">
            <v>SUMINISTRO, TRANSPORTE E INSTALACION MUROS Y PANTALLAS DE CONTENCION CONCRETO REFORZADO DE 4000 PSI  .</v>
          </cell>
          <cell r="D215" t="str">
            <v>Actividad</v>
          </cell>
          <cell r="E215" t="str">
            <v>M3</v>
          </cell>
          <cell r="H215">
            <v>924346</v>
          </cell>
        </row>
        <row r="216">
          <cell r="A216" t="str">
            <v>033.123</v>
          </cell>
          <cell r="B216" t="str">
            <v>AB7</v>
          </cell>
          <cell r="C216" t="str">
            <v>CONCRETO 4000 psi - 28 Mpa</v>
          </cell>
          <cell r="D216" t="str">
            <v>Analisis</v>
          </cell>
          <cell r="E216" t="str">
            <v>M3</v>
          </cell>
          <cell r="F216">
            <v>1.05</v>
          </cell>
          <cell r="G216">
            <v>473475</v>
          </cell>
          <cell r="H216">
            <v>497149</v>
          </cell>
        </row>
        <row r="217">
          <cell r="A217" t="str">
            <v>033.123</v>
          </cell>
          <cell r="B217" t="str">
            <v>C36</v>
          </cell>
          <cell r="C217" t="str">
            <v>CUADRILLA AA TIPO 6 (1 OFICIAL + 6 AYUDANTE) (Albañileria)</v>
          </cell>
          <cell r="D217" t="str">
            <v>Cuadrilla</v>
          </cell>
          <cell r="E217" t="str">
            <v>HR</v>
          </cell>
          <cell r="F217">
            <v>4.7</v>
          </cell>
          <cell r="G217">
            <v>48852</v>
          </cell>
          <cell r="H217">
            <v>229604</v>
          </cell>
        </row>
        <row r="218">
          <cell r="A218" t="str">
            <v>033.123</v>
          </cell>
          <cell r="B218" t="str">
            <v>E109</v>
          </cell>
          <cell r="C218" t="str">
            <v xml:space="preserve">FORMALETA TABLEMAC 4MM SUPER T O EQUIVALENTE </v>
          </cell>
          <cell r="D218" t="str">
            <v>Equipos</v>
          </cell>
          <cell r="E218" t="str">
            <v>M2</v>
          </cell>
          <cell r="F218">
            <v>9</v>
          </cell>
          <cell r="G218">
            <v>7752</v>
          </cell>
          <cell r="H218">
            <v>69768</v>
          </cell>
        </row>
        <row r="219">
          <cell r="A219" t="str">
            <v>033.123</v>
          </cell>
          <cell r="B219" t="str">
            <v>E12</v>
          </cell>
          <cell r="C219" t="str">
            <v>EQUIPO DE TRANSPORTE</v>
          </cell>
          <cell r="D219" t="str">
            <v>Equipos</v>
          </cell>
          <cell r="E219" t="str">
            <v>DIA</v>
          </cell>
          <cell r="F219">
            <v>9.6299999999999997E-2</v>
          </cell>
          <cell r="G219">
            <v>131205</v>
          </cell>
          <cell r="H219">
            <v>12635</v>
          </cell>
        </row>
        <row r="220">
          <cell r="A220" t="str">
            <v>033.123</v>
          </cell>
          <cell r="B220" t="str">
            <v>E21</v>
          </cell>
          <cell r="C220" t="str">
            <v>VIBRADOR A GASOLINA</v>
          </cell>
          <cell r="D220" t="str">
            <v>Equipos</v>
          </cell>
          <cell r="E220" t="str">
            <v>DIA</v>
          </cell>
          <cell r="F220">
            <v>0.1</v>
          </cell>
          <cell r="G220">
            <v>51948</v>
          </cell>
          <cell r="H220">
            <v>5195</v>
          </cell>
        </row>
        <row r="221">
          <cell r="A221" t="str">
            <v>033.123</v>
          </cell>
          <cell r="B221" t="str">
            <v>E99</v>
          </cell>
          <cell r="C221" t="str">
            <v xml:space="preserve">CERCHA METALICA L=3 M. </v>
          </cell>
          <cell r="D221" t="str">
            <v>Equipos</v>
          </cell>
          <cell r="E221" t="str">
            <v>DIA</v>
          </cell>
          <cell r="F221">
            <v>9</v>
          </cell>
          <cell r="G221">
            <v>154</v>
          </cell>
          <cell r="H221">
            <v>1386</v>
          </cell>
        </row>
        <row r="222">
          <cell r="A222" t="str">
            <v>033.123</v>
          </cell>
          <cell r="B222" t="str">
            <v>H2</v>
          </cell>
          <cell r="C222" t="str">
            <v>EQUIPO BASICO (HERRAMIENTA MENOR)</v>
          </cell>
          <cell r="D222" t="str">
            <v>Herramienta</v>
          </cell>
          <cell r="E222" t="str">
            <v>UND</v>
          </cell>
          <cell r="F222">
            <v>1</v>
          </cell>
          <cell r="G222">
            <v>2536</v>
          </cell>
          <cell r="H222">
            <v>2536</v>
          </cell>
        </row>
        <row r="223">
          <cell r="A223" t="str">
            <v>033.123</v>
          </cell>
          <cell r="B223" t="str">
            <v>I1565</v>
          </cell>
          <cell r="C223" t="str">
            <v>ACARREO INTERNO</v>
          </cell>
          <cell r="D223" t="str">
            <v>Insumo</v>
          </cell>
          <cell r="E223" t="str">
            <v>UND</v>
          </cell>
          <cell r="F223">
            <v>14.3</v>
          </cell>
          <cell r="G223">
            <v>1327</v>
          </cell>
          <cell r="H223">
            <v>18976</v>
          </cell>
        </row>
        <row r="224">
          <cell r="A224" t="str">
            <v>033.123</v>
          </cell>
          <cell r="B224" t="str">
            <v>I3</v>
          </cell>
          <cell r="C224" t="str">
            <v>ALAMBRE NEGRO NO. 18</v>
          </cell>
          <cell r="D224" t="str">
            <v>Insumo</v>
          </cell>
          <cell r="E224" t="str">
            <v>KG</v>
          </cell>
          <cell r="F224">
            <v>0.5</v>
          </cell>
          <cell r="G224">
            <v>4323</v>
          </cell>
          <cell r="H224">
            <v>2162</v>
          </cell>
        </row>
        <row r="225">
          <cell r="A225" t="str">
            <v>033.123</v>
          </cell>
          <cell r="B225" t="str">
            <v>I425</v>
          </cell>
          <cell r="C225" t="str">
            <v>PUNTILLA CON CABEZA 2"</v>
          </cell>
          <cell r="D225" t="str">
            <v>Insumo</v>
          </cell>
          <cell r="E225" t="str">
            <v>LB</v>
          </cell>
          <cell r="F225">
            <v>2</v>
          </cell>
          <cell r="G225">
            <v>3585</v>
          </cell>
          <cell r="H225">
            <v>7170</v>
          </cell>
        </row>
        <row r="226">
          <cell r="A226" t="str">
            <v>033.123</v>
          </cell>
          <cell r="B226" t="str">
            <v>I441</v>
          </cell>
          <cell r="C226" t="str">
            <v xml:space="preserve">SIKA ANTISOL ROJO </v>
          </cell>
          <cell r="D226" t="str">
            <v>Insumo</v>
          </cell>
          <cell r="E226" t="str">
            <v>KG</v>
          </cell>
          <cell r="F226">
            <v>1.8</v>
          </cell>
          <cell r="G226">
            <v>14890</v>
          </cell>
          <cell r="H226">
            <v>26802</v>
          </cell>
        </row>
        <row r="227">
          <cell r="A227" t="str">
            <v>033.123</v>
          </cell>
          <cell r="B227" t="str">
            <v>I442</v>
          </cell>
          <cell r="C227" t="str">
            <v xml:space="preserve">SIKA SEPAROL </v>
          </cell>
          <cell r="D227" t="str">
            <v>Insumo</v>
          </cell>
          <cell r="E227" t="str">
            <v>KG</v>
          </cell>
          <cell r="F227">
            <v>0.67</v>
          </cell>
          <cell r="G227">
            <v>19302</v>
          </cell>
          <cell r="H227">
            <v>12932</v>
          </cell>
        </row>
        <row r="228">
          <cell r="A228" t="str">
            <v>033.123</v>
          </cell>
          <cell r="B228" t="str">
            <v>I443</v>
          </cell>
          <cell r="C228" t="str">
            <v xml:space="preserve">POLIETILENO NEGRO CAL 3.5 </v>
          </cell>
          <cell r="D228" t="str">
            <v>Insumo</v>
          </cell>
          <cell r="E228" t="str">
            <v>M</v>
          </cell>
          <cell r="F228">
            <v>1.67</v>
          </cell>
          <cell r="G228">
            <v>5306</v>
          </cell>
          <cell r="H228">
            <v>8861</v>
          </cell>
        </row>
        <row r="229">
          <cell r="A229" t="str">
            <v>033.123</v>
          </cell>
          <cell r="B229" t="str">
            <v>I985</v>
          </cell>
          <cell r="C229" t="str">
            <v>TELERA 0,05X0,22X2,90 M (3 USOS)</v>
          </cell>
          <cell r="D229" t="str">
            <v>Insumo</v>
          </cell>
          <cell r="E229" t="str">
            <v>UND</v>
          </cell>
          <cell r="F229">
            <v>1</v>
          </cell>
          <cell r="G229">
            <v>24528</v>
          </cell>
          <cell r="H229">
            <v>24528</v>
          </cell>
        </row>
        <row r="230">
          <cell r="A230" t="str">
            <v>033.123</v>
          </cell>
          <cell r="B230" t="str">
            <v>I989</v>
          </cell>
          <cell r="C230" t="str">
            <v>GUADUA SOBREBASA L= 1.50 MT. 3 USOS</v>
          </cell>
          <cell r="D230" t="str">
            <v>Insumo</v>
          </cell>
          <cell r="E230" t="str">
            <v>UND</v>
          </cell>
          <cell r="F230">
            <v>1</v>
          </cell>
          <cell r="G230">
            <v>4642</v>
          </cell>
          <cell r="H230">
            <v>4642</v>
          </cell>
        </row>
        <row r="233">
          <cell r="A233" t="str">
            <v>005.029</v>
          </cell>
          <cell r="B233" t="str">
            <v>-</v>
          </cell>
          <cell r="C233" t="str">
            <v xml:space="preserve">SUMINISTRO, TRANSPORTE E INSTALACION PLACA MACIZA AEREA CONCRETO 3000 PSI  e= 0.12m  </v>
          </cell>
          <cell r="D233" t="str">
            <v>Actividad</v>
          </cell>
          <cell r="E233" t="str">
            <v>M2</v>
          </cell>
          <cell r="H233">
            <v>107437</v>
          </cell>
        </row>
        <row r="234">
          <cell r="A234" t="str">
            <v>005.029</v>
          </cell>
          <cell r="B234" t="str">
            <v>AB7</v>
          </cell>
          <cell r="C234" t="str">
            <v>CONCRETO 3000 psi - 21 Mpa</v>
          </cell>
          <cell r="D234" t="str">
            <v>Analisis</v>
          </cell>
          <cell r="E234" t="str">
            <v>M3</v>
          </cell>
          <cell r="F234">
            <v>0.13300000000000001</v>
          </cell>
          <cell r="G234">
            <v>473475</v>
          </cell>
          <cell r="H234">
            <v>62972</v>
          </cell>
        </row>
        <row r="235">
          <cell r="A235" t="str">
            <v>005.029</v>
          </cell>
          <cell r="B235" t="str">
            <v>C36</v>
          </cell>
          <cell r="C235" t="str">
            <v>CUADRILLA AA TIPO 6 (1 OFICIAL + 6 AYUDANTE) (Albañileria)</v>
          </cell>
          <cell r="D235" t="str">
            <v>Cuadrilla</v>
          </cell>
          <cell r="E235" t="str">
            <v>HR</v>
          </cell>
          <cell r="F235">
            <v>0.5</v>
          </cell>
          <cell r="G235">
            <v>48852</v>
          </cell>
          <cell r="H235">
            <v>24426</v>
          </cell>
        </row>
        <row r="236">
          <cell r="A236" t="str">
            <v>005.029</v>
          </cell>
          <cell r="B236" t="str">
            <v>E108</v>
          </cell>
          <cell r="C236" t="str">
            <v>PARAL LARGO 2.00 A 3.50 M</v>
          </cell>
          <cell r="D236" t="str">
            <v>Equipos</v>
          </cell>
          <cell r="E236" t="str">
            <v>DIA</v>
          </cell>
          <cell r="F236">
            <v>9</v>
          </cell>
          <cell r="G236">
            <v>173</v>
          </cell>
          <cell r="H236">
            <v>1557</v>
          </cell>
        </row>
        <row r="237">
          <cell r="A237" t="str">
            <v>005.029</v>
          </cell>
          <cell r="B237" t="str">
            <v>E12</v>
          </cell>
          <cell r="C237" t="str">
            <v>EQUIPO DE TRANSPORTE</v>
          </cell>
          <cell r="D237" t="str">
            <v>Equipos</v>
          </cell>
          <cell r="E237" t="str">
            <v>DIA</v>
          </cell>
          <cell r="F237">
            <v>9.4000000000000004E-3</v>
          </cell>
          <cell r="G237">
            <v>131205</v>
          </cell>
          <cell r="H237">
            <v>1233</v>
          </cell>
        </row>
        <row r="238">
          <cell r="A238" t="str">
            <v>005.029</v>
          </cell>
          <cell r="B238" t="str">
            <v>E21</v>
          </cell>
          <cell r="C238" t="str">
            <v>VIBRADOR A GASOLINA</v>
          </cell>
          <cell r="D238" t="str">
            <v>Equipos</v>
          </cell>
          <cell r="E238" t="str">
            <v>DIA</v>
          </cell>
          <cell r="F238">
            <v>7.0000000000000001E-3</v>
          </cell>
          <cell r="G238">
            <v>51948</v>
          </cell>
          <cell r="H238">
            <v>364</v>
          </cell>
        </row>
        <row r="239">
          <cell r="A239" t="str">
            <v>005.029</v>
          </cell>
          <cell r="B239" t="str">
            <v>E35</v>
          </cell>
          <cell r="C239" t="str">
            <v>TABLERO  1.40 X 0,70</v>
          </cell>
          <cell r="D239" t="str">
            <v>Equipos</v>
          </cell>
          <cell r="E239" t="str">
            <v>DIA</v>
          </cell>
          <cell r="F239">
            <v>9</v>
          </cell>
          <cell r="G239">
            <v>343</v>
          </cell>
          <cell r="H239">
            <v>3087</v>
          </cell>
        </row>
        <row r="240">
          <cell r="A240" t="str">
            <v>005.029</v>
          </cell>
          <cell r="B240" t="str">
            <v>E9</v>
          </cell>
          <cell r="C240" t="str">
            <v>PLUMA  GRUA 250KG CON BALDE</v>
          </cell>
          <cell r="D240" t="str">
            <v>Equipos</v>
          </cell>
          <cell r="E240" t="str">
            <v>DIA</v>
          </cell>
          <cell r="F240">
            <v>0.125</v>
          </cell>
          <cell r="G240">
            <v>30440</v>
          </cell>
          <cell r="H240">
            <v>3805</v>
          </cell>
        </row>
        <row r="241">
          <cell r="A241" t="str">
            <v>005.029</v>
          </cell>
          <cell r="B241" t="str">
            <v>E99</v>
          </cell>
          <cell r="C241" t="str">
            <v xml:space="preserve">CERCHA METALICA L=3 M. </v>
          </cell>
          <cell r="D241" t="str">
            <v>Equipos</v>
          </cell>
          <cell r="E241" t="str">
            <v>DIA</v>
          </cell>
          <cell r="F241">
            <v>9</v>
          </cell>
          <cell r="G241">
            <v>154</v>
          </cell>
          <cell r="H241">
            <v>1386</v>
          </cell>
        </row>
        <row r="242">
          <cell r="A242" t="str">
            <v>005.029</v>
          </cell>
          <cell r="B242" t="str">
            <v>H2</v>
          </cell>
          <cell r="C242" t="str">
            <v>EQUIPO BASICO (HERRAMIENTA MENOR)</v>
          </cell>
          <cell r="D242" t="str">
            <v>Herramienta</v>
          </cell>
          <cell r="E242" t="str">
            <v>UND</v>
          </cell>
          <cell r="F242">
            <v>0.5</v>
          </cell>
          <cell r="G242">
            <v>2536</v>
          </cell>
          <cell r="H242">
            <v>1268</v>
          </cell>
        </row>
        <row r="243">
          <cell r="A243" t="str">
            <v>005.029</v>
          </cell>
          <cell r="B243" t="str">
            <v>I1565</v>
          </cell>
          <cell r="C243" t="str">
            <v>ACARREO INTERNO</v>
          </cell>
          <cell r="D243" t="str">
            <v>Insumo</v>
          </cell>
          <cell r="E243" t="str">
            <v>UND</v>
          </cell>
          <cell r="F243">
            <v>1.2</v>
          </cell>
          <cell r="G243">
            <v>1327</v>
          </cell>
          <cell r="H243">
            <v>1592</v>
          </cell>
        </row>
        <row r="244">
          <cell r="A244" t="str">
            <v>005.029</v>
          </cell>
          <cell r="B244" t="str">
            <v>I3</v>
          </cell>
          <cell r="C244" t="str">
            <v>ALAMBRE NEGRO NO. 18</v>
          </cell>
          <cell r="D244" t="str">
            <v>Insumo</v>
          </cell>
          <cell r="E244" t="str">
            <v>KG</v>
          </cell>
          <cell r="F244">
            <v>0.5</v>
          </cell>
          <cell r="G244">
            <v>4323</v>
          </cell>
          <cell r="H244">
            <v>2162</v>
          </cell>
        </row>
        <row r="245">
          <cell r="A245" t="str">
            <v>005.029</v>
          </cell>
          <cell r="B245" t="str">
            <v>I425</v>
          </cell>
          <cell r="C245" t="str">
            <v>PUNTILLA CON CABEZA 2"</v>
          </cell>
          <cell r="D245" t="str">
            <v>Insumo</v>
          </cell>
          <cell r="E245" t="str">
            <v>LB</v>
          </cell>
          <cell r="F245">
            <v>1</v>
          </cell>
          <cell r="G245">
            <v>3585</v>
          </cell>
          <cell r="H245">
            <v>3585</v>
          </cell>
        </row>
        <row r="247">
          <cell r="A247" t="str">
            <v>005.034</v>
          </cell>
          <cell r="B247" t="str">
            <v>-</v>
          </cell>
          <cell r="C247" t="str">
            <v>SUMINISTRO, TRANSPORTE E INSTALACION ESCALERA EN CONCRETO 3000 PSI</v>
          </cell>
          <cell r="D247" t="str">
            <v>Actividad</v>
          </cell>
          <cell r="E247" t="str">
            <v>M3</v>
          </cell>
          <cell r="H247">
            <v>1023342</v>
          </cell>
        </row>
        <row r="248">
          <cell r="A248" t="str">
            <v>005.034</v>
          </cell>
          <cell r="B248" t="str">
            <v>AB7</v>
          </cell>
          <cell r="C248" t="str">
            <v>CONCRETO 3000 psi - 21 Mpa</v>
          </cell>
          <cell r="D248" t="str">
            <v>Analisis</v>
          </cell>
          <cell r="E248" t="str">
            <v>M3</v>
          </cell>
          <cell r="F248">
            <v>1.05</v>
          </cell>
          <cell r="G248">
            <v>473475</v>
          </cell>
          <cell r="H248">
            <v>497149</v>
          </cell>
        </row>
        <row r="249">
          <cell r="A249" t="str">
            <v>005.034</v>
          </cell>
          <cell r="B249" t="str">
            <v>C36</v>
          </cell>
          <cell r="C249" t="str">
            <v>CUADRILLA AA TIPO 6 (1 OFICIAL + 6 AYUDANTE) (Albañileria)</v>
          </cell>
          <cell r="D249" t="str">
            <v>Cuadrilla</v>
          </cell>
          <cell r="E249" t="str">
            <v>HR</v>
          </cell>
          <cell r="F249">
            <v>5</v>
          </cell>
          <cell r="G249">
            <v>48852</v>
          </cell>
          <cell r="H249">
            <v>244260</v>
          </cell>
        </row>
        <row r="250">
          <cell r="A250" t="str">
            <v>005.034</v>
          </cell>
          <cell r="B250" t="str">
            <v>E108</v>
          </cell>
          <cell r="C250" t="str">
            <v>PARAL LARGO 2.00 A 3.50 M</v>
          </cell>
          <cell r="D250" t="str">
            <v>Equipos</v>
          </cell>
          <cell r="E250" t="str">
            <v>DIA</v>
          </cell>
          <cell r="F250">
            <v>9</v>
          </cell>
          <cell r="G250">
            <v>173</v>
          </cell>
          <cell r="H250">
            <v>1557</v>
          </cell>
        </row>
        <row r="251">
          <cell r="A251" t="str">
            <v>005.034</v>
          </cell>
          <cell r="B251" t="str">
            <v>E12</v>
          </cell>
          <cell r="C251" t="str">
            <v>EQUIPO DE TRANSPORTE</v>
          </cell>
          <cell r="D251" t="str">
            <v>Equipos</v>
          </cell>
          <cell r="E251" t="str">
            <v>DIA</v>
          </cell>
          <cell r="F251">
            <v>0.1037</v>
          </cell>
          <cell r="G251">
            <v>131205</v>
          </cell>
          <cell r="H251">
            <v>13606</v>
          </cell>
        </row>
        <row r="252">
          <cell r="A252" t="str">
            <v>005.034</v>
          </cell>
          <cell r="B252" t="str">
            <v>E21</v>
          </cell>
          <cell r="C252" t="str">
            <v>VIBRADOR A GASOLINA</v>
          </cell>
          <cell r="D252" t="str">
            <v>Equipos</v>
          </cell>
          <cell r="E252" t="str">
            <v>DIA</v>
          </cell>
          <cell r="F252">
            <v>0.04</v>
          </cell>
          <cell r="G252">
            <v>51948</v>
          </cell>
          <cell r="H252">
            <v>2078</v>
          </cell>
        </row>
        <row r="253">
          <cell r="A253" t="str">
            <v>005.034</v>
          </cell>
          <cell r="B253" t="str">
            <v>E35</v>
          </cell>
          <cell r="C253" t="str">
            <v>TABLERO  1.40 X 0,70</v>
          </cell>
          <cell r="D253" t="str">
            <v>Equipos</v>
          </cell>
          <cell r="E253" t="str">
            <v>DIA</v>
          </cell>
          <cell r="F253">
            <v>9</v>
          </cell>
          <cell r="G253">
            <v>343</v>
          </cell>
          <cell r="H253">
            <v>3087</v>
          </cell>
        </row>
        <row r="254">
          <cell r="A254" t="str">
            <v>005.034</v>
          </cell>
          <cell r="B254" t="str">
            <v>E99</v>
          </cell>
          <cell r="C254" t="str">
            <v xml:space="preserve">CERCHA METALICA L=3 M. </v>
          </cell>
          <cell r="D254" t="str">
            <v>Equipos</v>
          </cell>
          <cell r="E254" t="str">
            <v>DIA</v>
          </cell>
          <cell r="F254">
            <v>9</v>
          </cell>
          <cell r="G254">
            <v>154</v>
          </cell>
          <cell r="H254">
            <v>1386</v>
          </cell>
        </row>
        <row r="255">
          <cell r="A255" t="str">
            <v>005.034</v>
          </cell>
          <cell r="B255" t="str">
            <v>H2</v>
          </cell>
          <cell r="C255" t="str">
            <v>EQUIPO BASICO (HERRAMIENTA MENOR)</v>
          </cell>
          <cell r="D255" t="str">
            <v>Herramienta</v>
          </cell>
          <cell r="E255" t="str">
            <v>UND</v>
          </cell>
          <cell r="F255">
            <v>14.24</v>
          </cell>
          <cell r="G255">
            <v>2536</v>
          </cell>
          <cell r="H255">
            <v>36113</v>
          </cell>
        </row>
        <row r="256">
          <cell r="A256" t="str">
            <v>005.034</v>
          </cell>
          <cell r="B256" t="str">
            <v>I1565</v>
          </cell>
          <cell r="C256" t="str">
            <v>ACARREO INTERNO</v>
          </cell>
          <cell r="D256" t="str">
            <v>Insumo</v>
          </cell>
          <cell r="E256" t="str">
            <v>UND</v>
          </cell>
          <cell r="F256">
            <v>15.1</v>
          </cell>
          <cell r="G256">
            <v>1327</v>
          </cell>
          <cell r="H256">
            <v>20038</v>
          </cell>
        </row>
        <row r="257">
          <cell r="A257" t="str">
            <v>005.034</v>
          </cell>
          <cell r="B257" t="str">
            <v>I3</v>
          </cell>
          <cell r="C257" t="str">
            <v>ALAMBRE NEGRO NO. 18</v>
          </cell>
          <cell r="D257" t="str">
            <v>Insumo</v>
          </cell>
          <cell r="E257" t="str">
            <v>KG</v>
          </cell>
          <cell r="F257">
            <v>0.5</v>
          </cell>
          <cell r="G257">
            <v>4323</v>
          </cell>
          <cell r="H257">
            <v>2162</v>
          </cell>
        </row>
        <row r="258">
          <cell r="A258" t="str">
            <v>005.034</v>
          </cell>
          <cell r="B258" t="str">
            <v>I425</v>
          </cell>
          <cell r="C258" t="str">
            <v>PUNTILLA CON CABEZA 2"</v>
          </cell>
          <cell r="D258" t="str">
            <v>Insumo</v>
          </cell>
          <cell r="E258" t="str">
            <v>LB</v>
          </cell>
          <cell r="F258">
            <v>1.5</v>
          </cell>
          <cell r="G258">
            <v>3585</v>
          </cell>
          <cell r="H258">
            <v>5378</v>
          </cell>
        </row>
        <row r="259">
          <cell r="A259" t="str">
            <v>005.034</v>
          </cell>
          <cell r="B259" t="str">
            <v>I976</v>
          </cell>
          <cell r="C259" t="str">
            <v>CUARTON ORDINARIO 8 CM *4 CM *3M</v>
          </cell>
          <cell r="D259" t="str">
            <v>Insumo</v>
          </cell>
          <cell r="E259" t="str">
            <v>M</v>
          </cell>
          <cell r="F259">
            <v>3.5</v>
          </cell>
          <cell r="G259">
            <v>2540</v>
          </cell>
          <cell r="H259">
            <v>8890</v>
          </cell>
        </row>
        <row r="260">
          <cell r="A260" t="str">
            <v>005.034</v>
          </cell>
          <cell r="B260" t="str">
            <v>I977</v>
          </cell>
          <cell r="C260" t="str">
            <v>TABLA BURRA 30 CM * 2.5 CM * 3 M</v>
          </cell>
          <cell r="D260" t="str">
            <v>Insumo</v>
          </cell>
          <cell r="E260" t="str">
            <v>UND</v>
          </cell>
          <cell r="F260">
            <v>11</v>
          </cell>
          <cell r="G260">
            <v>17058</v>
          </cell>
          <cell r="H260">
            <v>187638</v>
          </cell>
        </row>
        <row r="263">
          <cell r="A263" t="str">
            <v>027.001</v>
          </cell>
          <cell r="B263" t="str">
            <v>-</v>
          </cell>
          <cell r="C263" t="str">
            <v>SUMINISTRO, TRANSPORTE E INSTALACION MUROS Y PANTALLAS DE CONTENCION CONCRETO REFORZADO DE 3000 PSI. NO INCLUYE REFUERZO.</v>
          </cell>
          <cell r="D263" t="str">
            <v>Actividad</v>
          </cell>
          <cell r="E263" t="str">
            <v>M3</v>
          </cell>
          <cell r="H263">
            <v>868360</v>
          </cell>
        </row>
        <row r="264">
          <cell r="A264" t="str">
            <v>027.001</v>
          </cell>
          <cell r="B264" t="str">
            <v>AB5</v>
          </cell>
          <cell r="C264" t="str">
            <v>CONCRETO 3000 psi - 21 Mpa</v>
          </cell>
          <cell r="D264" t="str">
            <v>Analisis</v>
          </cell>
          <cell r="E264" t="str">
            <v>M3</v>
          </cell>
          <cell r="F264">
            <v>1.05</v>
          </cell>
          <cell r="G264">
            <v>421155</v>
          </cell>
          <cell r="H264">
            <v>442213</v>
          </cell>
        </row>
        <row r="265">
          <cell r="A265" t="str">
            <v>027.001</v>
          </cell>
          <cell r="B265" t="str">
            <v>C36</v>
          </cell>
          <cell r="C265" t="str">
            <v>CUADRILLA AA TIPO 6 (1 OFICIAL + 6 AYUDANTE) (Albañileria)</v>
          </cell>
          <cell r="D265" t="str">
            <v>Cuadrilla</v>
          </cell>
          <cell r="E265" t="str">
            <v>HR</v>
          </cell>
          <cell r="F265">
            <v>4.7</v>
          </cell>
          <cell r="G265">
            <v>48852</v>
          </cell>
          <cell r="H265">
            <v>229604</v>
          </cell>
        </row>
        <row r="266">
          <cell r="A266" t="str">
            <v>027.001</v>
          </cell>
          <cell r="B266" t="str">
            <v>E109</v>
          </cell>
          <cell r="C266" t="str">
            <v xml:space="preserve">FORMALETA TABLEMAC 4MM SUPER T O EQUIVALENTE </v>
          </cell>
          <cell r="D266" t="str">
            <v>Equipos</v>
          </cell>
          <cell r="E266" t="str">
            <v>M2</v>
          </cell>
          <cell r="F266">
            <v>9</v>
          </cell>
          <cell r="G266">
            <v>7752</v>
          </cell>
          <cell r="H266">
            <v>69768</v>
          </cell>
        </row>
        <row r="267">
          <cell r="A267" t="str">
            <v>027.001</v>
          </cell>
          <cell r="B267" t="str">
            <v>E12</v>
          </cell>
          <cell r="C267" t="str">
            <v>EQUIPO DE TRANSPORTE</v>
          </cell>
          <cell r="D267" t="str">
            <v>Equipos</v>
          </cell>
          <cell r="E267" t="str">
            <v>DIA</v>
          </cell>
          <cell r="F267">
            <v>8.8300000000000003E-2</v>
          </cell>
          <cell r="G267">
            <v>131205</v>
          </cell>
          <cell r="H267">
            <v>11585</v>
          </cell>
        </row>
        <row r="268">
          <cell r="A268" t="str">
            <v>027.001</v>
          </cell>
          <cell r="B268" t="str">
            <v>E21</v>
          </cell>
          <cell r="C268" t="str">
            <v>VIBRADOR A GASOLINA</v>
          </cell>
          <cell r="D268" t="str">
            <v>Equipos</v>
          </cell>
          <cell r="E268" t="str">
            <v>DIA</v>
          </cell>
          <cell r="F268">
            <v>0.1</v>
          </cell>
          <cell r="G268">
            <v>51948</v>
          </cell>
          <cell r="H268">
            <v>5195</v>
          </cell>
        </row>
        <row r="269">
          <cell r="A269" t="str">
            <v>027.001</v>
          </cell>
          <cell r="B269" t="str">
            <v>E99</v>
          </cell>
          <cell r="C269" t="str">
            <v xml:space="preserve">CERCHA METALICA L=3 M. </v>
          </cell>
          <cell r="D269" t="str">
            <v>Equipos</v>
          </cell>
          <cell r="E269" t="str">
            <v>DIA</v>
          </cell>
          <cell r="F269">
            <v>9</v>
          </cell>
          <cell r="G269">
            <v>154</v>
          </cell>
          <cell r="H269">
            <v>1386</v>
          </cell>
        </row>
        <row r="270">
          <cell r="A270" t="str">
            <v>027.001</v>
          </cell>
          <cell r="B270" t="str">
            <v>H2</v>
          </cell>
          <cell r="C270" t="str">
            <v>EQUIPO BASICO (HERRAMIENTA MENOR)</v>
          </cell>
          <cell r="D270" t="str">
            <v>Herramienta</v>
          </cell>
          <cell r="E270" t="str">
            <v>UND</v>
          </cell>
          <cell r="F270">
            <v>1</v>
          </cell>
          <cell r="G270">
            <v>2536</v>
          </cell>
          <cell r="H270">
            <v>2536</v>
          </cell>
        </row>
        <row r="271">
          <cell r="A271" t="str">
            <v>027.001</v>
          </cell>
          <cell r="B271" t="str">
            <v>I1565</v>
          </cell>
          <cell r="C271" t="str">
            <v>ACARREO INTERNO</v>
          </cell>
          <cell r="D271" t="str">
            <v>Insumo</v>
          </cell>
          <cell r="E271" t="str">
            <v>UND</v>
          </cell>
          <cell r="F271">
            <v>14.3</v>
          </cell>
          <cell r="G271">
            <v>1327</v>
          </cell>
          <cell r="H271">
            <v>18976</v>
          </cell>
        </row>
        <row r="272">
          <cell r="A272" t="str">
            <v>027.001</v>
          </cell>
          <cell r="B272" t="str">
            <v>I3</v>
          </cell>
          <cell r="C272" t="str">
            <v>ALAMBRE NEGRO NO. 18</v>
          </cell>
          <cell r="D272" t="str">
            <v>Insumo</v>
          </cell>
          <cell r="E272" t="str">
            <v>KG</v>
          </cell>
          <cell r="F272">
            <v>0.5</v>
          </cell>
          <cell r="G272">
            <v>4323</v>
          </cell>
          <cell r="H272">
            <v>2162</v>
          </cell>
        </row>
        <row r="273">
          <cell r="A273" t="str">
            <v>027.001</v>
          </cell>
          <cell r="B273" t="str">
            <v>I425</v>
          </cell>
          <cell r="C273" t="str">
            <v>PUNTILLA CON CABEZA 2"</v>
          </cell>
          <cell r="D273" t="str">
            <v>Insumo</v>
          </cell>
          <cell r="E273" t="str">
            <v>LB</v>
          </cell>
          <cell r="F273">
            <v>2</v>
          </cell>
          <cell r="G273">
            <v>3585</v>
          </cell>
          <cell r="H273">
            <v>7170</v>
          </cell>
        </row>
        <row r="274">
          <cell r="A274" t="str">
            <v>027.001</v>
          </cell>
          <cell r="B274" t="str">
            <v>I441</v>
          </cell>
          <cell r="C274" t="str">
            <v xml:space="preserve">SIKA ANTISOL ROJO </v>
          </cell>
          <cell r="D274" t="str">
            <v>Insumo</v>
          </cell>
          <cell r="E274" t="str">
            <v>KG</v>
          </cell>
          <cell r="F274">
            <v>1.8</v>
          </cell>
          <cell r="G274">
            <v>14890</v>
          </cell>
          <cell r="H274">
            <v>26802</v>
          </cell>
        </row>
        <row r="275">
          <cell r="A275" t="str">
            <v>027.001</v>
          </cell>
          <cell r="B275" t="str">
            <v>I442</v>
          </cell>
          <cell r="C275" t="str">
            <v xml:space="preserve">SIKA SEPAROL </v>
          </cell>
          <cell r="D275" t="str">
            <v>Insumo</v>
          </cell>
          <cell r="E275" t="str">
            <v>KG</v>
          </cell>
          <cell r="F275">
            <v>0.67</v>
          </cell>
          <cell r="G275">
            <v>19302</v>
          </cell>
          <cell r="H275">
            <v>12932</v>
          </cell>
        </row>
        <row r="276">
          <cell r="A276" t="str">
            <v>027.001</v>
          </cell>
          <cell r="B276" t="str">
            <v>I443</v>
          </cell>
          <cell r="C276" t="str">
            <v xml:space="preserve">POLIETILENO NEGRO CAL 3.5 </v>
          </cell>
          <cell r="D276" t="str">
            <v>Insumo</v>
          </cell>
          <cell r="E276" t="str">
            <v>M</v>
          </cell>
          <cell r="F276">
            <v>1.67</v>
          </cell>
          <cell r="G276">
            <v>5306</v>
          </cell>
          <cell r="H276">
            <v>8861</v>
          </cell>
        </row>
        <row r="277">
          <cell r="A277" t="str">
            <v>027.001</v>
          </cell>
          <cell r="B277" t="str">
            <v>I985</v>
          </cell>
          <cell r="C277" t="str">
            <v>TELERA 0,05X0,22X2,90 M (3 USOS)</v>
          </cell>
          <cell r="D277" t="str">
            <v>Insumo</v>
          </cell>
          <cell r="E277" t="str">
            <v>UND</v>
          </cell>
          <cell r="F277">
            <v>1</v>
          </cell>
          <cell r="G277">
            <v>24528</v>
          </cell>
          <cell r="H277">
            <v>24528</v>
          </cell>
        </row>
        <row r="278">
          <cell r="A278" t="str">
            <v>027.001</v>
          </cell>
          <cell r="B278" t="str">
            <v>I989</v>
          </cell>
          <cell r="C278" t="str">
            <v>GUADUA SOBREBASA L= 1.50 MT. 3 USOS</v>
          </cell>
          <cell r="D278" t="str">
            <v>Insumo</v>
          </cell>
          <cell r="E278" t="str">
            <v>UND</v>
          </cell>
          <cell r="F278">
            <v>1</v>
          </cell>
          <cell r="G278">
            <v>4642</v>
          </cell>
          <cell r="H278">
            <v>4642</v>
          </cell>
        </row>
        <row r="280">
          <cell r="A280" t="str">
            <v>005.0151</v>
          </cell>
          <cell r="B280" t="str">
            <v>-</v>
          </cell>
          <cell r="C280" t="str">
            <v>SUMINISTRO, TRANSPORTE E INSTALACION VIGA AEREA CONCRETO 4000 PSI  .</v>
          </cell>
          <cell r="D280" t="str">
            <v>Actividad</v>
          </cell>
          <cell r="E280" t="str">
            <v>M3</v>
          </cell>
          <cell r="H280">
            <v>941512</v>
          </cell>
        </row>
        <row r="281">
          <cell r="A281" t="str">
            <v>005.015</v>
          </cell>
          <cell r="B281" t="str">
            <v>AB7</v>
          </cell>
          <cell r="C281" t="str">
            <v>CONCRETO 4000 psi - 28 Mpa</v>
          </cell>
          <cell r="D281" t="str">
            <v>Analisis</v>
          </cell>
          <cell r="E281" t="str">
            <v>M3</v>
          </cell>
          <cell r="F281">
            <v>1.05</v>
          </cell>
          <cell r="G281">
            <v>473475</v>
          </cell>
          <cell r="H281">
            <v>497149</v>
          </cell>
        </row>
        <row r="282">
          <cell r="A282" t="str">
            <v>005.015</v>
          </cell>
          <cell r="B282" t="str">
            <v>C36</v>
          </cell>
          <cell r="C282" t="str">
            <v>CUADRILLA AA TIPO 6 (1 OFICIAL + 6 AYUDANTE) (Albañileria)</v>
          </cell>
          <cell r="D282" t="str">
            <v>Cuadrilla</v>
          </cell>
          <cell r="E282" t="str">
            <v>HR</v>
          </cell>
          <cell r="F282">
            <v>4.5999999999999996</v>
          </cell>
          <cell r="G282">
            <v>48852</v>
          </cell>
          <cell r="H282">
            <v>224719</v>
          </cell>
        </row>
        <row r="283">
          <cell r="A283" t="str">
            <v>005.015</v>
          </cell>
          <cell r="B283" t="str">
            <v>E1</v>
          </cell>
          <cell r="C283" t="str">
            <v>ANDAMIO METALICO CERTIFICADO, INCLUYE ESCALERILLA CON BARANDAS Y PLATAFORMAS DE TRABAJO</v>
          </cell>
          <cell r="D283" t="str">
            <v>Equipos</v>
          </cell>
          <cell r="E283" t="str">
            <v>UND</v>
          </cell>
          <cell r="F283">
            <v>3</v>
          </cell>
          <cell r="G283">
            <v>7257</v>
          </cell>
          <cell r="H283">
            <v>21771</v>
          </cell>
        </row>
        <row r="284">
          <cell r="A284" t="str">
            <v>005.015</v>
          </cell>
          <cell r="B284" t="str">
            <v>E110</v>
          </cell>
          <cell r="C284" t="str">
            <v xml:space="preserve">FORMALETA BORDE VIGAS AEREAS INCLUYE PARAL </v>
          </cell>
          <cell r="D284" t="str">
            <v>Equipos</v>
          </cell>
          <cell r="E284" t="str">
            <v>UND</v>
          </cell>
          <cell r="F284">
            <v>6</v>
          </cell>
          <cell r="G284">
            <v>13080</v>
          </cell>
          <cell r="H284">
            <v>78480</v>
          </cell>
        </row>
        <row r="285">
          <cell r="A285" t="str">
            <v>005.015</v>
          </cell>
          <cell r="B285" t="str">
            <v>E12</v>
          </cell>
          <cell r="C285" t="str">
            <v>EQUIPO DE TRANSPORTE</v>
          </cell>
          <cell r="D285" t="str">
            <v>Equipos</v>
          </cell>
          <cell r="E285" t="str">
            <v>DIA</v>
          </cell>
          <cell r="F285">
            <v>9.8799999999999999E-2</v>
          </cell>
          <cell r="G285">
            <v>131205</v>
          </cell>
          <cell r="H285">
            <v>12963</v>
          </cell>
        </row>
        <row r="286">
          <cell r="A286" t="str">
            <v>005.015</v>
          </cell>
          <cell r="B286" t="str">
            <v>E21</v>
          </cell>
          <cell r="C286" t="str">
            <v>VIBRADOR A GASOLINA</v>
          </cell>
          <cell r="D286" t="str">
            <v>Equipos</v>
          </cell>
          <cell r="E286" t="str">
            <v>DIA</v>
          </cell>
          <cell r="F286">
            <v>7.0000000000000007E-2</v>
          </cell>
          <cell r="G286">
            <v>51948</v>
          </cell>
          <cell r="H286">
            <v>3636</v>
          </cell>
        </row>
        <row r="287">
          <cell r="A287" t="str">
            <v>005.015</v>
          </cell>
          <cell r="B287" t="str">
            <v>E9</v>
          </cell>
          <cell r="C287" t="str">
            <v>PLUMA  GRUA 250KG CON BALDE</v>
          </cell>
          <cell r="D287" t="str">
            <v>Equipos</v>
          </cell>
          <cell r="E287" t="str">
            <v>DIA</v>
          </cell>
          <cell r="F287">
            <v>1</v>
          </cell>
          <cell r="G287">
            <v>30440</v>
          </cell>
          <cell r="H287">
            <v>30440</v>
          </cell>
        </row>
        <row r="288">
          <cell r="A288" t="str">
            <v>005.015</v>
          </cell>
          <cell r="B288" t="str">
            <v>H2</v>
          </cell>
          <cell r="C288" t="str">
            <v>EQUIPO BASICO (HERRAMIENTA MENOR)</v>
          </cell>
          <cell r="D288" t="str">
            <v>Herramienta</v>
          </cell>
          <cell r="E288" t="str">
            <v>UND</v>
          </cell>
          <cell r="F288">
            <v>4.5999999999999996</v>
          </cell>
          <cell r="G288">
            <v>2536</v>
          </cell>
          <cell r="H288">
            <v>11666</v>
          </cell>
        </row>
        <row r="289">
          <cell r="A289" t="str">
            <v>005.015</v>
          </cell>
          <cell r="B289" t="str">
            <v>I1565</v>
          </cell>
          <cell r="C289" t="str">
            <v>ACARREO INTERNO</v>
          </cell>
          <cell r="D289" t="str">
            <v>Insumo</v>
          </cell>
          <cell r="E289" t="str">
            <v>UND</v>
          </cell>
          <cell r="F289">
            <v>12</v>
          </cell>
          <cell r="G289">
            <v>1327</v>
          </cell>
          <cell r="H289">
            <v>15924</v>
          </cell>
        </row>
        <row r="290">
          <cell r="A290" t="str">
            <v>005.015</v>
          </cell>
          <cell r="B290" t="str">
            <v>I3</v>
          </cell>
          <cell r="C290" t="str">
            <v>ALAMBRE NEGRO NO. 18</v>
          </cell>
          <cell r="D290" t="str">
            <v>Insumo</v>
          </cell>
          <cell r="E290" t="str">
            <v>KG</v>
          </cell>
          <cell r="F290">
            <v>0.5</v>
          </cell>
          <cell r="G290">
            <v>4323</v>
          </cell>
          <cell r="H290">
            <v>2162</v>
          </cell>
        </row>
        <row r="291">
          <cell r="A291" t="str">
            <v>005.015</v>
          </cell>
          <cell r="B291" t="str">
            <v>I425</v>
          </cell>
          <cell r="C291" t="str">
            <v>PUNTILLA CON CABEZA 2"</v>
          </cell>
          <cell r="D291" t="str">
            <v>Insumo</v>
          </cell>
          <cell r="E291" t="str">
            <v>LB</v>
          </cell>
          <cell r="F291">
            <v>0.8</v>
          </cell>
          <cell r="G291">
            <v>3585</v>
          </cell>
          <cell r="H291">
            <v>2868</v>
          </cell>
        </row>
        <row r="292">
          <cell r="A292" t="str">
            <v>005.015</v>
          </cell>
          <cell r="B292" t="str">
            <v>I441</v>
          </cell>
          <cell r="C292" t="str">
            <v xml:space="preserve">SIKA ANTISOL ROJO </v>
          </cell>
          <cell r="D292" t="str">
            <v>Insumo</v>
          </cell>
          <cell r="E292" t="str">
            <v>KG</v>
          </cell>
          <cell r="F292">
            <v>1.8</v>
          </cell>
          <cell r="G292">
            <v>14890</v>
          </cell>
          <cell r="H292">
            <v>26802</v>
          </cell>
        </row>
        <row r="293">
          <cell r="A293" t="str">
            <v>005.015</v>
          </cell>
          <cell r="B293" t="str">
            <v>I442</v>
          </cell>
          <cell r="C293" t="str">
            <v xml:space="preserve">SIKA SEPAROL </v>
          </cell>
          <cell r="D293" t="str">
            <v>Insumo</v>
          </cell>
          <cell r="E293" t="str">
            <v>KG</v>
          </cell>
          <cell r="F293">
            <v>0.67</v>
          </cell>
          <cell r="G293">
            <v>19302</v>
          </cell>
          <cell r="H293">
            <v>12932</v>
          </cell>
        </row>
        <row r="296">
          <cell r="A296" t="str">
            <v>004</v>
          </cell>
          <cell r="C296" t="str">
            <v xml:space="preserve">INSTALACIONES HIDRAULICAS, SANITARIAS Y DE GASES </v>
          </cell>
          <cell r="D296" t="str">
            <v>Capitulo</v>
          </cell>
        </row>
        <row r="298">
          <cell r="A298" t="str">
            <v>003.035</v>
          </cell>
          <cell r="B298" t="str">
            <v>-</v>
          </cell>
          <cell r="C298" t="str">
            <v>SUMINISTRO, TRANSPORTE E INSTALACION TUBERIA A  LL 110MM Tipo Novafort o similar.  (Incluye accesorios, nivelación y cinta de demarcación)</v>
          </cell>
          <cell r="D298" t="str">
            <v>Actividad</v>
          </cell>
          <cell r="E298" t="str">
            <v>ML</v>
          </cell>
          <cell r="H298">
            <v>31125</v>
          </cell>
        </row>
        <row r="299">
          <cell r="A299" t="str">
            <v>003.035</v>
          </cell>
          <cell r="B299" t="str">
            <v>C16</v>
          </cell>
          <cell r="C299" t="str">
            <v>CUADRILLA BB TIPO 3 (1 OFICIAL + 3 AYUDANTE) (Instalaciones)</v>
          </cell>
          <cell r="D299" t="str">
            <v>Cuadrilla</v>
          </cell>
          <cell r="E299" t="str">
            <v>HR</v>
          </cell>
          <cell r="F299">
            <v>0.2</v>
          </cell>
          <cell r="G299">
            <v>32523</v>
          </cell>
          <cell r="H299">
            <v>6505</v>
          </cell>
        </row>
        <row r="300">
          <cell r="A300" t="str">
            <v>003.035</v>
          </cell>
          <cell r="B300" t="str">
            <v>E12</v>
          </cell>
          <cell r="C300" t="str">
            <v>EQUIPO DE TRANSPORTE</v>
          </cell>
          <cell r="D300" t="str">
            <v>Equipos</v>
          </cell>
          <cell r="E300" t="str">
            <v>DIA</v>
          </cell>
          <cell r="F300">
            <v>3.0000000000000001E-3</v>
          </cell>
          <cell r="G300">
            <v>131205</v>
          </cell>
          <cell r="H300">
            <v>394</v>
          </cell>
        </row>
        <row r="301">
          <cell r="A301" t="str">
            <v>003.035</v>
          </cell>
          <cell r="B301" t="str">
            <v>H2</v>
          </cell>
          <cell r="C301" t="str">
            <v>EQUIPO BASICO (HERRAMIENTA MENOR)</v>
          </cell>
          <cell r="D301" t="str">
            <v>Herramienta</v>
          </cell>
          <cell r="E301" t="str">
            <v>UND</v>
          </cell>
          <cell r="F301">
            <v>0.2</v>
          </cell>
          <cell r="G301">
            <v>2536</v>
          </cell>
          <cell r="H301">
            <v>507</v>
          </cell>
        </row>
        <row r="302">
          <cell r="A302" t="str">
            <v>003.035</v>
          </cell>
          <cell r="B302" t="str">
            <v>I1565</v>
          </cell>
          <cell r="C302" t="str">
            <v>ACARREO INTERNO</v>
          </cell>
          <cell r="D302" t="str">
            <v>Insumo</v>
          </cell>
          <cell r="E302" t="str">
            <v>UND</v>
          </cell>
          <cell r="F302">
            <v>0.4</v>
          </cell>
          <cell r="G302">
            <v>1327</v>
          </cell>
          <cell r="H302">
            <v>531</v>
          </cell>
        </row>
        <row r="303">
          <cell r="A303" t="str">
            <v>003.035</v>
          </cell>
          <cell r="B303" t="str">
            <v>I407</v>
          </cell>
          <cell r="C303" t="str">
            <v>CINTA DE DEMARCACION * 10 M.</v>
          </cell>
          <cell r="D303" t="str">
            <v>Insumo</v>
          </cell>
          <cell r="E303" t="str">
            <v>M</v>
          </cell>
          <cell r="F303">
            <v>1.03</v>
          </cell>
          <cell r="G303">
            <v>140</v>
          </cell>
          <cell r="H303">
            <v>144</v>
          </cell>
        </row>
        <row r="304">
          <cell r="A304" t="str">
            <v>003.035</v>
          </cell>
          <cell r="B304" t="str">
            <v>I534</v>
          </cell>
          <cell r="C304" t="str">
            <v>ACONDICIONADOR NOVAFORT  TARRO 500 GRS. O SIMILAR.</v>
          </cell>
          <cell r="D304" t="str">
            <v>Insumo</v>
          </cell>
          <cell r="E304" t="str">
            <v>UND</v>
          </cell>
          <cell r="F304">
            <v>0.06</v>
          </cell>
          <cell r="G304">
            <v>112862</v>
          </cell>
          <cell r="H304">
            <v>6772</v>
          </cell>
        </row>
        <row r="305">
          <cell r="A305" t="str">
            <v>003.035</v>
          </cell>
          <cell r="B305" t="str">
            <v>I698</v>
          </cell>
          <cell r="C305" t="str">
            <v xml:space="preserve">TUBO ALCANTARILLADO NOVAFORT  PVC  110 MM  </v>
          </cell>
          <cell r="D305" t="str">
            <v>Insumo</v>
          </cell>
          <cell r="E305" t="str">
            <v>M</v>
          </cell>
          <cell r="F305">
            <v>1.03</v>
          </cell>
          <cell r="G305">
            <v>15798</v>
          </cell>
          <cell r="H305">
            <v>16272</v>
          </cell>
        </row>
        <row r="307">
          <cell r="A307" t="str">
            <v>003.036</v>
          </cell>
          <cell r="B307" t="str">
            <v>-</v>
          </cell>
          <cell r="C307" t="str">
            <v>SUMINISTRO, TRANSPORTE E INSTALACION TUBERIA A LL 160MM Tipo Novafort o similar. (Incluye accesorios, nivelación y cinta de demarcación)</v>
          </cell>
          <cell r="D307" t="str">
            <v>Actividad</v>
          </cell>
          <cell r="E307" t="str">
            <v>ML</v>
          </cell>
          <cell r="H307">
            <v>44670</v>
          </cell>
        </row>
        <row r="308">
          <cell r="A308" t="str">
            <v>003.036</v>
          </cell>
          <cell r="B308" t="str">
            <v>C16</v>
          </cell>
          <cell r="C308" t="str">
            <v>CUADRILLA BB TIPO 3 (1 OFICIAL + 3 AYUDANTE) (Instalaciones)</v>
          </cell>
          <cell r="D308" t="str">
            <v>Cuadrilla</v>
          </cell>
          <cell r="E308" t="str">
            <v>HR</v>
          </cell>
          <cell r="F308">
            <v>0.2</v>
          </cell>
          <cell r="G308">
            <v>32523</v>
          </cell>
          <cell r="H308">
            <v>6505</v>
          </cell>
        </row>
        <row r="309">
          <cell r="A309" t="str">
            <v>003.036</v>
          </cell>
          <cell r="B309" t="str">
            <v>E12</v>
          </cell>
          <cell r="C309" t="str">
            <v>EQUIPO DE TRANSPORTE</v>
          </cell>
          <cell r="D309" t="str">
            <v>Equipos</v>
          </cell>
          <cell r="E309" t="str">
            <v>DIA</v>
          </cell>
          <cell r="F309">
            <v>5.0000000000000001E-3</v>
          </cell>
          <cell r="G309">
            <v>131205</v>
          </cell>
          <cell r="H309">
            <v>656</v>
          </cell>
        </row>
        <row r="310">
          <cell r="A310" t="str">
            <v>003.036</v>
          </cell>
          <cell r="B310" t="str">
            <v>H2</v>
          </cell>
          <cell r="C310" t="str">
            <v>EQUIPO BASICO (HERRAMIENTA MENOR)</v>
          </cell>
          <cell r="D310" t="str">
            <v>Herramienta</v>
          </cell>
          <cell r="E310" t="str">
            <v>UND</v>
          </cell>
          <cell r="F310">
            <v>0.2</v>
          </cell>
          <cell r="G310">
            <v>2536</v>
          </cell>
          <cell r="H310">
            <v>507</v>
          </cell>
        </row>
        <row r="311">
          <cell r="A311" t="str">
            <v>003.036</v>
          </cell>
          <cell r="B311" t="str">
            <v>I1565</v>
          </cell>
          <cell r="C311" t="str">
            <v>ACARREO INTERNO</v>
          </cell>
          <cell r="D311" t="str">
            <v>Insumo</v>
          </cell>
          <cell r="E311" t="str">
            <v>UND</v>
          </cell>
          <cell r="F311">
            <v>0.4</v>
          </cell>
          <cell r="G311">
            <v>1327</v>
          </cell>
          <cell r="H311">
            <v>531</v>
          </cell>
        </row>
        <row r="312">
          <cell r="A312" t="str">
            <v>003.036</v>
          </cell>
          <cell r="B312" t="str">
            <v>I407</v>
          </cell>
          <cell r="C312" t="str">
            <v>CINTA DE DEMARCACION * 10 M.</v>
          </cell>
          <cell r="D312" t="str">
            <v>Insumo</v>
          </cell>
          <cell r="E312" t="str">
            <v>M</v>
          </cell>
          <cell r="F312">
            <v>1.03</v>
          </cell>
          <cell r="G312">
            <v>140</v>
          </cell>
          <cell r="H312">
            <v>144</v>
          </cell>
        </row>
        <row r="313">
          <cell r="A313" t="str">
            <v>003.036</v>
          </cell>
          <cell r="B313" t="str">
            <v>I534</v>
          </cell>
          <cell r="C313" t="str">
            <v>ACONDICIONADOR NOVAFORT  TARRO 500 GRS. O SIMILAR.</v>
          </cell>
          <cell r="D313" t="str">
            <v>Insumo</v>
          </cell>
          <cell r="E313" t="str">
            <v>UND</v>
          </cell>
          <cell r="F313">
            <v>0.06</v>
          </cell>
          <cell r="G313">
            <v>112862</v>
          </cell>
          <cell r="H313">
            <v>6772</v>
          </cell>
        </row>
        <row r="314">
          <cell r="A314" t="str">
            <v>003.036</v>
          </cell>
          <cell r="B314" t="str">
            <v>I699</v>
          </cell>
          <cell r="C314" t="str">
            <v xml:space="preserve">TUBO ALCANTARILLADO NOVAFORT  PVC  160 MM  </v>
          </cell>
          <cell r="D314" t="str">
            <v>Insumo</v>
          </cell>
          <cell r="E314" t="str">
            <v>M</v>
          </cell>
          <cell r="F314">
            <v>1.03</v>
          </cell>
          <cell r="G314">
            <v>28694</v>
          </cell>
          <cell r="H314">
            <v>29555</v>
          </cell>
        </row>
        <row r="316">
          <cell r="A316" t="str">
            <v>003.037</v>
          </cell>
          <cell r="B316" t="str">
            <v>-</v>
          </cell>
          <cell r="C316" t="str">
            <v>SUMINISTRO, TRANSPORTE E INSTALACION TUBERIA A LL 200 MM Tipo Novafort o similar. (Incluye accesorios, nivelación y cinta de demarcación)</v>
          </cell>
          <cell r="D316" t="str">
            <v>Actividad</v>
          </cell>
          <cell r="E316" t="str">
            <v>ML</v>
          </cell>
          <cell r="H316">
            <v>59692</v>
          </cell>
        </row>
        <row r="317">
          <cell r="A317" t="str">
            <v>003.037</v>
          </cell>
          <cell r="B317" t="str">
            <v>C16</v>
          </cell>
          <cell r="C317" t="str">
            <v>CUADRILLA BB TIPO 3 (1 OFICIAL + 3 AYUDANTE) (Instalaciones)</v>
          </cell>
          <cell r="D317" t="str">
            <v>Cuadrilla</v>
          </cell>
          <cell r="E317" t="str">
            <v>HR</v>
          </cell>
          <cell r="F317">
            <v>0.23</v>
          </cell>
          <cell r="G317">
            <v>32523</v>
          </cell>
          <cell r="H317">
            <v>7480</v>
          </cell>
        </row>
        <row r="318">
          <cell r="A318" t="str">
            <v>003.037</v>
          </cell>
          <cell r="B318" t="str">
            <v>E12</v>
          </cell>
          <cell r="C318" t="str">
            <v>EQUIPO DE TRANSPORTE</v>
          </cell>
          <cell r="D318" t="str">
            <v>Equipos</v>
          </cell>
          <cell r="E318" t="str">
            <v>DIA</v>
          </cell>
          <cell r="F318">
            <v>7.0000000000000001E-3</v>
          </cell>
          <cell r="G318">
            <v>131205</v>
          </cell>
          <cell r="H318">
            <v>918</v>
          </cell>
        </row>
        <row r="319">
          <cell r="A319" t="str">
            <v>003.037</v>
          </cell>
          <cell r="B319" t="str">
            <v>H2</v>
          </cell>
          <cell r="C319" t="str">
            <v>EQUIPO BASICO (HERRAMIENTA MENOR)</v>
          </cell>
          <cell r="D319" t="str">
            <v>Herramienta</v>
          </cell>
          <cell r="E319" t="str">
            <v>UND</v>
          </cell>
          <cell r="F319">
            <v>0.2</v>
          </cell>
          <cell r="G319">
            <v>2536</v>
          </cell>
          <cell r="H319">
            <v>507</v>
          </cell>
        </row>
        <row r="320">
          <cell r="A320" t="str">
            <v>003.037</v>
          </cell>
          <cell r="B320" t="str">
            <v>I1565</v>
          </cell>
          <cell r="C320" t="str">
            <v>ACARREO INTERNO</v>
          </cell>
          <cell r="D320" t="str">
            <v>Insumo</v>
          </cell>
          <cell r="E320" t="str">
            <v>UND</v>
          </cell>
          <cell r="F320">
            <v>0.5</v>
          </cell>
          <cell r="G320">
            <v>1327</v>
          </cell>
          <cell r="H320">
            <v>664</v>
          </cell>
        </row>
        <row r="321">
          <cell r="A321" t="str">
            <v>003.037</v>
          </cell>
          <cell r="B321" t="str">
            <v>I407</v>
          </cell>
          <cell r="C321" t="str">
            <v>CINTA DE DEMARCACION * 10 M.</v>
          </cell>
          <cell r="D321" t="str">
            <v>Insumo</v>
          </cell>
          <cell r="E321" t="str">
            <v>M</v>
          </cell>
          <cell r="F321">
            <v>1.03</v>
          </cell>
          <cell r="G321">
            <v>140</v>
          </cell>
          <cell r="H321">
            <v>144</v>
          </cell>
        </row>
        <row r="322">
          <cell r="A322" t="str">
            <v>003.037</v>
          </cell>
          <cell r="B322" t="str">
            <v>I534</v>
          </cell>
          <cell r="C322" t="str">
            <v>ACONDICIONADOR NOVAFORT  TARRO 500 GRS. O SIMILAR.</v>
          </cell>
          <cell r="D322" t="str">
            <v>Insumo</v>
          </cell>
          <cell r="E322" t="str">
            <v>UND</v>
          </cell>
          <cell r="F322">
            <v>0.06</v>
          </cell>
          <cell r="G322">
            <v>112862</v>
          </cell>
          <cell r="H322">
            <v>6772</v>
          </cell>
        </row>
        <row r="323">
          <cell r="A323" t="str">
            <v>003.037</v>
          </cell>
          <cell r="B323" t="str">
            <v>I700</v>
          </cell>
          <cell r="C323" t="str">
            <v xml:space="preserve">TUBO ALCANTARILLADO NOVAFORT  PVC  200 MM  </v>
          </cell>
          <cell r="D323" t="str">
            <v>Insumo</v>
          </cell>
          <cell r="E323" t="str">
            <v>M</v>
          </cell>
          <cell r="F323">
            <v>1.03</v>
          </cell>
          <cell r="G323">
            <v>41949</v>
          </cell>
          <cell r="H323">
            <v>43207</v>
          </cell>
        </row>
        <row r="325">
          <cell r="A325" t="str">
            <v>003.038</v>
          </cell>
          <cell r="B325" t="str">
            <v>-</v>
          </cell>
          <cell r="C325" t="str">
            <v>SUMINISTRO, TRANSPORTE E INSTALACION TUBERIA A LL 250 MM Tipo Novafort o similar. (Incluye accesorios, nivelación y cinta de demarcación)</v>
          </cell>
          <cell r="D325" t="str">
            <v>Actividad</v>
          </cell>
          <cell r="E325" t="str">
            <v>ML</v>
          </cell>
          <cell r="H325">
            <v>82082</v>
          </cell>
        </row>
        <row r="326">
          <cell r="A326" t="str">
            <v>003.038</v>
          </cell>
          <cell r="B326" t="str">
            <v>C16</v>
          </cell>
          <cell r="C326" t="str">
            <v>CUADRILLA BB TIPO 3 (1 OFICIAL + 3 AYUDANTE) (Instalaciones)</v>
          </cell>
          <cell r="D326" t="str">
            <v>Cuadrilla</v>
          </cell>
          <cell r="E326" t="str">
            <v>HR</v>
          </cell>
          <cell r="F326">
            <v>0.23</v>
          </cell>
          <cell r="G326">
            <v>32523</v>
          </cell>
          <cell r="H326">
            <v>7480</v>
          </cell>
        </row>
        <row r="327">
          <cell r="A327" t="str">
            <v>003.038</v>
          </cell>
          <cell r="B327" t="str">
            <v>E12</v>
          </cell>
          <cell r="C327" t="str">
            <v>EQUIPO DE TRANSPORTE</v>
          </cell>
          <cell r="D327" t="str">
            <v>Equipos</v>
          </cell>
          <cell r="E327" t="str">
            <v>DIA</v>
          </cell>
          <cell r="F327">
            <v>1.0999999999999999E-2</v>
          </cell>
          <cell r="G327">
            <v>131205</v>
          </cell>
          <cell r="H327">
            <v>1443</v>
          </cell>
        </row>
        <row r="328">
          <cell r="A328" t="str">
            <v>003.038</v>
          </cell>
          <cell r="B328" t="str">
            <v>H2</v>
          </cell>
          <cell r="C328" t="str">
            <v>EQUIPO BASICO (HERRAMIENTA MENOR)</v>
          </cell>
          <cell r="D328" t="str">
            <v>Herramienta</v>
          </cell>
          <cell r="E328" t="str">
            <v>UND</v>
          </cell>
          <cell r="F328">
            <v>0.2</v>
          </cell>
          <cell r="G328">
            <v>2536</v>
          </cell>
          <cell r="H328">
            <v>507</v>
          </cell>
        </row>
        <row r="329">
          <cell r="A329" t="str">
            <v>003.038</v>
          </cell>
          <cell r="B329" t="str">
            <v>I1565</v>
          </cell>
          <cell r="C329" t="str">
            <v>ACARREO INTERNO</v>
          </cell>
          <cell r="D329" t="str">
            <v>Insumo</v>
          </cell>
          <cell r="E329" t="str">
            <v>UND</v>
          </cell>
          <cell r="F329">
            <v>0.5</v>
          </cell>
          <cell r="G329">
            <v>1327</v>
          </cell>
          <cell r="H329">
            <v>664</v>
          </cell>
        </row>
        <row r="330">
          <cell r="A330" t="str">
            <v>003.038</v>
          </cell>
          <cell r="B330" t="str">
            <v>I407</v>
          </cell>
          <cell r="C330" t="str">
            <v>CINTA DE DEMARCACION * 10 M.</v>
          </cell>
          <cell r="D330" t="str">
            <v>Insumo</v>
          </cell>
          <cell r="E330" t="str">
            <v>M</v>
          </cell>
          <cell r="F330">
            <v>1.03</v>
          </cell>
          <cell r="G330">
            <v>140</v>
          </cell>
          <cell r="H330">
            <v>144</v>
          </cell>
        </row>
        <row r="331">
          <cell r="A331" t="str">
            <v>003.038</v>
          </cell>
          <cell r="B331" t="str">
            <v>I534</v>
          </cell>
          <cell r="C331" t="str">
            <v>ACONDICIONADOR NOVAFORT  TARRO 500 GRS. O SIMILAR.</v>
          </cell>
          <cell r="D331" t="str">
            <v>Insumo</v>
          </cell>
          <cell r="E331" t="str">
            <v>UND</v>
          </cell>
          <cell r="F331">
            <v>0.08</v>
          </cell>
          <cell r="G331">
            <v>112862</v>
          </cell>
          <cell r="H331">
            <v>9029</v>
          </cell>
        </row>
        <row r="332">
          <cell r="A332" t="str">
            <v>003.038</v>
          </cell>
          <cell r="B332" t="str">
            <v>I701</v>
          </cell>
          <cell r="C332" t="str">
            <v xml:space="preserve">TUBO ALCANTARILLADO NOVAFORT  PVC  250 MM </v>
          </cell>
          <cell r="D332" t="str">
            <v>Insumo</v>
          </cell>
          <cell r="E332" t="str">
            <v>M</v>
          </cell>
          <cell r="F332">
            <v>1.03</v>
          </cell>
          <cell r="G332">
            <v>60985</v>
          </cell>
          <cell r="H332">
            <v>62815</v>
          </cell>
        </row>
        <row r="334">
          <cell r="A334" t="str">
            <v>003.039</v>
          </cell>
          <cell r="B334" t="str">
            <v>-</v>
          </cell>
          <cell r="C334" t="str">
            <v>SUMINISTRO, TRANSPORTE E INSTALACION TUBERIA A LL 315 MM Tipo Novafort o similar. (Incluye accesorios, nivelación y cinta de demarcación)</v>
          </cell>
          <cell r="D334" t="str">
            <v>Actividad</v>
          </cell>
          <cell r="E334" t="str">
            <v>ML</v>
          </cell>
          <cell r="H334">
            <v>119669</v>
          </cell>
        </row>
        <row r="335">
          <cell r="A335" t="str">
            <v>003.039</v>
          </cell>
          <cell r="B335" t="str">
            <v>C16</v>
          </cell>
          <cell r="C335" t="str">
            <v>CUADRILLA BB TIPO 3 (1 OFICIAL + 3 AYUDANTE) (Instalaciones)</v>
          </cell>
          <cell r="D335" t="str">
            <v>Cuadrilla</v>
          </cell>
          <cell r="E335" t="str">
            <v>HR</v>
          </cell>
          <cell r="F335">
            <v>0.24</v>
          </cell>
          <cell r="G335">
            <v>32523</v>
          </cell>
          <cell r="H335">
            <v>7806</v>
          </cell>
        </row>
        <row r="336">
          <cell r="A336" t="str">
            <v>003.039</v>
          </cell>
          <cell r="B336" t="str">
            <v>E12</v>
          </cell>
          <cell r="C336" t="str">
            <v>EQUIPO DE TRANSPORTE</v>
          </cell>
          <cell r="D336" t="str">
            <v>Equipos</v>
          </cell>
          <cell r="E336" t="str">
            <v>DIA</v>
          </cell>
          <cell r="F336">
            <v>1.6E-2</v>
          </cell>
          <cell r="G336">
            <v>131205</v>
          </cell>
          <cell r="H336">
            <v>2099</v>
          </cell>
        </row>
        <row r="337">
          <cell r="A337" t="str">
            <v>003.039</v>
          </cell>
          <cell r="B337" t="str">
            <v>H2</v>
          </cell>
          <cell r="C337" t="str">
            <v>EQUIPO BASICO (HERRAMIENTA MENOR)</v>
          </cell>
          <cell r="D337" t="str">
            <v>Herramienta</v>
          </cell>
          <cell r="E337" t="str">
            <v>UND</v>
          </cell>
          <cell r="F337">
            <v>0.2</v>
          </cell>
          <cell r="G337">
            <v>2536</v>
          </cell>
          <cell r="H337">
            <v>507</v>
          </cell>
        </row>
        <row r="338">
          <cell r="A338" t="str">
            <v>003.039</v>
          </cell>
          <cell r="B338" t="str">
            <v>I1565</v>
          </cell>
          <cell r="C338" t="str">
            <v>ACARREO INTERNO</v>
          </cell>
          <cell r="D338" t="str">
            <v>Insumo</v>
          </cell>
          <cell r="E338" t="str">
            <v>UND</v>
          </cell>
          <cell r="F338">
            <v>0.5</v>
          </cell>
          <cell r="G338">
            <v>1327</v>
          </cell>
          <cell r="H338">
            <v>664</v>
          </cell>
        </row>
        <row r="339">
          <cell r="A339" t="str">
            <v>003.039</v>
          </cell>
          <cell r="B339" t="str">
            <v>I407</v>
          </cell>
          <cell r="C339" t="str">
            <v>CINTA DE DEMARCACION * 10 M.</v>
          </cell>
          <cell r="D339" t="str">
            <v>Insumo</v>
          </cell>
          <cell r="E339" t="str">
            <v>M</v>
          </cell>
          <cell r="F339">
            <v>1.03</v>
          </cell>
          <cell r="G339">
            <v>140</v>
          </cell>
          <cell r="H339">
            <v>144</v>
          </cell>
        </row>
        <row r="340">
          <cell r="A340" t="str">
            <v>003.039</v>
          </cell>
          <cell r="B340" t="str">
            <v>I534</v>
          </cell>
          <cell r="C340" t="str">
            <v>ACONDICIONADOR NOVAFORT  TARRO 500 GRS. O SIMILAR.</v>
          </cell>
          <cell r="D340" t="str">
            <v>Insumo</v>
          </cell>
          <cell r="E340" t="str">
            <v>UND</v>
          </cell>
          <cell r="F340">
            <v>0.13800000000000001</v>
          </cell>
          <cell r="G340">
            <v>112862</v>
          </cell>
          <cell r="H340">
            <v>15575</v>
          </cell>
        </row>
        <row r="341">
          <cell r="A341" t="str">
            <v>003.039</v>
          </cell>
          <cell r="B341" t="str">
            <v>I702</v>
          </cell>
          <cell r="C341" t="str">
            <v xml:space="preserve">TUBO ALCANTARILLADO NOVAFORT  PVC  315 MM </v>
          </cell>
          <cell r="D341" t="str">
            <v>Insumo</v>
          </cell>
          <cell r="E341" t="str">
            <v>M</v>
          </cell>
          <cell r="F341">
            <v>1.03</v>
          </cell>
          <cell r="G341">
            <v>90169</v>
          </cell>
          <cell r="H341">
            <v>92874</v>
          </cell>
        </row>
        <row r="343">
          <cell r="A343" t="str">
            <v>003.098</v>
          </cell>
          <cell r="B343" t="str">
            <v>-</v>
          </cell>
          <cell r="C343" t="str">
            <v xml:space="preserve">SUMINISTRO, TRANSPORTE E INSTALACION REJILLA  Aluminio  4" x 2"  Cúpula Tradicional con sosco - Ref. C-4"x2"  </v>
          </cell>
          <cell r="D343" t="str">
            <v>Actividad</v>
          </cell>
          <cell r="E343" t="str">
            <v>UND</v>
          </cell>
          <cell r="H343">
            <v>19737</v>
          </cell>
        </row>
        <row r="344">
          <cell r="A344" t="str">
            <v>003.098</v>
          </cell>
          <cell r="B344" t="str">
            <v>C1</v>
          </cell>
          <cell r="C344" t="str">
            <v>CUADRILLA AA TIPO 1 (1 OFICIAL + 1 AYUDANTE) (Albañileria)</v>
          </cell>
          <cell r="D344" t="str">
            <v>Cuadrilla</v>
          </cell>
          <cell r="E344" t="str">
            <v>HR</v>
          </cell>
          <cell r="F344">
            <v>0.34</v>
          </cell>
          <cell r="G344">
            <v>16712</v>
          </cell>
          <cell r="H344">
            <v>5682</v>
          </cell>
        </row>
        <row r="345">
          <cell r="A345" t="str">
            <v>003.098</v>
          </cell>
          <cell r="B345" t="str">
            <v>E12</v>
          </cell>
          <cell r="C345" t="str">
            <v>EQUIPO DE TRANSPORTE</v>
          </cell>
          <cell r="D345" t="str">
            <v>Equipos</v>
          </cell>
          <cell r="E345" t="str">
            <v>DIA</v>
          </cell>
          <cell r="F345">
            <v>1E-3</v>
          </cell>
          <cell r="G345">
            <v>131205</v>
          </cell>
          <cell r="H345">
            <v>131</v>
          </cell>
        </row>
        <row r="346">
          <cell r="A346" t="str">
            <v>003.098</v>
          </cell>
          <cell r="B346" t="str">
            <v>H2</v>
          </cell>
          <cell r="C346" t="str">
            <v>EQUIPO BASICO (HERRAMIENTA MENOR)</v>
          </cell>
          <cell r="D346" t="str">
            <v>Herramienta</v>
          </cell>
          <cell r="E346" t="str">
            <v>UND</v>
          </cell>
          <cell r="F346">
            <v>0.02</v>
          </cell>
          <cell r="G346">
            <v>2536</v>
          </cell>
          <cell r="H346">
            <v>51</v>
          </cell>
        </row>
        <row r="347">
          <cell r="A347" t="str">
            <v>003.098</v>
          </cell>
          <cell r="B347" t="str">
            <v>I1565</v>
          </cell>
          <cell r="C347" t="str">
            <v>ACARREO INTERNO</v>
          </cell>
          <cell r="D347" t="str">
            <v>Insumo</v>
          </cell>
          <cell r="E347" t="str">
            <v>UND</v>
          </cell>
          <cell r="F347">
            <v>4</v>
          </cell>
          <cell r="G347">
            <v>1327</v>
          </cell>
          <cell r="H347">
            <v>5308</v>
          </cell>
        </row>
        <row r="348">
          <cell r="A348" t="str">
            <v>003.098</v>
          </cell>
          <cell r="B348" t="str">
            <v>I404</v>
          </cell>
          <cell r="C348" t="str">
            <v>CEMENTO BLANCO</v>
          </cell>
          <cell r="D348" t="str">
            <v>Insumo</v>
          </cell>
          <cell r="E348" t="str">
            <v>KG</v>
          </cell>
          <cell r="F348">
            <v>0.1</v>
          </cell>
          <cell r="G348">
            <v>2152</v>
          </cell>
          <cell r="H348">
            <v>215</v>
          </cell>
        </row>
        <row r="349">
          <cell r="A349" t="str">
            <v>003.098</v>
          </cell>
          <cell r="B349" t="str">
            <v>I633</v>
          </cell>
          <cell r="C349" t="str">
            <v>REJILLA ALUMINIO 4" X 2" CÚPULA TRADICIONAL CON SOSCO - REF. C-4"X2" TIPO COLREJILLAS O SIMILAR</v>
          </cell>
          <cell r="D349" t="str">
            <v>Insumo</v>
          </cell>
          <cell r="E349" t="str">
            <v>UND</v>
          </cell>
          <cell r="F349">
            <v>1</v>
          </cell>
          <cell r="G349">
            <v>8350</v>
          </cell>
          <cell r="H349">
            <v>8350</v>
          </cell>
        </row>
        <row r="351">
          <cell r="A351" t="str">
            <v>024.113</v>
          </cell>
          <cell r="B351" t="str">
            <v>-</v>
          </cell>
          <cell r="C351" t="str">
            <v>TRANSPORTE E INSTALACION SUMIDERO DOBLE REJA TIPO SIFÓN EN CONCRETO CLASE II-TAPA ANTIRUIDO</v>
          </cell>
          <cell r="D351" t="str">
            <v>Actividad</v>
          </cell>
          <cell r="E351" t="str">
            <v>UND</v>
          </cell>
          <cell r="H351">
            <v>363990</v>
          </cell>
        </row>
        <row r="352">
          <cell r="A352" t="str">
            <v>024.113</v>
          </cell>
          <cell r="B352" t="str">
            <v>C23</v>
          </cell>
          <cell r="C352" t="str">
            <v>CUADRILLA BB TIPO 4 (1 OFICIAL + 4 AYUDANTE) (Instalaciones)</v>
          </cell>
          <cell r="D352" t="str">
            <v>Cuadrilla</v>
          </cell>
          <cell r="E352" t="str">
            <v>HR</v>
          </cell>
          <cell r="F352">
            <v>9</v>
          </cell>
          <cell r="G352">
            <v>39593</v>
          </cell>
          <cell r="H352">
            <v>356337</v>
          </cell>
        </row>
        <row r="353">
          <cell r="A353" t="str">
            <v>024.113</v>
          </cell>
          <cell r="B353" t="str">
            <v>E112</v>
          </cell>
          <cell r="C353" t="str">
            <v>FORMALETA METALICA PARA CAMARA CIRCULAR</v>
          </cell>
          <cell r="D353" t="str">
            <v>Equipos</v>
          </cell>
          <cell r="E353" t="str">
            <v>UND</v>
          </cell>
          <cell r="F353">
            <v>4.3499999999999996</v>
          </cell>
          <cell r="G353">
            <v>1311</v>
          </cell>
          <cell r="H353">
            <v>5703</v>
          </cell>
        </row>
        <row r="354">
          <cell r="A354" t="str">
            <v>024.113</v>
          </cell>
          <cell r="B354" t="str">
            <v>H2</v>
          </cell>
          <cell r="C354" t="str">
            <v>EQUIPO BASICO (HERRAMIENTA MENOR)</v>
          </cell>
          <cell r="D354" t="str">
            <v>Herramienta</v>
          </cell>
          <cell r="E354" t="str">
            <v>UND</v>
          </cell>
          <cell r="F354">
            <v>0.35</v>
          </cell>
          <cell r="G354">
            <v>2536</v>
          </cell>
          <cell r="H354">
            <v>888</v>
          </cell>
        </row>
        <row r="355">
          <cell r="A355" t="str">
            <v>024.113</v>
          </cell>
          <cell r="B355" t="str">
            <v>I1565</v>
          </cell>
          <cell r="C355" t="str">
            <v>ACARREO INTERNO</v>
          </cell>
          <cell r="D355" t="str">
            <v>Insumo</v>
          </cell>
          <cell r="E355" t="str">
            <v>UND</v>
          </cell>
          <cell r="F355">
            <v>0.8</v>
          </cell>
          <cell r="G355">
            <v>1327</v>
          </cell>
          <cell r="H355">
            <v>1062</v>
          </cell>
        </row>
        <row r="357">
          <cell r="A357" t="str">
            <v>003.063</v>
          </cell>
          <cell r="B357" t="str">
            <v>-</v>
          </cell>
          <cell r="C357" t="str">
            <v>SUMINISTRO, TRANSPORTE E INSTALACION CARCAMO  A=0.30 m.  H=0.20 m. CON REJILLA PREFABRICADA (Incluye rejilla prefabricada concreto)</v>
          </cell>
          <cell r="D357" t="str">
            <v>Actividad</v>
          </cell>
          <cell r="E357" t="str">
            <v>ML</v>
          </cell>
          <cell r="H357">
            <v>69954</v>
          </cell>
        </row>
        <row r="358">
          <cell r="A358" t="str">
            <v>003.063</v>
          </cell>
          <cell r="B358" t="str">
            <v>AB5</v>
          </cell>
          <cell r="C358" t="str">
            <v>CONCRETO 3000 psi - 21 Mpa</v>
          </cell>
          <cell r="D358" t="str">
            <v>Analisis</v>
          </cell>
          <cell r="E358" t="str">
            <v>M3</v>
          </cell>
          <cell r="F358">
            <v>2.4E-2</v>
          </cell>
          <cell r="G358">
            <v>421155</v>
          </cell>
          <cell r="H358">
            <v>10108</v>
          </cell>
        </row>
        <row r="359">
          <cell r="A359" t="str">
            <v>003.063</v>
          </cell>
          <cell r="B359" t="str">
            <v>C30</v>
          </cell>
          <cell r="C359" t="str">
            <v>CUADRILLA BB TIPO 5 (1 OFICIAL + 5 AYUDANTE) (Instalaciones)</v>
          </cell>
          <cell r="D359" t="str">
            <v>Cuadrilla</v>
          </cell>
          <cell r="E359" t="str">
            <v>HR</v>
          </cell>
          <cell r="F359">
            <v>0.15</v>
          </cell>
          <cell r="G359">
            <v>46663</v>
          </cell>
          <cell r="H359">
            <v>6999</v>
          </cell>
        </row>
        <row r="360">
          <cell r="A360" t="str">
            <v>003.063</v>
          </cell>
          <cell r="B360" t="str">
            <v>E12</v>
          </cell>
          <cell r="C360" t="str">
            <v>EQUIPO DE TRANSPORTE</v>
          </cell>
          <cell r="D360" t="str">
            <v>Equipos</v>
          </cell>
          <cell r="E360" t="str">
            <v>DIA</v>
          </cell>
          <cell r="F360">
            <v>8.9999999999999993E-3</v>
          </cell>
          <cell r="G360">
            <v>131205</v>
          </cell>
          <cell r="H360">
            <v>1181</v>
          </cell>
        </row>
        <row r="361">
          <cell r="A361" t="str">
            <v>003.063</v>
          </cell>
          <cell r="B361" t="str">
            <v>H2</v>
          </cell>
          <cell r="C361" t="str">
            <v>EQUIPO BASICO (HERRAMIENTA MENOR)</v>
          </cell>
          <cell r="D361" t="str">
            <v>Herramienta</v>
          </cell>
          <cell r="E361" t="str">
            <v>UND</v>
          </cell>
          <cell r="F361">
            <v>0.36</v>
          </cell>
          <cell r="G361">
            <v>2536</v>
          </cell>
          <cell r="H361">
            <v>913</v>
          </cell>
        </row>
        <row r="362">
          <cell r="A362" t="str">
            <v>003.063</v>
          </cell>
          <cell r="B362" t="str">
            <v>I1097</v>
          </cell>
          <cell r="C362" t="str">
            <v>REJILLA SUMIDERO PLAQUETA (PEATONAL) A=40 CM. L=40 CM. E=6 CM. REF. P40402 TIPO TITAN O SIMILAR</v>
          </cell>
          <cell r="D362" t="str">
            <v>Insumo</v>
          </cell>
          <cell r="E362" t="str">
            <v>UND</v>
          </cell>
          <cell r="F362">
            <v>2.5</v>
          </cell>
          <cell r="G362">
            <v>18790</v>
          </cell>
          <cell r="H362">
            <v>46975</v>
          </cell>
        </row>
        <row r="363">
          <cell r="A363" t="str">
            <v>003.063</v>
          </cell>
          <cell r="B363" t="str">
            <v>I1565</v>
          </cell>
          <cell r="C363" t="str">
            <v>ACARREO INTERNO</v>
          </cell>
          <cell r="D363" t="str">
            <v>Insumo</v>
          </cell>
          <cell r="E363" t="str">
            <v>UND</v>
          </cell>
          <cell r="F363">
            <v>0.4</v>
          </cell>
          <cell r="G363">
            <v>1327</v>
          </cell>
          <cell r="H363">
            <v>531</v>
          </cell>
        </row>
        <row r="364">
          <cell r="A364" t="str">
            <v>003.063</v>
          </cell>
          <cell r="B364" t="str">
            <v>I427</v>
          </cell>
          <cell r="C364" t="str">
            <v>SIKA-1 IMPERMEABILIZANTE INTEGRAL MORTEROS O SIMILAR.</v>
          </cell>
          <cell r="D364" t="str">
            <v>Insumo</v>
          </cell>
          <cell r="E364" t="str">
            <v>KG</v>
          </cell>
          <cell r="F364">
            <v>0.32</v>
          </cell>
          <cell r="G364">
            <v>10146</v>
          </cell>
          <cell r="H364">
            <v>3247</v>
          </cell>
        </row>
        <row r="366">
          <cell r="A366" t="str">
            <v>033.097</v>
          </cell>
          <cell r="B366" t="str">
            <v>-</v>
          </cell>
          <cell r="C366" t="str">
            <v>SUMINISTRO, TRANSPORTE E INSTALACION RELLENO COMPACTADO CON MATERIAL DE OBRA</v>
          </cell>
          <cell r="D366" t="str">
            <v>Actividad</v>
          </cell>
          <cell r="E366" t="str">
            <v>M3</v>
          </cell>
          <cell r="H366">
            <v>23343</v>
          </cell>
        </row>
        <row r="367">
          <cell r="A367" t="str">
            <v>033.097</v>
          </cell>
          <cell r="B367" t="str">
            <v>C15</v>
          </cell>
          <cell r="C367" t="str">
            <v>CUADRILLA AA TIPO 3 (1 OFICIAL + 3 AYUDANTE) (Albañileria)</v>
          </cell>
          <cell r="D367" t="str">
            <v>Cuadrilla</v>
          </cell>
          <cell r="E367" t="str">
            <v>HR</v>
          </cell>
          <cell r="F367">
            <v>0.5</v>
          </cell>
          <cell r="G367">
            <v>29568</v>
          </cell>
          <cell r="H367">
            <v>14784</v>
          </cell>
        </row>
        <row r="368">
          <cell r="A368" t="str">
            <v>033.097</v>
          </cell>
          <cell r="B368" t="str">
            <v>E47</v>
          </cell>
          <cell r="C368" t="str">
            <v>VIBROCOMPACTADOR TIPO RANA</v>
          </cell>
          <cell r="D368" t="str">
            <v>Equipos</v>
          </cell>
          <cell r="E368" t="str">
            <v>DIA</v>
          </cell>
          <cell r="F368">
            <v>0.15</v>
          </cell>
          <cell r="G368">
            <v>43299</v>
          </cell>
          <cell r="H368">
            <v>6495</v>
          </cell>
        </row>
        <row r="369">
          <cell r="A369" t="str">
            <v>033.097</v>
          </cell>
          <cell r="B369" t="str">
            <v>H2</v>
          </cell>
          <cell r="C369" t="str">
            <v>EQUIPO BASICO (HERRAMIENTA MENOR)</v>
          </cell>
          <cell r="D369" t="str">
            <v>Herramienta</v>
          </cell>
          <cell r="E369" t="str">
            <v>UND</v>
          </cell>
          <cell r="F369">
            <v>0.5</v>
          </cell>
          <cell r="G369">
            <v>2536</v>
          </cell>
          <cell r="H369">
            <v>1268</v>
          </cell>
        </row>
        <row r="370">
          <cell r="A370" t="str">
            <v>033.097</v>
          </cell>
          <cell r="B370" t="str">
            <v>I1565</v>
          </cell>
          <cell r="C370" t="str">
            <v>ACARREO INTERNO</v>
          </cell>
          <cell r="D370" t="str">
            <v>Insumo</v>
          </cell>
          <cell r="E370" t="str">
            <v>UND</v>
          </cell>
          <cell r="F370">
            <v>0.6</v>
          </cell>
          <cell r="G370">
            <v>1327</v>
          </cell>
          <cell r="H370">
            <v>796</v>
          </cell>
        </row>
        <row r="372">
          <cell r="A372" t="str">
            <v>007.016</v>
          </cell>
          <cell r="B372" t="str">
            <v>-</v>
          </cell>
          <cell r="C372" t="str">
            <v>SUMINISTRO, TRANSPORTE E INSTALACION CHEQUE Roscado Red White 4"  (Incluye Universal).</v>
          </cell>
          <cell r="D372" t="str">
            <v>Actividad</v>
          </cell>
          <cell r="E372" t="str">
            <v>UND</v>
          </cell>
          <cell r="H372">
            <v>1745664</v>
          </cell>
        </row>
        <row r="373">
          <cell r="A373" t="str">
            <v>007.016</v>
          </cell>
          <cell r="B373" t="str">
            <v>C2</v>
          </cell>
          <cell r="C373" t="str">
            <v>CUADRILLA BB TIPO 1 (1 OFICIAL + 1 AYUDANTE) (Instalaciones)</v>
          </cell>
          <cell r="D373" t="str">
            <v>Cuadrilla</v>
          </cell>
          <cell r="E373" t="str">
            <v>HR</v>
          </cell>
          <cell r="F373">
            <v>2.27</v>
          </cell>
          <cell r="G373">
            <v>18383</v>
          </cell>
          <cell r="H373">
            <v>41729</v>
          </cell>
        </row>
        <row r="374">
          <cell r="A374" t="str">
            <v>007.016</v>
          </cell>
          <cell r="B374" t="str">
            <v>E12</v>
          </cell>
          <cell r="C374" t="str">
            <v>EQUIPO DE TRANSPORTE</v>
          </cell>
          <cell r="D374" t="str">
            <v>Equipos</v>
          </cell>
          <cell r="E374" t="str">
            <v>DIA</v>
          </cell>
          <cell r="F374">
            <v>0.25109999999999999</v>
          </cell>
          <cell r="G374">
            <v>131205</v>
          </cell>
          <cell r="H374">
            <v>32946</v>
          </cell>
        </row>
        <row r="375">
          <cell r="A375" t="str">
            <v>007.016</v>
          </cell>
          <cell r="B375" t="str">
            <v>H2</v>
          </cell>
          <cell r="C375" t="str">
            <v>EQUIPO BASICO (HERRAMIENTA MENOR)</v>
          </cell>
          <cell r="D375" t="str">
            <v>Herramienta</v>
          </cell>
          <cell r="E375" t="str">
            <v>UND</v>
          </cell>
          <cell r="F375">
            <v>0.15</v>
          </cell>
          <cell r="G375">
            <v>2536</v>
          </cell>
          <cell r="H375">
            <v>380</v>
          </cell>
        </row>
        <row r="376">
          <cell r="A376" t="str">
            <v>007.016</v>
          </cell>
          <cell r="B376" t="str">
            <v>I1565</v>
          </cell>
          <cell r="C376" t="str">
            <v>ACARREO INTERNO</v>
          </cell>
          <cell r="D376" t="str">
            <v>Insumo</v>
          </cell>
          <cell r="E376" t="str">
            <v>UND</v>
          </cell>
          <cell r="F376">
            <v>2.6</v>
          </cell>
          <cell r="G376">
            <v>1327</v>
          </cell>
          <cell r="H376">
            <v>3450</v>
          </cell>
        </row>
        <row r="377">
          <cell r="A377" t="str">
            <v>007.016</v>
          </cell>
          <cell r="B377" t="str">
            <v>I565</v>
          </cell>
          <cell r="C377" t="str">
            <v>CHEQUE TIPO R&amp;W ROSCADO  4" REF. 236 O SIMILAR</v>
          </cell>
          <cell r="D377" t="str">
            <v>Insumo</v>
          </cell>
          <cell r="E377" t="str">
            <v>UND</v>
          </cell>
          <cell r="F377">
            <v>1</v>
          </cell>
          <cell r="G377">
            <v>1514029</v>
          </cell>
          <cell r="H377">
            <v>1514029</v>
          </cell>
        </row>
        <row r="378">
          <cell r="A378" t="str">
            <v>007.016</v>
          </cell>
          <cell r="B378" t="str">
            <v>I569</v>
          </cell>
          <cell r="C378" t="str">
            <v>CINTA TEFLON 10 M 1/2"</v>
          </cell>
          <cell r="D378" t="str">
            <v>Insumo</v>
          </cell>
          <cell r="E378" t="str">
            <v>UND</v>
          </cell>
          <cell r="F378">
            <v>0.05</v>
          </cell>
          <cell r="G378">
            <v>931</v>
          </cell>
          <cell r="H378">
            <v>47</v>
          </cell>
        </row>
        <row r="379">
          <cell r="A379" t="str">
            <v>007.016</v>
          </cell>
          <cell r="B379" t="str">
            <v>I808</v>
          </cell>
          <cell r="C379" t="str">
            <v>UNIVERSAL ACERO GALVANIZADO - 4 "</v>
          </cell>
          <cell r="D379" t="str">
            <v>Insumo</v>
          </cell>
          <cell r="E379" t="str">
            <v>UND</v>
          </cell>
          <cell r="F379">
            <v>1</v>
          </cell>
          <cell r="G379">
            <v>153083</v>
          </cell>
          <cell r="H379">
            <v>153083</v>
          </cell>
        </row>
        <row r="381">
          <cell r="A381" t="str">
            <v>007.087</v>
          </cell>
          <cell r="B381" t="str">
            <v>-</v>
          </cell>
          <cell r="C381" t="str">
            <v>SUMINISTRO, TRANSPORTE E INSTALACION VALVULA BETA COMPUERTA ELASTICA 4"  EXTREMO LISO (Hierro ductil ASTM A-536 Clase 65-48-18). Incluye accesorios.</v>
          </cell>
          <cell r="D381" t="str">
            <v>Actividad</v>
          </cell>
          <cell r="E381" t="str">
            <v>UND</v>
          </cell>
          <cell r="H381">
            <v>1136226</v>
          </cell>
        </row>
        <row r="382">
          <cell r="A382" t="str">
            <v>007.087</v>
          </cell>
          <cell r="B382" t="str">
            <v>C23</v>
          </cell>
          <cell r="C382" t="str">
            <v>CUADRILLA BB TIPO 4 (1 OFICIAL + 4 AYUDANTE) (Instalaciones)</v>
          </cell>
          <cell r="D382" t="str">
            <v>Cuadrilla</v>
          </cell>
          <cell r="E382" t="str">
            <v>HR</v>
          </cell>
          <cell r="F382">
            <v>5</v>
          </cell>
          <cell r="G382">
            <v>39593</v>
          </cell>
          <cell r="H382">
            <v>197965</v>
          </cell>
        </row>
        <row r="383">
          <cell r="A383" t="str">
            <v>007.087</v>
          </cell>
          <cell r="B383" t="str">
            <v>E12</v>
          </cell>
          <cell r="C383" t="str">
            <v>EQUIPO DE TRANSPORTE</v>
          </cell>
          <cell r="D383" t="str">
            <v>Equipos</v>
          </cell>
          <cell r="E383" t="str">
            <v>DIA</v>
          </cell>
          <cell r="F383">
            <v>0.1331</v>
          </cell>
          <cell r="G383">
            <v>131205</v>
          </cell>
          <cell r="H383">
            <v>17463</v>
          </cell>
        </row>
        <row r="384">
          <cell r="A384" t="str">
            <v>007.087</v>
          </cell>
          <cell r="B384" t="str">
            <v>H2</v>
          </cell>
          <cell r="C384" t="str">
            <v>EQUIPO BASICO (HERRAMIENTA MENOR)</v>
          </cell>
          <cell r="D384" t="str">
            <v>Herramienta</v>
          </cell>
          <cell r="E384" t="str">
            <v>UND</v>
          </cell>
          <cell r="F384">
            <v>0.4</v>
          </cell>
          <cell r="G384">
            <v>2536</v>
          </cell>
          <cell r="H384">
            <v>1014</v>
          </cell>
        </row>
        <row r="385">
          <cell r="A385" t="str">
            <v>007.087</v>
          </cell>
          <cell r="B385" t="str">
            <v>I1565</v>
          </cell>
          <cell r="C385" t="str">
            <v>ACARREO INTERNO</v>
          </cell>
          <cell r="D385" t="str">
            <v>Insumo</v>
          </cell>
          <cell r="E385" t="str">
            <v>UND</v>
          </cell>
          <cell r="F385">
            <v>11</v>
          </cell>
          <cell r="G385">
            <v>1327</v>
          </cell>
          <cell r="H385">
            <v>14597</v>
          </cell>
        </row>
        <row r="386">
          <cell r="A386" t="str">
            <v>007.087</v>
          </cell>
          <cell r="B386" t="str">
            <v>I799</v>
          </cell>
          <cell r="C386" t="str">
            <v>UNION UNIVERSAL 4" HIERRO DUCTIL</v>
          </cell>
          <cell r="D386" t="str">
            <v>Insumo</v>
          </cell>
          <cell r="E386" t="str">
            <v>UND</v>
          </cell>
          <cell r="F386">
            <v>2</v>
          </cell>
          <cell r="G386">
            <v>106492</v>
          </cell>
          <cell r="H386">
            <v>212984</v>
          </cell>
        </row>
        <row r="387">
          <cell r="A387" t="str">
            <v>007.087</v>
          </cell>
          <cell r="B387" t="str">
            <v>I815</v>
          </cell>
          <cell r="C387" t="str">
            <v>VALVULA DOBLE COMPUERTA ELASTICA EXTREMO LISO, H.D ASTM 536   4"</v>
          </cell>
          <cell r="D387" t="str">
            <v>Insumo</v>
          </cell>
          <cell r="E387" t="str">
            <v>UND</v>
          </cell>
          <cell r="F387">
            <v>1</v>
          </cell>
          <cell r="G387">
            <v>692203</v>
          </cell>
          <cell r="H387">
            <v>692203</v>
          </cell>
        </row>
        <row r="389">
          <cell r="A389" t="str">
            <v>007.011</v>
          </cell>
          <cell r="B389" t="str">
            <v>-</v>
          </cell>
          <cell r="C389" t="str">
            <v>SUMINISTRO, TRANSPORTE E INSTALACION CHEQUE Roscado Red White 1"  (Incluye Universal).</v>
          </cell>
          <cell r="D389" t="str">
            <v>Actividad</v>
          </cell>
          <cell r="E389" t="str">
            <v>UND</v>
          </cell>
          <cell r="H389">
            <v>135262</v>
          </cell>
        </row>
        <row r="390">
          <cell r="A390" t="str">
            <v>007.011</v>
          </cell>
          <cell r="B390" t="str">
            <v>C2</v>
          </cell>
          <cell r="C390" t="str">
            <v>CUADRILLA BB TIPO 1 (1 OFICIAL + 1 AYUDANTE) (Instalaciones)</v>
          </cell>
          <cell r="D390" t="str">
            <v>Cuadrilla</v>
          </cell>
          <cell r="E390" t="str">
            <v>HR</v>
          </cell>
          <cell r="F390">
            <v>2.27</v>
          </cell>
          <cell r="G390">
            <v>18383</v>
          </cell>
          <cell r="H390">
            <v>41729</v>
          </cell>
        </row>
        <row r="391">
          <cell r="A391" t="str">
            <v>007.011</v>
          </cell>
          <cell r="B391" t="str">
            <v>E12</v>
          </cell>
          <cell r="C391" t="str">
            <v>EQUIPO DE TRANSPORTE</v>
          </cell>
          <cell r="D391" t="str">
            <v>Equipos</v>
          </cell>
          <cell r="E391" t="str">
            <v>DIA</v>
          </cell>
          <cell r="F391">
            <v>1.8800000000000001E-2</v>
          </cell>
          <cell r="G391">
            <v>131205</v>
          </cell>
          <cell r="H391">
            <v>2467</v>
          </cell>
        </row>
        <row r="392">
          <cell r="A392" t="str">
            <v>007.011</v>
          </cell>
          <cell r="B392" t="str">
            <v>H2</v>
          </cell>
          <cell r="C392" t="str">
            <v>EQUIPO BASICO (HERRAMIENTA MENOR)</v>
          </cell>
          <cell r="D392" t="str">
            <v>Herramienta</v>
          </cell>
          <cell r="E392" t="str">
            <v>UND</v>
          </cell>
          <cell r="F392">
            <v>0.15</v>
          </cell>
          <cell r="G392">
            <v>2536</v>
          </cell>
          <cell r="H392">
            <v>380</v>
          </cell>
        </row>
        <row r="393">
          <cell r="A393" t="str">
            <v>007.011</v>
          </cell>
          <cell r="B393" t="str">
            <v>I1565</v>
          </cell>
          <cell r="C393" t="str">
            <v>ACARREO INTERNO</v>
          </cell>
          <cell r="D393" t="str">
            <v>Insumo</v>
          </cell>
          <cell r="E393" t="str">
            <v>UND</v>
          </cell>
          <cell r="F393">
            <v>2.6</v>
          </cell>
          <cell r="G393">
            <v>1327</v>
          </cell>
          <cell r="H393">
            <v>3450</v>
          </cell>
        </row>
        <row r="394">
          <cell r="A394" t="str">
            <v>007.011</v>
          </cell>
          <cell r="B394" t="str">
            <v>I559</v>
          </cell>
          <cell r="C394" t="str">
            <v>CHEQUE TIPO R&amp;W ROSCADO  1" REF. 236 O SIMILAR</v>
          </cell>
          <cell r="D394" t="str">
            <v>Insumo</v>
          </cell>
          <cell r="E394" t="str">
            <v>UND</v>
          </cell>
          <cell r="F394">
            <v>1</v>
          </cell>
          <cell r="G394">
            <v>78204</v>
          </cell>
          <cell r="H394">
            <v>78204</v>
          </cell>
        </row>
        <row r="395">
          <cell r="A395" t="str">
            <v>007.011</v>
          </cell>
          <cell r="B395" t="str">
            <v>I569</v>
          </cell>
          <cell r="C395" t="str">
            <v>CINTA TEFLON 10 M 1/2"</v>
          </cell>
          <cell r="D395" t="str">
            <v>Insumo</v>
          </cell>
          <cell r="E395" t="str">
            <v>UND</v>
          </cell>
          <cell r="F395">
            <v>0.05</v>
          </cell>
          <cell r="G395">
            <v>931</v>
          </cell>
          <cell r="H395">
            <v>47</v>
          </cell>
        </row>
        <row r="396">
          <cell r="A396" t="str">
            <v>007.011</v>
          </cell>
          <cell r="B396" t="str">
            <v>I761</v>
          </cell>
          <cell r="C396" t="str">
            <v>UNIIVERSAL 1"  GALVANIZADO</v>
          </cell>
          <cell r="D396" t="str">
            <v>Insumo</v>
          </cell>
          <cell r="E396" t="str">
            <v>UND</v>
          </cell>
          <cell r="F396">
            <v>1</v>
          </cell>
          <cell r="G396">
            <v>8985</v>
          </cell>
          <cell r="H396">
            <v>8985</v>
          </cell>
        </row>
        <row r="398">
          <cell r="A398" t="str">
            <v>003.013</v>
          </cell>
          <cell r="B398" t="str">
            <v>-</v>
          </cell>
          <cell r="C398" t="str">
            <v>SUMINISTRO, TRANSPORTE E INSTALACION PUNTO DESAGUE PVC   2" Aparatos sanitarios y desagues  (INCLUYE CODO, YEE Y ACCESORIOS)</v>
          </cell>
          <cell r="D398" t="str">
            <v>Actividad</v>
          </cell>
          <cell r="E398" t="str">
            <v>UND</v>
          </cell>
          <cell r="H398">
            <v>74202</v>
          </cell>
        </row>
        <row r="399">
          <cell r="A399" t="str">
            <v>003.013</v>
          </cell>
          <cell r="B399" t="str">
            <v>C9</v>
          </cell>
          <cell r="C399" t="str">
            <v>CUADRILLA BB TIPO 2 (1 OFICIAL + 2 AYUDANTE) (Instalaciones)</v>
          </cell>
          <cell r="D399" t="str">
            <v>Cuadrilla</v>
          </cell>
          <cell r="E399" t="str">
            <v>HR</v>
          </cell>
          <cell r="F399">
            <v>1.35</v>
          </cell>
          <cell r="G399">
            <v>25453</v>
          </cell>
          <cell r="H399">
            <v>34362</v>
          </cell>
        </row>
        <row r="400">
          <cell r="A400" t="str">
            <v>003.013</v>
          </cell>
          <cell r="B400" t="str">
            <v>E12</v>
          </cell>
          <cell r="C400" t="str">
            <v>EQUIPO DE TRANSPORTE</v>
          </cell>
          <cell r="D400" t="str">
            <v>Equipos</v>
          </cell>
          <cell r="E400" t="str">
            <v>DIA</v>
          </cell>
          <cell r="F400">
            <v>5.0000000000000001E-3</v>
          </cell>
          <cell r="G400">
            <v>131205</v>
          </cell>
          <cell r="H400">
            <v>656</v>
          </cell>
        </row>
        <row r="401">
          <cell r="A401" t="str">
            <v>003.013</v>
          </cell>
          <cell r="B401" t="str">
            <v>H2</v>
          </cell>
          <cell r="C401" t="str">
            <v>EQUIPO BASICO (HERRAMIENTA MENOR)</v>
          </cell>
          <cell r="D401" t="str">
            <v>Herramienta</v>
          </cell>
          <cell r="E401" t="str">
            <v>UND</v>
          </cell>
          <cell r="F401">
            <v>0.2</v>
          </cell>
          <cell r="G401">
            <v>2536</v>
          </cell>
          <cell r="H401">
            <v>507</v>
          </cell>
        </row>
        <row r="402">
          <cell r="A402" t="str">
            <v>003.013</v>
          </cell>
          <cell r="B402" t="str">
            <v>I1565</v>
          </cell>
          <cell r="C402" t="str">
            <v>ACARREO INTERNO</v>
          </cell>
          <cell r="D402" t="str">
            <v>Insumo</v>
          </cell>
          <cell r="E402" t="str">
            <v>UND</v>
          </cell>
          <cell r="F402">
            <v>2.4</v>
          </cell>
          <cell r="G402">
            <v>1327</v>
          </cell>
          <cell r="H402">
            <v>3185</v>
          </cell>
        </row>
        <row r="403">
          <cell r="A403" t="str">
            <v>003.013</v>
          </cell>
          <cell r="B403" t="str">
            <v>I574</v>
          </cell>
          <cell r="C403" t="str">
            <v>CODO 90° 1/4 CXC SANITARIO 2''</v>
          </cell>
          <cell r="D403" t="str">
            <v>Insumo</v>
          </cell>
          <cell r="E403" t="str">
            <v>UND</v>
          </cell>
          <cell r="F403">
            <v>1</v>
          </cell>
          <cell r="G403">
            <v>3107</v>
          </cell>
          <cell r="H403">
            <v>3107</v>
          </cell>
        </row>
        <row r="404">
          <cell r="A404" t="str">
            <v>003.013</v>
          </cell>
          <cell r="B404" t="str">
            <v>I614</v>
          </cell>
          <cell r="C404" t="str">
            <v>LIMPIADOR REM PVC 760 GRMS. (1/4)</v>
          </cell>
          <cell r="D404" t="str">
            <v>Insumo</v>
          </cell>
          <cell r="E404" t="str">
            <v>UND</v>
          </cell>
          <cell r="F404">
            <v>0.05</v>
          </cell>
          <cell r="G404">
            <v>45425</v>
          </cell>
          <cell r="H404">
            <v>2271</v>
          </cell>
        </row>
        <row r="405">
          <cell r="A405" t="str">
            <v>003.013</v>
          </cell>
          <cell r="B405" t="str">
            <v>I647</v>
          </cell>
          <cell r="C405" t="str">
            <v>SOLDADURA PVC LIQUIDA 1/4</v>
          </cell>
          <cell r="D405" t="str">
            <v>Insumo</v>
          </cell>
          <cell r="E405" t="str">
            <v>UND</v>
          </cell>
          <cell r="F405">
            <v>0.05</v>
          </cell>
          <cell r="G405">
            <v>94162</v>
          </cell>
          <cell r="H405">
            <v>4708</v>
          </cell>
        </row>
        <row r="406">
          <cell r="A406" t="str">
            <v>003.013</v>
          </cell>
          <cell r="B406" t="str">
            <v>I752</v>
          </cell>
          <cell r="C406" t="str">
            <v xml:space="preserve">TUBO PVC SANITARIO 2'' </v>
          </cell>
          <cell r="D406" t="str">
            <v>Insumo</v>
          </cell>
          <cell r="E406" t="str">
            <v>M</v>
          </cell>
          <cell r="F406">
            <v>1.55</v>
          </cell>
          <cell r="G406">
            <v>11785</v>
          </cell>
          <cell r="H406">
            <v>18267</v>
          </cell>
        </row>
        <row r="407">
          <cell r="A407" t="str">
            <v>003.013</v>
          </cell>
          <cell r="B407" t="str">
            <v>I825</v>
          </cell>
          <cell r="C407" t="str">
            <v xml:space="preserve">YEE SANITARIA 2'' </v>
          </cell>
          <cell r="D407" t="str">
            <v>Insumo</v>
          </cell>
          <cell r="E407" t="str">
            <v>UND</v>
          </cell>
          <cell r="F407">
            <v>1</v>
          </cell>
          <cell r="G407">
            <v>7139</v>
          </cell>
          <cell r="H407">
            <v>7139</v>
          </cell>
        </row>
        <row r="409">
          <cell r="A409" t="str">
            <v>003.014</v>
          </cell>
          <cell r="B409" t="str">
            <v>-</v>
          </cell>
          <cell r="C409" t="str">
            <v>SUMINISTRO, TRANSPORTE E INSTALACION PUNTO DESAGUE PVC   3"  Aparatos sanitarios y desagues  (INCLUYE CODO, YEE Y ACCESORIOS)</v>
          </cell>
          <cell r="D409" t="str">
            <v>Actividad</v>
          </cell>
          <cell r="E409" t="str">
            <v>UND</v>
          </cell>
          <cell r="H409">
            <v>95232</v>
          </cell>
        </row>
        <row r="410">
          <cell r="A410" t="str">
            <v>003.014</v>
          </cell>
          <cell r="B410" t="str">
            <v>C9</v>
          </cell>
          <cell r="C410" t="str">
            <v>CUADRILLA BB TIPO 2 (1 OFICIAL + 2 AYUDANTE) (Instalaciones)</v>
          </cell>
          <cell r="D410" t="str">
            <v>Cuadrilla</v>
          </cell>
          <cell r="E410" t="str">
            <v>HR</v>
          </cell>
          <cell r="F410">
            <v>1.35</v>
          </cell>
          <cell r="G410">
            <v>25453</v>
          </cell>
          <cell r="H410">
            <v>34362</v>
          </cell>
        </row>
        <row r="411">
          <cell r="A411" t="str">
            <v>003.014</v>
          </cell>
          <cell r="B411" t="str">
            <v>E12</v>
          </cell>
          <cell r="C411" t="str">
            <v>EQUIPO DE TRANSPORTE</v>
          </cell>
          <cell r="D411" t="str">
            <v>Equipos</v>
          </cell>
          <cell r="E411" t="str">
            <v>DIA</v>
          </cell>
          <cell r="F411">
            <v>8.0000000000000002E-3</v>
          </cell>
          <cell r="G411">
            <v>131205</v>
          </cell>
          <cell r="H411">
            <v>1050</v>
          </cell>
        </row>
        <row r="412">
          <cell r="A412" t="str">
            <v>003.014</v>
          </cell>
          <cell r="B412" t="str">
            <v>H2</v>
          </cell>
          <cell r="C412" t="str">
            <v>EQUIPO BASICO (HERRAMIENTA MENOR)</v>
          </cell>
          <cell r="D412" t="str">
            <v>Herramienta</v>
          </cell>
          <cell r="E412" t="str">
            <v>UND</v>
          </cell>
          <cell r="F412">
            <v>0.2</v>
          </cell>
          <cell r="G412">
            <v>2536</v>
          </cell>
          <cell r="H412">
            <v>507</v>
          </cell>
        </row>
        <row r="413">
          <cell r="A413" t="str">
            <v>003.014</v>
          </cell>
          <cell r="B413" t="str">
            <v>I1565</v>
          </cell>
          <cell r="C413" t="str">
            <v>ACARREO INTERNO</v>
          </cell>
          <cell r="D413" t="str">
            <v>Insumo</v>
          </cell>
          <cell r="E413" t="str">
            <v>UND</v>
          </cell>
          <cell r="F413">
            <v>2.4</v>
          </cell>
          <cell r="G413">
            <v>1327</v>
          </cell>
          <cell r="H413">
            <v>3185</v>
          </cell>
        </row>
        <row r="414">
          <cell r="A414" t="str">
            <v>003.014</v>
          </cell>
          <cell r="B414" t="str">
            <v>I575</v>
          </cell>
          <cell r="C414" t="str">
            <v>CODO 90° 1/4 CXC SANITARIO 3''</v>
          </cell>
          <cell r="D414" t="str">
            <v>Insumo</v>
          </cell>
          <cell r="E414" t="str">
            <v>UND</v>
          </cell>
          <cell r="F414">
            <v>1</v>
          </cell>
          <cell r="G414">
            <v>7208</v>
          </cell>
          <cell r="H414">
            <v>7208</v>
          </cell>
        </row>
        <row r="415">
          <cell r="A415" t="str">
            <v>003.014</v>
          </cell>
          <cell r="B415" t="str">
            <v>I614</v>
          </cell>
          <cell r="C415" t="str">
            <v>LIMPIADOR REM PVC 760 GRMS. (1/4)</v>
          </cell>
          <cell r="D415" t="str">
            <v>Insumo</v>
          </cell>
          <cell r="E415" t="str">
            <v>UND</v>
          </cell>
          <cell r="F415">
            <v>0.05</v>
          </cell>
          <cell r="G415">
            <v>45425</v>
          </cell>
          <cell r="H415">
            <v>2271</v>
          </cell>
        </row>
        <row r="416">
          <cell r="A416" t="str">
            <v>003.014</v>
          </cell>
          <cell r="B416" t="str">
            <v>I647</v>
          </cell>
          <cell r="C416" t="str">
            <v>SOLDADURA PVC LIQUIDA 1/4</v>
          </cell>
          <cell r="D416" t="str">
            <v>Insumo</v>
          </cell>
          <cell r="E416" t="str">
            <v>UND</v>
          </cell>
          <cell r="F416">
            <v>0.05</v>
          </cell>
          <cell r="G416">
            <v>94162</v>
          </cell>
          <cell r="H416">
            <v>4708</v>
          </cell>
        </row>
        <row r="417">
          <cell r="A417" t="str">
            <v>003.014</v>
          </cell>
          <cell r="B417" t="str">
            <v>I753</v>
          </cell>
          <cell r="C417" t="str">
            <v>TUBO PVC SANITARIO 3"</v>
          </cell>
          <cell r="D417" t="str">
            <v>Insumo</v>
          </cell>
          <cell r="E417" t="str">
            <v>M</v>
          </cell>
          <cell r="F417">
            <v>1.55</v>
          </cell>
          <cell r="G417">
            <v>17602</v>
          </cell>
          <cell r="H417">
            <v>27283</v>
          </cell>
        </row>
        <row r="418">
          <cell r="A418" t="str">
            <v>003.014</v>
          </cell>
          <cell r="B418" t="str">
            <v>I826</v>
          </cell>
          <cell r="C418" t="str">
            <v xml:space="preserve">YEE SANITARIA 3'' </v>
          </cell>
          <cell r="D418" t="str">
            <v>Insumo</v>
          </cell>
          <cell r="E418" t="str">
            <v>UND</v>
          </cell>
          <cell r="F418">
            <v>1</v>
          </cell>
          <cell r="G418">
            <v>14658</v>
          </cell>
          <cell r="H418">
            <v>14658</v>
          </cell>
        </row>
        <row r="420">
          <cell r="A420" t="str">
            <v>003.015</v>
          </cell>
          <cell r="B420" t="str">
            <v>-</v>
          </cell>
          <cell r="C420" t="str">
            <v>SUMINISTRO, TRANSPORTE E INSTALACION PUNTO DESAGUE PVC   4" Aparatos sanitarios (INCLUYE CODO, YEE Y ACCESORIOS)</v>
          </cell>
          <cell r="D420" t="str">
            <v>Actividad</v>
          </cell>
          <cell r="E420" t="str">
            <v>UND</v>
          </cell>
          <cell r="H420">
            <v>126650</v>
          </cell>
        </row>
        <row r="421">
          <cell r="A421" t="str">
            <v>003.015</v>
          </cell>
          <cell r="B421" t="str">
            <v>C9</v>
          </cell>
          <cell r="C421" t="str">
            <v>CUADRILLA BB TIPO 2 (1 OFICIAL + 2 AYUDANTE) (Instalaciones)</v>
          </cell>
          <cell r="D421" t="str">
            <v>Cuadrilla</v>
          </cell>
          <cell r="E421" t="str">
            <v>HR</v>
          </cell>
          <cell r="F421">
            <v>1.35</v>
          </cell>
          <cell r="G421">
            <v>25453</v>
          </cell>
          <cell r="H421">
            <v>34362</v>
          </cell>
        </row>
        <row r="422">
          <cell r="A422" t="str">
            <v>003.015</v>
          </cell>
          <cell r="B422" t="str">
            <v>E12</v>
          </cell>
          <cell r="C422" t="str">
            <v>EQUIPO DE TRANSPORTE</v>
          </cell>
          <cell r="D422" t="str">
            <v>Equipos</v>
          </cell>
          <cell r="E422" t="str">
            <v>DIA</v>
          </cell>
          <cell r="F422">
            <v>1.2999999999999999E-2</v>
          </cell>
          <cell r="G422">
            <v>131205</v>
          </cell>
          <cell r="H422">
            <v>1706</v>
          </cell>
        </row>
        <row r="423">
          <cell r="A423" t="str">
            <v>003.015</v>
          </cell>
          <cell r="B423" t="str">
            <v>H2</v>
          </cell>
          <cell r="C423" t="str">
            <v>EQUIPO BASICO (HERRAMIENTA MENOR)</v>
          </cell>
          <cell r="D423" t="str">
            <v>Herramienta</v>
          </cell>
          <cell r="E423" t="str">
            <v>UND</v>
          </cell>
          <cell r="F423">
            <v>0.2</v>
          </cell>
          <cell r="G423">
            <v>2536</v>
          </cell>
          <cell r="H423">
            <v>507</v>
          </cell>
        </row>
        <row r="424">
          <cell r="A424" t="str">
            <v>003.015</v>
          </cell>
          <cell r="B424" t="str">
            <v>I1565</v>
          </cell>
          <cell r="C424" t="str">
            <v>ACARREO INTERNO</v>
          </cell>
          <cell r="D424" t="str">
            <v>Insumo</v>
          </cell>
          <cell r="E424" t="str">
            <v>UND</v>
          </cell>
          <cell r="F424">
            <v>2.4</v>
          </cell>
          <cell r="G424">
            <v>1327</v>
          </cell>
          <cell r="H424">
            <v>3185</v>
          </cell>
        </row>
        <row r="425">
          <cell r="A425" t="str">
            <v>003.015</v>
          </cell>
          <cell r="B425" t="str">
            <v>I576</v>
          </cell>
          <cell r="C425" t="str">
            <v>CODO 90° 1/4 CXC SANITARIO 4''</v>
          </cell>
          <cell r="D425" t="str">
            <v>Insumo</v>
          </cell>
          <cell r="E425" t="str">
            <v>UND</v>
          </cell>
          <cell r="F425">
            <v>1</v>
          </cell>
          <cell r="G425">
            <v>12418</v>
          </cell>
          <cell r="H425">
            <v>12418</v>
          </cell>
        </row>
        <row r="426">
          <cell r="A426" t="str">
            <v>003.015</v>
          </cell>
          <cell r="B426" t="str">
            <v>I614</v>
          </cell>
          <cell r="C426" t="str">
            <v>LIMPIADOR REM PVC 760 GRMS. (1/4)</v>
          </cell>
          <cell r="D426" t="str">
            <v>Insumo</v>
          </cell>
          <cell r="E426" t="str">
            <v>UND</v>
          </cell>
          <cell r="F426">
            <v>0.08</v>
          </cell>
          <cell r="G426">
            <v>45425</v>
          </cell>
          <cell r="H426">
            <v>3634</v>
          </cell>
        </row>
        <row r="427">
          <cell r="A427" t="str">
            <v>003.015</v>
          </cell>
          <cell r="B427" t="str">
            <v>I647</v>
          </cell>
          <cell r="C427" t="str">
            <v>SOLDADURA PVC LIQUIDA 1/4</v>
          </cell>
          <cell r="D427" t="str">
            <v>Insumo</v>
          </cell>
          <cell r="E427" t="str">
            <v>UND</v>
          </cell>
          <cell r="F427">
            <v>0.08</v>
          </cell>
          <cell r="G427">
            <v>94162</v>
          </cell>
          <cell r="H427">
            <v>7533</v>
          </cell>
        </row>
        <row r="428">
          <cell r="A428" t="str">
            <v>003.015</v>
          </cell>
          <cell r="B428" t="str">
            <v>I754</v>
          </cell>
          <cell r="C428" t="str">
            <v xml:space="preserve">TUBO PVC SANITARIO 4" </v>
          </cell>
          <cell r="D428" t="str">
            <v>Insumo</v>
          </cell>
          <cell r="E428" t="str">
            <v>M</v>
          </cell>
          <cell r="F428">
            <v>1.55</v>
          </cell>
          <cell r="G428">
            <v>24534</v>
          </cell>
          <cell r="H428">
            <v>38028</v>
          </cell>
        </row>
        <row r="429">
          <cell r="A429" t="str">
            <v>003.015</v>
          </cell>
          <cell r="B429" t="str">
            <v>I827</v>
          </cell>
          <cell r="C429" t="str">
            <v xml:space="preserve">YEE SANITARIA 4'' </v>
          </cell>
          <cell r="D429" t="str">
            <v>Insumo</v>
          </cell>
          <cell r="E429" t="str">
            <v>UND</v>
          </cell>
          <cell r="F429">
            <v>1</v>
          </cell>
          <cell r="G429">
            <v>25277</v>
          </cell>
          <cell r="H429">
            <v>25277</v>
          </cell>
        </row>
        <row r="431">
          <cell r="A431" t="str">
            <v>003.022</v>
          </cell>
          <cell r="B431" t="str">
            <v>-</v>
          </cell>
          <cell r="C431" t="str">
            <v>SUMINISTRO, TRANSPORTE E INSTALACION TUBERIA PVC-S 1 1/2" (VENTILACION Y AGUAS LLUVIAS, INCLUYE ACCESORIOS)</v>
          </cell>
          <cell r="D431" t="str">
            <v>Actividad</v>
          </cell>
          <cell r="E431" t="str">
            <v>ML</v>
          </cell>
          <cell r="H431">
            <v>16864</v>
          </cell>
        </row>
        <row r="432">
          <cell r="A432" t="str">
            <v>003.022</v>
          </cell>
          <cell r="B432" t="str">
            <v>C16</v>
          </cell>
          <cell r="C432" t="str">
            <v>CUADRILLA BB TIPO 3 (1 OFICIAL + 3 AYUDANTE) (Instalaciones)</v>
          </cell>
          <cell r="D432" t="str">
            <v>Cuadrilla</v>
          </cell>
          <cell r="E432" t="str">
            <v>HR</v>
          </cell>
          <cell r="F432">
            <v>0.18</v>
          </cell>
          <cell r="G432">
            <v>32523</v>
          </cell>
          <cell r="H432">
            <v>5854</v>
          </cell>
        </row>
        <row r="433">
          <cell r="A433" t="str">
            <v>003.022</v>
          </cell>
          <cell r="B433" t="str">
            <v>E12</v>
          </cell>
          <cell r="C433" t="str">
            <v>EQUIPO DE TRANSPORTE</v>
          </cell>
          <cell r="D433" t="str">
            <v>Equipos</v>
          </cell>
          <cell r="E433" t="str">
            <v>DIA</v>
          </cell>
          <cell r="F433">
            <v>1E-3</v>
          </cell>
          <cell r="G433">
            <v>131205</v>
          </cell>
          <cell r="H433">
            <v>131</v>
          </cell>
        </row>
        <row r="434">
          <cell r="A434" t="str">
            <v>003.022</v>
          </cell>
          <cell r="B434" t="str">
            <v>H2</v>
          </cell>
          <cell r="C434" t="str">
            <v>EQUIPO BASICO (HERRAMIENTA MENOR)</v>
          </cell>
          <cell r="D434" t="str">
            <v>Herramienta</v>
          </cell>
          <cell r="E434" t="str">
            <v>UND</v>
          </cell>
          <cell r="F434">
            <v>0.25</v>
          </cell>
          <cell r="G434">
            <v>2536</v>
          </cell>
          <cell r="H434">
            <v>634</v>
          </cell>
        </row>
        <row r="435">
          <cell r="A435" t="str">
            <v>003.022</v>
          </cell>
          <cell r="B435" t="str">
            <v>I1565</v>
          </cell>
          <cell r="C435" t="str">
            <v>ACARREO INTERNO</v>
          </cell>
          <cell r="D435" t="str">
            <v>Insumo</v>
          </cell>
          <cell r="E435" t="str">
            <v>UND</v>
          </cell>
          <cell r="F435">
            <v>0.3</v>
          </cell>
          <cell r="G435">
            <v>1327</v>
          </cell>
          <cell r="H435">
            <v>398</v>
          </cell>
        </row>
        <row r="436">
          <cell r="A436" t="str">
            <v>003.022</v>
          </cell>
          <cell r="B436" t="str">
            <v>I521</v>
          </cell>
          <cell r="C436" t="str">
            <v>ABRAZADERA EN ACERO</v>
          </cell>
          <cell r="D436" t="str">
            <v>Insumo</v>
          </cell>
          <cell r="E436" t="str">
            <v>UND</v>
          </cell>
          <cell r="F436">
            <v>0.63</v>
          </cell>
          <cell r="G436">
            <v>2074</v>
          </cell>
          <cell r="H436">
            <v>1307</v>
          </cell>
        </row>
        <row r="437">
          <cell r="A437" t="str">
            <v>003.022</v>
          </cell>
          <cell r="B437" t="str">
            <v>I614</v>
          </cell>
          <cell r="C437" t="str">
            <v>LIMPIADOR REM PVC 760 GRMS. (1/4)</v>
          </cell>
          <cell r="D437" t="str">
            <v>Insumo</v>
          </cell>
          <cell r="E437" t="str">
            <v>UND</v>
          </cell>
          <cell r="F437">
            <v>0.02</v>
          </cell>
          <cell r="G437">
            <v>45425</v>
          </cell>
          <cell r="H437">
            <v>909</v>
          </cell>
        </row>
        <row r="438">
          <cell r="A438" t="str">
            <v>003.022</v>
          </cell>
          <cell r="B438" t="str">
            <v>I647</v>
          </cell>
          <cell r="C438" t="str">
            <v>SOLDADURA PVC LIQUIDA 1/4</v>
          </cell>
          <cell r="D438" t="str">
            <v>Insumo</v>
          </cell>
          <cell r="E438" t="str">
            <v>UND</v>
          </cell>
          <cell r="F438">
            <v>0.02</v>
          </cell>
          <cell r="G438">
            <v>94162</v>
          </cell>
          <cell r="H438">
            <v>1883</v>
          </cell>
        </row>
        <row r="439">
          <cell r="A439" t="str">
            <v>003.022</v>
          </cell>
          <cell r="B439" t="str">
            <v>I748</v>
          </cell>
          <cell r="C439" t="str">
            <v xml:space="preserve">TUBO PVC A.LL-VENTILACION  1 1/2'' </v>
          </cell>
          <cell r="D439" t="str">
            <v>Insumo</v>
          </cell>
          <cell r="E439" t="str">
            <v>M</v>
          </cell>
          <cell r="F439">
            <v>1.03</v>
          </cell>
          <cell r="G439">
            <v>5241</v>
          </cell>
          <cell r="H439">
            <v>5398</v>
          </cell>
        </row>
        <row r="440">
          <cell r="A440" t="str">
            <v>003.022</v>
          </cell>
          <cell r="B440" t="str">
            <v>I797</v>
          </cell>
          <cell r="C440" t="str">
            <v>UNION SANITARIA 1 1/2" PVC</v>
          </cell>
          <cell r="D440" t="str">
            <v>Insumo</v>
          </cell>
          <cell r="E440" t="str">
            <v>UND</v>
          </cell>
          <cell r="F440">
            <v>0.16</v>
          </cell>
          <cell r="G440">
            <v>2188</v>
          </cell>
          <cell r="H440">
            <v>350</v>
          </cell>
        </row>
        <row r="442">
          <cell r="A442" t="str">
            <v>003.023</v>
          </cell>
          <cell r="B442" t="str">
            <v>-</v>
          </cell>
          <cell r="C442" t="str">
            <v>SUMINISTRO, TRANSPORTE E INSTALACION TUBERIA PVC-S 2" (VENTILACION Y AGUAS LLUVIAS, INCLUYE ACCESORIOS)</v>
          </cell>
          <cell r="D442" t="str">
            <v>Actividad</v>
          </cell>
          <cell r="E442" t="str">
            <v>ML</v>
          </cell>
          <cell r="H442">
            <v>20011</v>
          </cell>
        </row>
        <row r="443">
          <cell r="A443" t="str">
            <v>003.023</v>
          </cell>
          <cell r="B443" t="str">
            <v>C16</v>
          </cell>
          <cell r="C443" t="str">
            <v>CUADRILLA BB TIPO 3 (1 OFICIAL + 3 AYUDANTE) (Instalaciones)</v>
          </cell>
          <cell r="D443" t="str">
            <v>Cuadrilla</v>
          </cell>
          <cell r="E443" t="str">
            <v>HR</v>
          </cell>
          <cell r="F443">
            <v>0.18</v>
          </cell>
          <cell r="G443">
            <v>32523</v>
          </cell>
          <cell r="H443">
            <v>5854</v>
          </cell>
        </row>
        <row r="444">
          <cell r="A444" t="str">
            <v>003.023</v>
          </cell>
          <cell r="B444" t="str">
            <v>E12</v>
          </cell>
          <cell r="C444" t="str">
            <v>EQUIPO DE TRANSPORTE</v>
          </cell>
          <cell r="D444" t="str">
            <v>Equipos</v>
          </cell>
          <cell r="E444" t="str">
            <v>DIA</v>
          </cell>
          <cell r="F444">
            <v>2E-3</v>
          </cell>
          <cell r="G444">
            <v>131205</v>
          </cell>
          <cell r="H444">
            <v>262</v>
          </cell>
        </row>
        <row r="445">
          <cell r="A445" t="str">
            <v>003.023</v>
          </cell>
          <cell r="B445" t="str">
            <v>H2</v>
          </cell>
          <cell r="C445" t="str">
            <v>EQUIPO BASICO (HERRAMIENTA MENOR)</v>
          </cell>
          <cell r="D445" t="str">
            <v>Herramienta</v>
          </cell>
          <cell r="E445" t="str">
            <v>UND</v>
          </cell>
          <cell r="F445">
            <v>0.1</v>
          </cell>
          <cell r="G445">
            <v>2536</v>
          </cell>
          <cell r="H445">
            <v>254</v>
          </cell>
        </row>
        <row r="446">
          <cell r="A446" t="str">
            <v>003.023</v>
          </cell>
          <cell r="B446" t="str">
            <v>I1565</v>
          </cell>
          <cell r="C446" t="str">
            <v>ACARREO INTERNO</v>
          </cell>
          <cell r="D446" t="str">
            <v>Insumo</v>
          </cell>
          <cell r="E446" t="str">
            <v>UND</v>
          </cell>
          <cell r="F446">
            <v>0.3</v>
          </cell>
          <cell r="G446">
            <v>1327</v>
          </cell>
          <cell r="H446">
            <v>398</v>
          </cell>
        </row>
        <row r="447">
          <cell r="A447" t="str">
            <v>003.023</v>
          </cell>
          <cell r="B447" t="str">
            <v>I521</v>
          </cell>
          <cell r="C447" t="str">
            <v>ABRAZADERA EN ACERO</v>
          </cell>
          <cell r="D447" t="str">
            <v>Insumo</v>
          </cell>
          <cell r="E447" t="str">
            <v>UND</v>
          </cell>
          <cell r="F447">
            <v>0.63</v>
          </cell>
          <cell r="G447">
            <v>2074</v>
          </cell>
          <cell r="H447">
            <v>1307</v>
          </cell>
        </row>
        <row r="448">
          <cell r="A448" t="str">
            <v>003.023</v>
          </cell>
          <cell r="B448" t="str">
            <v>I614</v>
          </cell>
          <cell r="C448" t="str">
            <v>LIMPIADOR REM PVC 760 GRMS. (1/4)</v>
          </cell>
          <cell r="D448" t="str">
            <v>Insumo</v>
          </cell>
          <cell r="E448" t="str">
            <v>UND</v>
          </cell>
          <cell r="F448">
            <v>0.02</v>
          </cell>
          <cell r="G448">
            <v>45425</v>
          </cell>
          <cell r="H448">
            <v>909</v>
          </cell>
        </row>
        <row r="449">
          <cell r="A449" t="str">
            <v>003.023</v>
          </cell>
          <cell r="B449" t="str">
            <v>I647</v>
          </cell>
          <cell r="C449" t="str">
            <v>SOLDADURA PVC LIQUIDA 1/4</v>
          </cell>
          <cell r="D449" t="str">
            <v>Insumo</v>
          </cell>
          <cell r="E449" t="str">
            <v>UND</v>
          </cell>
          <cell r="F449">
            <v>0.02</v>
          </cell>
          <cell r="G449">
            <v>94162</v>
          </cell>
          <cell r="H449">
            <v>1883</v>
          </cell>
        </row>
        <row r="450">
          <cell r="A450" t="str">
            <v>003.023</v>
          </cell>
          <cell r="B450" t="str">
            <v>I749</v>
          </cell>
          <cell r="C450" t="str">
            <v>TUBO PVC A.LL-VENTILACION  2''</v>
          </cell>
          <cell r="D450" t="str">
            <v>Insumo</v>
          </cell>
          <cell r="E450" t="str">
            <v>M</v>
          </cell>
          <cell r="F450">
            <v>1.03</v>
          </cell>
          <cell r="G450">
            <v>8488</v>
          </cell>
          <cell r="H450">
            <v>8743</v>
          </cell>
        </row>
        <row r="451">
          <cell r="A451" t="str">
            <v>003.023</v>
          </cell>
          <cell r="B451" t="str">
            <v>I793</v>
          </cell>
          <cell r="C451" t="str">
            <v>UNION SANITARIA  2'' PVC</v>
          </cell>
          <cell r="D451" t="str">
            <v>Insumo</v>
          </cell>
          <cell r="E451" t="str">
            <v>UND</v>
          </cell>
          <cell r="F451">
            <v>0.16</v>
          </cell>
          <cell r="G451">
            <v>2509</v>
          </cell>
          <cell r="H451">
            <v>401</v>
          </cell>
        </row>
        <row r="453">
          <cell r="A453" t="str">
            <v>003.029</v>
          </cell>
          <cell r="B453" t="str">
            <v>-</v>
          </cell>
          <cell r="C453" t="str">
            <v>SUMINISTRO, TRANSPORTE E INSTALACION TUBERIA PVC-S  4" (RED SANITARIA, INCLUYE ACCESORIOS)</v>
          </cell>
          <cell r="D453" t="str">
            <v>Actividad</v>
          </cell>
          <cell r="E453" t="str">
            <v>ML</v>
          </cell>
          <cell r="H453">
            <v>34214</v>
          </cell>
        </row>
        <row r="454">
          <cell r="A454" t="str">
            <v>003.029</v>
          </cell>
          <cell r="B454" t="str">
            <v>C16</v>
          </cell>
          <cell r="C454" t="str">
            <v>CUADRILLA BB TIPO 3 (1 OFICIAL + 3 AYUDANTE) (Instalaciones)</v>
          </cell>
          <cell r="D454" t="str">
            <v>Cuadrilla</v>
          </cell>
          <cell r="E454" t="str">
            <v>HR</v>
          </cell>
          <cell r="F454">
            <v>0.1</v>
          </cell>
          <cell r="G454">
            <v>32523</v>
          </cell>
          <cell r="H454">
            <v>3252</v>
          </cell>
        </row>
        <row r="455">
          <cell r="A455" t="str">
            <v>003.029</v>
          </cell>
          <cell r="B455" t="str">
            <v>E12</v>
          </cell>
          <cell r="C455" t="str">
            <v>EQUIPO DE TRANSPORTE</v>
          </cell>
          <cell r="D455" t="str">
            <v>Equipos</v>
          </cell>
          <cell r="E455" t="str">
            <v>DIA</v>
          </cell>
          <cell r="F455">
            <v>4.0000000000000001E-3</v>
          </cell>
          <cell r="G455">
            <v>131205</v>
          </cell>
          <cell r="H455">
            <v>525</v>
          </cell>
        </row>
        <row r="456">
          <cell r="A456" t="str">
            <v>003.029</v>
          </cell>
          <cell r="B456" t="str">
            <v>H2</v>
          </cell>
          <cell r="C456" t="str">
            <v>EQUIPO BASICO (HERRAMIENTA MENOR)</v>
          </cell>
          <cell r="D456" t="str">
            <v>Herramienta</v>
          </cell>
          <cell r="E456" t="str">
            <v>UND</v>
          </cell>
          <cell r="F456">
            <v>0.1</v>
          </cell>
          <cell r="G456">
            <v>2536</v>
          </cell>
          <cell r="H456">
            <v>254</v>
          </cell>
        </row>
        <row r="457">
          <cell r="A457" t="str">
            <v>003.029</v>
          </cell>
          <cell r="B457" t="str">
            <v>I1565</v>
          </cell>
          <cell r="C457" t="str">
            <v>ACARREO INTERNO</v>
          </cell>
          <cell r="D457" t="str">
            <v>Insumo</v>
          </cell>
          <cell r="E457" t="str">
            <v>UND</v>
          </cell>
          <cell r="F457">
            <v>0.2</v>
          </cell>
          <cell r="G457">
            <v>1327</v>
          </cell>
          <cell r="H457">
            <v>265</v>
          </cell>
        </row>
        <row r="458">
          <cell r="A458" t="str">
            <v>003.029</v>
          </cell>
          <cell r="B458" t="str">
            <v>I614</v>
          </cell>
          <cell r="C458" t="str">
            <v>LIMPIADOR REM PVC 760 GRMS. (1/4)</v>
          </cell>
          <cell r="D458" t="str">
            <v>Insumo</v>
          </cell>
          <cell r="E458" t="str">
            <v>UND</v>
          </cell>
          <cell r="F458">
            <v>2.5000000000000001E-2</v>
          </cell>
          <cell r="G458">
            <v>45425</v>
          </cell>
          <cell r="H458">
            <v>1136</v>
          </cell>
        </row>
        <row r="459">
          <cell r="A459" t="str">
            <v>003.029</v>
          </cell>
          <cell r="B459" t="str">
            <v>I647</v>
          </cell>
          <cell r="C459" t="str">
            <v>SOLDADURA PVC LIQUIDA 1/4</v>
          </cell>
          <cell r="D459" t="str">
            <v>Insumo</v>
          </cell>
          <cell r="E459" t="str">
            <v>UND</v>
          </cell>
          <cell r="F459">
            <v>2.5000000000000001E-2</v>
          </cell>
          <cell r="G459">
            <v>94162</v>
          </cell>
          <cell r="H459">
            <v>2354</v>
          </cell>
        </row>
        <row r="460">
          <cell r="A460" t="str">
            <v>003.029</v>
          </cell>
          <cell r="B460" t="str">
            <v>I754</v>
          </cell>
          <cell r="C460" t="str">
            <v xml:space="preserve">TUBO PVC SANITARIO 4" </v>
          </cell>
          <cell r="D460" t="str">
            <v>Insumo</v>
          </cell>
          <cell r="E460" t="str">
            <v>M</v>
          </cell>
          <cell r="F460">
            <v>1.03</v>
          </cell>
          <cell r="G460">
            <v>24534</v>
          </cell>
          <cell r="H460">
            <v>25270</v>
          </cell>
        </row>
        <row r="461">
          <cell r="A461" t="str">
            <v>003.029</v>
          </cell>
          <cell r="B461" t="str">
            <v>I795</v>
          </cell>
          <cell r="C461" t="str">
            <v>UNION SANITARIA 4" PVC</v>
          </cell>
          <cell r="D461" t="str">
            <v>Insumo</v>
          </cell>
          <cell r="E461" t="str">
            <v>UND</v>
          </cell>
          <cell r="F461">
            <v>0.16</v>
          </cell>
          <cell r="G461">
            <v>7235</v>
          </cell>
          <cell r="H461">
            <v>1158</v>
          </cell>
        </row>
        <row r="463">
          <cell r="A463" t="str">
            <v>003.030</v>
          </cell>
          <cell r="B463" t="str">
            <v>-</v>
          </cell>
          <cell r="C463" t="str">
            <v>SUMINISTRO, TRANSPORTE E INSTALACION TUBERIA PVC-S  6" (RED SANITARIA, INCLUYE ACCESORIOS)</v>
          </cell>
          <cell r="D463" t="str">
            <v>Actividad</v>
          </cell>
          <cell r="E463" t="str">
            <v>ML</v>
          </cell>
          <cell r="H463">
            <v>70023</v>
          </cell>
        </row>
        <row r="464">
          <cell r="A464" t="str">
            <v>003.030</v>
          </cell>
          <cell r="B464" t="str">
            <v>C16</v>
          </cell>
          <cell r="C464" t="str">
            <v>CUADRILLA BB TIPO 3 (1 OFICIAL + 3 AYUDANTE) (Instalaciones)</v>
          </cell>
          <cell r="D464" t="str">
            <v>Cuadrilla</v>
          </cell>
          <cell r="E464" t="str">
            <v>HR</v>
          </cell>
          <cell r="F464">
            <v>0.13</v>
          </cell>
          <cell r="G464">
            <v>32523</v>
          </cell>
          <cell r="H464">
            <v>4228</v>
          </cell>
        </row>
        <row r="465">
          <cell r="A465" t="str">
            <v>003.030</v>
          </cell>
          <cell r="B465" t="str">
            <v>E12</v>
          </cell>
          <cell r="C465" t="str">
            <v>EQUIPO DE TRANSPORTE</v>
          </cell>
          <cell r="D465" t="str">
            <v>Equipos</v>
          </cell>
          <cell r="E465" t="str">
            <v>DIA</v>
          </cell>
          <cell r="F465">
            <v>8.9999999999999993E-3</v>
          </cell>
          <cell r="G465">
            <v>131205</v>
          </cell>
          <cell r="H465">
            <v>1181</v>
          </cell>
        </row>
        <row r="466">
          <cell r="A466" t="str">
            <v>003.030</v>
          </cell>
          <cell r="B466" t="str">
            <v>H2</v>
          </cell>
          <cell r="C466" t="str">
            <v>EQUIPO BASICO (HERRAMIENTA MENOR)</v>
          </cell>
          <cell r="D466" t="str">
            <v>Herramienta</v>
          </cell>
          <cell r="E466" t="str">
            <v>UND</v>
          </cell>
          <cell r="F466">
            <v>0.1</v>
          </cell>
          <cell r="G466">
            <v>2536</v>
          </cell>
          <cell r="H466">
            <v>254</v>
          </cell>
        </row>
        <row r="467">
          <cell r="A467" t="str">
            <v>003.030</v>
          </cell>
          <cell r="B467" t="str">
            <v>I1565</v>
          </cell>
          <cell r="C467" t="str">
            <v>ACARREO INTERNO</v>
          </cell>
          <cell r="D467" t="str">
            <v>Insumo</v>
          </cell>
          <cell r="E467" t="str">
            <v>UND</v>
          </cell>
          <cell r="F467">
            <v>0.3</v>
          </cell>
          <cell r="G467">
            <v>1327</v>
          </cell>
          <cell r="H467">
            <v>398</v>
          </cell>
        </row>
        <row r="468">
          <cell r="A468" t="str">
            <v>003.030</v>
          </cell>
          <cell r="B468" t="str">
            <v>I407</v>
          </cell>
          <cell r="C468" t="str">
            <v>CINTA DE DEMARCACION * 10 M.</v>
          </cell>
          <cell r="D468" t="str">
            <v>Insumo</v>
          </cell>
          <cell r="E468" t="str">
            <v>M</v>
          </cell>
          <cell r="F468">
            <v>1.03</v>
          </cell>
          <cell r="G468">
            <v>140</v>
          </cell>
          <cell r="H468">
            <v>144</v>
          </cell>
        </row>
        <row r="469">
          <cell r="A469" t="str">
            <v>003.030</v>
          </cell>
          <cell r="B469" t="str">
            <v>I614</v>
          </cell>
          <cell r="C469" t="str">
            <v>LIMPIADOR REM PVC 760 GRMS. (1/4)</v>
          </cell>
          <cell r="D469" t="str">
            <v>Insumo</v>
          </cell>
          <cell r="E469" t="str">
            <v>UND</v>
          </cell>
          <cell r="F469">
            <v>0.03</v>
          </cell>
          <cell r="G469">
            <v>45425</v>
          </cell>
          <cell r="H469">
            <v>1363</v>
          </cell>
        </row>
        <row r="470">
          <cell r="A470" t="str">
            <v>003.030</v>
          </cell>
          <cell r="B470" t="str">
            <v>I647</v>
          </cell>
          <cell r="C470" t="str">
            <v>SOLDADURA PVC LIQUIDA 1/4</v>
          </cell>
          <cell r="D470" t="str">
            <v>Insumo</v>
          </cell>
          <cell r="E470" t="str">
            <v>UND</v>
          </cell>
          <cell r="F470">
            <v>0.03</v>
          </cell>
          <cell r="G470">
            <v>94162</v>
          </cell>
          <cell r="H470">
            <v>2825</v>
          </cell>
        </row>
        <row r="471">
          <cell r="A471" t="str">
            <v>003.030</v>
          </cell>
          <cell r="B471" t="str">
            <v>I755</v>
          </cell>
          <cell r="C471" t="str">
            <v xml:space="preserve">TUBO PVC SANITARIO 6" </v>
          </cell>
          <cell r="D471" t="str">
            <v>Insumo</v>
          </cell>
          <cell r="E471" t="str">
            <v>M</v>
          </cell>
          <cell r="F471">
            <v>1.05</v>
          </cell>
          <cell r="G471">
            <v>51958</v>
          </cell>
          <cell r="H471">
            <v>54556</v>
          </cell>
        </row>
        <row r="472">
          <cell r="A472" t="str">
            <v>003.030</v>
          </cell>
          <cell r="B472" t="str">
            <v>I796</v>
          </cell>
          <cell r="C472" t="str">
            <v>UNION SANITARIA 6" PVC</v>
          </cell>
          <cell r="D472" t="str">
            <v>Insumo</v>
          </cell>
          <cell r="E472" t="str">
            <v>UND</v>
          </cell>
          <cell r="F472">
            <v>0.16</v>
          </cell>
          <cell r="G472">
            <v>31714</v>
          </cell>
          <cell r="H472">
            <v>5074</v>
          </cell>
        </row>
        <row r="474">
          <cell r="A474" t="str">
            <v>007.022</v>
          </cell>
          <cell r="B474" t="str">
            <v>-</v>
          </cell>
          <cell r="C474" t="str">
            <v>SUMINISTRO, TRANSPORTE E INSTALACION TUBERIA PVC-P RDE 11 1/2" Agua Fria ( Red de suministro ) Incluye accesorios</v>
          </cell>
          <cell r="D474" t="str">
            <v>Actividad</v>
          </cell>
          <cell r="E474" t="str">
            <v>ML</v>
          </cell>
          <cell r="H474">
            <v>13979</v>
          </cell>
        </row>
        <row r="475">
          <cell r="A475" t="str">
            <v>007.022</v>
          </cell>
          <cell r="B475" t="str">
            <v>C2</v>
          </cell>
          <cell r="C475" t="str">
            <v>CUADRILLA BB TIPO 1 (1 OFICIAL + 1 AYUDANTE) (Instalaciones)</v>
          </cell>
          <cell r="D475" t="str">
            <v>Cuadrilla</v>
          </cell>
          <cell r="E475" t="str">
            <v>HR</v>
          </cell>
          <cell r="F475">
            <v>0.34</v>
          </cell>
          <cell r="G475">
            <v>18383</v>
          </cell>
          <cell r="H475">
            <v>6250</v>
          </cell>
        </row>
        <row r="476">
          <cell r="A476" t="str">
            <v>007.022</v>
          </cell>
          <cell r="B476" t="str">
            <v>E12</v>
          </cell>
          <cell r="C476" t="str">
            <v>EQUIPO DE TRANSPORTE</v>
          </cell>
          <cell r="D476" t="str">
            <v>Equipos</v>
          </cell>
          <cell r="E476" t="str">
            <v>DIA</v>
          </cell>
          <cell r="F476">
            <v>4.0000000000000002E-4</v>
          </cell>
          <cell r="G476">
            <v>131205</v>
          </cell>
          <cell r="H476">
            <v>52</v>
          </cell>
        </row>
        <row r="477">
          <cell r="A477" t="str">
            <v>007.022</v>
          </cell>
          <cell r="B477" t="str">
            <v>H2</v>
          </cell>
          <cell r="C477" t="str">
            <v>EQUIPO BASICO (HERRAMIENTA MENOR)</v>
          </cell>
          <cell r="D477" t="str">
            <v>Herramienta</v>
          </cell>
          <cell r="E477" t="str">
            <v>UND</v>
          </cell>
          <cell r="F477">
            <v>0.2</v>
          </cell>
          <cell r="G477">
            <v>2536</v>
          </cell>
          <cell r="H477">
            <v>507</v>
          </cell>
        </row>
        <row r="478">
          <cell r="A478" t="str">
            <v>007.022</v>
          </cell>
          <cell r="B478" t="str">
            <v>I1565</v>
          </cell>
          <cell r="C478" t="str">
            <v>ACARREO INTERNO</v>
          </cell>
          <cell r="D478" t="str">
            <v>Insumo</v>
          </cell>
          <cell r="E478" t="str">
            <v>UND</v>
          </cell>
          <cell r="F478">
            <v>0.3</v>
          </cell>
          <cell r="G478">
            <v>1327</v>
          </cell>
          <cell r="H478">
            <v>398</v>
          </cell>
        </row>
        <row r="479">
          <cell r="A479" t="str">
            <v>007.022</v>
          </cell>
          <cell r="B479" t="str">
            <v>I528</v>
          </cell>
          <cell r="C479" t="str">
            <v>ACCESORIOS PVC-P  1/2" ( CODO , UNIÓN Y TAPÓN )</v>
          </cell>
          <cell r="D479" t="str">
            <v>Insumo</v>
          </cell>
          <cell r="E479" t="str">
            <v>UND</v>
          </cell>
          <cell r="F479">
            <v>0.16700000000000001</v>
          </cell>
          <cell r="G479">
            <v>1329</v>
          </cell>
          <cell r="H479">
            <v>222</v>
          </cell>
        </row>
        <row r="480">
          <cell r="A480" t="str">
            <v>007.022</v>
          </cell>
          <cell r="B480" t="str">
            <v>I614</v>
          </cell>
          <cell r="C480" t="str">
            <v>LIMPIADOR REM PVC 760 GRMS. (1/4)</v>
          </cell>
          <cell r="D480" t="str">
            <v>Insumo</v>
          </cell>
          <cell r="E480" t="str">
            <v>UND</v>
          </cell>
          <cell r="F480">
            <v>0.02</v>
          </cell>
          <cell r="G480">
            <v>45425</v>
          </cell>
          <cell r="H480">
            <v>909</v>
          </cell>
        </row>
        <row r="481">
          <cell r="A481" t="str">
            <v>007.022</v>
          </cell>
          <cell r="B481" t="str">
            <v>I647</v>
          </cell>
          <cell r="C481" t="str">
            <v>SOLDADURA PVC LIQUIDA 1/4</v>
          </cell>
          <cell r="D481" t="str">
            <v>Insumo</v>
          </cell>
          <cell r="E481" t="str">
            <v>UND</v>
          </cell>
          <cell r="F481">
            <v>0.02</v>
          </cell>
          <cell r="G481">
            <v>94162</v>
          </cell>
          <cell r="H481">
            <v>1883</v>
          </cell>
        </row>
        <row r="482">
          <cell r="A482" t="str">
            <v>007.022</v>
          </cell>
          <cell r="B482" t="str">
            <v>I747</v>
          </cell>
          <cell r="C482" t="str">
            <v xml:space="preserve">TUBO PRESION RDE 9 PVC 500 PSI  -  1/2" </v>
          </cell>
          <cell r="D482" t="str">
            <v>Insumo</v>
          </cell>
          <cell r="E482" t="str">
            <v>M</v>
          </cell>
          <cell r="F482">
            <v>1.03</v>
          </cell>
          <cell r="G482">
            <v>3649</v>
          </cell>
          <cell r="H482">
            <v>3758</v>
          </cell>
        </row>
        <row r="484">
          <cell r="A484" t="str">
            <v>007.023</v>
          </cell>
          <cell r="B484" t="str">
            <v>-</v>
          </cell>
          <cell r="C484" t="str">
            <v>SUMINISTRO, TRANSPORTE E INSTALACION TUBERIA PVC-P RDE 11 3/4" Agua Fria ( Red de suministro ) Incluye accesorios</v>
          </cell>
          <cell r="D484" t="str">
            <v>Actividad</v>
          </cell>
          <cell r="E484" t="str">
            <v>ML</v>
          </cell>
          <cell r="H484">
            <v>13885</v>
          </cell>
        </row>
        <row r="485">
          <cell r="A485" t="str">
            <v>007.023</v>
          </cell>
          <cell r="B485" t="str">
            <v>C2</v>
          </cell>
          <cell r="C485" t="str">
            <v>CUADRILLA BB TIPO 1 (1 OFICIAL + 1 AYUDANTE) (Instalaciones)</v>
          </cell>
          <cell r="D485" t="str">
            <v>Cuadrilla</v>
          </cell>
          <cell r="E485" t="str">
            <v>HR</v>
          </cell>
          <cell r="F485">
            <v>0.34</v>
          </cell>
          <cell r="G485">
            <v>18383</v>
          </cell>
          <cell r="H485">
            <v>6250</v>
          </cell>
        </row>
        <row r="486">
          <cell r="A486" t="str">
            <v>007.023</v>
          </cell>
          <cell r="B486" t="str">
            <v>E12</v>
          </cell>
          <cell r="C486" t="str">
            <v>EQUIPO DE TRANSPORTE</v>
          </cell>
          <cell r="D486" t="str">
            <v>Equipos</v>
          </cell>
          <cell r="E486" t="str">
            <v>DIA</v>
          </cell>
          <cell r="F486">
            <v>1E-3</v>
          </cell>
          <cell r="G486">
            <v>131205</v>
          </cell>
          <cell r="H486">
            <v>131</v>
          </cell>
        </row>
        <row r="487">
          <cell r="A487" t="str">
            <v>007.023</v>
          </cell>
          <cell r="B487" t="str">
            <v>H2</v>
          </cell>
          <cell r="C487" t="str">
            <v>EQUIPO BASICO (HERRAMIENTA MENOR)</v>
          </cell>
          <cell r="D487" t="str">
            <v>Herramienta</v>
          </cell>
          <cell r="E487" t="str">
            <v>UND</v>
          </cell>
          <cell r="F487">
            <v>0.2</v>
          </cell>
          <cell r="G487">
            <v>2536</v>
          </cell>
          <cell r="H487">
            <v>507</v>
          </cell>
        </row>
        <row r="488">
          <cell r="A488" t="str">
            <v>007.023</v>
          </cell>
          <cell r="B488" t="str">
            <v>I1565</v>
          </cell>
          <cell r="C488" t="str">
            <v>ACARREO INTERNO</v>
          </cell>
          <cell r="D488" t="str">
            <v>Insumo</v>
          </cell>
          <cell r="E488" t="str">
            <v>UND</v>
          </cell>
          <cell r="F488">
            <v>0.38</v>
          </cell>
          <cell r="G488">
            <v>1327</v>
          </cell>
          <cell r="H488">
            <v>504</v>
          </cell>
        </row>
        <row r="489">
          <cell r="A489" t="str">
            <v>007.023</v>
          </cell>
          <cell r="B489" t="str">
            <v>I532</v>
          </cell>
          <cell r="C489" t="str">
            <v>ACCESORIOS PVC-P  3/4" ( CODO , UNIÓN Y TAPÓN )</v>
          </cell>
          <cell r="D489" t="str">
            <v>Insumo</v>
          </cell>
          <cell r="E489" t="str">
            <v>UND</v>
          </cell>
          <cell r="F489">
            <v>0.16700000000000001</v>
          </cell>
          <cell r="G489">
            <v>2267</v>
          </cell>
          <cell r="H489">
            <v>379</v>
          </cell>
        </row>
        <row r="490">
          <cell r="A490" t="str">
            <v>007.023</v>
          </cell>
          <cell r="B490" t="str">
            <v>I614</v>
          </cell>
          <cell r="C490" t="str">
            <v>LIMPIADOR REM PVC 760 GRMS. (1/4)</v>
          </cell>
          <cell r="D490" t="str">
            <v>Insumo</v>
          </cell>
          <cell r="E490" t="str">
            <v>UND</v>
          </cell>
          <cell r="F490">
            <v>0.02</v>
          </cell>
          <cell r="G490">
            <v>45425</v>
          </cell>
          <cell r="H490">
            <v>909</v>
          </cell>
        </row>
        <row r="491">
          <cell r="A491" t="str">
            <v>007.023</v>
          </cell>
          <cell r="B491" t="str">
            <v>I647</v>
          </cell>
          <cell r="C491" t="str">
            <v>SOLDADURA PVC LIQUIDA 1/4</v>
          </cell>
          <cell r="D491" t="str">
            <v>Insumo</v>
          </cell>
          <cell r="E491" t="str">
            <v>UND</v>
          </cell>
          <cell r="F491">
            <v>0.02</v>
          </cell>
          <cell r="G491">
            <v>94162</v>
          </cell>
          <cell r="H491">
            <v>1883</v>
          </cell>
        </row>
        <row r="492">
          <cell r="A492" t="str">
            <v>007.023</v>
          </cell>
          <cell r="B492" t="str">
            <v>I742</v>
          </cell>
          <cell r="C492" t="str">
            <v>TUBO PRESION RDE 21 PVC  200 PSI  -  3/4"</v>
          </cell>
          <cell r="D492" t="str">
            <v>Insumo</v>
          </cell>
          <cell r="E492" t="str">
            <v>M</v>
          </cell>
          <cell r="F492">
            <v>1.03</v>
          </cell>
          <cell r="G492">
            <v>3225</v>
          </cell>
          <cell r="H492">
            <v>3322</v>
          </cell>
        </row>
        <row r="494">
          <cell r="A494" t="str">
            <v>007.024</v>
          </cell>
          <cell r="B494" t="str">
            <v>-</v>
          </cell>
          <cell r="C494" t="str">
            <v>SUMINISTRO, TRANSPORTE E INSTALACION TUBERIA PVC-P  RDE 21  1" Agua Fria  (Red de suministro)  Incluye accesorios</v>
          </cell>
          <cell r="D494" t="str">
            <v>Actividad</v>
          </cell>
          <cell r="E494" t="str">
            <v>ML</v>
          </cell>
          <cell r="H494">
            <v>15563</v>
          </cell>
        </row>
        <row r="495">
          <cell r="A495" t="str">
            <v>007.024</v>
          </cell>
          <cell r="B495" t="str">
            <v>C2</v>
          </cell>
          <cell r="C495" t="str">
            <v>CUADRILLA BB TIPO 1 (1 OFICIAL + 1 AYUDANTE) (Instalaciones)</v>
          </cell>
          <cell r="D495" t="str">
            <v>Cuadrilla</v>
          </cell>
          <cell r="E495" t="str">
            <v>HR</v>
          </cell>
          <cell r="F495">
            <v>0.34</v>
          </cell>
          <cell r="G495">
            <v>18383</v>
          </cell>
          <cell r="H495">
            <v>6250</v>
          </cell>
        </row>
        <row r="496">
          <cell r="A496" t="str">
            <v>007.024</v>
          </cell>
          <cell r="B496" t="str">
            <v>E12</v>
          </cell>
          <cell r="C496" t="str">
            <v>EQUIPO DE TRANSPORTE</v>
          </cell>
          <cell r="D496" t="str">
            <v>Equipos</v>
          </cell>
          <cell r="E496" t="str">
            <v>DIA</v>
          </cell>
          <cell r="F496">
            <v>1.1999999999999999E-3</v>
          </cell>
          <cell r="G496">
            <v>131205</v>
          </cell>
          <cell r="H496">
            <v>157</v>
          </cell>
        </row>
        <row r="497">
          <cell r="A497" t="str">
            <v>007.024</v>
          </cell>
          <cell r="B497" t="str">
            <v>H2</v>
          </cell>
          <cell r="C497" t="str">
            <v>EQUIPO BASICO (HERRAMIENTA MENOR)</v>
          </cell>
          <cell r="D497" t="str">
            <v>Herramienta</v>
          </cell>
          <cell r="E497" t="str">
            <v>UND</v>
          </cell>
          <cell r="F497">
            <v>0.2</v>
          </cell>
          <cell r="G497">
            <v>2536</v>
          </cell>
          <cell r="H497">
            <v>507</v>
          </cell>
        </row>
        <row r="498">
          <cell r="A498" t="str">
            <v>007.024</v>
          </cell>
          <cell r="B498" t="str">
            <v>I1565</v>
          </cell>
          <cell r="C498" t="str">
            <v>ACARREO INTERNO</v>
          </cell>
          <cell r="D498" t="str">
            <v>Insumo</v>
          </cell>
          <cell r="E498" t="str">
            <v>UND</v>
          </cell>
          <cell r="F498">
            <v>0.39</v>
          </cell>
          <cell r="G498">
            <v>1327</v>
          </cell>
          <cell r="H498">
            <v>518</v>
          </cell>
        </row>
        <row r="499">
          <cell r="A499" t="str">
            <v>007.024</v>
          </cell>
          <cell r="B499" t="str">
            <v>I527</v>
          </cell>
          <cell r="C499" t="str">
            <v>ACCESORIOS PVC-P  1" ( CODO, UNIÓN Y TAPÓN )</v>
          </cell>
          <cell r="D499" t="str">
            <v>Insumo</v>
          </cell>
          <cell r="E499" t="str">
            <v>UND</v>
          </cell>
          <cell r="F499">
            <v>0.16700000000000001</v>
          </cell>
          <cell r="G499">
            <v>4047</v>
          </cell>
          <cell r="H499">
            <v>676</v>
          </cell>
        </row>
        <row r="500">
          <cell r="A500" t="str">
            <v>007.024</v>
          </cell>
          <cell r="B500" t="str">
            <v>I614</v>
          </cell>
          <cell r="C500" t="str">
            <v>LIMPIADOR REM PVC 760 GRMS. (1/4)</v>
          </cell>
          <cell r="D500" t="str">
            <v>Insumo</v>
          </cell>
          <cell r="E500" t="str">
            <v>UND</v>
          </cell>
          <cell r="F500">
            <v>0.02</v>
          </cell>
          <cell r="G500">
            <v>45425</v>
          </cell>
          <cell r="H500">
            <v>909</v>
          </cell>
        </row>
        <row r="501">
          <cell r="A501" t="str">
            <v>007.024</v>
          </cell>
          <cell r="B501" t="str">
            <v>I647</v>
          </cell>
          <cell r="C501" t="str">
            <v>SOLDADURA PVC LIQUIDA 1/4</v>
          </cell>
          <cell r="D501" t="str">
            <v>Insumo</v>
          </cell>
          <cell r="E501" t="str">
            <v>UND</v>
          </cell>
          <cell r="F501">
            <v>0.02</v>
          </cell>
          <cell r="G501">
            <v>94162</v>
          </cell>
          <cell r="H501">
            <v>1883</v>
          </cell>
        </row>
        <row r="502">
          <cell r="A502" t="str">
            <v>007.024</v>
          </cell>
          <cell r="B502" t="str">
            <v>I743</v>
          </cell>
          <cell r="C502" t="str">
            <v xml:space="preserve">TUBO PRESION RDE 21 PVC 200 PSI  -  1" </v>
          </cell>
          <cell r="D502" t="str">
            <v>Insumo</v>
          </cell>
          <cell r="E502" t="str">
            <v>M</v>
          </cell>
          <cell r="F502">
            <v>1.03</v>
          </cell>
          <cell r="G502">
            <v>4527</v>
          </cell>
          <cell r="H502">
            <v>4663</v>
          </cell>
        </row>
        <row r="504">
          <cell r="A504" t="str">
            <v>007.025</v>
          </cell>
          <cell r="B504" t="str">
            <v>-</v>
          </cell>
          <cell r="C504" t="str">
            <v>SUMINISTRO, TRANSPORTE E INSTALACION TUBERIA PVC-P  RDE 21  1 1/4"  Agua Fria  (Red de suministro) Incluye accesorios</v>
          </cell>
          <cell r="D504" t="str">
            <v>Actividad</v>
          </cell>
          <cell r="E504" t="str">
            <v>ML</v>
          </cell>
          <cell r="H504">
            <v>20289</v>
          </cell>
        </row>
        <row r="505">
          <cell r="A505" t="str">
            <v>007.025</v>
          </cell>
          <cell r="B505" t="str">
            <v>C2</v>
          </cell>
          <cell r="C505" t="str">
            <v>CUADRILLA BB TIPO 1 (1 OFICIAL + 1 AYUDANTE) (Instalaciones)</v>
          </cell>
          <cell r="D505" t="str">
            <v>Cuadrilla</v>
          </cell>
          <cell r="E505" t="str">
            <v>HR</v>
          </cell>
          <cell r="F505">
            <v>0.3</v>
          </cell>
          <cell r="G505">
            <v>18383</v>
          </cell>
          <cell r="H505">
            <v>5515</v>
          </cell>
        </row>
        <row r="506">
          <cell r="A506" t="str">
            <v>007.025</v>
          </cell>
          <cell r="B506" t="str">
            <v>E12</v>
          </cell>
          <cell r="C506" t="str">
            <v>EQUIPO DE TRANSPORTE</v>
          </cell>
          <cell r="D506" t="str">
            <v>Equipos</v>
          </cell>
          <cell r="E506" t="str">
            <v>DIA</v>
          </cell>
          <cell r="F506">
            <v>1.8E-3</v>
          </cell>
          <cell r="G506">
            <v>131205</v>
          </cell>
          <cell r="H506">
            <v>236</v>
          </cell>
        </row>
        <row r="507">
          <cell r="A507" t="str">
            <v>007.025</v>
          </cell>
          <cell r="B507" t="str">
            <v>H2</v>
          </cell>
          <cell r="C507" t="str">
            <v>EQUIPO BASICO (HERRAMIENTA MENOR)</v>
          </cell>
          <cell r="D507" t="str">
            <v>Herramienta</v>
          </cell>
          <cell r="E507" t="str">
            <v>UND</v>
          </cell>
          <cell r="F507">
            <v>0.2</v>
          </cell>
          <cell r="G507">
            <v>2536</v>
          </cell>
          <cell r="H507">
            <v>507</v>
          </cell>
        </row>
        <row r="508">
          <cell r="A508" t="str">
            <v>007.025</v>
          </cell>
          <cell r="B508" t="str">
            <v>I1565</v>
          </cell>
          <cell r="C508" t="str">
            <v>ACARREO INTERNO</v>
          </cell>
          <cell r="D508" t="str">
            <v>Insumo</v>
          </cell>
          <cell r="E508" t="str">
            <v>UND</v>
          </cell>
          <cell r="F508">
            <v>1.1000000000000001</v>
          </cell>
          <cell r="G508">
            <v>1327</v>
          </cell>
          <cell r="H508">
            <v>1460</v>
          </cell>
        </row>
        <row r="509">
          <cell r="A509" t="str">
            <v>007.025</v>
          </cell>
          <cell r="B509" t="str">
            <v>I526</v>
          </cell>
          <cell r="C509" t="str">
            <v>ACCESORIOS PVC-P  1 1/4" ( CODO , UNIÓN Y TAPÓN )</v>
          </cell>
          <cell r="D509" t="str">
            <v>Insumo</v>
          </cell>
          <cell r="E509" t="str">
            <v>UND</v>
          </cell>
          <cell r="F509">
            <v>0.16700000000000001</v>
          </cell>
          <cell r="G509">
            <v>8254</v>
          </cell>
          <cell r="H509">
            <v>1378</v>
          </cell>
        </row>
        <row r="510">
          <cell r="A510" t="str">
            <v>007.025</v>
          </cell>
          <cell r="B510" t="str">
            <v>I614</v>
          </cell>
          <cell r="C510" t="str">
            <v>LIMPIADOR REM PVC 760 GRMS. (1/4)</v>
          </cell>
          <cell r="D510" t="str">
            <v>Insumo</v>
          </cell>
          <cell r="E510" t="str">
            <v>UND</v>
          </cell>
          <cell r="F510">
            <v>0.02</v>
          </cell>
          <cell r="G510">
            <v>45425</v>
          </cell>
          <cell r="H510">
            <v>909</v>
          </cell>
        </row>
        <row r="511">
          <cell r="A511" t="str">
            <v>007.025</v>
          </cell>
          <cell r="B511" t="str">
            <v>I647</v>
          </cell>
          <cell r="C511" t="str">
            <v>SOLDADURA PVC LIQUIDA 1/4</v>
          </cell>
          <cell r="D511" t="str">
            <v>Insumo</v>
          </cell>
          <cell r="E511" t="str">
            <v>UND</v>
          </cell>
          <cell r="F511">
            <v>0.02</v>
          </cell>
          <cell r="G511">
            <v>94162</v>
          </cell>
          <cell r="H511">
            <v>1883</v>
          </cell>
        </row>
        <row r="512">
          <cell r="A512" t="str">
            <v>007.025</v>
          </cell>
          <cell r="B512" t="str">
            <v>I740</v>
          </cell>
          <cell r="C512" t="str">
            <v xml:space="preserve">TUBO PRESION RDE 21 PVC  200 PSI  -  1 1/4" </v>
          </cell>
          <cell r="D512" t="str">
            <v>Insumo</v>
          </cell>
          <cell r="E512" t="str">
            <v>M</v>
          </cell>
          <cell r="F512">
            <v>1.03</v>
          </cell>
          <cell r="G512">
            <v>8156</v>
          </cell>
          <cell r="H512">
            <v>8401</v>
          </cell>
        </row>
        <row r="514">
          <cell r="A514" t="str">
            <v>007.026</v>
          </cell>
          <cell r="B514" t="str">
            <v>-</v>
          </cell>
          <cell r="C514" t="str">
            <v>SUMINISTRO, TRANSPORTE E INSTALACION TUBERIA PVC-P  RDE 21  1 1/2"  Agua Fria  (Red de suministro)  Incluye accesorios</v>
          </cell>
          <cell r="D514" t="str">
            <v>Actividad</v>
          </cell>
          <cell r="E514" t="str">
            <v>ML</v>
          </cell>
          <cell r="H514">
            <v>22710</v>
          </cell>
        </row>
        <row r="515">
          <cell r="A515" t="str">
            <v>007.026</v>
          </cell>
          <cell r="B515" t="str">
            <v>C2</v>
          </cell>
          <cell r="C515" t="str">
            <v>CUADRILLA BB TIPO 1 (1 OFICIAL + 1 AYUDANTE) (Instalaciones)</v>
          </cell>
          <cell r="D515" t="str">
            <v>Cuadrilla</v>
          </cell>
          <cell r="E515" t="str">
            <v>HR</v>
          </cell>
          <cell r="F515">
            <v>0.3</v>
          </cell>
          <cell r="G515">
            <v>18383</v>
          </cell>
          <cell r="H515">
            <v>5515</v>
          </cell>
        </row>
        <row r="516">
          <cell r="A516" t="str">
            <v>007.026</v>
          </cell>
          <cell r="B516" t="str">
            <v>E12</v>
          </cell>
          <cell r="C516" t="str">
            <v>EQUIPO DE TRANSPORTE</v>
          </cell>
          <cell r="D516" t="str">
            <v>Equipos</v>
          </cell>
          <cell r="E516" t="str">
            <v>DIA</v>
          </cell>
          <cell r="F516">
            <v>2.3E-3</v>
          </cell>
          <cell r="G516">
            <v>131205</v>
          </cell>
          <cell r="H516">
            <v>302</v>
          </cell>
        </row>
        <row r="517">
          <cell r="A517" t="str">
            <v>007.026</v>
          </cell>
          <cell r="B517" t="str">
            <v>H2</v>
          </cell>
          <cell r="C517" t="str">
            <v>EQUIPO BASICO (HERRAMIENTA MENOR)</v>
          </cell>
          <cell r="D517" t="str">
            <v>Herramienta</v>
          </cell>
          <cell r="E517" t="str">
            <v>UND</v>
          </cell>
          <cell r="F517">
            <v>0.2</v>
          </cell>
          <cell r="G517">
            <v>2536</v>
          </cell>
          <cell r="H517">
            <v>507</v>
          </cell>
        </row>
        <row r="518">
          <cell r="A518" t="str">
            <v>007.026</v>
          </cell>
          <cell r="B518" t="str">
            <v>I1565</v>
          </cell>
          <cell r="C518" t="str">
            <v>ACARREO INTERNO</v>
          </cell>
          <cell r="D518" t="str">
            <v>Insumo</v>
          </cell>
          <cell r="E518" t="str">
            <v>UND</v>
          </cell>
          <cell r="F518">
            <v>0.35</v>
          </cell>
          <cell r="G518">
            <v>1327</v>
          </cell>
          <cell r="H518">
            <v>464</v>
          </cell>
        </row>
        <row r="519">
          <cell r="A519" t="str">
            <v>007.026</v>
          </cell>
          <cell r="B519" t="str">
            <v>I525</v>
          </cell>
          <cell r="C519" t="str">
            <v>ACCESORIOS PVC-P  1 1/2"  ( CODO , UNIÓN Y TAPÓN )</v>
          </cell>
          <cell r="D519" t="str">
            <v>Insumo</v>
          </cell>
          <cell r="E519" t="str">
            <v>UND</v>
          </cell>
          <cell r="F519">
            <v>0.16700000000000001</v>
          </cell>
          <cell r="G519">
            <v>12916</v>
          </cell>
          <cell r="H519">
            <v>2157</v>
          </cell>
        </row>
        <row r="520">
          <cell r="A520" t="str">
            <v>007.026</v>
          </cell>
          <cell r="B520" t="str">
            <v>I614</v>
          </cell>
          <cell r="C520" t="str">
            <v>LIMPIADOR REM PVC 760 GRMS. (1/4)</v>
          </cell>
          <cell r="D520" t="str">
            <v>Insumo</v>
          </cell>
          <cell r="E520" t="str">
            <v>UND</v>
          </cell>
          <cell r="F520">
            <v>0.02</v>
          </cell>
          <cell r="G520">
            <v>45425</v>
          </cell>
          <cell r="H520">
            <v>909</v>
          </cell>
        </row>
        <row r="521">
          <cell r="A521" t="str">
            <v>007.026</v>
          </cell>
          <cell r="B521" t="str">
            <v>I647</v>
          </cell>
          <cell r="C521" t="str">
            <v>SOLDADURA PVC LIQUIDA 1/4</v>
          </cell>
          <cell r="D521" t="str">
            <v>Insumo</v>
          </cell>
          <cell r="E521" t="str">
            <v>UND</v>
          </cell>
          <cell r="F521">
            <v>0.02</v>
          </cell>
          <cell r="G521">
            <v>94162</v>
          </cell>
          <cell r="H521">
            <v>1883</v>
          </cell>
        </row>
        <row r="522">
          <cell r="A522" t="str">
            <v>007.026</v>
          </cell>
          <cell r="B522" t="str">
            <v>I739</v>
          </cell>
          <cell r="C522" t="str">
            <v xml:space="preserve">TUBO PRESION RDE 21 PVC  200 PSI  -  1 1/2" </v>
          </cell>
          <cell r="D522" t="str">
            <v>Insumo</v>
          </cell>
          <cell r="E522" t="str">
            <v>M</v>
          </cell>
          <cell r="F522">
            <v>1.03</v>
          </cell>
          <cell r="G522">
            <v>10653</v>
          </cell>
          <cell r="H522">
            <v>10973</v>
          </cell>
        </row>
        <row r="524">
          <cell r="A524" t="str">
            <v>007.027</v>
          </cell>
          <cell r="B524" t="str">
            <v>-</v>
          </cell>
          <cell r="C524" t="str">
            <v>SUMINISTRO, TRANSPORTE E INSTALACION TUBERIA PVC-P  RDE 21  2" Agua Fria (Red de suministro) Incluye accesorios</v>
          </cell>
          <cell r="D524" t="str">
            <v>Actividad</v>
          </cell>
          <cell r="E524" t="str">
            <v>ML</v>
          </cell>
          <cell r="H524">
            <v>30056</v>
          </cell>
        </row>
        <row r="525">
          <cell r="A525" t="str">
            <v>007.027</v>
          </cell>
          <cell r="B525" t="str">
            <v>C2</v>
          </cell>
          <cell r="C525" t="str">
            <v>CUADRILLA BB TIPO 1 (1 OFICIAL + 1 AYUDANTE) (Instalaciones)</v>
          </cell>
          <cell r="D525" t="str">
            <v>Cuadrilla</v>
          </cell>
          <cell r="E525" t="str">
            <v>HR</v>
          </cell>
          <cell r="F525">
            <v>0.3</v>
          </cell>
          <cell r="G525">
            <v>18383</v>
          </cell>
          <cell r="H525">
            <v>5515</v>
          </cell>
        </row>
        <row r="526">
          <cell r="A526" t="str">
            <v>007.027</v>
          </cell>
          <cell r="B526" t="str">
            <v>E12</v>
          </cell>
          <cell r="C526" t="str">
            <v>EQUIPO DE TRANSPORTE</v>
          </cell>
          <cell r="D526" t="str">
            <v>Equipos</v>
          </cell>
          <cell r="E526" t="str">
            <v>DIA</v>
          </cell>
          <cell r="F526">
            <v>3.3999999999999998E-3</v>
          </cell>
          <cell r="G526">
            <v>131205</v>
          </cell>
          <cell r="H526">
            <v>446</v>
          </cell>
        </row>
        <row r="527">
          <cell r="A527" t="str">
            <v>007.027</v>
          </cell>
          <cell r="B527" t="str">
            <v>H2</v>
          </cell>
          <cell r="C527" t="str">
            <v>EQUIPO BASICO (HERRAMIENTA MENOR)</v>
          </cell>
          <cell r="D527" t="str">
            <v>Herramienta</v>
          </cell>
          <cell r="E527" t="str">
            <v>UND</v>
          </cell>
          <cell r="F527">
            <v>0.2</v>
          </cell>
          <cell r="G527">
            <v>2536</v>
          </cell>
          <cell r="H527">
            <v>507</v>
          </cell>
        </row>
        <row r="528">
          <cell r="A528" t="str">
            <v>007.027</v>
          </cell>
          <cell r="B528" t="str">
            <v>I1565</v>
          </cell>
          <cell r="C528" t="str">
            <v>ACARREO INTERNO</v>
          </cell>
          <cell r="D528" t="str">
            <v>Insumo</v>
          </cell>
          <cell r="E528" t="str">
            <v>UND</v>
          </cell>
          <cell r="F528">
            <v>0.35</v>
          </cell>
          <cell r="G528">
            <v>1327</v>
          </cell>
          <cell r="H528">
            <v>464</v>
          </cell>
        </row>
        <row r="529">
          <cell r="A529" t="str">
            <v>007.027</v>
          </cell>
          <cell r="B529" t="str">
            <v>I530</v>
          </cell>
          <cell r="C529" t="str">
            <v>ACCESORIOS PVC-P  2" ( CODO , UNIÓN Y TAPÓN )</v>
          </cell>
          <cell r="D529" t="str">
            <v>Insumo</v>
          </cell>
          <cell r="E529" t="str">
            <v>UND</v>
          </cell>
          <cell r="F529">
            <v>0.16700000000000001</v>
          </cell>
          <cell r="G529">
            <v>20996</v>
          </cell>
          <cell r="H529">
            <v>3506</v>
          </cell>
        </row>
        <row r="530">
          <cell r="A530" t="str">
            <v>007.027</v>
          </cell>
          <cell r="B530" t="str">
            <v>I614</v>
          </cell>
          <cell r="C530" t="str">
            <v>LIMPIADOR REM PVC 760 GRMS. (1/4)</v>
          </cell>
          <cell r="D530" t="str">
            <v>Insumo</v>
          </cell>
          <cell r="E530" t="str">
            <v>UND</v>
          </cell>
          <cell r="F530">
            <v>0.02</v>
          </cell>
          <cell r="G530">
            <v>45425</v>
          </cell>
          <cell r="H530">
            <v>909</v>
          </cell>
        </row>
        <row r="531">
          <cell r="A531" t="str">
            <v>007.027</v>
          </cell>
          <cell r="B531" t="str">
            <v>I647</v>
          </cell>
          <cell r="C531" t="str">
            <v>SOLDADURA PVC LIQUIDA 1/4</v>
          </cell>
          <cell r="D531" t="str">
            <v>Insumo</v>
          </cell>
          <cell r="E531" t="str">
            <v>UND</v>
          </cell>
          <cell r="F531">
            <v>0.02</v>
          </cell>
          <cell r="G531">
            <v>94162</v>
          </cell>
          <cell r="H531">
            <v>1883</v>
          </cell>
        </row>
        <row r="532">
          <cell r="A532" t="str">
            <v>007.027</v>
          </cell>
          <cell r="B532" t="str">
            <v>I741</v>
          </cell>
          <cell r="C532" t="str">
            <v xml:space="preserve">TUBO PRESION RDE 21 PVC  200 PSI  -  2"  </v>
          </cell>
          <cell r="D532" t="str">
            <v>Insumo</v>
          </cell>
          <cell r="E532" t="str">
            <v>M</v>
          </cell>
          <cell r="F532">
            <v>1.03</v>
          </cell>
          <cell r="G532">
            <v>16336</v>
          </cell>
          <cell r="H532">
            <v>16826</v>
          </cell>
        </row>
        <row r="534">
          <cell r="A534" t="str">
            <v>007.028</v>
          </cell>
          <cell r="B534" t="str">
            <v>-</v>
          </cell>
          <cell r="C534" t="str">
            <v>SUMINISTRO, TRANSPORTE E INSTALACION TUBERIA PVC-P  RDE 21  2 1/2" Agua Fria  (Red de suministro) Incluye accesorios</v>
          </cell>
          <cell r="D534" t="str">
            <v>Actividad</v>
          </cell>
          <cell r="E534" t="str">
            <v>ML</v>
          </cell>
          <cell r="H534">
            <v>48355</v>
          </cell>
        </row>
        <row r="535">
          <cell r="A535" t="str">
            <v>007.028</v>
          </cell>
          <cell r="B535" t="str">
            <v>C2</v>
          </cell>
          <cell r="C535" t="str">
            <v>CUADRILLA BB TIPO 1 (1 OFICIAL + 1 AYUDANTE) (Instalaciones)</v>
          </cell>
          <cell r="D535" t="str">
            <v>Cuadrilla</v>
          </cell>
          <cell r="E535" t="str">
            <v>HR</v>
          </cell>
          <cell r="F535">
            <v>0.3</v>
          </cell>
          <cell r="G535">
            <v>18383</v>
          </cell>
          <cell r="H535">
            <v>5515</v>
          </cell>
        </row>
        <row r="536">
          <cell r="A536" t="str">
            <v>007.028</v>
          </cell>
          <cell r="B536" t="str">
            <v>E12</v>
          </cell>
          <cell r="C536" t="str">
            <v>EQUIPO DE TRANSPORTE</v>
          </cell>
          <cell r="D536" t="str">
            <v>Equipos</v>
          </cell>
          <cell r="E536" t="str">
            <v>DIA</v>
          </cell>
          <cell r="F536">
            <v>6.0000000000000001E-3</v>
          </cell>
          <cell r="G536">
            <v>131205</v>
          </cell>
          <cell r="H536">
            <v>787</v>
          </cell>
        </row>
        <row r="537">
          <cell r="A537" t="str">
            <v>007.028</v>
          </cell>
          <cell r="B537" t="str">
            <v>H2</v>
          </cell>
          <cell r="C537" t="str">
            <v>EQUIPO BASICO (HERRAMIENTA MENOR)</v>
          </cell>
          <cell r="D537" t="str">
            <v>Herramienta</v>
          </cell>
          <cell r="E537" t="str">
            <v>UND</v>
          </cell>
          <cell r="F537">
            <v>0.2</v>
          </cell>
          <cell r="G537">
            <v>2536</v>
          </cell>
          <cell r="H537">
            <v>507</v>
          </cell>
        </row>
        <row r="538">
          <cell r="A538" t="str">
            <v>007.028</v>
          </cell>
          <cell r="B538" t="str">
            <v>I1565</v>
          </cell>
          <cell r="C538" t="str">
            <v>ACARREO INTERNO</v>
          </cell>
          <cell r="D538" t="str">
            <v>Insumo</v>
          </cell>
          <cell r="E538" t="str">
            <v>UND</v>
          </cell>
          <cell r="F538">
            <v>0.35</v>
          </cell>
          <cell r="G538">
            <v>1327</v>
          </cell>
          <cell r="H538">
            <v>464</v>
          </cell>
        </row>
        <row r="539">
          <cell r="A539" t="str">
            <v>007.028</v>
          </cell>
          <cell r="B539" t="str">
            <v>I529</v>
          </cell>
          <cell r="C539" t="str">
            <v>ACCESORIOS PVC-P  2 1/2" ( CODO , UNIÓN Y TAPÓN )</v>
          </cell>
          <cell r="D539" t="str">
            <v>Insumo</v>
          </cell>
          <cell r="E539" t="str">
            <v>UND</v>
          </cell>
          <cell r="F539">
            <v>0.16700000000000001</v>
          </cell>
          <cell r="G539">
            <v>61832</v>
          </cell>
          <cell r="H539">
            <v>10326</v>
          </cell>
        </row>
        <row r="540">
          <cell r="A540" t="str">
            <v>007.028</v>
          </cell>
          <cell r="B540" t="str">
            <v>I614</v>
          </cell>
          <cell r="C540" t="str">
            <v>LIMPIADOR REM PVC 760 GRMS. (1/4)</v>
          </cell>
          <cell r="D540" t="str">
            <v>Insumo</v>
          </cell>
          <cell r="E540" t="str">
            <v>UND</v>
          </cell>
          <cell r="F540">
            <v>2.5000000000000001E-2</v>
          </cell>
          <cell r="G540">
            <v>45425</v>
          </cell>
          <cell r="H540">
            <v>1136</v>
          </cell>
        </row>
        <row r="541">
          <cell r="A541" t="str">
            <v>007.028</v>
          </cell>
          <cell r="B541" t="str">
            <v>I647</v>
          </cell>
          <cell r="C541" t="str">
            <v>SOLDADURA PVC LIQUIDA 1/4</v>
          </cell>
          <cell r="D541" t="str">
            <v>Insumo</v>
          </cell>
          <cell r="E541" t="str">
            <v>UND</v>
          </cell>
          <cell r="F541">
            <v>2.5000000000000001E-2</v>
          </cell>
          <cell r="G541">
            <v>94162</v>
          </cell>
          <cell r="H541">
            <v>2354</v>
          </cell>
        </row>
        <row r="542">
          <cell r="A542" t="str">
            <v>007.028</v>
          </cell>
          <cell r="B542" t="str">
            <v>I744</v>
          </cell>
          <cell r="C542" t="str">
            <v>TUBO PRESION RDE 21 PVC 200 PSI  -  2 1/2"</v>
          </cell>
          <cell r="D542" t="str">
            <v>Insumo</v>
          </cell>
          <cell r="E542" t="str">
            <v>M</v>
          </cell>
          <cell r="F542">
            <v>1.03</v>
          </cell>
          <cell r="G542">
            <v>26472</v>
          </cell>
          <cell r="H542">
            <v>27266</v>
          </cell>
        </row>
        <row r="544">
          <cell r="A544" t="str">
            <v>007.029</v>
          </cell>
          <cell r="B544" t="str">
            <v>-</v>
          </cell>
          <cell r="C544" t="str">
            <v>SUMINISTRO, TRANSPORTE E INSTALACION TUBERIA PVC-P  RDE 21  3" Agua Fria  (Red de suministro) Incluye accesorios</v>
          </cell>
          <cell r="D544" t="str">
            <v>Actividad</v>
          </cell>
          <cell r="E544" t="str">
            <v>ML</v>
          </cell>
          <cell r="H544">
            <v>63090</v>
          </cell>
        </row>
        <row r="545">
          <cell r="A545" t="str">
            <v>007.029</v>
          </cell>
          <cell r="B545" t="str">
            <v>C2</v>
          </cell>
          <cell r="C545" t="str">
            <v>CUADRILLA BB TIPO 1 (1 OFICIAL + 1 AYUDANTE) (Instalaciones)</v>
          </cell>
          <cell r="D545" t="str">
            <v>Cuadrilla</v>
          </cell>
          <cell r="E545" t="str">
            <v>HR</v>
          </cell>
          <cell r="F545">
            <v>0.3</v>
          </cell>
          <cell r="G545">
            <v>18383</v>
          </cell>
          <cell r="H545">
            <v>5515</v>
          </cell>
        </row>
        <row r="546">
          <cell r="A546" t="str">
            <v>007.029</v>
          </cell>
          <cell r="B546" t="str">
            <v>E12</v>
          </cell>
          <cell r="C546" t="str">
            <v>EQUIPO DE TRANSPORTE</v>
          </cell>
          <cell r="D546" t="str">
            <v>Equipos</v>
          </cell>
          <cell r="E546" t="str">
            <v>DIA</v>
          </cell>
          <cell r="F546">
            <v>8.0000000000000002E-3</v>
          </cell>
          <cell r="G546">
            <v>131205</v>
          </cell>
          <cell r="H546">
            <v>1050</v>
          </cell>
        </row>
        <row r="547">
          <cell r="A547" t="str">
            <v>007.029</v>
          </cell>
          <cell r="B547" t="str">
            <v>H2</v>
          </cell>
          <cell r="C547" t="str">
            <v>EQUIPO BASICO (HERRAMIENTA MENOR)</v>
          </cell>
          <cell r="D547" t="str">
            <v>Herramienta</v>
          </cell>
          <cell r="E547" t="str">
            <v>UND</v>
          </cell>
          <cell r="F547">
            <v>0.2</v>
          </cell>
          <cell r="G547">
            <v>2536</v>
          </cell>
          <cell r="H547">
            <v>507</v>
          </cell>
        </row>
        <row r="548">
          <cell r="A548" t="str">
            <v>007.029</v>
          </cell>
          <cell r="B548" t="str">
            <v>I1565</v>
          </cell>
          <cell r="C548" t="str">
            <v>ACARREO INTERNO</v>
          </cell>
          <cell r="D548" t="str">
            <v>Insumo</v>
          </cell>
          <cell r="E548" t="str">
            <v>UND</v>
          </cell>
          <cell r="F548">
            <v>1.1000000000000001</v>
          </cell>
          <cell r="G548">
            <v>1327</v>
          </cell>
          <cell r="H548">
            <v>1460</v>
          </cell>
        </row>
        <row r="549">
          <cell r="A549" t="str">
            <v>007.029</v>
          </cell>
          <cell r="B549" t="str">
            <v>I531</v>
          </cell>
          <cell r="C549" t="str">
            <v>ACCESORIOS PVC-P  3" ( CODO , UNIÓN Y TAPÓN )</v>
          </cell>
          <cell r="D549" t="str">
            <v>Insumo</v>
          </cell>
          <cell r="E549" t="str">
            <v>UND</v>
          </cell>
          <cell r="F549">
            <v>0.16700000000000001</v>
          </cell>
          <cell r="G549">
            <v>83630</v>
          </cell>
          <cell r="H549">
            <v>13966</v>
          </cell>
        </row>
        <row r="550">
          <cell r="A550" t="str">
            <v>007.029</v>
          </cell>
          <cell r="B550" t="str">
            <v>I614</v>
          </cell>
          <cell r="C550" t="str">
            <v>LIMPIADOR REM PVC 760 GRMS. (1/4)</v>
          </cell>
          <cell r="D550" t="str">
            <v>Insumo</v>
          </cell>
          <cell r="E550" t="str">
            <v>UND</v>
          </cell>
          <cell r="F550">
            <v>0.03</v>
          </cell>
          <cell r="G550">
            <v>45425</v>
          </cell>
          <cell r="H550">
            <v>1363</v>
          </cell>
        </row>
        <row r="551">
          <cell r="A551" t="str">
            <v>007.029</v>
          </cell>
          <cell r="B551" t="str">
            <v>I647</v>
          </cell>
          <cell r="C551" t="str">
            <v>SOLDADURA PVC LIQUIDA 1/4</v>
          </cell>
          <cell r="D551" t="str">
            <v>Insumo</v>
          </cell>
          <cell r="E551" t="str">
            <v>UND</v>
          </cell>
          <cell r="F551">
            <v>0.03</v>
          </cell>
          <cell r="G551">
            <v>94162</v>
          </cell>
          <cell r="H551">
            <v>2825</v>
          </cell>
        </row>
        <row r="552">
          <cell r="A552" t="str">
            <v>007.029</v>
          </cell>
          <cell r="B552" t="str">
            <v>I745</v>
          </cell>
          <cell r="C552" t="str">
            <v xml:space="preserve">TUBO PRESION RDE 21 PVC 200 PSI  -  3"  </v>
          </cell>
          <cell r="D552" t="str">
            <v>Insumo</v>
          </cell>
          <cell r="E552" t="str">
            <v>M</v>
          </cell>
          <cell r="F552">
            <v>1.03</v>
          </cell>
          <cell r="G552">
            <v>35344</v>
          </cell>
          <cell r="H552">
            <v>36404</v>
          </cell>
        </row>
        <row r="554">
          <cell r="A554" t="str">
            <v>007.017</v>
          </cell>
          <cell r="B554" t="str">
            <v>-</v>
          </cell>
          <cell r="C554" t="str">
            <v>SUMINISTRO, TRANSPORTE E INSTALACION PUNTO  AGUA FRIA  1/2" PVC -P ( Incluye accesorios de instalación )</v>
          </cell>
          <cell r="D554" t="str">
            <v>Actividad</v>
          </cell>
          <cell r="E554" t="str">
            <v>UND</v>
          </cell>
          <cell r="H554">
            <v>61595</v>
          </cell>
        </row>
        <row r="555">
          <cell r="A555" t="str">
            <v>007.017</v>
          </cell>
          <cell r="B555" t="str">
            <v>C2</v>
          </cell>
          <cell r="C555" t="str">
            <v>CUADRILLA BB TIPO 1 (1 OFICIAL + 1 AYUDANTE) (Instalaciones)</v>
          </cell>
          <cell r="D555" t="str">
            <v>Cuadrilla</v>
          </cell>
          <cell r="E555" t="str">
            <v>HR</v>
          </cell>
          <cell r="F555">
            <v>2.27</v>
          </cell>
          <cell r="G555">
            <v>18383</v>
          </cell>
          <cell r="H555">
            <v>41729</v>
          </cell>
        </row>
        <row r="556">
          <cell r="A556" t="str">
            <v>007.017</v>
          </cell>
          <cell r="B556" t="str">
            <v>E12</v>
          </cell>
          <cell r="C556" t="str">
            <v>EQUIPO DE TRANSPORTE</v>
          </cell>
          <cell r="D556" t="str">
            <v>Equipos</v>
          </cell>
          <cell r="E556" t="str">
            <v>DIA</v>
          </cell>
          <cell r="F556">
            <v>2.3E-3</v>
          </cell>
          <cell r="G556">
            <v>131205</v>
          </cell>
          <cell r="H556">
            <v>302</v>
          </cell>
        </row>
        <row r="557">
          <cell r="A557" t="str">
            <v>007.017</v>
          </cell>
          <cell r="B557" t="str">
            <v>H2</v>
          </cell>
          <cell r="C557" t="str">
            <v>EQUIPO BASICO (HERRAMIENTA MENOR)</v>
          </cell>
          <cell r="D557" t="str">
            <v>Herramienta</v>
          </cell>
          <cell r="E557" t="str">
            <v>UND</v>
          </cell>
          <cell r="F557">
            <v>0.3</v>
          </cell>
          <cell r="G557">
            <v>2536</v>
          </cell>
          <cell r="H557">
            <v>761</v>
          </cell>
        </row>
        <row r="558">
          <cell r="A558" t="str">
            <v>007.017</v>
          </cell>
          <cell r="B558" t="str">
            <v>I1565</v>
          </cell>
          <cell r="C558" t="str">
            <v>ACARREO INTERNO</v>
          </cell>
          <cell r="D558" t="str">
            <v>Insumo</v>
          </cell>
          <cell r="E558" t="str">
            <v>UND</v>
          </cell>
          <cell r="F558">
            <v>2.6</v>
          </cell>
          <cell r="G558">
            <v>1327</v>
          </cell>
          <cell r="H558">
            <v>3450</v>
          </cell>
        </row>
        <row r="559">
          <cell r="A559" t="str">
            <v>007.017</v>
          </cell>
          <cell r="B559" t="str">
            <v>I528</v>
          </cell>
          <cell r="C559" t="str">
            <v>ACCESORIOS PVC-P  1/2" ( CODO , UNIÓN Y TAPÓN )</v>
          </cell>
          <cell r="D559" t="str">
            <v>Insumo</v>
          </cell>
          <cell r="E559" t="str">
            <v>UND</v>
          </cell>
          <cell r="F559">
            <v>3</v>
          </cell>
          <cell r="G559">
            <v>1329</v>
          </cell>
          <cell r="H559">
            <v>3987</v>
          </cell>
        </row>
        <row r="560">
          <cell r="A560" t="str">
            <v>007.017</v>
          </cell>
          <cell r="B560" t="str">
            <v>I614</v>
          </cell>
          <cell r="C560" t="str">
            <v>LIMPIADOR REM PVC 760 GRMS. (1/4)</v>
          </cell>
          <cell r="D560" t="str">
            <v>Insumo</v>
          </cell>
          <cell r="E560" t="str">
            <v>UND</v>
          </cell>
          <cell r="F560">
            <v>0.05</v>
          </cell>
          <cell r="G560">
            <v>45425</v>
          </cell>
          <cell r="H560">
            <v>2271</v>
          </cell>
        </row>
        <row r="561">
          <cell r="A561" t="str">
            <v>007.017</v>
          </cell>
          <cell r="B561" t="str">
            <v>I647</v>
          </cell>
          <cell r="C561" t="str">
            <v>SOLDADURA PVC LIQUIDA 1/4</v>
          </cell>
          <cell r="D561" t="str">
            <v>Insumo</v>
          </cell>
          <cell r="E561" t="str">
            <v>UND</v>
          </cell>
          <cell r="F561">
            <v>0.03</v>
          </cell>
          <cell r="G561">
            <v>94162</v>
          </cell>
          <cell r="H561">
            <v>2825</v>
          </cell>
        </row>
        <row r="562">
          <cell r="A562" t="str">
            <v>007.017</v>
          </cell>
          <cell r="B562" t="str">
            <v>I673</v>
          </cell>
          <cell r="C562" t="str">
            <v>TEE PRESION  - 1/2''</v>
          </cell>
          <cell r="D562" t="str">
            <v>Insumo</v>
          </cell>
          <cell r="E562" t="str">
            <v>UND</v>
          </cell>
          <cell r="F562">
            <v>1</v>
          </cell>
          <cell r="G562">
            <v>796</v>
          </cell>
          <cell r="H562">
            <v>796</v>
          </cell>
        </row>
        <row r="563">
          <cell r="A563" t="str">
            <v>007.017</v>
          </cell>
          <cell r="B563" t="str">
            <v>I747</v>
          </cell>
          <cell r="C563" t="str">
            <v xml:space="preserve">TUBO PRESION RDE 9 PVC 500 PSI  -  1/2" </v>
          </cell>
          <cell r="D563" t="str">
            <v>Insumo</v>
          </cell>
          <cell r="E563" t="str">
            <v>M</v>
          </cell>
          <cell r="F563">
            <v>1.5</v>
          </cell>
          <cell r="G563">
            <v>3649</v>
          </cell>
          <cell r="H563">
            <v>5474</v>
          </cell>
        </row>
        <row r="565">
          <cell r="A565" t="str">
            <v>007.019</v>
          </cell>
          <cell r="B565" t="str">
            <v>-</v>
          </cell>
          <cell r="C565" t="str">
            <v>SUMINISTRO, TRANSPORTE E INSTALACION PUNTO  AGUA FRIA  1" PVC-P ( Incluye accesorios de instalación )</v>
          </cell>
          <cell r="D565" t="str">
            <v>Actividad</v>
          </cell>
          <cell r="E565" t="str">
            <v>UND</v>
          </cell>
          <cell r="H565">
            <v>74730</v>
          </cell>
        </row>
        <row r="566">
          <cell r="A566" t="str">
            <v>007.019</v>
          </cell>
          <cell r="B566" t="str">
            <v>C2</v>
          </cell>
          <cell r="C566" t="str">
            <v>CUADRILLA BB TIPO 1 (1 OFICIAL + 1 AYUDANTE) (Instalaciones)</v>
          </cell>
          <cell r="D566" t="str">
            <v>Cuadrilla</v>
          </cell>
          <cell r="E566" t="str">
            <v>HR</v>
          </cell>
          <cell r="F566">
            <v>2.27</v>
          </cell>
          <cell r="G566">
            <v>18383</v>
          </cell>
          <cell r="H566">
            <v>41729</v>
          </cell>
        </row>
        <row r="567">
          <cell r="A567" t="str">
            <v>007.019</v>
          </cell>
          <cell r="B567" t="str">
            <v>E12</v>
          </cell>
          <cell r="C567" t="str">
            <v>EQUIPO DE TRANSPORTE</v>
          </cell>
          <cell r="D567" t="str">
            <v>Equipos</v>
          </cell>
          <cell r="E567" t="str">
            <v>DIA</v>
          </cell>
          <cell r="F567">
            <v>4.1999999999999997E-3</v>
          </cell>
          <cell r="G567">
            <v>131205</v>
          </cell>
          <cell r="H567">
            <v>551</v>
          </cell>
        </row>
        <row r="568">
          <cell r="A568" t="str">
            <v>007.019</v>
          </cell>
          <cell r="B568" t="str">
            <v>H2</v>
          </cell>
          <cell r="C568" t="str">
            <v>EQUIPO BASICO (HERRAMIENTA MENOR)</v>
          </cell>
          <cell r="D568" t="str">
            <v>Herramienta</v>
          </cell>
          <cell r="E568" t="str">
            <v>UND</v>
          </cell>
          <cell r="F568">
            <v>0.3</v>
          </cell>
          <cell r="G568">
            <v>2536</v>
          </cell>
          <cell r="H568">
            <v>761</v>
          </cell>
        </row>
        <row r="569">
          <cell r="A569" t="str">
            <v>007.019</v>
          </cell>
          <cell r="B569" t="str">
            <v>I1565</v>
          </cell>
          <cell r="C569" t="str">
            <v>ACARREO INTERNO</v>
          </cell>
          <cell r="D569" t="str">
            <v>Insumo</v>
          </cell>
          <cell r="E569" t="str">
            <v>UND</v>
          </cell>
          <cell r="F569">
            <v>2.6</v>
          </cell>
          <cell r="G569">
            <v>1327</v>
          </cell>
          <cell r="H569">
            <v>3450</v>
          </cell>
        </row>
        <row r="570">
          <cell r="A570" t="str">
            <v>007.019</v>
          </cell>
          <cell r="B570" t="str">
            <v>I527</v>
          </cell>
          <cell r="C570" t="str">
            <v>ACCESORIOS PVC-P  1" ( CODO, UNIÓN Y TAPÓN )</v>
          </cell>
          <cell r="D570" t="str">
            <v>Insumo</v>
          </cell>
          <cell r="E570" t="str">
            <v>UND</v>
          </cell>
          <cell r="F570">
            <v>3</v>
          </cell>
          <cell r="G570">
            <v>4047</v>
          </cell>
          <cell r="H570">
            <v>12141</v>
          </cell>
        </row>
        <row r="571">
          <cell r="A571" t="str">
            <v>007.019</v>
          </cell>
          <cell r="B571" t="str">
            <v>I544</v>
          </cell>
          <cell r="C571" t="str">
            <v>ADAPTADOR MACHO PRESION PVC - 1"</v>
          </cell>
          <cell r="D571" t="str">
            <v>Insumo</v>
          </cell>
          <cell r="E571" t="str">
            <v>UND</v>
          </cell>
          <cell r="F571">
            <v>1</v>
          </cell>
          <cell r="G571">
            <v>1579</v>
          </cell>
          <cell r="H571">
            <v>1579</v>
          </cell>
        </row>
        <row r="572">
          <cell r="A572" t="str">
            <v>007.019</v>
          </cell>
          <cell r="B572" t="str">
            <v>I614</v>
          </cell>
          <cell r="C572" t="str">
            <v>LIMPIADOR REM PVC 760 GRMS. (1/4)</v>
          </cell>
          <cell r="D572" t="str">
            <v>Insumo</v>
          </cell>
          <cell r="E572" t="str">
            <v>UND</v>
          </cell>
          <cell r="F572">
            <v>0.05</v>
          </cell>
          <cell r="G572">
            <v>45425</v>
          </cell>
          <cell r="H572">
            <v>2271</v>
          </cell>
        </row>
        <row r="573">
          <cell r="A573" t="str">
            <v>007.019</v>
          </cell>
          <cell r="B573" t="str">
            <v>I647</v>
          </cell>
          <cell r="C573" t="str">
            <v>SOLDADURA PVC LIQUIDA 1/4</v>
          </cell>
          <cell r="D573" t="str">
            <v>Insumo</v>
          </cell>
          <cell r="E573" t="str">
            <v>UND</v>
          </cell>
          <cell r="F573">
            <v>0.03</v>
          </cell>
          <cell r="G573">
            <v>94162</v>
          </cell>
          <cell r="H573">
            <v>2825</v>
          </cell>
        </row>
        <row r="574">
          <cell r="A574" t="str">
            <v>007.019</v>
          </cell>
          <cell r="B574" t="str">
            <v>I670</v>
          </cell>
          <cell r="C574" t="str">
            <v>TEE PRESION  - 1''</v>
          </cell>
          <cell r="D574" t="str">
            <v>Insumo</v>
          </cell>
          <cell r="E574" t="str">
            <v>UND</v>
          </cell>
          <cell r="F574">
            <v>1</v>
          </cell>
          <cell r="G574">
            <v>2632</v>
          </cell>
          <cell r="H574">
            <v>2632</v>
          </cell>
        </row>
        <row r="575">
          <cell r="A575" t="str">
            <v>007.019</v>
          </cell>
          <cell r="B575" t="str">
            <v>I743</v>
          </cell>
          <cell r="C575" t="str">
            <v xml:space="preserve">TUBO PRESION RDE 21 PVC 200 PSI  -  1" </v>
          </cell>
          <cell r="D575" t="str">
            <v>Insumo</v>
          </cell>
          <cell r="E575" t="str">
            <v>M</v>
          </cell>
          <cell r="F575">
            <v>1.5</v>
          </cell>
          <cell r="G575">
            <v>4527</v>
          </cell>
          <cell r="H575">
            <v>6791</v>
          </cell>
        </row>
        <row r="577">
          <cell r="A577" t="str">
            <v>007.076</v>
          </cell>
          <cell r="B577" t="str">
            <v>-</v>
          </cell>
          <cell r="C577" t="str">
            <v xml:space="preserve">SUMINISTRO, TRANSPORTE E INSTALACION MEDIDORES AGUA  1"  (Incluye caja de 60*60*14) </v>
          </cell>
          <cell r="D577" t="str">
            <v>Actividad</v>
          </cell>
          <cell r="E577" t="str">
            <v>UND</v>
          </cell>
          <cell r="H577">
            <v>827600</v>
          </cell>
        </row>
        <row r="578">
          <cell r="A578" t="str">
            <v>007.076</v>
          </cell>
          <cell r="B578" t="str">
            <v>C2</v>
          </cell>
          <cell r="C578" t="str">
            <v>CUADRILLA BB TIPO 1 (1 OFICIAL + 1 AYUDANTE) (Instalaciones)</v>
          </cell>
          <cell r="D578" t="str">
            <v>Cuadrilla</v>
          </cell>
          <cell r="E578" t="str">
            <v>HR</v>
          </cell>
          <cell r="F578">
            <v>5.69</v>
          </cell>
          <cell r="G578">
            <v>18383</v>
          </cell>
          <cell r="H578">
            <v>104599</v>
          </cell>
        </row>
        <row r="579">
          <cell r="A579" t="str">
            <v>007.076</v>
          </cell>
          <cell r="B579" t="str">
            <v>E12</v>
          </cell>
          <cell r="C579" t="str">
            <v>EQUIPO DE TRANSPORTE</v>
          </cell>
          <cell r="D579" t="str">
            <v>Equipos</v>
          </cell>
          <cell r="E579" t="str">
            <v>DIA</v>
          </cell>
          <cell r="F579">
            <v>0.10290000000000001</v>
          </cell>
          <cell r="G579">
            <v>131205</v>
          </cell>
          <cell r="H579">
            <v>13501</v>
          </cell>
        </row>
        <row r="580">
          <cell r="A580" t="str">
            <v>007.076</v>
          </cell>
          <cell r="B580" t="str">
            <v>H2</v>
          </cell>
          <cell r="C580" t="str">
            <v>EQUIPO BASICO (HERRAMIENTA MENOR)</v>
          </cell>
          <cell r="D580" t="str">
            <v>Herramienta</v>
          </cell>
          <cell r="E580" t="str">
            <v>UND</v>
          </cell>
          <cell r="F580">
            <v>0.5</v>
          </cell>
          <cell r="G580">
            <v>2536</v>
          </cell>
          <cell r="H580">
            <v>1268</v>
          </cell>
        </row>
        <row r="581">
          <cell r="A581" t="str">
            <v>007.076</v>
          </cell>
          <cell r="B581" t="str">
            <v>I1565</v>
          </cell>
          <cell r="C581" t="str">
            <v>ACARREO INTERNO</v>
          </cell>
          <cell r="D581" t="str">
            <v>Insumo</v>
          </cell>
          <cell r="E581" t="str">
            <v>UND</v>
          </cell>
          <cell r="F581">
            <v>6.6</v>
          </cell>
          <cell r="G581">
            <v>1327</v>
          </cell>
          <cell r="H581">
            <v>8758</v>
          </cell>
        </row>
        <row r="582">
          <cell r="A582" t="str">
            <v>007.076</v>
          </cell>
          <cell r="B582" t="str">
            <v>I555</v>
          </cell>
          <cell r="C582" t="str">
            <v>CAJA MEDIDOR DE AGUA 80 X 80 X 14 A TODO COSTO CON TAPA HG</v>
          </cell>
          <cell r="D582" t="str">
            <v>Insumo</v>
          </cell>
          <cell r="E582" t="str">
            <v>UND</v>
          </cell>
          <cell r="F582">
            <v>1</v>
          </cell>
          <cell r="G582">
            <v>150899</v>
          </cell>
          <cell r="H582">
            <v>150899</v>
          </cell>
        </row>
        <row r="583">
          <cell r="A583" t="str">
            <v>007.076</v>
          </cell>
          <cell r="B583" t="str">
            <v>I617</v>
          </cell>
          <cell r="C583" t="str">
            <v xml:space="preserve">MEDIDOR DE AGUA 1" VELOCIDAD CLASE C A ACCESORIOS Y ELEMENTOS DE CONECCION TODO COSTO </v>
          </cell>
          <cell r="D583" t="str">
            <v>Insumo</v>
          </cell>
          <cell r="E583" t="str">
            <v>UND</v>
          </cell>
          <cell r="F583">
            <v>1</v>
          </cell>
          <cell r="G583">
            <v>548575</v>
          </cell>
          <cell r="H583">
            <v>548575</v>
          </cell>
        </row>
        <row r="585">
          <cell r="A585" t="str">
            <v>007.078</v>
          </cell>
          <cell r="B585" t="str">
            <v>-</v>
          </cell>
          <cell r="C585" t="str">
            <v>SUMINISTRO, TRANSPORTE E INSTALACION ACOMETIDA  AGUA PRESION PVC  1 ".  Incluye accesorios.</v>
          </cell>
          <cell r="D585" t="str">
            <v>Actividad</v>
          </cell>
          <cell r="E585" t="str">
            <v>ML</v>
          </cell>
          <cell r="H585">
            <v>28188</v>
          </cell>
        </row>
        <row r="586">
          <cell r="A586" t="str">
            <v>007.078</v>
          </cell>
          <cell r="B586" t="str">
            <v>C2</v>
          </cell>
          <cell r="C586" t="str">
            <v>CUADRILLA BB TIPO 1 (1 OFICIAL + 1 AYUDANTE) (Instalaciones)</v>
          </cell>
          <cell r="D586" t="str">
            <v>Cuadrilla</v>
          </cell>
          <cell r="E586" t="str">
            <v>HR</v>
          </cell>
          <cell r="F586">
            <v>0.91</v>
          </cell>
          <cell r="G586">
            <v>18383</v>
          </cell>
          <cell r="H586">
            <v>16729</v>
          </cell>
        </row>
        <row r="587">
          <cell r="A587" t="str">
            <v>007.078</v>
          </cell>
          <cell r="B587" t="str">
            <v>E12</v>
          </cell>
          <cell r="C587" t="str">
            <v>EQUIPO DE TRANSPORTE</v>
          </cell>
          <cell r="D587" t="str">
            <v>Equipos</v>
          </cell>
          <cell r="E587" t="str">
            <v>DIA</v>
          </cell>
          <cell r="F587">
            <v>1.4E-3</v>
          </cell>
          <cell r="G587">
            <v>131205</v>
          </cell>
          <cell r="H587">
            <v>184</v>
          </cell>
        </row>
        <row r="588">
          <cell r="A588" t="str">
            <v>007.078</v>
          </cell>
          <cell r="B588" t="str">
            <v>H2</v>
          </cell>
          <cell r="C588" t="str">
            <v>EQUIPO BASICO (HERRAMIENTA MENOR)</v>
          </cell>
          <cell r="D588" t="str">
            <v>Herramienta</v>
          </cell>
          <cell r="E588" t="str">
            <v>UND</v>
          </cell>
          <cell r="F588">
            <v>0.2</v>
          </cell>
          <cell r="G588">
            <v>2536</v>
          </cell>
          <cell r="H588">
            <v>507</v>
          </cell>
        </row>
        <row r="589">
          <cell r="A589" t="str">
            <v>007.078</v>
          </cell>
          <cell r="B589" t="str">
            <v>I1565</v>
          </cell>
          <cell r="C589" t="str">
            <v>ACARREO INTERNO</v>
          </cell>
          <cell r="D589" t="str">
            <v>Insumo</v>
          </cell>
          <cell r="E589" t="str">
            <v>UND</v>
          </cell>
          <cell r="F589">
            <v>1.1000000000000001</v>
          </cell>
          <cell r="G589">
            <v>1327</v>
          </cell>
          <cell r="H589">
            <v>1460</v>
          </cell>
        </row>
        <row r="590">
          <cell r="A590" t="str">
            <v>007.078</v>
          </cell>
          <cell r="B590" t="str">
            <v>I584</v>
          </cell>
          <cell r="C590" t="str">
            <v>CODO 90° PRESION PVC  - 1''</v>
          </cell>
          <cell r="D590" t="str">
            <v>Insumo</v>
          </cell>
          <cell r="E590" t="str">
            <v>UND</v>
          </cell>
          <cell r="F590">
            <v>0.5</v>
          </cell>
          <cell r="G590">
            <v>1889</v>
          </cell>
          <cell r="H590">
            <v>945</v>
          </cell>
        </row>
        <row r="591">
          <cell r="A591" t="str">
            <v>007.078</v>
          </cell>
          <cell r="B591" t="str">
            <v>I614</v>
          </cell>
          <cell r="C591" t="str">
            <v>LIMPIADOR REM PVC 760 GRMS. (1/4)</v>
          </cell>
          <cell r="D591" t="str">
            <v>Insumo</v>
          </cell>
          <cell r="E591" t="str">
            <v>UND</v>
          </cell>
          <cell r="F591">
            <v>0.04</v>
          </cell>
          <cell r="G591">
            <v>45425</v>
          </cell>
          <cell r="H591">
            <v>1817</v>
          </cell>
        </row>
        <row r="592">
          <cell r="A592" t="str">
            <v>007.078</v>
          </cell>
          <cell r="B592" t="str">
            <v>I647</v>
          </cell>
          <cell r="C592" t="str">
            <v>SOLDADURA PVC LIQUIDA 1/4</v>
          </cell>
          <cell r="D592" t="str">
            <v>Insumo</v>
          </cell>
          <cell r="E592" t="str">
            <v>UND</v>
          </cell>
          <cell r="F592">
            <v>0.02</v>
          </cell>
          <cell r="G592">
            <v>94162</v>
          </cell>
          <cell r="H592">
            <v>1883</v>
          </cell>
        </row>
        <row r="593">
          <cell r="A593" t="str">
            <v>007.078</v>
          </cell>
          <cell r="B593" t="str">
            <v>I743</v>
          </cell>
          <cell r="C593" t="str">
            <v xml:space="preserve">TUBO PRESION RDE 21 PVC 200 PSI  -  1" </v>
          </cell>
          <cell r="D593" t="str">
            <v>Insumo</v>
          </cell>
          <cell r="E593" t="str">
            <v>M</v>
          </cell>
          <cell r="F593">
            <v>1.03</v>
          </cell>
          <cell r="G593">
            <v>4527</v>
          </cell>
          <cell r="H593">
            <v>4663</v>
          </cell>
        </row>
        <row r="595">
          <cell r="A595" t="str">
            <v>007.105</v>
          </cell>
          <cell r="B595" t="str">
            <v>-</v>
          </cell>
          <cell r="C595" t="str">
            <v>SUMINISTRO, TRANSPORTE E INSTALACION PUNTO  AGUA FRIA  1 1/4" PVC-P ( Incluye accesorios de instalación )</v>
          </cell>
          <cell r="D595" t="str">
            <v>Actividad</v>
          </cell>
          <cell r="E595" t="str">
            <v>UND</v>
          </cell>
          <cell r="H595">
            <v>99165</v>
          </cell>
        </row>
        <row r="596">
          <cell r="A596" t="str">
            <v>007.105</v>
          </cell>
          <cell r="B596" t="str">
            <v>C2</v>
          </cell>
          <cell r="C596" t="str">
            <v>CUADRILLA BB TIPO 1 (1 OFICIAL + 1 AYUDANTE) (Instalaciones)</v>
          </cell>
          <cell r="D596" t="str">
            <v>Cuadrilla</v>
          </cell>
          <cell r="E596" t="str">
            <v>HR</v>
          </cell>
          <cell r="F596">
            <v>2.27</v>
          </cell>
          <cell r="G596">
            <v>18383</v>
          </cell>
          <cell r="H596">
            <v>41729</v>
          </cell>
        </row>
        <row r="597">
          <cell r="A597" t="str">
            <v>007.105</v>
          </cell>
          <cell r="B597" t="str">
            <v>E12</v>
          </cell>
          <cell r="C597" t="str">
            <v>EQUIPO DE TRANSPORTE</v>
          </cell>
          <cell r="D597" t="str">
            <v>Equipos</v>
          </cell>
          <cell r="E597" t="str">
            <v>DIA</v>
          </cell>
          <cell r="F597">
            <v>7.7000000000000002E-3</v>
          </cell>
          <cell r="G597">
            <v>131205</v>
          </cell>
          <cell r="H597">
            <v>1010</v>
          </cell>
        </row>
        <row r="598">
          <cell r="A598" t="str">
            <v>007.105</v>
          </cell>
          <cell r="B598" t="str">
            <v>H2</v>
          </cell>
          <cell r="C598" t="str">
            <v>EQUIPO BASICO (HERRAMIENTA MENOR)</v>
          </cell>
          <cell r="D598" t="str">
            <v>Herramienta</v>
          </cell>
          <cell r="E598" t="str">
            <v>UND</v>
          </cell>
          <cell r="F598">
            <v>0.3</v>
          </cell>
          <cell r="G598">
            <v>2536</v>
          </cell>
          <cell r="H598">
            <v>761</v>
          </cell>
        </row>
        <row r="599">
          <cell r="A599" t="str">
            <v>007.105</v>
          </cell>
          <cell r="B599" t="str">
            <v>I1565</v>
          </cell>
          <cell r="C599" t="str">
            <v>ACARREO INTERNO</v>
          </cell>
          <cell r="D599" t="str">
            <v>Insumo</v>
          </cell>
          <cell r="E599" t="str">
            <v>UND</v>
          </cell>
          <cell r="F599">
            <v>2.6</v>
          </cell>
          <cell r="G599">
            <v>1327</v>
          </cell>
          <cell r="H599">
            <v>3450</v>
          </cell>
        </row>
        <row r="600">
          <cell r="A600" t="str">
            <v>007.105</v>
          </cell>
          <cell r="B600" t="str">
            <v>I526</v>
          </cell>
          <cell r="C600" t="str">
            <v>ACCESORIOS PVC-P  1 1/4" ( CODO , UNIÓN Y TAPÓN )</v>
          </cell>
          <cell r="D600" t="str">
            <v>Insumo</v>
          </cell>
          <cell r="E600" t="str">
            <v>UND</v>
          </cell>
          <cell r="F600">
            <v>3</v>
          </cell>
          <cell r="G600">
            <v>8254</v>
          </cell>
          <cell r="H600">
            <v>24762</v>
          </cell>
        </row>
        <row r="601">
          <cell r="A601" t="str">
            <v>007.105</v>
          </cell>
          <cell r="B601" t="str">
            <v>I543</v>
          </cell>
          <cell r="C601" t="str">
            <v>ADAPTADOR MACHO PRESION PVC - 1 1/4"</v>
          </cell>
          <cell r="D601" t="str">
            <v>Insumo</v>
          </cell>
          <cell r="E601" t="str">
            <v>UND</v>
          </cell>
          <cell r="F601">
            <v>1</v>
          </cell>
          <cell r="G601">
            <v>3321</v>
          </cell>
          <cell r="H601">
            <v>3321</v>
          </cell>
        </row>
        <row r="602">
          <cell r="A602" t="str">
            <v>007.105</v>
          </cell>
          <cell r="B602" t="str">
            <v>I614</v>
          </cell>
          <cell r="C602" t="str">
            <v>LIMPIADOR REM PVC 760 GRMS. (1/4)</v>
          </cell>
          <cell r="D602" t="str">
            <v>Insumo</v>
          </cell>
          <cell r="E602" t="str">
            <v>UND</v>
          </cell>
          <cell r="F602">
            <v>0.05</v>
          </cell>
          <cell r="G602">
            <v>45425</v>
          </cell>
          <cell r="H602">
            <v>2271</v>
          </cell>
        </row>
        <row r="603">
          <cell r="A603" t="str">
            <v>007.105</v>
          </cell>
          <cell r="B603" t="str">
            <v>I647</v>
          </cell>
          <cell r="C603" t="str">
            <v>SOLDADURA PVC LIQUIDA 1/4</v>
          </cell>
          <cell r="D603" t="str">
            <v>Insumo</v>
          </cell>
          <cell r="E603" t="str">
            <v>UND</v>
          </cell>
          <cell r="F603">
            <v>0.03</v>
          </cell>
          <cell r="G603">
            <v>94162</v>
          </cell>
          <cell r="H603">
            <v>2825</v>
          </cell>
        </row>
        <row r="604">
          <cell r="A604" t="str">
            <v>007.105</v>
          </cell>
          <cell r="B604" t="str">
            <v>I672</v>
          </cell>
          <cell r="C604" t="str">
            <v>TEE PRESION  - 1 1/4''</v>
          </cell>
          <cell r="D604" t="str">
            <v>Insumo</v>
          </cell>
          <cell r="E604" t="str">
            <v>UND</v>
          </cell>
          <cell r="F604">
            <v>1</v>
          </cell>
          <cell r="G604">
            <v>6802</v>
          </cell>
          <cell r="H604">
            <v>6802</v>
          </cell>
        </row>
        <row r="605">
          <cell r="A605" t="str">
            <v>007.105</v>
          </cell>
          <cell r="B605" t="str">
            <v>I740</v>
          </cell>
          <cell r="C605" t="str">
            <v xml:space="preserve">TUBO PRESION RDE 21 PVC  200 PSI  -  1 1/4" </v>
          </cell>
          <cell r="D605" t="str">
            <v>Insumo</v>
          </cell>
          <cell r="E605" t="str">
            <v>M</v>
          </cell>
          <cell r="F605">
            <v>1.5</v>
          </cell>
          <cell r="G605">
            <v>8156</v>
          </cell>
          <cell r="H605">
            <v>12234</v>
          </cell>
        </row>
        <row r="607">
          <cell r="A607" t="str">
            <v>003.045</v>
          </cell>
          <cell r="B607" t="str">
            <v>-</v>
          </cell>
          <cell r="C607" t="str">
            <v>SUMINISTRO, TRANSPORTE E INSTALACION TUBERIA ALCANTARILLADO 355 MM Tipo Novafort o similar. (Incluye accesorios, nivelación y cinta de demarcación.)</v>
          </cell>
          <cell r="D607" t="str">
            <v>Actividad</v>
          </cell>
          <cell r="E607" t="str">
            <v>ML</v>
          </cell>
          <cell r="H607">
            <v>141824</v>
          </cell>
        </row>
        <row r="608">
          <cell r="A608" t="str">
            <v>003.045</v>
          </cell>
          <cell r="B608" t="str">
            <v>C23</v>
          </cell>
          <cell r="C608" t="str">
            <v>CUADRILLA BB TIPO 4 (1 OFICIAL + 4 AYUDANTE) (Instalaciones)</v>
          </cell>
          <cell r="D608" t="str">
            <v>Cuadrilla</v>
          </cell>
          <cell r="E608" t="str">
            <v>HR</v>
          </cell>
          <cell r="F608">
            <v>0.2</v>
          </cell>
          <cell r="G608">
            <v>39593</v>
          </cell>
          <cell r="H608">
            <v>7919</v>
          </cell>
        </row>
        <row r="609">
          <cell r="A609" t="str">
            <v>003.045</v>
          </cell>
          <cell r="B609" t="str">
            <v>E12</v>
          </cell>
          <cell r="C609" t="str">
            <v>EQUIPO DE TRANSPORTE</v>
          </cell>
          <cell r="D609" t="str">
            <v>Equipos</v>
          </cell>
          <cell r="E609" t="str">
            <v>DIA</v>
          </cell>
          <cell r="F609">
            <v>1.6E-2</v>
          </cell>
          <cell r="G609">
            <v>131205</v>
          </cell>
          <cell r="H609">
            <v>2099</v>
          </cell>
        </row>
        <row r="610">
          <cell r="A610" t="str">
            <v>003.045</v>
          </cell>
          <cell r="B610" t="str">
            <v>H2</v>
          </cell>
          <cell r="C610" t="str">
            <v>EQUIPO BASICO (HERRAMIENTA MENOR)</v>
          </cell>
          <cell r="D610" t="str">
            <v>Herramienta</v>
          </cell>
          <cell r="E610" t="str">
            <v>UND</v>
          </cell>
          <cell r="F610">
            <v>0.2</v>
          </cell>
          <cell r="G610">
            <v>2536</v>
          </cell>
          <cell r="H610">
            <v>507</v>
          </cell>
        </row>
        <row r="611">
          <cell r="A611" t="str">
            <v>003.045</v>
          </cell>
          <cell r="B611" t="str">
            <v>I1565</v>
          </cell>
          <cell r="C611" t="str">
            <v>ACARREO INTERNO</v>
          </cell>
          <cell r="D611" t="str">
            <v>Insumo</v>
          </cell>
          <cell r="E611" t="str">
            <v>UND</v>
          </cell>
          <cell r="F611">
            <v>0.5</v>
          </cell>
          <cell r="G611">
            <v>1327</v>
          </cell>
          <cell r="H611">
            <v>664</v>
          </cell>
        </row>
        <row r="612">
          <cell r="A612" t="str">
            <v>003.045</v>
          </cell>
          <cell r="B612" t="str">
            <v>I407</v>
          </cell>
          <cell r="C612" t="str">
            <v>CINTA DE DEMARCACION * 10 M.</v>
          </cell>
          <cell r="D612" t="str">
            <v>Insumo</v>
          </cell>
          <cell r="E612" t="str">
            <v>M</v>
          </cell>
          <cell r="F612">
            <v>1.03</v>
          </cell>
          <cell r="G612">
            <v>140</v>
          </cell>
          <cell r="H612">
            <v>144</v>
          </cell>
        </row>
        <row r="613">
          <cell r="A613" t="str">
            <v>003.045</v>
          </cell>
          <cell r="B613" t="str">
            <v>I534</v>
          </cell>
          <cell r="C613" t="str">
            <v>ACONDICIONADOR NOVAFORT  TARRO 500 GRS. O SIMILAR.</v>
          </cell>
          <cell r="D613" t="str">
            <v>Insumo</v>
          </cell>
          <cell r="E613" t="str">
            <v>UND</v>
          </cell>
          <cell r="F613">
            <v>0.13800000000000001</v>
          </cell>
          <cell r="G613">
            <v>112862</v>
          </cell>
          <cell r="H613">
            <v>15575</v>
          </cell>
        </row>
        <row r="614">
          <cell r="A614" t="str">
            <v>003.045</v>
          </cell>
          <cell r="B614" t="str">
            <v>I702</v>
          </cell>
          <cell r="C614" t="str">
            <v xml:space="preserve">TUBO ALCANTARILLADO NOVAFORT  PVC  355 MM </v>
          </cell>
          <cell r="D614" t="str">
            <v>Insumo</v>
          </cell>
          <cell r="E614" t="str">
            <v>M</v>
          </cell>
          <cell r="F614">
            <v>1</v>
          </cell>
          <cell r="G614">
            <v>114916</v>
          </cell>
          <cell r="H614">
            <v>114916</v>
          </cell>
        </row>
        <row r="616">
          <cell r="A616" t="str">
            <v>111.040</v>
          </cell>
          <cell r="B616" t="str">
            <v>-</v>
          </cell>
          <cell r="C616" t="str">
            <v>SUMINISTRO, TRANSPORTE E INSTALACION Tapa registro 20 x 20 centímetros Corriente plástica - Sinplas</v>
          </cell>
          <cell r="D616" t="str">
            <v>Actividad</v>
          </cell>
          <cell r="E616" t="str">
            <v>UND</v>
          </cell>
          <cell r="H616">
            <v>24636</v>
          </cell>
        </row>
        <row r="617">
          <cell r="A617" t="str">
            <v>111.040</v>
          </cell>
          <cell r="B617" t="str">
            <v>C2</v>
          </cell>
          <cell r="C617" t="str">
            <v>CUADRILLA BB TIPO 1 (1 OFICIAL + 1 AYUDANTE) (Instalaciones)</v>
          </cell>
          <cell r="D617" t="str">
            <v>Cuadrilla</v>
          </cell>
          <cell r="E617" t="str">
            <v>HR</v>
          </cell>
          <cell r="F617">
            <v>0.3</v>
          </cell>
          <cell r="G617">
            <v>18383</v>
          </cell>
          <cell r="H617">
            <v>5515</v>
          </cell>
        </row>
        <row r="618">
          <cell r="A618" t="str">
            <v>111.040</v>
          </cell>
          <cell r="B618" t="str">
            <v>E12</v>
          </cell>
          <cell r="C618" t="str">
            <v>EQUIPO DE TRANSPORTE</v>
          </cell>
          <cell r="D618" t="str">
            <v>Equipos</v>
          </cell>
          <cell r="E618" t="str">
            <v>DIA</v>
          </cell>
          <cell r="F618">
            <v>7.7000000000000002E-3</v>
          </cell>
          <cell r="G618">
            <v>131205</v>
          </cell>
          <cell r="H618">
            <v>1010</v>
          </cell>
        </row>
        <row r="619">
          <cell r="A619" t="str">
            <v>111.040</v>
          </cell>
          <cell r="B619" t="str">
            <v>H2</v>
          </cell>
          <cell r="C619" t="str">
            <v>EQUIPO BASICO (HERRAMIENTA MENOR)</v>
          </cell>
          <cell r="D619" t="str">
            <v>Herramienta</v>
          </cell>
          <cell r="E619" t="str">
            <v>UND</v>
          </cell>
          <cell r="F619">
            <v>0.3</v>
          </cell>
          <cell r="G619">
            <v>2536</v>
          </cell>
          <cell r="H619">
            <v>761</v>
          </cell>
        </row>
        <row r="620">
          <cell r="A620" t="str">
            <v>111.040</v>
          </cell>
          <cell r="B620" t="str">
            <v>I1565</v>
          </cell>
          <cell r="C620" t="str">
            <v>ACARREO INTERNO</v>
          </cell>
          <cell r="D620" t="str">
            <v>Insumo</v>
          </cell>
          <cell r="E620" t="str">
            <v>UND</v>
          </cell>
          <cell r="F620">
            <v>2.6</v>
          </cell>
          <cell r="G620">
            <v>1327</v>
          </cell>
          <cell r="H620">
            <v>3450</v>
          </cell>
        </row>
        <row r="621">
          <cell r="A621" t="str">
            <v>111.040</v>
          </cell>
          <cell r="B621" t="str">
            <v>I740</v>
          </cell>
          <cell r="C621" t="str">
            <v>Tapa registro 20 x 20 centímetros Corriente plástica - Sinplas</v>
          </cell>
          <cell r="D621" t="str">
            <v>Insumo</v>
          </cell>
          <cell r="E621" t="str">
            <v>UND</v>
          </cell>
          <cell r="F621">
            <v>1</v>
          </cell>
          <cell r="G621">
            <v>13900</v>
          </cell>
          <cell r="H621">
            <v>13900</v>
          </cell>
        </row>
        <row r="623">
          <cell r="A623" t="str">
            <v>111.041</v>
          </cell>
          <cell r="B623" t="str">
            <v>-</v>
          </cell>
          <cell r="C623" t="str">
            <v>SUMINISTRO, TRANSPORTE E INSTALACION  Válvula de flotador en Bronce con Bola en Cobre 1 1/4"  y varilla en latón ideal para controlar el llenado del tanque, permitiendo que este no se rebose y manteniendo el nivel de llenado adecuado. incluye Bola en cobre y Varilla en Latón</v>
          </cell>
          <cell r="D623" t="str">
            <v>Actividad</v>
          </cell>
          <cell r="E623" t="str">
            <v>UND</v>
          </cell>
          <cell r="H623">
            <v>183636</v>
          </cell>
        </row>
        <row r="624">
          <cell r="A624" t="str">
            <v>111.041</v>
          </cell>
          <cell r="B624" t="str">
            <v>C2</v>
          </cell>
          <cell r="C624" t="str">
            <v>CUADRILLA BB TIPO 1 (1 OFICIAL + 1 AYUDANTE) (Instalaciones)</v>
          </cell>
          <cell r="D624" t="str">
            <v>Cuadrilla</v>
          </cell>
          <cell r="E624" t="str">
            <v>HR</v>
          </cell>
          <cell r="F624">
            <v>0.3</v>
          </cell>
          <cell r="G624">
            <v>18383</v>
          </cell>
          <cell r="H624">
            <v>5515</v>
          </cell>
        </row>
        <row r="625">
          <cell r="A625" t="str">
            <v>111.041</v>
          </cell>
          <cell r="B625" t="str">
            <v>E12</v>
          </cell>
          <cell r="C625" t="str">
            <v>EQUIPO DE TRANSPORTE</v>
          </cell>
          <cell r="D625" t="str">
            <v>Equipos</v>
          </cell>
          <cell r="E625" t="str">
            <v>DIA</v>
          </cell>
          <cell r="F625">
            <v>7.7000000000000002E-3</v>
          </cell>
          <cell r="G625">
            <v>131205</v>
          </cell>
          <cell r="H625">
            <v>1010</v>
          </cell>
        </row>
        <row r="626">
          <cell r="A626" t="str">
            <v>111.041</v>
          </cell>
          <cell r="B626" t="str">
            <v>H2</v>
          </cell>
          <cell r="C626" t="str">
            <v>EQUIPO BASICO (HERRAMIENTA MENOR)</v>
          </cell>
          <cell r="D626" t="str">
            <v>Herramienta</v>
          </cell>
          <cell r="E626" t="str">
            <v>UND</v>
          </cell>
          <cell r="F626">
            <v>0.3</v>
          </cell>
          <cell r="G626">
            <v>2536</v>
          </cell>
          <cell r="H626">
            <v>761</v>
          </cell>
        </row>
        <row r="627">
          <cell r="A627" t="str">
            <v>111.041</v>
          </cell>
          <cell r="B627" t="str">
            <v>I1565</v>
          </cell>
          <cell r="C627" t="str">
            <v>ACARREO INTERNO</v>
          </cell>
          <cell r="D627" t="str">
            <v>Insumo</v>
          </cell>
          <cell r="E627" t="str">
            <v>UND</v>
          </cell>
          <cell r="F627">
            <v>2.6</v>
          </cell>
          <cell r="G627">
            <v>1327</v>
          </cell>
          <cell r="H627">
            <v>3450</v>
          </cell>
        </row>
        <row r="628">
          <cell r="A628" t="str">
            <v>111.041</v>
          </cell>
          <cell r="B628" t="str">
            <v>I740</v>
          </cell>
          <cell r="C628" t="str">
            <v>Válvula de flotador en Bronce con Bola en Cobre 1 1/4" y varilla en latón ideal para controlar el llenado del tanque, permitiendo que este no se rebose y manteniendo el nivel de llenado adecuado, incluye Bola en cobre y Varilla en Latón</v>
          </cell>
          <cell r="D628" t="str">
            <v>Insumo</v>
          </cell>
          <cell r="E628" t="str">
            <v>UND</v>
          </cell>
          <cell r="F628">
            <v>1</v>
          </cell>
          <cell r="G628">
            <v>172900</v>
          </cell>
          <cell r="H628">
            <v>172900</v>
          </cell>
        </row>
        <row r="630">
          <cell r="A630" t="str">
            <v>111.042</v>
          </cell>
          <cell r="B630" t="str">
            <v>-</v>
          </cell>
          <cell r="C630" t="str">
            <v xml:space="preserve">SUMINISTRO, TRANSPORTE E INSTALACION  VALVULA DE COMPUERTA RED WHITE EN BRONCE DE 1" </v>
          </cell>
          <cell r="D630" t="str">
            <v>Actividad</v>
          </cell>
          <cell r="E630" t="str">
            <v>UND</v>
          </cell>
          <cell r="H630">
            <v>169636</v>
          </cell>
        </row>
        <row r="631">
          <cell r="A631" t="str">
            <v>111.042</v>
          </cell>
          <cell r="B631" t="str">
            <v>C2</v>
          </cell>
          <cell r="C631" t="str">
            <v>CUADRILLA BB TIPO 1 (1 OFICIAL + 1 AYUDANTE) (Instalaciones)</v>
          </cell>
          <cell r="D631" t="str">
            <v>Cuadrilla</v>
          </cell>
          <cell r="E631" t="str">
            <v>HR</v>
          </cell>
          <cell r="F631">
            <v>0.3</v>
          </cell>
          <cell r="G631">
            <v>18383</v>
          </cell>
          <cell r="H631">
            <v>5515</v>
          </cell>
        </row>
        <row r="632">
          <cell r="A632" t="str">
            <v>111.042</v>
          </cell>
          <cell r="B632" t="str">
            <v>E12</v>
          </cell>
          <cell r="C632" t="str">
            <v>EQUIPO DE TRANSPORTE</v>
          </cell>
          <cell r="D632" t="str">
            <v>Equipos</v>
          </cell>
          <cell r="E632" t="str">
            <v>DIA</v>
          </cell>
          <cell r="F632">
            <v>7.7000000000000002E-3</v>
          </cell>
          <cell r="G632">
            <v>131205</v>
          </cell>
          <cell r="H632">
            <v>1010</v>
          </cell>
        </row>
        <row r="633">
          <cell r="A633" t="str">
            <v>111.042</v>
          </cell>
          <cell r="B633" t="str">
            <v>H2</v>
          </cell>
          <cell r="C633" t="str">
            <v>EQUIPO BASICO (HERRAMIENTA MENOR)</v>
          </cell>
          <cell r="D633" t="str">
            <v>Herramienta</v>
          </cell>
          <cell r="E633" t="str">
            <v>UND</v>
          </cell>
          <cell r="F633">
            <v>0.3</v>
          </cell>
          <cell r="G633">
            <v>2536</v>
          </cell>
          <cell r="H633">
            <v>761</v>
          </cell>
        </row>
        <row r="634">
          <cell r="A634" t="str">
            <v>111.042</v>
          </cell>
          <cell r="B634" t="str">
            <v>I1565</v>
          </cell>
          <cell r="C634" t="str">
            <v>ACARREO INTERNO</v>
          </cell>
          <cell r="D634" t="str">
            <v>Insumo</v>
          </cell>
          <cell r="E634" t="str">
            <v>UND</v>
          </cell>
          <cell r="F634">
            <v>2.6</v>
          </cell>
          <cell r="G634">
            <v>1327</v>
          </cell>
          <cell r="H634">
            <v>3450</v>
          </cell>
        </row>
        <row r="635">
          <cell r="A635" t="str">
            <v>111.042</v>
          </cell>
          <cell r="B635" t="str">
            <v>I740</v>
          </cell>
          <cell r="C635" t="str">
            <v xml:space="preserve">VALVULA DE COMPUERTA RED WHITE EN BRONCE DE 1" </v>
          </cell>
          <cell r="D635" t="str">
            <v>Insumo</v>
          </cell>
          <cell r="E635" t="str">
            <v>UND</v>
          </cell>
          <cell r="F635">
            <v>1</v>
          </cell>
          <cell r="G635">
            <v>158900</v>
          </cell>
          <cell r="H635">
            <v>158900</v>
          </cell>
        </row>
        <row r="637">
          <cell r="A637" t="str">
            <v>111.043</v>
          </cell>
          <cell r="B637" t="str">
            <v>-</v>
          </cell>
          <cell r="C637" t="str">
            <v>SUMINISTRO, TRANSPORTE E INSTALACION CAMARA DE INSPECCION  0.80*0.80*1 m.  (Incluye, ladrillo común, marco en angulo 2 1/2 x 2 1/2 * 3/16" y tapa reforzada en platina de 3 * 3/16" con parrilla en varilla 3/8 cada 10 cm.).</v>
          </cell>
          <cell r="D637" t="str">
            <v>Actividad</v>
          </cell>
          <cell r="E637" t="str">
            <v>UND</v>
          </cell>
          <cell r="H637">
            <v>983354</v>
          </cell>
        </row>
        <row r="638">
          <cell r="A638" t="str">
            <v>111.043</v>
          </cell>
          <cell r="B638" t="str">
            <v>AB21</v>
          </cell>
          <cell r="C638" t="str">
            <v>MORTERO 1:4</v>
          </cell>
          <cell r="D638" t="str">
            <v>Analisis</v>
          </cell>
          <cell r="E638" t="str">
            <v>M3</v>
          </cell>
          <cell r="F638">
            <v>0.13</v>
          </cell>
          <cell r="G638">
            <v>388939</v>
          </cell>
          <cell r="H638">
            <v>50562</v>
          </cell>
        </row>
        <row r="639">
          <cell r="A639" t="str">
            <v>111.043</v>
          </cell>
          <cell r="B639" t="str">
            <v>AB4</v>
          </cell>
          <cell r="C639" t="str">
            <v>CONCRETO 2500 psi - 17.5 Mpa</v>
          </cell>
          <cell r="D639" t="str">
            <v>Analisis</v>
          </cell>
          <cell r="E639" t="str">
            <v>M3</v>
          </cell>
          <cell r="F639">
            <v>6.4000000000000001E-2</v>
          </cell>
          <cell r="G639">
            <v>380250</v>
          </cell>
          <cell r="H639">
            <v>24336</v>
          </cell>
        </row>
        <row r="640">
          <cell r="A640" t="str">
            <v>111.043</v>
          </cell>
          <cell r="B640" t="str">
            <v>C23</v>
          </cell>
          <cell r="C640" t="str">
            <v>CUADRILLA BB TIPO 4 (1 OFICIAL + 4 AYUDANTE) (Instalaciones)</v>
          </cell>
          <cell r="D640" t="str">
            <v>Cuadrilla</v>
          </cell>
          <cell r="E640" t="str">
            <v>HR</v>
          </cell>
          <cell r="F640">
            <v>3.35</v>
          </cell>
          <cell r="G640">
            <v>39593</v>
          </cell>
          <cell r="H640">
            <v>132637</v>
          </cell>
        </row>
        <row r="641">
          <cell r="A641" t="str">
            <v>111.043</v>
          </cell>
          <cell r="B641" t="str">
            <v>E12</v>
          </cell>
          <cell r="C641" t="str">
            <v>EQUIPO DE TRANSPORTE</v>
          </cell>
          <cell r="D641" t="str">
            <v>Equipos</v>
          </cell>
          <cell r="E641" t="str">
            <v>DIA</v>
          </cell>
          <cell r="F641">
            <v>8.5000000000000006E-2</v>
          </cell>
          <cell r="G641">
            <v>131205</v>
          </cell>
          <cell r="H641">
            <v>11152</v>
          </cell>
        </row>
        <row r="642">
          <cell r="A642" t="str">
            <v>111.043</v>
          </cell>
          <cell r="B642" t="str">
            <v>H2</v>
          </cell>
          <cell r="C642" t="str">
            <v>EQUIPO BASICO (HERRAMIENTA MENOR)</v>
          </cell>
          <cell r="D642" t="str">
            <v>Herramienta</v>
          </cell>
          <cell r="E642" t="str">
            <v>UND</v>
          </cell>
          <cell r="F642">
            <v>0.3</v>
          </cell>
          <cell r="G642">
            <v>2536</v>
          </cell>
          <cell r="H642">
            <v>761</v>
          </cell>
        </row>
        <row r="643">
          <cell r="A643" t="str">
            <v>111.043</v>
          </cell>
          <cell r="B643" t="str">
            <v>I1565</v>
          </cell>
          <cell r="C643" t="str">
            <v>ACARREO INTERNO</v>
          </cell>
          <cell r="D643" t="str">
            <v>Insumo</v>
          </cell>
          <cell r="E643" t="str">
            <v>UND</v>
          </cell>
          <cell r="F643">
            <v>9</v>
          </cell>
          <cell r="G643">
            <v>1327</v>
          </cell>
          <cell r="H643">
            <v>11943</v>
          </cell>
        </row>
        <row r="644">
          <cell r="A644" t="str">
            <v>111.043</v>
          </cell>
          <cell r="B644" t="str">
            <v>I199</v>
          </cell>
          <cell r="C644" t="str">
            <v>MARCO Y TAPA CAMARA DE INSPECCION DE 0.80 X 0.80 CM. (MARCO EN ANGULO 2 1/2 X 2 1/2 * 3/16", TAPA REFORZADA EN PLATINA DE 3 * 3/16" CON PARRILLA EN VARILLA 3/8 CADA 10 CM.).</v>
          </cell>
          <cell r="D644" t="str">
            <v>Insumo</v>
          </cell>
          <cell r="E644" t="str">
            <v>UND</v>
          </cell>
          <cell r="F644">
            <v>1</v>
          </cell>
          <cell r="G644">
            <v>368040</v>
          </cell>
          <cell r="H644">
            <v>368040</v>
          </cell>
        </row>
        <row r="645">
          <cell r="A645" t="str">
            <v>111.043</v>
          </cell>
          <cell r="B645" t="str">
            <v>I427</v>
          </cell>
          <cell r="C645" t="str">
            <v>SIKA-1 IMPERMEABILIZANTE INTEGRAL MORTEROS O SIMILAR.</v>
          </cell>
          <cell r="D645" t="str">
            <v>Insumo</v>
          </cell>
          <cell r="E645" t="str">
            <v>KG</v>
          </cell>
          <cell r="F645">
            <v>2.56</v>
          </cell>
          <cell r="G645">
            <v>10146</v>
          </cell>
          <cell r="H645">
            <v>25974</v>
          </cell>
        </row>
        <row r="646">
          <cell r="A646" t="str">
            <v>111.043</v>
          </cell>
          <cell r="B646" t="str">
            <v>I944</v>
          </cell>
          <cell r="C646" t="str">
            <v>LADRILLO TOLETE RECOCIDO (24,5 X 12 X 6 CM)</v>
          </cell>
          <cell r="D646" t="str">
            <v>Insumo</v>
          </cell>
          <cell r="E646" t="str">
            <v>UND</v>
          </cell>
          <cell r="F646">
            <v>197</v>
          </cell>
          <cell r="G646">
            <v>1817</v>
          </cell>
          <cell r="H646">
            <v>357949</v>
          </cell>
        </row>
        <row r="648">
          <cell r="A648" t="str">
            <v>111.044</v>
          </cell>
          <cell r="B648" t="str">
            <v>-</v>
          </cell>
          <cell r="C648" t="str">
            <v>SUMINISTRO, TRANSPORTE E INSTALACION CAMARA DE INSPECCION  1 * 1 * 1 m.  (Incluye, ladrillo común, marco en angulo 2 1/2 x 2 1/2 * 3/16" y tapa reforzada en platina de 3 * 3/16" con parrilla en varilla 3/8 cada 10 cm.).</v>
          </cell>
          <cell r="D648" t="str">
            <v>Actividad</v>
          </cell>
          <cell r="E648" t="str">
            <v>UND</v>
          </cell>
          <cell r="H648">
            <v>1207041</v>
          </cell>
        </row>
        <row r="649">
          <cell r="A649" t="str">
            <v>111.044</v>
          </cell>
          <cell r="B649" t="str">
            <v>AB21</v>
          </cell>
          <cell r="C649" t="str">
            <v>MORTERO 1:4</v>
          </cell>
          <cell r="D649" t="str">
            <v>Analisis</v>
          </cell>
          <cell r="E649" t="str">
            <v>M3</v>
          </cell>
          <cell r="F649">
            <v>0.16</v>
          </cell>
          <cell r="G649">
            <v>388939</v>
          </cell>
          <cell r="H649">
            <v>62230</v>
          </cell>
        </row>
        <row r="650">
          <cell r="A650" t="str">
            <v>111.044</v>
          </cell>
          <cell r="B650" t="str">
            <v>AB4</v>
          </cell>
          <cell r="C650" t="str">
            <v>CONCRETO 2500 psi - 17.5 Mpa</v>
          </cell>
          <cell r="D650" t="str">
            <v>Analisis</v>
          </cell>
          <cell r="E650" t="str">
            <v>M3</v>
          </cell>
          <cell r="F650">
            <v>0.1</v>
          </cell>
          <cell r="G650">
            <v>380250</v>
          </cell>
          <cell r="H650">
            <v>38025</v>
          </cell>
        </row>
        <row r="651">
          <cell r="A651" t="str">
            <v>111.044</v>
          </cell>
          <cell r="B651" t="str">
            <v>C22</v>
          </cell>
          <cell r="C651" t="str">
            <v>CUADRILLA AA TIPO 4 (1 OFICIAL + 4 AYUDANTE) (Albañileria)</v>
          </cell>
          <cell r="D651" t="str">
            <v>Cuadrilla</v>
          </cell>
          <cell r="E651" t="str">
            <v>HR</v>
          </cell>
          <cell r="F651">
            <v>4</v>
          </cell>
          <cell r="G651">
            <v>35996</v>
          </cell>
          <cell r="H651">
            <v>143984</v>
          </cell>
        </row>
        <row r="652">
          <cell r="A652" t="str">
            <v>111.044</v>
          </cell>
          <cell r="B652" t="str">
            <v>E12</v>
          </cell>
          <cell r="C652" t="str">
            <v>EQUIPO DE TRANSPORTE</v>
          </cell>
          <cell r="D652" t="str">
            <v>Equipos</v>
          </cell>
          <cell r="E652" t="str">
            <v>DIA</v>
          </cell>
          <cell r="F652">
            <v>0.127</v>
          </cell>
          <cell r="G652">
            <v>131205</v>
          </cell>
          <cell r="H652">
            <v>16663</v>
          </cell>
        </row>
        <row r="653">
          <cell r="A653" t="str">
            <v>111.044</v>
          </cell>
          <cell r="B653" t="str">
            <v>H2</v>
          </cell>
          <cell r="C653" t="str">
            <v>EQUIPO BASICO (HERRAMIENTA MENOR)</v>
          </cell>
          <cell r="D653" t="str">
            <v>Herramienta</v>
          </cell>
          <cell r="E653" t="str">
            <v>UND</v>
          </cell>
          <cell r="F653">
            <v>0.3</v>
          </cell>
          <cell r="G653">
            <v>2536</v>
          </cell>
          <cell r="H653">
            <v>761</v>
          </cell>
        </row>
        <row r="654">
          <cell r="A654" t="str">
            <v>111.044</v>
          </cell>
          <cell r="B654" t="str">
            <v>I1565</v>
          </cell>
          <cell r="C654" t="str">
            <v>ACARREO INTERNO</v>
          </cell>
          <cell r="D654" t="str">
            <v>Insumo</v>
          </cell>
          <cell r="E654" t="str">
            <v>UND</v>
          </cell>
          <cell r="F654">
            <v>9</v>
          </cell>
          <cell r="G654">
            <v>1327</v>
          </cell>
          <cell r="H654">
            <v>11943</v>
          </cell>
        </row>
        <row r="655">
          <cell r="A655" t="str">
            <v>111.044</v>
          </cell>
          <cell r="B655" t="str">
            <v>I200</v>
          </cell>
          <cell r="C655" t="str">
            <v>MARCO Y TAPA CAMARA DE INSPECCION DE 1.00 X 1.00 M. (MARCO EN ANGULO 2 1/2 X 2 1/2 * 3/16", TAPA REFORZADA EN PLATINA DE 3 * 3/16" CON PARRILLA EN VARILLA 3/8 CADA 10 CM.).</v>
          </cell>
          <cell r="D655" t="str">
            <v>Insumo</v>
          </cell>
          <cell r="E655" t="str">
            <v>UND</v>
          </cell>
          <cell r="F655">
            <v>1</v>
          </cell>
          <cell r="G655">
            <v>486453</v>
          </cell>
          <cell r="H655">
            <v>486453</v>
          </cell>
        </row>
        <row r="656">
          <cell r="A656" t="str">
            <v>111.044</v>
          </cell>
          <cell r="B656" t="str">
            <v>I944</v>
          </cell>
          <cell r="C656" t="str">
            <v>LADRILLO TOLETE RECOCIDO (24,5 X 12 X 6 CM)</v>
          </cell>
          <cell r="D656" t="str">
            <v>Insumo</v>
          </cell>
          <cell r="E656" t="str">
            <v>UND</v>
          </cell>
          <cell r="F656">
            <v>246</v>
          </cell>
          <cell r="G656">
            <v>1817</v>
          </cell>
          <cell r="H656">
            <v>446982</v>
          </cell>
        </row>
        <row r="658">
          <cell r="A658" t="str">
            <v>111.045</v>
          </cell>
          <cell r="B658" t="str">
            <v>-</v>
          </cell>
          <cell r="C658"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v>
          </cell>
          <cell r="D658" t="str">
            <v>Actividad</v>
          </cell>
          <cell r="E658" t="str">
            <v>UND</v>
          </cell>
          <cell r="H658">
            <v>1257241</v>
          </cell>
        </row>
        <row r="659">
          <cell r="A659" t="str">
            <v>111.045</v>
          </cell>
          <cell r="B659" t="str">
            <v>I2010</v>
          </cell>
          <cell r="C659"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D659" t="str">
            <v>Insumo</v>
          </cell>
          <cell r="E659" t="str">
            <v>UND</v>
          </cell>
          <cell r="F659">
            <v>1</v>
          </cell>
          <cell r="G659">
            <v>1257241</v>
          </cell>
          <cell r="H659">
            <v>1257241</v>
          </cell>
        </row>
        <row r="661">
          <cell r="A661" t="str">
            <v>111.046</v>
          </cell>
          <cell r="B661" t="str">
            <v>-</v>
          </cell>
          <cell r="C661" t="str">
            <v>SUMINISTRO, TRANSPORTE E INSTALACION DE VALVULA DE COMPUERTA RED WHITE EN BRONCE ROSCA NPT 1.1/4"</v>
          </cell>
          <cell r="D661" t="str">
            <v>Actividad</v>
          </cell>
          <cell r="E661" t="str">
            <v>UND</v>
          </cell>
          <cell r="H661">
            <v>179536</v>
          </cell>
        </row>
        <row r="662">
          <cell r="A662" t="str">
            <v>111.046</v>
          </cell>
          <cell r="B662" t="str">
            <v>C2</v>
          </cell>
          <cell r="C662" t="str">
            <v>CUADRILLA BB TIPO 1 (1 OFICIAL + 1 AYUDANTE) (Instalaciones)</v>
          </cell>
          <cell r="D662" t="str">
            <v>Cuadrilla</v>
          </cell>
          <cell r="E662" t="str">
            <v>HR</v>
          </cell>
          <cell r="F662">
            <v>0.3</v>
          </cell>
          <cell r="G662">
            <v>18383</v>
          </cell>
          <cell r="H662">
            <v>5515</v>
          </cell>
        </row>
        <row r="663">
          <cell r="A663" t="str">
            <v>111.046</v>
          </cell>
          <cell r="B663" t="str">
            <v>E12</v>
          </cell>
          <cell r="C663" t="str">
            <v>EQUIPO DE TRANSPORTE</v>
          </cell>
          <cell r="D663" t="str">
            <v>Equipos</v>
          </cell>
          <cell r="E663" t="str">
            <v>DIA</v>
          </cell>
          <cell r="F663">
            <v>7.7000000000000002E-3</v>
          </cell>
          <cell r="G663">
            <v>131205</v>
          </cell>
          <cell r="H663">
            <v>1010</v>
          </cell>
        </row>
        <row r="664">
          <cell r="A664" t="str">
            <v>111.046</v>
          </cell>
          <cell r="B664" t="str">
            <v>H2</v>
          </cell>
          <cell r="C664" t="str">
            <v>EQUIPO BASICO (HERRAMIENTA MENOR)</v>
          </cell>
          <cell r="D664" t="str">
            <v>Herramienta</v>
          </cell>
          <cell r="E664" t="str">
            <v>UND</v>
          </cell>
          <cell r="F664">
            <v>0.3</v>
          </cell>
          <cell r="G664">
            <v>2536</v>
          </cell>
          <cell r="H664">
            <v>761</v>
          </cell>
        </row>
        <row r="665">
          <cell r="A665" t="str">
            <v>111.046</v>
          </cell>
          <cell r="B665" t="str">
            <v>I1565</v>
          </cell>
          <cell r="C665" t="str">
            <v>ACARREO INTERNO</v>
          </cell>
          <cell r="D665" t="str">
            <v>Insumo</v>
          </cell>
          <cell r="E665" t="str">
            <v>UND</v>
          </cell>
          <cell r="F665">
            <v>2.6</v>
          </cell>
          <cell r="G665">
            <v>1327</v>
          </cell>
          <cell r="H665">
            <v>3450</v>
          </cell>
        </row>
        <row r="666">
          <cell r="A666" t="str">
            <v>111.046</v>
          </cell>
          <cell r="B666" t="str">
            <v>I740</v>
          </cell>
          <cell r="C666" t="str">
            <v>VALVULA DE COMPUERTA RED WHITE EN BRONCE ROSCA NPT 1.1/4"</v>
          </cell>
          <cell r="D666" t="str">
            <v>Insumo</v>
          </cell>
          <cell r="E666" t="str">
            <v>UND</v>
          </cell>
          <cell r="F666">
            <v>1</v>
          </cell>
          <cell r="G666">
            <v>168800</v>
          </cell>
          <cell r="H666">
            <v>168800</v>
          </cell>
        </row>
        <row r="668">
          <cell r="A668" t="str">
            <v>111.048</v>
          </cell>
          <cell r="B668" t="str">
            <v>-</v>
          </cell>
          <cell r="C668" t="str">
            <v>SUMINISTRO, TRANSPORTE E INSTALACION DE VALVULA FLOTADOR EN BRONCE 1"</v>
          </cell>
          <cell r="D668" t="str">
            <v>Actividad</v>
          </cell>
          <cell r="E668" t="str">
            <v>UND</v>
          </cell>
          <cell r="H668">
            <v>177186</v>
          </cell>
        </row>
        <row r="669">
          <cell r="A669" t="str">
            <v>111.048</v>
          </cell>
          <cell r="B669" t="str">
            <v>C2</v>
          </cell>
          <cell r="C669" t="str">
            <v>CUADRILLA BB TIPO 1 (1 OFICIAL + 1 AYUDANTE) (Instalaciones)</v>
          </cell>
          <cell r="D669" t="str">
            <v>Cuadrilla</v>
          </cell>
          <cell r="E669" t="str">
            <v>HR</v>
          </cell>
          <cell r="F669">
            <v>0.3</v>
          </cell>
          <cell r="G669">
            <v>18383</v>
          </cell>
          <cell r="H669">
            <v>5515</v>
          </cell>
        </row>
        <row r="670">
          <cell r="A670" t="str">
            <v>111.048</v>
          </cell>
          <cell r="B670" t="str">
            <v>E12</v>
          </cell>
          <cell r="C670" t="str">
            <v>EQUIPO DE TRANSPORTE</v>
          </cell>
          <cell r="D670" t="str">
            <v>Equipos</v>
          </cell>
          <cell r="E670" t="str">
            <v>DIA</v>
          </cell>
          <cell r="F670">
            <v>7.7000000000000002E-3</v>
          </cell>
          <cell r="G670">
            <v>131205</v>
          </cell>
          <cell r="H670">
            <v>1010</v>
          </cell>
        </row>
        <row r="671">
          <cell r="A671" t="str">
            <v>111.048</v>
          </cell>
          <cell r="B671" t="str">
            <v>H2</v>
          </cell>
          <cell r="C671" t="str">
            <v>EQUIPO BASICO (HERRAMIENTA MENOR)</v>
          </cell>
          <cell r="D671" t="str">
            <v>Herramienta</v>
          </cell>
          <cell r="E671" t="str">
            <v>UND</v>
          </cell>
          <cell r="F671">
            <v>0.3</v>
          </cell>
          <cell r="G671">
            <v>2536</v>
          </cell>
          <cell r="H671">
            <v>761</v>
          </cell>
        </row>
        <row r="672">
          <cell r="A672" t="str">
            <v>111.048</v>
          </cell>
          <cell r="B672" t="str">
            <v>I1565</v>
          </cell>
          <cell r="C672" t="str">
            <v>ACARREO INTERNO</v>
          </cell>
          <cell r="D672" t="str">
            <v>Insumo</v>
          </cell>
          <cell r="E672" t="str">
            <v>UND</v>
          </cell>
          <cell r="F672">
            <v>2.6</v>
          </cell>
          <cell r="G672">
            <v>1327</v>
          </cell>
          <cell r="H672">
            <v>3450</v>
          </cell>
        </row>
        <row r="673">
          <cell r="A673" t="str">
            <v>111.048</v>
          </cell>
          <cell r="B673" t="str">
            <v>I740</v>
          </cell>
          <cell r="C673" t="str">
            <v>VALVULA FLOTADOR EN BRONCE 1"</v>
          </cell>
          <cell r="D673" t="str">
            <v>Insumo</v>
          </cell>
          <cell r="E673" t="str">
            <v>UND</v>
          </cell>
          <cell r="F673">
            <v>1</v>
          </cell>
          <cell r="G673">
            <v>166450</v>
          </cell>
          <cell r="H673">
            <v>166450</v>
          </cell>
        </row>
        <row r="675">
          <cell r="A675" t="str">
            <v>111.049</v>
          </cell>
          <cell r="B675" t="str">
            <v>-</v>
          </cell>
          <cell r="C675" t="str">
            <v>SUMINISTRO, TRANSPORTE E INSTALACION DE EQUIPO DE PRESION CONSTANTE COMPLETO, CON DOS ELECTROBOMBAS DE 6HP, UN CAUDAL TOTAL DE 168 GPM, UNA PRESION DE TRABAJO 60-80 PSI  Y UN TANQUE HIDROFLOT DE 500 LTS</v>
          </cell>
          <cell r="D675" t="str">
            <v>Actividad</v>
          </cell>
          <cell r="E675" t="str">
            <v>UND</v>
          </cell>
          <cell r="H675">
            <v>18758150</v>
          </cell>
        </row>
        <row r="676">
          <cell r="A676" t="str">
            <v>111.049</v>
          </cell>
          <cell r="B676" t="str">
            <v>C16</v>
          </cell>
          <cell r="C676" t="str">
            <v>CUADRILLA BB TIPO 3 (1 OFICIAL + 3 AYUDANTE) (Instalaciones)</v>
          </cell>
          <cell r="D676" t="str">
            <v>Cuadrilla</v>
          </cell>
          <cell r="E676" t="str">
            <v>HR</v>
          </cell>
          <cell r="F676">
            <v>50</v>
          </cell>
          <cell r="G676">
            <v>32523</v>
          </cell>
          <cell r="H676">
            <v>1626150</v>
          </cell>
        </row>
        <row r="677">
          <cell r="A677" t="str">
            <v>111.049</v>
          </cell>
          <cell r="B677" t="str">
            <v>I2020</v>
          </cell>
          <cell r="C677" t="str">
            <v>EQUIPO DE PRESION CONSTANTE COMPLETO, CON DOS ELECTROBOMBAS DE 6HP, UN CAUDAL TOTAL DE 168 GPM, UNA PRESION DE TRABAJO 60-80 PSI  Y UN TANQUE HIDROFLOT DE 500 LTS</v>
          </cell>
          <cell r="D677" t="str">
            <v>Insumo</v>
          </cell>
          <cell r="E677" t="str">
            <v>UND</v>
          </cell>
          <cell r="F677">
            <v>1</v>
          </cell>
          <cell r="G677">
            <v>17132000</v>
          </cell>
          <cell r="H677">
            <v>17132000</v>
          </cell>
        </row>
        <row r="679">
          <cell r="A679" t="str">
            <v>111.050</v>
          </cell>
          <cell r="B679" t="str">
            <v>-</v>
          </cell>
          <cell r="C679" t="str">
            <v>SUMINISTRO, TRANSPORTE E INSTALACION DE CUERPO DE LA CAMARA DE INSPECCION DE 1.20 M, EN CONCRETO REFORZADO</v>
          </cell>
          <cell r="D679" t="str">
            <v>Actividad</v>
          </cell>
          <cell r="E679" t="str">
            <v>ML</v>
          </cell>
          <cell r="H679">
            <v>273606</v>
          </cell>
        </row>
        <row r="680">
          <cell r="A680" t="str">
            <v>111.050</v>
          </cell>
          <cell r="B680" t="str">
            <v>AB21</v>
          </cell>
          <cell r="C680" t="str">
            <v>MORTERO 1:4</v>
          </cell>
          <cell r="D680" t="str">
            <v>Analisis</v>
          </cell>
          <cell r="E680" t="str">
            <v>M3</v>
          </cell>
          <cell r="F680">
            <v>0.16</v>
          </cell>
          <cell r="G680">
            <v>388939</v>
          </cell>
          <cell r="H680">
            <v>62230</v>
          </cell>
        </row>
        <row r="681">
          <cell r="A681" t="str">
            <v>111.050</v>
          </cell>
          <cell r="B681" t="str">
            <v>AB4</v>
          </cell>
          <cell r="C681" t="str">
            <v>CONCRETO 2500 psi - 17.5 Mpa</v>
          </cell>
          <cell r="D681" t="str">
            <v>Analisis</v>
          </cell>
          <cell r="E681" t="str">
            <v>M3</v>
          </cell>
          <cell r="F681">
            <v>0.1</v>
          </cell>
          <cell r="G681">
            <v>380250</v>
          </cell>
          <cell r="H681">
            <v>38025</v>
          </cell>
        </row>
        <row r="682">
          <cell r="A682" t="str">
            <v>111.050</v>
          </cell>
          <cell r="B682" t="str">
            <v>C22</v>
          </cell>
          <cell r="C682" t="str">
            <v>CUADRILLA AA TIPO 4 (1 OFICIAL + 4 AYUDANTE) (Albañileria)</v>
          </cell>
          <cell r="D682" t="str">
            <v>Cuadrilla</v>
          </cell>
          <cell r="E682" t="str">
            <v>HR</v>
          </cell>
          <cell r="F682">
            <v>4</v>
          </cell>
          <cell r="G682">
            <v>35996</v>
          </cell>
          <cell r="H682">
            <v>143984</v>
          </cell>
        </row>
        <row r="683">
          <cell r="A683" t="str">
            <v>111.050</v>
          </cell>
          <cell r="B683" t="str">
            <v>E12</v>
          </cell>
          <cell r="C683" t="str">
            <v>EQUIPO DE TRANSPORTE</v>
          </cell>
          <cell r="D683" t="str">
            <v>Equipos</v>
          </cell>
          <cell r="E683" t="str">
            <v>DIA</v>
          </cell>
          <cell r="F683">
            <v>0.127</v>
          </cell>
          <cell r="G683">
            <v>131205</v>
          </cell>
          <cell r="H683">
            <v>16663</v>
          </cell>
        </row>
        <row r="684">
          <cell r="A684" t="str">
            <v>111.050</v>
          </cell>
          <cell r="B684" t="str">
            <v>H2</v>
          </cell>
          <cell r="C684" t="str">
            <v>EQUIPO BASICO (HERRAMIENTA MENOR)</v>
          </cell>
          <cell r="D684" t="str">
            <v>Herramienta</v>
          </cell>
          <cell r="E684" t="str">
            <v>UND</v>
          </cell>
          <cell r="F684">
            <v>0.3</v>
          </cell>
          <cell r="G684">
            <v>2536</v>
          </cell>
          <cell r="H684">
            <v>761</v>
          </cell>
        </row>
        <row r="685">
          <cell r="A685" t="str">
            <v>111.050</v>
          </cell>
          <cell r="B685" t="str">
            <v>I1565</v>
          </cell>
          <cell r="C685" t="str">
            <v>ACARREO INTERNO</v>
          </cell>
          <cell r="D685" t="str">
            <v>Insumo</v>
          </cell>
          <cell r="E685" t="str">
            <v>UND</v>
          </cell>
          <cell r="F685">
            <v>9</v>
          </cell>
          <cell r="G685">
            <v>1327</v>
          </cell>
          <cell r="H685">
            <v>11943</v>
          </cell>
        </row>
        <row r="687">
          <cell r="A687" t="str">
            <v>111.051</v>
          </cell>
          <cell r="B687" t="str">
            <v>-</v>
          </cell>
          <cell r="C687" t="str">
            <v xml:space="preserve">SUMINISTRO, TRANSPORTE E INSTALACION DE BASE Y CAÑUELA PARA CAMARA DE INSPECCION 1.20 M EN CONCRETO REFORZADO                                                 </v>
          </cell>
          <cell r="D687" t="str">
            <v>Actividad</v>
          </cell>
          <cell r="E687" t="str">
            <v>UND</v>
          </cell>
          <cell r="H687">
            <v>584353</v>
          </cell>
        </row>
        <row r="688">
          <cell r="A688" t="str">
            <v>111.051</v>
          </cell>
          <cell r="B688" t="str">
            <v>C23</v>
          </cell>
          <cell r="C688" t="str">
            <v>CUADRILLA BB TIPO 4 (1 OFICIAL + 4 AYUDANTE) (Instalaciones)</v>
          </cell>
          <cell r="D688" t="str">
            <v>Cuadrilla</v>
          </cell>
          <cell r="E688" t="str">
            <v>HR</v>
          </cell>
          <cell r="F688">
            <v>3.3</v>
          </cell>
          <cell r="G688">
            <v>39593</v>
          </cell>
          <cell r="H688">
            <v>130657</v>
          </cell>
        </row>
        <row r="689">
          <cell r="A689" t="str">
            <v>111.051</v>
          </cell>
          <cell r="B689" t="str">
            <v>E118</v>
          </cell>
          <cell r="C689" t="str">
            <v>ENSAYOS DE RESISTENCIA A COMPRESION</v>
          </cell>
          <cell r="D689" t="str">
            <v>Equipos</v>
          </cell>
          <cell r="E689" t="str">
            <v>UND</v>
          </cell>
          <cell r="F689">
            <v>0.08</v>
          </cell>
          <cell r="G689">
            <v>36736</v>
          </cell>
          <cell r="H689">
            <v>2939</v>
          </cell>
        </row>
        <row r="690">
          <cell r="A690" t="str">
            <v>111.051</v>
          </cell>
          <cell r="B690" t="str">
            <v>E12</v>
          </cell>
          <cell r="C690" t="str">
            <v>EQUIPO DE TRANSPORTE</v>
          </cell>
          <cell r="D690" t="str">
            <v>Equipos</v>
          </cell>
          <cell r="E690" t="str">
            <v>DIA</v>
          </cell>
          <cell r="F690">
            <v>6.1400000000000003E-2</v>
          </cell>
          <cell r="G690">
            <v>131205</v>
          </cell>
          <cell r="H690">
            <v>8056</v>
          </cell>
        </row>
        <row r="691">
          <cell r="A691" t="str">
            <v>111.051</v>
          </cell>
          <cell r="B691" t="str">
            <v>E9</v>
          </cell>
          <cell r="C691" t="str">
            <v>PLUMA  GRUA 250KG CON BALDE</v>
          </cell>
          <cell r="D691" t="str">
            <v>Equipos</v>
          </cell>
          <cell r="E691" t="str">
            <v>DIA</v>
          </cell>
          <cell r="F691">
            <v>0.5</v>
          </cell>
          <cell r="G691">
            <v>30440</v>
          </cell>
          <cell r="H691">
            <v>15220</v>
          </cell>
        </row>
        <row r="692">
          <cell r="A692" t="str">
            <v>111.051</v>
          </cell>
          <cell r="B692" t="str">
            <v>H2</v>
          </cell>
          <cell r="C692" t="str">
            <v>EQUIPO BASICO (HERRAMIENTA MENOR)</v>
          </cell>
          <cell r="D692" t="str">
            <v>Herramienta</v>
          </cell>
          <cell r="E692" t="str">
            <v>UND</v>
          </cell>
          <cell r="F692">
            <v>0.35</v>
          </cell>
          <cell r="G692">
            <v>2536</v>
          </cell>
          <cell r="H692">
            <v>888</v>
          </cell>
        </row>
        <row r="693">
          <cell r="A693" t="str">
            <v>111.051</v>
          </cell>
          <cell r="B693" t="str">
            <v>I1565</v>
          </cell>
          <cell r="C693" t="str">
            <v>ACARREO INTERNO</v>
          </cell>
          <cell r="D693" t="str">
            <v>Insumo</v>
          </cell>
          <cell r="E693" t="str">
            <v>UND</v>
          </cell>
          <cell r="F693">
            <v>8.1999999999999993</v>
          </cell>
          <cell r="G693">
            <v>1327</v>
          </cell>
          <cell r="H693">
            <v>10881</v>
          </cell>
        </row>
        <row r="694">
          <cell r="A694" t="str">
            <v>111.051</v>
          </cell>
          <cell r="B694" t="str">
            <v>I274</v>
          </cell>
          <cell r="C694" t="str">
            <v>CEMENTO GRIS</v>
          </cell>
          <cell r="D694" t="str">
            <v>Insumo</v>
          </cell>
          <cell r="E694" t="str">
            <v>KG</v>
          </cell>
          <cell r="F694">
            <v>422</v>
          </cell>
          <cell r="G694">
            <v>719</v>
          </cell>
          <cell r="H694">
            <v>303418</v>
          </cell>
        </row>
        <row r="695">
          <cell r="A695" t="str">
            <v>111.051</v>
          </cell>
          <cell r="B695" t="str">
            <v>I32</v>
          </cell>
          <cell r="C695" t="str">
            <v>ARENA LAVADA DE RIO</v>
          </cell>
          <cell r="D695" t="str">
            <v>Insumo</v>
          </cell>
          <cell r="E695" t="str">
            <v>M3</v>
          </cell>
          <cell r="F695">
            <v>0.38</v>
          </cell>
          <cell r="G695">
            <v>93238</v>
          </cell>
          <cell r="H695">
            <v>35430</v>
          </cell>
        </row>
        <row r="696">
          <cell r="A696" t="str">
            <v>111.051</v>
          </cell>
          <cell r="B696" t="str">
            <v>I34</v>
          </cell>
          <cell r="C696" t="str">
            <v>GRAVILLA COMUN DE RIO</v>
          </cell>
          <cell r="D696" t="str">
            <v>Insumo</v>
          </cell>
          <cell r="E696" t="str">
            <v>M3</v>
          </cell>
          <cell r="F696">
            <v>0.82</v>
          </cell>
          <cell r="G696">
            <v>93238</v>
          </cell>
          <cell r="H696">
            <v>76455</v>
          </cell>
        </row>
        <row r="697">
          <cell r="A697" t="str">
            <v>111.051</v>
          </cell>
          <cell r="B697" t="str">
            <v>I45</v>
          </cell>
          <cell r="C697" t="str">
            <v>AGUA M3</v>
          </cell>
          <cell r="D697" t="str">
            <v>Insumo</v>
          </cell>
          <cell r="E697" t="str">
            <v>M3</v>
          </cell>
          <cell r="F697">
            <v>0.2</v>
          </cell>
          <cell r="G697">
            <v>2044</v>
          </cell>
          <cell r="H697">
            <v>409</v>
          </cell>
        </row>
        <row r="699">
          <cell r="A699" t="str">
            <v>111.052</v>
          </cell>
          <cell r="B699" t="str">
            <v>-</v>
          </cell>
          <cell r="C699" t="str">
            <v xml:space="preserve">SUMINISTRO, TRANSPORTE E INSTALACION DE TAPA EN CONCRETO REFORZADO PARA CAMARA DE INSPECCION 1.20 M                                         </v>
          </cell>
          <cell r="D699" t="str">
            <v>Actividad</v>
          </cell>
          <cell r="E699" t="str">
            <v>UND</v>
          </cell>
          <cell r="H699">
            <v>1037318</v>
          </cell>
        </row>
        <row r="700">
          <cell r="A700" t="str">
            <v>111.052</v>
          </cell>
          <cell r="B700" t="str">
            <v>C37</v>
          </cell>
          <cell r="C700" t="str">
            <v>CUADRILLA BB TIPO 6 (1 OFICIAL + 6 AYUDANTE) (Instalaciones)</v>
          </cell>
          <cell r="D700" t="str">
            <v>Cuadrilla</v>
          </cell>
          <cell r="E700" t="str">
            <v>HR</v>
          </cell>
          <cell r="F700">
            <v>0.65</v>
          </cell>
          <cell r="G700">
            <v>53733</v>
          </cell>
          <cell r="H700">
            <v>34926</v>
          </cell>
        </row>
        <row r="701">
          <cell r="A701" t="str">
            <v>111.052</v>
          </cell>
          <cell r="B701" t="str">
            <v>E112</v>
          </cell>
          <cell r="C701" t="str">
            <v>FORMALETA METALICA PARA CAMARA CIRCULAR</v>
          </cell>
          <cell r="D701" t="str">
            <v>Equipos</v>
          </cell>
          <cell r="E701" t="str">
            <v>UND</v>
          </cell>
          <cell r="F701">
            <v>1.01</v>
          </cell>
          <cell r="G701">
            <v>1311</v>
          </cell>
          <cell r="H701">
            <v>1324</v>
          </cell>
        </row>
        <row r="702">
          <cell r="A702" t="str">
            <v>111.052</v>
          </cell>
          <cell r="B702" t="str">
            <v>E12</v>
          </cell>
          <cell r="C702" t="str">
            <v>EQUIPO DE TRANSPORTE</v>
          </cell>
          <cell r="D702" t="str">
            <v>Equipos</v>
          </cell>
          <cell r="E702" t="str">
            <v>DIA</v>
          </cell>
          <cell r="F702">
            <v>0.14910000000000001</v>
          </cell>
          <cell r="G702">
            <v>131205</v>
          </cell>
          <cell r="H702">
            <v>19563</v>
          </cell>
        </row>
        <row r="703">
          <cell r="A703" t="str">
            <v>111.052</v>
          </cell>
          <cell r="B703" t="str">
            <v>H2</v>
          </cell>
          <cell r="C703" t="str">
            <v>EQUIPO BASICO (HERRAMIENTA MENOR)</v>
          </cell>
          <cell r="D703" t="str">
            <v>Herramienta</v>
          </cell>
          <cell r="E703" t="str">
            <v>UND</v>
          </cell>
          <cell r="F703">
            <v>0.01</v>
          </cell>
          <cell r="G703">
            <v>2536</v>
          </cell>
          <cell r="H703">
            <v>25</v>
          </cell>
        </row>
        <row r="704">
          <cell r="A704" t="str">
            <v>111.052</v>
          </cell>
          <cell r="B704" t="str">
            <v>I1565</v>
          </cell>
          <cell r="C704" t="str">
            <v>ACARREO INTERNO</v>
          </cell>
          <cell r="D704" t="str">
            <v>Insumo</v>
          </cell>
          <cell r="E704" t="str">
            <v>UND</v>
          </cell>
          <cell r="F704">
            <v>2.1</v>
          </cell>
          <cell r="G704">
            <v>1327</v>
          </cell>
          <cell r="H704">
            <v>2787</v>
          </cell>
        </row>
        <row r="705">
          <cell r="A705" t="str">
            <v>111.052</v>
          </cell>
          <cell r="B705" t="str">
            <v>I457</v>
          </cell>
          <cell r="C705" t="str">
            <v>MATERIALES VARIOS PARA RANSPORTE/INSTALACION/FIJACION  DE CAMARAS CIRCULARES</v>
          </cell>
          <cell r="D705" t="str">
            <v>Insumo</v>
          </cell>
          <cell r="E705" t="str">
            <v>UND</v>
          </cell>
          <cell r="F705">
            <v>1.03</v>
          </cell>
          <cell r="G705">
            <v>8160</v>
          </cell>
          <cell r="H705">
            <v>8405</v>
          </cell>
        </row>
        <row r="706">
          <cell r="A706" t="str">
            <v>111.052</v>
          </cell>
          <cell r="B706" t="str">
            <v>I458</v>
          </cell>
          <cell r="C706" t="str">
            <v xml:space="preserve">TAPA EN CONCRETO REFORZADO PARA CAMARA DE INSPECCION 1.20 M             </v>
          </cell>
          <cell r="D706" t="str">
            <v>Insumo</v>
          </cell>
          <cell r="E706" t="str">
            <v>UND</v>
          </cell>
          <cell r="F706">
            <v>1</v>
          </cell>
          <cell r="G706">
            <v>970288</v>
          </cell>
          <cell r="H706">
            <v>970288</v>
          </cell>
        </row>
        <row r="708">
          <cell r="A708" t="str">
            <v>111.053</v>
          </cell>
          <cell r="B708" t="str">
            <v>-</v>
          </cell>
          <cell r="C708" t="str">
            <v xml:space="preserve">SUMINISTRO, TRANSPORTE E INSTALACION DE IMBORNAL  0.80 X 0.60 MTS EN CONCRETO REFORZADO                                                                </v>
          </cell>
          <cell r="D708" t="str">
            <v>Actividad</v>
          </cell>
          <cell r="E708" t="str">
            <v>ML</v>
          </cell>
          <cell r="H708">
            <v>316153</v>
          </cell>
        </row>
        <row r="709">
          <cell r="A709" t="str">
            <v>111.053</v>
          </cell>
          <cell r="B709" t="str">
            <v>AB5</v>
          </cell>
          <cell r="C709" t="str">
            <v>CONCRETO 3000 psi - 21 Mpa</v>
          </cell>
          <cell r="D709" t="str">
            <v>Analisis</v>
          </cell>
          <cell r="E709" t="str">
            <v>M3</v>
          </cell>
          <cell r="F709">
            <v>0.37</v>
          </cell>
          <cell r="G709">
            <v>421155</v>
          </cell>
          <cell r="H709">
            <v>155827</v>
          </cell>
        </row>
        <row r="710">
          <cell r="A710" t="str">
            <v>111.053</v>
          </cell>
          <cell r="B710" t="str">
            <v>C30</v>
          </cell>
          <cell r="C710" t="str">
            <v>CUADRILLA BB TIPO 5 (1 OFICIAL + 5 AYUDANTE) (Instalaciones)</v>
          </cell>
          <cell r="D710" t="str">
            <v>Cuadrilla</v>
          </cell>
          <cell r="E710" t="str">
            <v>HR</v>
          </cell>
          <cell r="F710">
            <v>3</v>
          </cell>
          <cell r="G710">
            <v>46663</v>
          </cell>
          <cell r="H710">
            <v>139989</v>
          </cell>
        </row>
        <row r="711">
          <cell r="A711" t="str">
            <v>111.053</v>
          </cell>
          <cell r="B711" t="str">
            <v>E103</v>
          </cell>
          <cell r="C711" t="str">
            <v>FORMALETA METALICA - CARA DE CONTACTO</v>
          </cell>
          <cell r="D711" t="str">
            <v>Equipos</v>
          </cell>
          <cell r="E711" t="str">
            <v>DIA</v>
          </cell>
          <cell r="F711">
            <v>0.5</v>
          </cell>
          <cell r="G711">
            <v>1498</v>
          </cell>
          <cell r="H711">
            <v>749</v>
          </cell>
        </row>
        <row r="712">
          <cell r="A712" t="str">
            <v>111.053</v>
          </cell>
          <cell r="B712" t="str">
            <v>E12</v>
          </cell>
          <cell r="C712" t="str">
            <v>EQUIPO DE TRANSPORTE</v>
          </cell>
          <cell r="D712" t="str">
            <v>Equipos</v>
          </cell>
          <cell r="E712" t="str">
            <v>DIA</v>
          </cell>
          <cell r="F712">
            <v>4.24E-2</v>
          </cell>
          <cell r="G712">
            <v>131205</v>
          </cell>
          <cell r="H712">
            <v>5563</v>
          </cell>
        </row>
        <row r="713">
          <cell r="A713" t="str">
            <v>111.053</v>
          </cell>
          <cell r="B713" t="str">
            <v>H2</v>
          </cell>
          <cell r="C713" t="str">
            <v>EQUIPO BASICO (HERRAMIENTA MENOR)</v>
          </cell>
          <cell r="D713" t="str">
            <v>Herramienta</v>
          </cell>
          <cell r="E713" t="str">
            <v>UND</v>
          </cell>
          <cell r="F713">
            <v>0.35</v>
          </cell>
          <cell r="G713">
            <v>2536</v>
          </cell>
          <cell r="H713">
            <v>888</v>
          </cell>
        </row>
        <row r="714">
          <cell r="A714" t="str">
            <v>111.053</v>
          </cell>
          <cell r="B714" t="str">
            <v>I1565</v>
          </cell>
          <cell r="C714" t="str">
            <v>ACARREO INTERNO</v>
          </cell>
          <cell r="D714" t="str">
            <v>Insumo</v>
          </cell>
          <cell r="E714" t="str">
            <v>UND</v>
          </cell>
          <cell r="F714">
            <v>9.9</v>
          </cell>
          <cell r="G714">
            <v>1327</v>
          </cell>
          <cell r="H714">
            <v>13137</v>
          </cell>
        </row>
        <row r="716">
          <cell r="A716" t="str">
            <v>111.054</v>
          </cell>
          <cell r="B716" t="str">
            <v>-</v>
          </cell>
          <cell r="C716" t="str">
            <v>SUMINISTRO, TRANSPORTE E INSTALACION  DE BOMBA SUMERGIBLE PARA AGUAS RESIDUALES NE 2 4-1-41-110 O SIMILAR DE 0.4 HP - 95 GPM Y 8 MCA</v>
          </cell>
          <cell r="D716" t="str">
            <v>Actividad</v>
          </cell>
          <cell r="E716" t="str">
            <v>UND</v>
          </cell>
          <cell r="H716">
            <v>1264991</v>
          </cell>
        </row>
        <row r="717">
          <cell r="A717" t="str">
            <v>111.054</v>
          </cell>
          <cell r="B717" t="str">
            <v>C2</v>
          </cell>
          <cell r="C717" t="str">
            <v>CUADRILLA BB TIPO 1 (1 OFICIAL + 1 AYUDANTE) (Instalaciones)</v>
          </cell>
          <cell r="D717" t="str">
            <v>Cuadrilla</v>
          </cell>
          <cell r="E717" t="str">
            <v>HR</v>
          </cell>
          <cell r="F717">
            <v>0.3</v>
          </cell>
          <cell r="G717">
            <v>18383</v>
          </cell>
          <cell r="H717">
            <v>5515</v>
          </cell>
        </row>
        <row r="718">
          <cell r="A718" t="str">
            <v>111.054</v>
          </cell>
          <cell r="B718" t="str">
            <v>E12</v>
          </cell>
          <cell r="C718" t="str">
            <v>EQUIPO DE TRANSPORTE</v>
          </cell>
          <cell r="D718" t="str">
            <v>Equipos</v>
          </cell>
          <cell r="E718" t="str">
            <v>DIA</v>
          </cell>
          <cell r="F718">
            <v>7.7000000000000002E-3</v>
          </cell>
          <cell r="G718">
            <v>131205</v>
          </cell>
          <cell r="H718">
            <v>1010</v>
          </cell>
        </row>
        <row r="719">
          <cell r="A719" t="str">
            <v>111.054</v>
          </cell>
          <cell r="B719" t="str">
            <v>H2</v>
          </cell>
          <cell r="C719" t="str">
            <v>EQUIPO BASICO (HERRAMIENTA MENOR)</v>
          </cell>
          <cell r="D719" t="str">
            <v>Herramienta</v>
          </cell>
          <cell r="E719" t="str">
            <v>UND</v>
          </cell>
          <cell r="F719">
            <v>0.3</v>
          </cell>
          <cell r="G719">
            <v>2536</v>
          </cell>
          <cell r="H719">
            <v>761</v>
          </cell>
        </row>
        <row r="720">
          <cell r="A720" t="str">
            <v>111.054</v>
          </cell>
          <cell r="B720" t="str">
            <v>I1565</v>
          </cell>
          <cell r="C720" t="str">
            <v>ACARREO INTERNO</v>
          </cell>
          <cell r="D720" t="str">
            <v>Insumo</v>
          </cell>
          <cell r="E720" t="str">
            <v>UND</v>
          </cell>
          <cell r="F720">
            <v>2.6</v>
          </cell>
          <cell r="G720">
            <v>1327</v>
          </cell>
          <cell r="H720">
            <v>3450</v>
          </cell>
        </row>
        <row r="721">
          <cell r="A721" t="str">
            <v>111.054</v>
          </cell>
          <cell r="B721" t="str">
            <v>I740</v>
          </cell>
          <cell r="C721" t="str">
            <v>BOMBA SUMERGIBLE PARA AGUAS RESIDUALES NE 2 4-1-41-110 O SIMILAR DE 0.4 HP - 95 GPM Y 8 MCA</v>
          </cell>
          <cell r="D721" t="str">
            <v>Insumo</v>
          </cell>
          <cell r="E721" t="str">
            <v>UND</v>
          </cell>
          <cell r="F721">
            <v>1</v>
          </cell>
          <cell r="G721">
            <v>1254255</v>
          </cell>
          <cell r="H721">
            <v>1254255</v>
          </cell>
        </row>
        <row r="723">
          <cell r="A723" t="str">
            <v>111.055</v>
          </cell>
          <cell r="B723" t="str">
            <v>-</v>
          </cell>
          <cell r="C723" t="str">
            <v>SUMINISTRO, TRANSPORTE E INSTALACION  DE BOMBA SUMERGIBLE PARA AGUAS RESIDUALES NE 3-302-220 O SIMILAR DE 3.0 HP - 193 GPM Y 29 MCA</v>
          </cell>
          <cell r="D723" t="str">
            <v>Actividad</v>
          </cell>
          <cell r="E723" t="str">
            <v>UND</v>
          </cell>
          <cell r="H723">
            <v>3274566</v>
          </cell>
        </row>
        <row r="724">
          <cell r="A724" t="str">
            <v>111.055</v>
          </cell>
          <cell r="B724" t="str">
            <v>C2</v>
          </cell>
          <cell r="C724" t="str">
            <v>CUADRILLA BB TIPO 1 (1 OFICIAL + 1 AYUDANTE) (Instalaciones)</v>
          </cell>
          <cell r="D724" t="str">
            <v>Cuadrilla</v>
          </cell>
          <cell r="E724" t="str">
            <v>HR</v>
          </cell>
          <cell r="F724">
            <v>0.3</v>
          </cell>
          <cell r="G724">
            <v>18383</v>
          </cell>
          <cell r="H724">
            <v>5515</v>
          </cell>
        </row>
        <row r="725">
          <cell r="A725" t="str">
            <v>111.055</v>
          </cell>
          <cell r="B725" t="str">
            <v>E12</v>
          </cell>
          <cell r="C725" t="str">
            <v>EQUIPO DE TRANSPORTE</v>
          </cell>
          <cell r="D725" t="str">
            <v>Equipos</v>
          </cell>
          <cell r="E725" t="str">
            <v>DIA</v>
          </cell>
          <cell r="F725">
            <v>7.7000000000000002E-3</v>
          </cell>
          <cell r="G725">
            <v>131205</v>
          </cell>
          <cell r="H725">
            <v>1010</v>
          </cell>
        </row>
        <row r="726">
          <cell r="A726" t="str">
            <v>111.055</v>
          </cell>
          <cell r="B726" t="str">
            <v>H2</v>
          </cell>
          <cell r="C726" t="str">
            <v>EQUIPO BASICO (HERRAMIENTA MENOR)</v>
          </cell>
          <cell r="D726" t="str">
            <v>Herramienta</v>
          </cell>
          <cell r="E726" t="str">
            <v>UND</v>
          </cell>
          <cell r="F726">
            <v>0.3</v>
          </cell>
          <cell r="G726">
            <v>2536</v>
          </cell>
          <cell r="H726">
            <v>761</v>
          </cell>
        </row>
        <row r="727">
          <cell r="A727" t="str">
            <v>111.055</v>
          </cell>
          <cell r="B727" t="str">
            <v>I1565</v>
          </cell>
          <cell r="C727" t="str">
            <v>ACARREO INTERNO</v>
          </cell>
          <cell r="D727" t="str">
            <v>Insumo</v>
          </cell>
          <cell r="E727" t="str">
            <v>UND</v>
          </cell>
          <cell r="F727">
            <v>2.6</v>
          </cell>
          <cell r="G727">
            <v>1327</v>
          </cell>
          <cell r="H727">
            <v>3450</v>
          </cell>
        </row>
        <row r="728">
          <cell r="A728" t="str">
            <v>111.055</v>
          </cell>
          <cell r="B728" t="str">
            <v>I740</v>
          </cell>
          <cell r="C728" t="str">
            <v>BOMBA SUMERGIBLE PARA AGUAS RESIDUALES NE 3-302-220 O SIMILAR DE 3.0 HP - 193 GPM Y 29 MCA</v>
          </cell>
          <cell r="D728" t="str">
            <v>Insumo</v>
          </cell>
          <cell r="E728" t="str">
            <v>UND</v>
          </cell>
          <cell r="F728">
            <v>1</v>
          </cell>
          <cell r="G728">
            <v>3263830</v>
          </cell>
          <cell r="H728">
            <v>3263830</v>
          </cell>
        </row>
        <row r="730">
          <cell r="A730" t="str">
            <v>111.056</v>
          </cell>
          <cell r="B730" t="str">
            <v>-</v>
          </cell>
          <cell r="C730" t="str">
            <v>SUMINISTRO, TRANSPORTE E INSTALACION  DE EQUIPO DE PRESION CONSTANTE MODELO JE 1 10-1-1 EYC O SIMILAR DE 13 GPM Y UNA PRESION ENTRE 30-50 PSI Y UN TANQUE HIDROFLOT DE 100 LTS</v>
          </cell>
          <cell r="D730" t="str">
            <v>Actividad</v>
          </cell>
          <cell r="E730" t="str">
            <v>UND</v>
          </cell>
          <cell r="H730">
            <v>1949034</v>
          </cell>
        </row>
        <row r="731">
          <cell r="A731" t="str">
            <v>111.056</v>
          </cell>
          <cell r="B731" t="str">
            <v>C2</v>
          </cell>
          <cell r="C731" t="str">
            <v>CUADRILLA BB TIPO 1 (1 OFICIAL + 1 AYUDANTE) (Instalaciones)</v>
          </cell>
          <cell r="D731" t="str">
            <v>Cuadrilla</v>
          </cell>
          <cell r="E731" t="str">
            <v>HR</v>
          </cell>
          <cell r="F731">
            <v>0.3</v>
          </cell>
          <cell r="G731">
            <v>18383</v>
          </cell>
          <cell r="H731">
            <v>5515</v>
          </cell>
        </row>
        <row r="732">
          <cell r="A732" t="str">
            <v>111.056</v>
          </cell>
          <cell r="B732" t="str">
            <v>E12</v>
          </cell>
          <cell r="C732" t="str">
            <v>EQUIPO DE TRANSPORTE</v>
          </cell>
          <cell r="D732" t="str">
            <v>Equipos</v>
          </cell>
          <cell r="E732" t="str">
            <v>DIA</v>
          </cell>
          <cell r="F732">
            <v>7.7000000000000002E-3</v>
          </cell>
          <cell r="G732">
            <v>131205</v>
          </cell>
          <cell r="H732">
            <v>1010</v>
          </cell>
        </row>
        <row r="733">
          <cell r="A733" t="str">
            <v>111.056</v>
          </cell>
          <cell r="B733" t="str">
            <v>H2</v>
          </cell>
          <cell r="C733" t="str">
            <v>EQUIPO BASICO (HERRAMIENTA MENOR)</v>
          </cell>
          <cell r="D733" t="str">
            <v>Herramienta</v>
          </cell>
          <cell r="E733" t="str">
            <v>UND</v>
          </cell>
          <cell r="F733">
            <v>0.3</v>
          </cell>
          <cell r="G733">
            <v>2536</v>
          </cell>
          <cell r="H733">
            <v>761</v>
          </cell>
        </row>
        <row r="734">
          <cell r="A734" t="str">
            <v>111.056</v>
          </cell>
          <cell r="B734" t="str">
            <v>I1565</v>
          </cell>
          <cell r="C734" t="str">
            <v>ACARREO INTERNO</v>
          </cell>
          <cell r="D734" t="str">
            <v>Insumo</v>
          </cell>
          <cell r="E734" t="str">
            <v>UND</v>
          </cell>
          <cell r="F734">
            <v>2.6</v>
          </cell>
          <cell r="G734">
            <v>1327</v>
          </cell>
          <cell r="H734">
            <v>3450</v>
          </cell>
        </row>
        <row r="735">
          <cell r="A735" t="str">
            <v>111.056</v>
          </cell>
          <cell r="B735" t="str">
            <v>I740</v>
          </cell>
          <cell r="C735" t="str">
            <v>EQUIPO DE PRESION CONSTANTE MODELO JE 1 10-1-1 EYC O SIMILAR DE 13 GPM Y UNA PRESION ENTRE 30-50 PSI Y UN TANQUE HIDROFLOT DE 100 LTS</v>
          </cell>
          <cell r="D735" t="str">
            <v>Insumo</v>
          </cell>
          <cell r="E735" t="str">
            <v>UND</v>
          </cell>
          <cell r="F735">
            <v>1</v>
          </cell>
          <cell r="G735">
            <v>1938298</v>
          </cell>
          <cell r="H735">
            <v>1938298</v>
          </cell>
        </row>
        <row r="737">
          <cell r="A737" t="str">
            <v>003.107</v>
          </cell>
          <cell r="B737" t="str">
            <v>-</v>
          </cell>
          <cell r="C737" t="str">
            <v>SUMINISTRO, TRANSPORTE E INSTALACION ORINAL INSTITUCIONAL MEDIANO DE ENTRADA SUPERIOR EN PORCELANA COLOR BLANCO LINEA POLO (CORONA) REF: 088621001 O SIMILAR. INCLUYE GLIFERÍA PUSH Y VÁLVULA ANTIVANDÁLICA.</v>
          </cell>
          <cell r="D737" t="str">
            <v>Actividad</v>
          </cell>
          <cell r="E737" t="str">
            <v>UND</v>
          </cell>
          <cell r="H737">
            <v>628133</v>
          </cell>
        </row>
        <row r="738">
          <cell r="A738" t="str">
            <v>003.107</v>
          </cell>
          <cell r="B738" t="str">
            <v>C2</v>
          </cell>
          <cell r="C738" t="str">
            <v>CUADRILLA BB TIPO 1 (1 OFICIAL + 1 AYUDANTE) (Instalaciones)</v>
          </cell>
          <cell r="D738" t="str">
            <v>Cuadrilla</v>
          </cell>
          <cell r="E738" t="str">
            <v>HR</v>
          </cell>
          <cell r="F738">
            <v>2.27</v>
          </cell>
          <cell r="G738">
            <v>18383</v>
          </cell>
          <cell r="H738">
            <v>41729</v>
          </cell>
        </row>
        <row r="739">
          <cell r="A739" t="str">
            <v>003.107</v>
          </cell>
          <cell r="B739" t="str">
            <v>E12</v>
          </cell>
          <cell r="C739" t="str">
            <v>EQUIPO DE TRANSPORTE</v>
          </cell>
          <cell r="D739" t="str">
            <v>Equipos</v>
          </cell>
          <cell r="E739" t="str">
            <v>DIA</v>
          </cell>
          <cell r="F739">
            <v>6.1199999999999997E-2</v>
          </cell>
          <cell r="G739">
            <v>131205</v>
          </cell>
          <cell r="H739">
            <v>8030</v>
          </cell>
        </row>
        <row r="740">
          <cell r="A740" t="str">
            <v>003.107</v>
          </cell>
          <cell r="B740" t="str">
            <v>H2</v>
          </cell>
          <cell r="C740" t="str">
            <v>EQUIPO BASICO (HERRAMIENTA MENOR)</v>
          </cell>
          <cell r="D740" t="str">
            <v>Herramienta</v>
          </cell>
          <cell r="E740" t="str">
            <v>UND</v>
          </cell>
          <cell r="F740">
            <v>0.1</v>
          </cell>
          <cell r="G740">
            <v>2536</v>
          </cell>
          <cell r="H740">
            <v>254</v>
          </cell>
        </row>
        <row r="741">
          <cell r="A741" t="str">
            <v>003.107</v>
          </cell>
          <cell r="B741" t="str">
            <v>I100</v>
          </cell>
          <cell r="C741" t="str">
            <v>VALVULA ANTIVANDALICA  PARA ORINAL</v>
          </cell>
          <cell r="D741" t="str">
            <v>Insumo</v>
          </cell>
          <cell r="E741" t="str">
            <v>UND</v>
          </cell>
          <cell r="F741">
            <v>1</v>
          </cell>
          <cell r="G741">
            <v>148364</v>
          </cell>
          <cell r="H741">
            <v>148364</v>
          </cell>
        </row>
        <row r="742">
          <cell r="A742" t="str">
            <v>003.107</v>
          </cell>
          <cell r="B742" t="str">
            <v>I1565</v>
          </cell>
          <cell r="C742" t="str">
            <v>ACARREO INTERNO</v>
          </cell>
          <cell r="D742" t="str">
            <v>Insumo</v>
          </cell>
          <cell r="E742" t="str">
            <v>UND</v>
          </cell>
          <cell r="F742">
            <v>2.6</v>
          </cell>
          <cell r="G742">
            <v>1327</v>
          </cell>
          <cell r="H742">
            <v>3450</v>
          </cell>
        </row>
        <row r="743">
          <cell r="A743" t="str">
            <v>003.107</v>
          </cell>
          <cell r="B743" t="str">
            <v>I1911</v>
          </cell>
          <cell r="C743" t="str">
            <v>SIFÓN PARA ORINAL  TIPO CORONA O SIMILAR REF.. 93301 O SIMILAR</v>
          </cell>
          <cell r="D743" t="str">
            <v>Insumo</v>
          </cell>
          <cell r="E743" t="str">
            <v>UND</v>
          </cell>
          <cell r="F743">
            <v>1</v>
          </cell>
          <cell r="G743">
            <v>10745</v>
          </cell>
          <cell r="H743">
            <v>10745</v>
          </cell>
        </row>
        <row r="744">
          <cell r="A744" t="str">
            <v>003.107</v>
          </cell>
          <cell r="B744" t="str">
            <v>I2004</v>
          </cell>
          <cell r="C744" t="str">
            <v>ORINAL INSTITUCIONAL MEDIANO DE ENTRADA SUPERIOR EN PORCELANA COLOR BLANCO LINEA POLO (CORONA) REF: 088621001 O SIMILAR. INCLUYE GRIFERÍA PUSH.</v>
          </cell>
          <cell r="D744" t="str">
            <v>Insumo</v>
          </cell>
          <cell r="E744" t="str">
            <v>UND</v>
          </cell>
          <cell r="F744">
            <v>1</v>
          </cell>
          <cell r="G744">
            <v>349004</v>
          </cell>
          <cell r="H744">
            <v>349004</v>
          </cell>
        </row>
        <row r="745">
          <cell r="A745" t="str">
            <v>003.107</v>
          </cell>
          <cell r="B745" t="str">
            <v>I55</v>
          </cell>
          <cell r="C745" t="str">
            <v>ACCESORIOS PARA CONECTAR VÁLVULA ORINAL MEDIANO TIPO DOCOL REF. 4 AA TCDO1 O SIMILAR</v>
          </cell>
          <cell r="D745" t="str">
            <v>Insumo</v>
          </cell>
          <cell r="E745" t="str">
            <v>UND</v>
          </cell>
          <cell r="F745">
            <v>1</v>
          </cell>
          <cell r="G745">
            <v>66557</v>
          </cell>
          <cell r="H745">
            <v>66557</v>
          </cell>
        </row>
        <row r="747">
          <cell r="A747" t="str">
            <v>003.108</v>
          </cell>
          <cell r="B747" t="str">
            <v>-</v>
          </cell>
          <cell r="C747" t="str">
            <v>SUMINISTRO, TRANSPORTE E INSTALACION SANITARIO INSTITUCIONAL DE TAZA BÁLTICA DE ENTRADA POSTERIOR REFERENCIA 113121001 CORONA O SIMILAR VÁLVULA ANTIBANDÁLICA DE BAJO CONSUMO.  INCLUYE PUSH GLIFERÍA Y DEMÁS ELEMENTOS PARA SU CORRECTA INSTALACIÓN Y FUNCIONAMIENTO.</v>
          </cell>
          <cell r="D747" t="str">
            <v>Actividad</v>
          </cell>
          <cell r="E747" t="str">
            <v>UND</v>
          </cell>
          <cell r="H747">
            <v>1313259</v>
          </cell>
        </row>
        <row r="748">
          <cell r="A748" t="str">
            <v>003.108</v>
          </cell>
          <cell r="B748" t="str">
            <v>C2</v>
          </cell>
          <cell r="C748" t="str">
            <v>CUADRILLA BB TIPO 1 (1 OFICIAL + 1 AYUDANTE) (Instalaciones)</v>
          </cell>
          <cell r="D748" t="str">
            <v>Cuadrilla</v>
          </cell>
          <cell r="E748" t="str">
            <v>HR</v>
          </cell>
          <cell r="F748">
            <v>4</v>
          </cell>
          <cell r="G748">
            <v>18383</v>
          </cell>
          <cell r="H748">
            <v>73532</v>
          </cell>
        </row>
        <row r="749">
          <cell r="A749" t="str">
            <v>003.108</v>
          </cell>
          <cell r="B749" t="str">
            <v>E12</v>
          </cell>
          <cell r="C749" t="str">
            <v>EQUIPO DE TRANSPORTE</v>
          </cell>
          <cell r="D749" t="str">
            <v>Equipos</v>
          </cell>
          <cell r="E749" t="str">
            <v>DIA</v>
          </cell>
          <cell r="F749">
            <v>6.3899999999999998E-2</v>
          </cell>
          <cell r="G749">
            <v>131205</v>
          </cell>
          <cell r="H749">
            <v>8384</v>
          </cell>
        </row>
        <row r="750">
          <cell r="A750" t="str">
            <v>003.108</v>
          </cell>
          <cell r="B750" t="str">
            <v>H2</v>
          </cell>
          <cell r="C750" t="str">
            <v>EQUIPO BASICO (HERRAMIENTA MENOR)</v>
          </cell>
          <cell r="D750" t="str">
            <v>Herramienta</v>
          </cell>
          <cell r="E750" t="str">
            <v>UND</v>
          </cell>
          <cell r="F750">
            <v>0.1</v>
          </cell>
          <cell r="G750">
            <v>2536</v>
          </cell>
          <cell r="H750">
            <v>254</v>
          </cell>
        </row>
        <row r="751">
          <cell r="A751" t="str">
            <v>003.108</v>
          </cell>
          <cell r="B751" t="str">
            <v>I101</v>
          </cell>
          <cell r="C751" t="str">
            <v>VALVULA ANTIVANDALICA PARA SANITARIO ALTA PRESION TIPO DOCOL REF. 4 AA 01051300 O SIMILAR.</v>
          </cell>
          <cell r="D751" t="str">
            <v>Insumo</v>
          </cell>
          <cell r="E751" t="str">
            <v>UND</v>
          </cell>
          <cell r="F751">
            <v>1</v>
          </cell>
          <cell r="G751">
            <v>228079</v>
          </cell>
          <cell r="H751">
            <v>228079</v>
          </cell>
        </row>
        <row r="752">
          <cell r="A752" t="str">
            <v>003.108</v>
          </cell>
          <cell r="B752" t="str">
            <v>I1565</v>
          </cell>
          <cell r="C752" t="str">
            <v>ACARREO INTERNO</v>
          </cell>
          <cell r="D752" t="str">
            <v>Insumo</v>
          </cell>
          <cell r="E752" t="str">
            <v>UND</v>
          </cell>
          <cell r="F752">
            <v>4.5999999999999996</v>
          </cell>
          <cell r="G752">
            <v>1327</v>
          </cell>
          <cell r="H752">
            <v>6104</v>
          </cell>
        </row>
        <row r="753">
          <cell r="A753" t="str">
            <v>003.108</v>
          </cell>
          <cell r="B753" t="str">
            <v>I1912</v>
          </cell>
          <cell r="C753" t="str">
            <v>SANITARIO INSTITUCIONAL DE TAZA BALTICA DE ENTRADA POSTERIOR REFERENCIA 113121001 CORONA O SIMILAR COLOR BLANCO REF. 5 AA SC534 O SIMILAR.</v>
          </cell>
          <cell r="D753" t="str">
            <v>Insumo</v>
          </cell>
          <cell r="E753" t="str">
            <v>UND</v>
          </cell>
          <cell r="F753">
            <v>1</v>
          </cell>
          <cell r="G753">
            <v>656446</v>
          </cell>
          <cell r="H753">
            <v>656446</v>
          </cell>
        </row>
        <row r="754">
          <cell r="A754" t="str">
            <v>003.108</v>
          </cell>
          <cell r="B754" t="str">
            <v>I57</v>
          </cell>
          <cell r="C754" t="str">
            <v>BOTON ANTIVANDALICO METÁLICO CROMADO PARA ACCIONAR VÁLVULA DE DESCARGA TIPO DOCOL REF. 4 AA 01505006 O SIMILAR.</v>
          </cell>
          <cell r="D754" t="str">
            <v>Insumo</v>
          </cell>
          <cell r="E754" t="str">
            <v>UND</v>
          </cell>
          <cell r="F754">
            <v>1</v>
          </cell>
          <cell r="G754">
            <v>340460</v>
          </cell>
          <cell r="H754">
            <v>340460</v>
          </cell>
        </row>
        <row r="756">
          <cell r="A756" t="str">
            <v>015.008</v>
          </cell>
          <cell r="B756" t="str">
            <v>-</v>
          </cell>
          <cell r="C756" t="str">
            <v>SUMINISTRO, TRANSPORTE E INSTALACION SANITARIO PARA DISCAPACITADO ELONGADO Color Blanco linea Adriática Tipo Corona o Similar de conexión por encima Ref. 21 AA 1318 con válvula antivandálica de descarga con palanca para MINUSVALIDO + escudo antivandálico  + mueble abierto, para ALTA PRESION.</v>
          </cell>
          <cell r="D756" t="str">
            <v>Actividad</v>
          </cell>
          <cell r="E756" t="str">
            <v>UND</v>
          </cell>
          <cell r="H756">
            <v>1001017</v>
          </cell>
        </row>
        <row r="757">
          <cell r="A757" t="str">
            <v>015.008</v>
          </cell>
          <cell r="B757" t="str">
            <v>C2</v>
          </cell>
          <cell r="C757" t="str">
            <v>CUADRILLA BB TIPO 1 (1 OFICIAL + 1 AYUDANTE) (Instalaciones)</v>
          </cell>
          <cell r="D757" t="str">
            <v>Cuadrilla</v>
          </cell>
          <cell r="E757" t="str">
            <v>HR</v>
          </cell>
          <cell r="F757">
            <v>2.27</v>
          </cell>
          <cell r="G757">
            <v>18383</v>
          </cell>
          <cell r="H757">
            <v>41729</v>
          </cell>
        </row>
        <row r="758">
          <cell r="A758" t="str">
            <v>015.008</v>
          </cell>
          <cell r="B758" t="str">
            <v>E12</v>
          </cell>
          <cell r="C758" t="str">
            <v>EQUIPO DE TRANSPORTE</v>
          </cell>
          <cell r="D758" t="str">
            <v>Equipos</v>
          </cell>
          <cell r="E758" t="str">
            <v>DIA</v>
          </cell>
          <cell r="F758">
            <v>0.11840000000000001</v>
          </cell>
          <cell r="G758">
            <v>131205</v>
          </cell>
          <cell r="H758">
            <v>15535</v>
          </cell>
        </row>
        <row r="759">
          <cell r="A759" t="str">
            <v>015.008</v>
          </cell>
          <cell r="B759" t="str">
            <v>H2</v>
          </cell>
          <cell r="C759" t="str">
            <v>EQUIPO BASICO (HERRAMIENTA MENOR)</v>
          </cell>
          <cell r="D759" t="str">
            <v>Herramienta</v>
          </cell>
          <cell r="E759" t="str">
            <v>UND</v>
          </cell>
          <cell r="F759">
            <v>0.1</v>
          </cell>
          <cell r="G759">
            <v>2536</v>
          </cell>
          <cell r="H759">
            <v>254</v>
          </cell>
        </row>
        <row r="760">
          <cell r="A760" t="str">
            <v>015.008</v>
          </cell>
          <cell r="B760" t="str">
            <v>I101</v>
          </cell>
          <cell r="C760" t="str">
            <v>VALVULA ANTIVANDALICA PARA SANITARIO ALTA PRESION TIPO DOCOL REF. 4 AA 01051300 O SIMILAR.</v>
          </cell>
          <cell r="D760" t="str">
            <v>Insumo</v>
          </cell>
          <cell r="E760" t="str">
            <v>UND</v>
          </cell>
          <cell r="F760">
            <v>1</v>
          </cell>
          <cell r="G760">
            <v>228079</v>
          </cell>
          <cell r="H760">
            <v>228079</v>
          </cell>
        </row>
        <row r="761">
          <cell r="A761" t="str">
            <v>015.008</v>
          </cell>
          <cell r="B761" t="str">
            <v>I1565</v>
          </cell>
          <cell r="C761" t="str">
            <v>ACARREO INTERNO</v>
          </cell>
          <cell r="D761" t="str">
            <v>Insumo</v>
          </cell>
          <cell r="E761" t="str">
            <v>UND</v>
          </cell>
          <cell r="F761">
            <v>2.6</v>
          </cell>
          <cell r="G761">
            <v>1327</v>
          </cell>
          <cell r="H761">
            <v>3450</v>
          </cell>
        </row>
        <row r="762">
          <cell r="A762" t="str">
            <v>015.008</v>
          </cell>
          <cell r="B762" t="str">
            <v>I53</v>
          </cell>
          <cell r="C762" t="str">
            <v>ACCESORIOS DE CONEXION POR ENCIMA PARA SANITARIO TIPO INSTITUCIONAL ELONGADO TIPO TOTO REF. TCDS O SIMILAR</v>
          </cell>
          <cell r="D762" t="str">
            <v>Insumo</v>
          </cell>
          <cell r="E762" t="str">
            <v>UND</v>
          </cell>
          <cell r="F762">
            <v>1</v>
          </cell>
          <cell r="G762">
            <v>160656</v>
          </cell>
          <cell r="H762">
            <v>160656</v>
          </cell>
        </row>
        <row r="763">
          <cell r="A763" t="str">
            <v>015.008</v>
          </cell>
          <cell r="B763" t="str">
            <v>I56</v>
          </cell>
          <cell r="C763" t="str">
            <v>BOTON ANTIVANDALICO CON PALANCA PARA MINUSVALIDO METÁLICO CROMADO PARA ACCIONAR VÁLVULA DE DESCARGA TIPO DOCOL REF. 4 AA 0184906 O SIMILAR.</v>
          </cell>
          <cell r="D763" t="str">
            <v>Insumo</v>
          </cell>
          <cell r="E763" t="str">
            <v>UND</v>
          </cell>
          <cell r="F763">
            <v>1</v>
          </cell>
          <cell r="G763">
            <v>96596</v>
          </cell>
          <cell r="H763">
            <v>96596</v>
          </cell>
        </row>
        <row r="764">
          <cell r="A764" t="str">
            <v>015.008</v>
          </cell>
          <cell r="B764" t="str">
            <v>I87</v>
          </cell>
          <cell r="C764" t="str">
            <v>MUEBLE ABIERTO PARA TAZA INSTITUCIONAL ELONGADA TIPO TOTO COLOR BLANCO REF. 5 AA SC534 O SIMILAR.</v>
          </cell>
          <cell r="D764" t="str">
            <v>Insumo</v>
          </cell>
          <cell r="E764" t="str">
            <v>UND</v>
          </cell>
          <cell r="F764">
            <v>1</v>
          </cell>
          <cell r="G764">
            <v>83196</v>
          </cell>
          <cell r="H764">
            <v>83196</v>
          </cell>
        </row>
        <row r="765">
          <cell r="A765" t="str">
            <v>015.008</v>
          </cell>
          <cell r="B765" t="str">
            <v>I94</v>
          </cell>
          <cell r="C765" t="str">
            <v>SANITARIO PARA DISCAPACITADO ELONGADO SIN ASIENTO COLOR BLANCO DE CONEXIÓN POR ENCIMA LINEA ADRIATICA DE CORONA REF. 21 AA 1318 O SIMILAR.</v>
          </cell>
          <cell r="D765" t="str">
            <v>Insumo</v>
          </cell>
          <cell r="E765" t="str">
            <v>UND</v>
          </cell>
          <cell r="F765">
            <v>1</v>
          </cell>
          <cell r="G765">
            <v>371522</v>
          </cell>
          <cell r="H765">
            <v>371522</v>
          </cell>
        </row>
        <row r="767">
          <cell r="A767" t="str">
            <v>015.021</v>
          </cell>
          <cell r="B767" t="str">
            <v>-</v>
          </cell>
          <cell r="C767" t="str">
            <v>SUMINISTRO, TRANSPORTE E INSTALACION GRIFERÍA LAVAMANOS ANTIVANDÁLICO CON PICO EXPUESTO REF:701310001 CORONA O SIMILAR</v>
          </cell>
          <cell r="D767" t="str">
            <v>Actividad</v>
          </cell>
          <cell r="E767" t="str">
            <v>UND</v>
          </cell>
          <cell r="H767">
            <v>417192</v>
          </cell>
        </row>
        <row r="768">
          <cell r="A768" t="str">
            <v>015.021</v>
          </cell>
          <cell r="B768" t="str">
            <v>C2</v>
          </cell>
          <cell r="C768" t="str">
            <v>CUADRILLA BB TIPO 1 (1 OFICIAL + 1 AYUDANTE) (Instalaciones)</v>
          </cell>
          <cell r="D768" t="str">
            <v>Cuadrilla</v>
          </cell>
          <cell r="E768" t="str">
            <v>HR</v>
          </cell>
          <cell r="F768">
            <v>1.02</v>
          </cell>
          <cell r="G768">
            <v>18383</v>
          </cell>
          <cell r="H768">
            <v>18751</v>
          </cell>
        </row>
        <row r="769">
          <cell r="A769" t="str">
            <v>015.021</v>
          </cell>
          <cell r="B769" t="str">
            <v>E12</v>
          </cell>
          <cell r="C769" t="str">
            <v>EQUIPO DE TRANSPORTE</v>
          </cell>
          <cell r="D769" t="str">
            <v>Equipos</v>
          </cell>
          <cell r="E769" t="str">
            <v>DIA</v>
          </cell>
          <cell r="F769">
            <v>2.1999999999999999E-2</v>
          </cell>
          <cell r="G769">
            <v>131205</v>
          </cell>
          <cell r="H769">
            <v>2887</v>
          </cell>
        </row>
        <row r="770">
          <cell r="A770" t="str">
            <v>015.021</v>
          </cell>
          <cell r="B770" t="str">
            <v>H2</v>
          </cell>
          <cell r="C770" t="str">
            <v>EQUIPO BASICO (HERRAMIENTA MENOR)</v>
          </cell>
          <cell r="D770" t="str">
            <v>Herramienta</v>
          </cell>
          <cell r="E770" t="str">
            <v>UND</v>
          </cell>
          <cell r="F770">
            <v>0.1</v>
          </cell>
          <cell r="G770">
            <v>2536</v>
          </cell>
          <cell r="H770">
            <v>254</v>
          </cell>
        </row>
        <row r="771">
          <cell r="A771" t="str">
            <v>015.021</v>
          </cell>
          <cell r="B771" t="str">
            <v>I1565</v>
          </cell>
          <cell r="C771" t="str">
            <v>ACARREO INTERNO</v>
          </cell>
          <cell r="D771" t="str">
            <v>Insumo</v>
          </cell>
          <cell r="E771" t="str">
            <v>UND</v>
          </cell>
          <cell r="F771">
            <v>1.1000000000000001</v>
          </cell>
          <cell r="G771">
            <v>1327</v>
          </cell>
          <cell r="H771">
            <v>1460</v>
          </cell>
        </row>
        <row r="772">
          <cell r="A772" t="str">
            <v>015.021</v>
          </cell>
          <cell r="B772" t="str">
            <v>I63</v>
          </cell>
          <cell r="C772" t="str">
            <v>GRIFERÍA LAVAMANOS ANTIVANDÁLICO CON PICO EXPUESTO REF:701310001 CORONA O SIMILAR</v>
          </cell>
          <cell r="D772" t="str">
            <v>Insumo</v>
          </cell>
          <cell r="E772" t="str">
            <v>UND</v>
          </cell>
          <cell r="F772">
            <v>1</v>
          </cell>
          <cell r="G772">
            <v>393840</v>
          </cell>
          <cell r="H772">
            <v>393840</v>
          </cell>
        </row>
        <row r="774">
          <cell r="A774" t="str">
            <v>007.116</v>
          </cell>
          <cell r="B774" t="str">
            <v>-</v>
          </cell>
          <cell r="C774" t="str">
            <v>SUMINISTRO, TRANSPORTE E INSTALACION LAVAMANOS DE EMPOTRAR LINEA SAN LORENZO COLOR BLANCO DE CORONA REF: O19001001 O SIMILAR. (INCLUYE ELEMENTOS DE GRIFERÍA PARA INSTALACIÓN).</v>
          </cell>
          <cell r="D774" t="str">
            <v>Actividad</v>
          </cell>
          <cell r="E774" t="str">
            <v>UND</v>
          </cell>
          <cell r="H774">
            <v>353753</v>
          </cell>
        </row>
        <row r="775">
          <cell r="A775" t="str">
            <v>007.116</v>
          </cell>
          <cell r="B775" t="str">
            <v>C2</v>
          </cell>
          <cell r="C775" t="str">
            <v>CUADRILLA BB TIPO 1 (1 OFICIAL + 1 AYUDANTE) (Instalaciones)</v>
          </cell>
          <cell r="D775" t="str">
            <v>Cuadrilla</v>
          </cell>
          <cell r="E775" t="str">
            <v>HR</v>
          </cell>
          <cell r="F775">
            <v>1.18</v>
          </cell>
          <cell r="G775">
            <v>18383</v>
          </cell>
          <cell r="H775">
            <v>21692</v>
          </cell>
        </row>
        <row r="776">
          <cell r="A776" t="str">
            <v>007.116</v>
          </cell>
          <cell r="B776" t="str">
            <v>E12</v>
          </cell>
          <cell r="C776" t="str">
            <v>EQUIPO DE TRANSPORTE</v>
          </cell>
          <cell r="D776" t="str">
            <v>Equipos</v>
          </cell>
          <cell r="E776" t="str">
            <v>DIA</v>
          </cell>
          <cell r="F776">
            <v>5.2900000000000003E-2</v>
          </cell>
          <cell r="G776">
            <v>131205</v>
          </cell>
          <cell r="H776">
            <v>6941</v>
          </cell>
        </row>
        <row r="777">
          <cell r="A777" t="str">
            <v>007.116</v>
          </cell>
          <cell r="B777" t="str">
            <v>H2</v>
          </cell>
          <cell r="C777" t="str">
            <v>EQUIPO BASICO (HERRAMIENTA MENOR)</v>
          </cell>
          <cell r="D777" t="str">
            <v>Herramienta</v>
          </cell>
          <cell r="E777" t="str">
            <v>UND</v>
          </cell>
          <cell r="F777">
            <v>0.1</v>
          </cell>
          <cell r="G777">
            <v>2536</v>
          </cell>
          <cell r="H777">
            <v>254</v>
          </cell>
        </row>
        <row r="778">
          <cell r="A778" t="str">
            <v>007.116</v>
          </cell>
          <cell r="B778" t="str">
            <v>I1565</v>
          </cell>
          <cell r="C778" t="str">
            <v>ACARREO INTERNO</v>
          </cell>
          <cell r="D778" t="str">
            <v>Insumo</v>
          </cell>
          <cell r="E778" t="str">
            <v>UND</v>
          </cell>
          <cell r="F778">
            <v>1.3</v>
          </cell>
          <cell r="G778">
            <v>1327</v>
          </cell>
          <cell r="H778">
            <v>1725</v>
          </cell>
        </row>
        <row r="779">
          <cell r="A779" t="str">
            <v>007.116</v>
          </cell>
          <cell r="B779" t="str">
            <v>I1871</v>
          </cell>
          <cell r="C779" t="str">
            <v>ACCESORIOS GENERALES DE INSTALACIÓN</v>
          </cell>
          <cell r="D779" t="str">
            <v>Insumo</v>
          </cell>
          <cell r="E779" t="str">
            <v>GLB</v>
          </cell>
          <cell r="F779">
            <v>1</v>
          </cell>
          <cell r="G779">
            <v>121924</v>
          </cell>
          <cell r="H779">
            <v>121924</v>
          </cell>
        </row>
        <row r="780">
          <cell r="A780" t="str">
            <v>007.116</v>
          </cell>
          <cell r="B780" t="str">
            <v>I1873</v>
          </cell>
          <cell r="C780" t="str">
            <v>LAVAMANOS DE EMPOTRAR LINEA SAN LORENZO COLOR BLANCO DE CORONA REF: O19001001 O SIMILAR.</v>
          </cell>
          <cell r="D780" t="str">
            <v>Insumo</v>
          </cell>
          <cell r="E780" t="str">
            <v>UND</v>
          </cell>
          <cell r="F780">
            <v>1</v>
          </cell>
          <cell r="G780">
            <v>201217</v>
          </cell>
          <cell r="H780">
            <v>201217</v>
          </cell>
        </row>
        <row r="782">
          <cell r="A782" t="str">
            <v>015.013</v>
          </cell>
          <cell r="B782" t="str">
            <v>-</v>
          </cell>
          <cell r="C782" t="str">
            <v>SUMINISTRO, TRANSPORTE E INSTALACION LAVAMANOS SOBREPONER Linea MARSELLA Color Blanco Ref. 13011000 Tipo Corona o Similar. (Incluye conjunto griferia tipo galaxia 8" o similar, desagüe automatico, sifón botella, grapas 2 und, acople).</v>
          </cell>
          <cell r="D782" t="str">
            <v>Actividad</v>
          </cell>
          <cell r="E782" t="str">
            <v>UND</v>
          </cell>
          <cell r="H782">
            <v>264566</v>
          </cell>
        </row>
        <row r="783">
          <cell r="A783" t="str">
            <v>015.013</v>
          </cell>
          <cell r="B783" t="str">
            <v>C2</v>
          </cell>
          <cell r="C783" t="str">
            <v>CUADRILLA BB TIPO 1 (1 OFICIAL + 1 AYUDANTE) (Instalaciones)</v>
          </cell>
          <cell r="D783" t="str">
            <v>Cuadrilla</v>
          </cell>
          <cell r="E783" t="str">
            <v>HR</v>
          </cell>
          <cell r="F783">
            <v>1.18</v>
          </cell>
          <cell r="G783">
            <v>18383</v>
          </cell>
          <cell r="H783">
            <v>21692</v>
          </cell>
        </row>
        <row r="784">
          <cell r="A784" t="str">
            <v>015.013</v>
          </cell>
          <cell r="B784" t="str">
            <v>E12</v>
          </cell>
          <cell r="C784" t="str">
            <v>EQUIPO DE TRANSPORTE</v>
          </cell>
          <cell r="D784" t="str">
            <v>Equipos</v>
          </cell>
          <cell r="E784" t="str">
            <v>DIA</v>
          </cell>
          <cell r="F784">
            <v>3.4799999999999998E-2</v>
          </cell>
          <cell r="G784">
            <v>131205</v>
          </cell>
          <cell r="H784">
            <v>4566</v>
          </cell>
        </row>
        <row r="785">
          <cell r="A785" t="str">
            <v>015.013</v>
          </cell>
          <cell r="B785" t="str">
            <v>H2</v>
          </cell>
          <cell r="C785" t="str">
            <v>EQUIPO BASICO (HERRAMIENTA MENOR)</v>
          </cell>
          <cell r="D785" t="str">
            <v>Herramienta</v>
          </cell>
          <cell r="E785" t="str">
            <v>UND</v>
          </cell>
          <cell r="F785">
            <v>0.1</v>
          </cell>
          <cell r="G785">
            <v>2536</v>
          </cell>
          <cell r="H785">
            <v>254</v>
          </cell>
        </row>
        <row r="786">
          <cell r="A786" t="str">
            <v>015.013</v>
          </cell>
          <cell r="B786" t="str">
            <v>I1565</v>
          </cell>
          <cell r="C786" t="str">
            <v>ACARREO INTERNO</v>
          </cell>
          <cell r="D786" t="str">
            <v>Insumo</v>
          </cell>
          <cell r="E786" t="str">
            <v>UND</v>
          </cell>
          <cell r="F786">
            <v>1.3</v>
          </cell>
          <cell r="G786">
            <v>1327</v>
          </cell>
          <cell r="H786">
            <v>1725</v>
          </cell>
        </row>
        <row r="787">
          <cell r="A787" t="str">
            <v>015.013</v>
          </cell>
          <cell r="B787" t="str">
            <v>I536</v>
          </cell>
          <cell r="C787" t="str">
            <v>ACOPLE 1/2"  PARA LAVAMANOS EN ACERO DE 40 CM.</v>
          </cell>
          <cell r="D787" t="str">
            <v>Insumo</v>
          </cell>
          <cell r="E787" t="str">
            <v>UND</v>
          </cell>
          <cell r="F787">
            <v>1</v>
          </cell>
          <cell r="G787">
            <v>3807</v>
          </cell>
          <cell r="H787">
            <v>3807</v>
          </cell>
        </row>
        <row r="788">
          <cell r="A788" t="str">
            <v>015.013</v>
          </cell>
          <cell r="B788" t="str">
            <v>I62</v>
          </cell>
          <cell r="C788" t="str">
            <v>CONJUNTO GRIFERIA LAVAMANOS CROMADA 8" GALAXIA TIPO GRIVAL  O SIMILAR ( MEZCLADOR CIERRE COMPRESIÓN, DESAGUE AUTOMATICO, SIFÓN BOTELLA, GRAPAS 2 UND.</v>
          </cell>
          <cell r="D788" t="str">
            <v>Insumo</v>
          </cell>
          <cell r="E788" t="str">
            <v>UND</v>
          </cell>
          <cell r="F788">
            <v>1</v>
          </cell>
          <cell r="G788">
            <v>140574</v>
          </cell>
          <cell r="H788">
            <v>140574</v>
          </cell>
        </row>
        <row r="789">
          <cell r="A789" t="str">
            <v>015.013</v>
          </cell>
          <cell r="B789" t="str">
            <v>I82</v>
          </cell>
          <cell r="C789" t="str">
            <v>LAVAMANOS SOBREPONER LINEA MARSELLA COLOR BLANCO DE CORONA REF. .13011000 O SIMILAR.</v>
          </cell>
          <cell r="D789" t="str">
            <v>Insumo</v>
          </cell>
          <cell r="E789" t="str">
            <v>UND</v>
          </cell>
          <cell r="F789">
            <v>1</v>
          </cell>
          <cell r="G789">
            <v>91948</v>
          </cell>
          <cell r="H789">
            <v>91948</v>
          </cell>
        </row>
        <row r="791">
          <cell r="A791" t="str">
            <v>013.037</v>
          </cell>
          <cell r="B791" t="str">
            <v>-</v>
          </cell>
          <cell r="C791" t="str">
            <v xml:space="preserve">SUMINISTRO, TRANSPORTE E INSTALACION LAVAPLATOS DE EMPOTRAR DOBLE EN ACERO INOXIDABLE - Tipo Socoda o Similar - Dimensiones 81 x 51 cm. </v>
          </cell>
          <cell r="D791" t="str">
            <v>Actividad</v>
          </cell>
          <cell r="E791" t="str">
            <v>UND</v>
          </cell>
          <cell r="H791">
            <v>256013</v>
          </cell>
        </row>
        <row r="792">
          <cell r="A792" t="str">
            <v>013.037</v>
          </cell>
          <cell r="B792" t="str">
            <v>C1</v>
          </cell>
          <cell r="C792" t="str">
            <v>CUADRILLA AA TIPO 1 (1 OFICIAL + 1 AYUDANTE) (Albañileria)</v>
          </cell>
          <cell r="D792" t="str">
            <v>Cuadrilla</v>
          </cell>
          <cell r="E792" t="str">
            <v>HR</v>
          </cell>
          <cell r="F792">
            <v>2</v>
          </cell>
          <cell r="G792">
            <v>16712</v>
          </cell>
          <cell r="H792">
            <v>33424</v>
          </cell>
        </row>
        <row r="793">
          <cell r="A793" t="str">
            <v>013.037</v>
          </cell>
          <cell r="B793" t="str">
            <v>E12</v>
          </cell>
          <cell r="C793" t="str">
            <v>EQUIPO DE TRANSPORTE</v>
          </cell>
          <cell r="D793" t="str">
            <v>Equipos</v>
          </cell>
          <cell r="E793" t="str">
            <v>DIA</v>
          </cell>
          <cell r="F793">
            <v>3.1699999999999999E-2</v>
          </cell>
          <cell r="G793">
            <v>131205</v>
          </cell>
          <cell r="H793">
            <v>4159</v>
          </cell>
        </row>
        <row r="794">
          <cell r="A794" t="str">
            <v>013.037</v>
          </cell>
          <cell r="B794" t="str">
            <v>H2</v>
          </cell>
          <cell r="C794" t="str">
            <v>EQUIPO BASICO (HERRAMIENTA MENOR)</v>
          </cell>
          <cell r="D794" t="str">
            <v>Herramienta</v>
          </cell>
          <cell r="E794" t="str">
            <v>UND</v>
          </cell>
          <cell r="F794">
            <v>0.1</v>
          </cell>
          <cell r="G794">
            <v>2536</v>
          </cell>
          <cell r="H794">
            <v>254</v>
          </cell>
        </row>
        <row r="795">
          <cell r="A795" t="str">
            <v>013.037</v>
          </cell>
          <cell r="B795" t="str">
            <v>I1565</v>
          </cell>
          <cell r="C795" t="str">
            <v>ACARREO INTERNO</v>
          </cell>
          <cell r="D795" t="str">
            <v>Insumo</v>
          </cell>
          <cell r="E795" t="str">
            <v>UND</v>
          </cell>
          <cell r="F795">
            <v>2.1</v>
          </cell>
          <cell r="G795">
            <v>1327</v>
          </cell>
          <cell r="H795">
            <v>2787</v>
          </cell>
        </row>
        <row r="796">
          <cell r="A796" t="str">
            <v>013.037</v>
          </cell>
          <cell r="B796" t="str">
            <v>I433</v>
          </cell>
          <cell r="C796" t="str">
            <v>SILICONA TUBO 280 ML</v>
          </cell>
          <cell r="D796" t="str">
            <v>Insumo</v>
          </cell>
          <cell r="E796" t="str">
            <v>UND</v>
          </cell>
          <cell r="F796">
            <v>0.02</v>
          </cell>
          <cell r="G796">
            <v>11188</v>
          </cell>
          <cell r="H796">
            <v>224</v>
          </cell>
        </row>
        <row r="797">
          <cell r="A797" t="str">
            <v>013.037</v>
          </cell>
          <cell r="B797" t="str">
            <v>I85</v>
          </cell>
          <cell r="C797" t="str">
            <v>LAVAPLATOS DE EMPOTRAR DOBLE EN ACERO INOXIDABLE - TIPO SOCODA O SIMILAR - DIMENSIONES 81 X 51 CM.</v>
          </cell>
          <cell r="D797" t="str">
            <v>Insumo</v>
          </cell>
          <cell r="E797" t="str">
            <v>UND</v>
          </cell>
          <cell r="F797">
            <v>1</v>
          </cell>
          <cell r="G797">
            <v>215165</v>
          </cell>
          <cell r="H797">
            <v>215165</v>
          </cell>
        </row>
        <row r="799">
          <cell r="A799" t="str">
            <v>013.038</v>
          </cell>
          <cell r="B799" t="str">
            <v>-</v>
          </cell>
          <cell r="C799" t="str">
            <v>SUMINISTRO, TRANSPORTE E INSTALACION GRIFERIA PARA LAVAPLATOS SENCILLO GALAXIA CROMO Ref. 50960 Tipo Grival o Similar (Incluye Kit griferia)</v>
          </cell>
          <cell r="D799" t="str">
            <v>Actividad</v>
          </cell>
          <cell r="E799" t="str">
            <v>UND</v>
          </cell>
          <cell r="H799">
            <v>178338</v>
          </cell>
        </row>
        <row r="800">
          <cell r="A800" t="str">
            <v>013.038</v>
          </cell>
          <cell r="B800" t="str">
            <v>C1</v>
          </cell>
          <cell r="C800" t="str">
            <v>CUADRILLA AA TIPO 1 (1 OFICIAL + 1 AYUDANTE) (Albañileria)</v>
          </cell>
          <cell r="D800" t="str">
            <v>Cuadrilla</v>
          </cell>
          <cell r="E800" t="str">
            <v>HR</v>
          </cell>
          <cell r="F800">
            <v>2</v>
          </cell>
          <cell r="G800">
            <v>16712</v>
          </cell>
          <cell r="H800">
            <v>33424</v>
          </cell>
        </row>
        <row r="801">
          <cell r="A801" t="str">
            <v>013.038</v>
          </cell>
          <cell r="B801" t="str">
            <v>E12</v>
          </cell>
          <cell r="C801" t="str">
            <v>EQUIPO DE TRANSPORTE</v>
          </cell>
          <cell r="D801" t="str">
            <v>Equipos</v>
          </cell>
          <cell r="E801" t="str">
            <v>DIA</v>
          </cell>
          <cell r="F801">
            <v>9.9000000000000008E-3</v>
          </cell>
          <cell r="G801">
            <v>131205</v>
          </cell>
          <cell r="H801">
            <v>1299</v>
          </cell>
        </row>
        <row r="802">
          <cell r="A802" t="str">
            <v>013.038</v>
          </cell>
          <cell r="B802" t="str">
            <v>H2</v>
          </cell>
          <cell r="C802" t="str">
            <v>EQUIPO BASICO (HERRAMIENTA MENOR)</v>
          </cell>
          <cell r="D802" t="str">
            <v>Herramienta</v>
          </cell>
          <cell r="E802" t="str">
            <v>UND</v>
          </cell>
          <cell r="F802">
            <v>0.1</v>
          </cell>
          <cell r="G802">
            <v>2536</v>
          </cell>
          <cell r="H802">
            <v>254</v>
          </cell>
        </row>
        <row r="803">
          <cell r="A803" t="str">
            <v>013.038</v>
          </cell>
          <cell r="B803" t="str">
            <v>I1565</v>
          </cell>
          <cell r="C803" t="str">
            <v>ACARREO INTERNO</v>
          </cell>
          <cell r="D803" t="str">
            <v>Insumo</v>
          </cell>
          <cell r="E803" t="str">
            <v>UND</v>
          </cell>
          <cell r="F803">
            <v>2.1</v>
          </cell>
          <cell r="G803">
            <v>1327</v>
          </cell>
          <cell r="H803">
            <v>2787</v>
          </cell>
        </row>
        <row r="804">
          <cell r="A804" t="str">
            <v>013.038</v>
          </cell>
          <cell r="B804" t="str">
            <v>I62</v>
          </cell>
          <cell r="C804" t="str">
            <v>CONJUNTO GRIFERIA LAVAMANOS CROMADA 8" GALAXIA TIPO GRIVAL  O SIMILAR ( MEZCLADOR CIERRE COMPRESIÓN, DESAGUE AUTOMATICO, SIFÓN BOTELLA, GRAPAS 2 UND.</v>
          </cell>
          <cell r="D804" t="str">
            <v>Insumo</v>
          </cell>
          <cell r="E804" t="str">
            <v>UND</v>
          </cell>
          <cell r="F804">
            <v>1</v>
          </cell>
          <cell r="G804">
            <v>140574</v>
          </cell>
          <cell r="H804">
            <v>140574</v>
          </cell>
        </row>
        <row r="807">
          <cell r="A807" t="str">
            <v>013.060</v>
          </cell>
          <cell r="B807" t="str">
            <v>-</v>
          </cell>
          <cell r="C807" t="str">
            <v xml:space="preserve">SUMINISTRO, TRANSPORTE E INSTALACION LLAVE TERMINAL MANGUERA 1/2"  </v>
          </cell>
          <cell r="D807" t="str">
            <v>Actividad</v>
          </cell>
          <cell r="E807" t="str">
            <v>UND</v>
          </cell>
          <cell r="H807">
            <v>32336</v>
          </cell>
        </row>
        <row r="808">
          <cell r="A808" t="str">
            <v>013.060</v>
          </cell>
          <cell r="B808" t="str">
            <v>C1</v>
          </cell>
          <cell r="C808" t="str">
            <v>CUADRILLA AA TIPO 1 (1 OFICIAL + 1 AYUDANTE) (Albañileria)</v>
          </cell>
          <cell r="D808" t="str">
            <v>Cuadrilla</v>
          </cell>
          <cell r="E808" t="str">
            <v>HR</v>
          </cell>
          <cell r="F808">
            <v>0.5</v>
          </cell>
          <cell r="G808">
            <v>16712</v>
          </cell>
          <cell r="H808">
            <v>8356</v>
          </cell>
        </row>
        <row r="809">
          <cell r="A809" t="str">
            <v>013.060</v>
          </cell>
          <cell r="B809" t="str">
            <v>E12</v>
          </cell>
          <cell r="C809" t="str">
            <v>EQUIPO DE TRANSPORTE</v>
          </cell>
          <cell r="D809" t="str">
            <v>Equipos</v>
          </cell>
          <cell r="E809" t="str">
            <v>DIA</v>
          </cell>
          <cell r="F809">
            <v>3.3999999999999998E-3</v>
          </cell>
          <cell r="G809">
            <v>131205</v>
          </cell>
          <cell r="H809">
            <v>446</v>
          </cell>
        </row>
        <row r="810">
          <cell r="A810" t="str">
            <v>013.060</v>
          </cell>
          <cell r="B810" t="str">
            <v>H2</v>
          </cell>
          <cell r="C810" t="str">
            <v>EQUIPO BASICO (HERRAMIENTA MENOR)</v>
          </cell>
          <cell r="D810" t="str">
            <v>Herramienta</v>
          </cell>
          <cell r="E810" t="str">
            <v>UND</v>
          </cell>
          <cell r="F810">
            <v>0.01</v>
          </cell>
          <cell r="G810">
            <v>2536</v>
          </cell>
          <cell r="H810">
            <v>25</v>
          </cell>
        </row>
        <row r="811">
          <cell r="A811" t="str">
            <v>013.060</v>
          </cell>
          <cell r="B811" t="str">
            <v>I1565</v>
          </cell>
          <cell r="C811" t="str">
            <v>ACARREO INTERNO</v>
          </cell>
          <cell r="D811" t="str">
            <v>Insumo</v>
          </cell>
          <cell r="E811" t="str">
            <v>UND</v>
          </cell>
          <cell r="F811">
            <v>0.53</v>
          </cell>
          <cell r="G811">
            <v>1327</v>
          </cell>
          <cell r="H811">
            <v>703</v>
          </cell>
        </row>
        <row r="812">
          <cell r="A812" t="str">
            <v>013.060</v>
          </cell>
          <cell r="B812" t="str">
            <v>I416</v>
          </cell>
          <cell r="C812" t="str">
            <v>LLAVE TERMINAL MANGUERA 1/2"</v>
          </cell>
          <cell r="D812" t="str">
            <v>Insumo</v>
          </cell>
          <cell r="E812" t="str">
            <v>UND</v>
          </cell>
          <cell r="F812">
            <v>1</v>
          </cell>
          <cell r="G812">
            <v>22806</v>
          </cell>
          <cell r="H812">
            <v>22806</v>
          </cell>
        </row>
        <row r="814">
          <cell r="A814" t="str">
            <v>032.049</v>
          </cell>
          <cell r="B814" t="str">
            <v>-</v>
          </cell>
          <cell r="C814" t="str">
            <v>SUMINISTRO, TRANSPORTE E INSTALACION CONSTRUCCIÓN POCETA LAVATRAPEROS DE 0.60 X 0.60 M INCLUYE ACABADOS EN ENCHAPE EN CERÁMICA Y GRANO PULIDO</v>
          </cell>
          <cell r="D814" t="str">
            <v>Actividad</v>
          </cell>
          <cell r="E814" t="str">
            <v>UND</v>
          </cell>
          <cell r="H814">
            <v>416510</v>
          </cell>
        </row>
        <row r="815">
          <cell r="A815" t="str">
            <v>032.049</v>
          </cell>
          <cell r="B815" t="str">
            <v>AB20</v>
          </cell>
          <cell r="C815" t="str">
            <v>MORTERO 1:3</v>
          </cell>
          <cell r="D815" t="str">
            <v>Analisis</v>
          </cell>
          <cell r="E815" t="str">
            <v>M3</v>
          </cell>
          <cell r="F815">
            <v>3.0000000000000001E-3</v>
          </cell>
          <cell r="G815">
            <v>449080</v>
          </cell>
          <cell r="H815">
            <v>1347</v>
          </cell>
        </row>
        <row r="816">
          <cell r="A816" t="str">
            <v>032.049</v>
          </cell>
          <cell r="B816" t="str">
            <v>AB5</v>
          </cell>
          <cell r="C816" t="str">
            <v>CONCRETO 3000 psi - 21 Mpa</v>
          </cell>
          <cell r="D816" t="str">
            <v>Analisis</v>
          </cell>
          <cell r="E816" t="str">
            <v>M3</v>
          </cell>
          <cell r="F816">
            <v>0.15</v>
          </cell>
          <cell r="G816">
            <v>421155</v>
          </cell>
          <cell r="H816">
            <v>63173</v>
          </cell>
        </row>
        <row r="817">
          <cell r="A817" t="str">
            <v>032.049</v>
          </cell>
          <cell r="B817" t="str">
            <v>C29</v>
          </cell>
          <cell r="C817" t="str">
            <v>CUADRILLA AA TIPO 5 (1 OFICIAL + 5 AYUDANTE) (Albañileria)</v>
          </cell>
          <cell r="D817" t="str">
            <v>Cuadrilla</v>
          </cell>
          <cell r="E817" t="str">
            <v>HR</v>
          </cell>
          <cell r="F817">
            <v>5</v>
          </cell>
          <cell r="G817">
            <v>42424</v>
          </cell>
          <cell r="H817">
            <v>212120</v>
          </cell>
        </row>
        <row r="818">
          <cell r="A818" t="str">
            <v>032.049</v>
          </cell>
          <cell r="B818" t="str">
            <v>E108</v>
          </cell>
          <cell r="C818" t="str">
            <v>PARAL LARGO 2.00 A 3.50 M</v>
          </cell>
          <cell r="D818" t="str">
            <v>Equipos</v>
          </cell>
          <cell r="E818" t="str">
            <v>DIA</v>
          </cell>
          <cell r="F818">
            <v>3</v>
          </cell>
          <cell r="G818">
            <v>173</v>
          </cell>
          <cell r="H818">
            <v>519</v>
          </cell>
        </row>
        <row r="819">
          <cell r="A819" t="str">
            <v>032.049</v>
          </cell>
          <cell r="B819" t="str">
            <v>E12</v>
          </cell>
          <cell r="C819" t="str">
            <v>EQUIPO DE TRANSPORTE</v>
          </cell>
          <cell r="D819" t="str">
            <v>Equipos</v>
          </cell>
          <cell r="E819" t="str">
            <v>DIA</v>
          </cell>
          <cell r="F819">
            <v>5.8799999999999998E-2</v>
          </cell>
          <cell r="G819">
            <v>131205</v>
          </cell>
          <cell r="H819">
            <v>7715</v>
          </cell>
        </row>
        <row r="820">
          <cell r="A820" t="str">
            <v>032.049</v>
          </cell>
          <cell r="B820" t="str">
            <v>H2</v>
          </cell>
          <cell r="C820" t="str">
            <v>EQUIPO BASICO (HERRAMIENTA MENOR)</v>
          </cell>
          <cell r="D820" t="str">
            <v>Herramienta</v>
          </cell>
          <cell r="E820" t="str">
            <v>UND</v>
          </cell>
          <cell r="F820">
            <v>0.2</v>
          </cell>
          <cell r="G820">
            <v>2536</v>
          </cell>
          <cell r="H820">
            <v>507</v>
          </cell>
        </row>
        <row r="821">
          <cell r="A821" t="str">
            <v>032.049</v>
          </cell>
          <cell r="B821" t="str">
            <v>I1060</v>
          </cell>
          <cell r="C821" t="str">
            <v>CERAMICA PARED EGEO BLANCO</v>
          </cell>
          <cell r="D821" t="str">
            <v>Insumo</v>
          </cell>
          <cell r="E821" t="str">
            <v>M2</v>
          </cell>
          <cell r="F821">
            <v>1.5</v>
          </cell>
          <cell r="G821">
            <v>38908</v>
          </cell>
          <cell r="H821">
            <v>58362</v>
          </cell>
        </row>
        <row r="822">
          <cell r="A822" t="str">
            <v>032.049</v>
          </cell>
          <cell r="B822" t="str">
            <v>I1565</v>
          </cell>
          <cell r="C822" t="str">
            <v>ACARREO INTERNO</v>
          </cell>
          <cell r="D822" t="str">
            <v>Insumo</v>
          </cell>
          <cell r="E822" t="str">
            <v>UND</v>
          </cell>
          <cell r="F822">
            <v>0.35</v>
          </cell>
          <cell r="G822">
            <v>1327</v>
          </cell>
          <cell r="H822">
            <v>464</v>
          </cell>
        </row>
        <row r="823">
          <cell r="A823" t="str">
            <v>032.049</v>
          </cell>
          <cell r="B823" t="str">
            <v>I416</v>
          </cell>
          <cell r="C823" t="str">
            <v>LLAVE TERMINAL MANGUERA 1/2"</v>
          </cell>
          <cell r="D823" t="str">
            <v>Insumo</v>
          </cell>
          <cell r="E823" t="str">
            <v>UND</v>
          </cell>
          <cell r="F823">
            <v>1</v>
          </cell>
          <cell r="G823">
            <v>22806</v>
          </cell>
          <cell r="H823">
            <v>22806</v>
          </cell>
        </row>
        <row r="824">
          <cell r="A824" t="str">
            <v>032.049</v>
          </cell>
          <cell r="B824" t="str">
            <v>I425</v>
          </cell>
          <cell r="C824" t="str">
            <v>PUNTILLA CON CABEZA 2"</v>
          </cell>
          <cell r="D824" t="str">
            <v>Insumo</v>
          </cell>
          <cell r="E824" t="str">
            <v>LB</v>
          </cell>
          <cell r="F824">
            <v>0.2</v>
          </cell>
          <cell r="G824">
            <v>3585</v>
          </cell>
          <cell r="H824">
            <v>717</v>
          </cell>
        </row>
        <row r="825">
          <cell r="A825" t="str">
            <v>032.049</v>
          </cell>
          <cell r="B825" t="str">
            <v>I641</v>
          </cell>
          <cell r="C825" t="str">
            <v>SIFON PVC SANITARIO 2"</v>
          </cell>
          <cell r="D825" t="str">
            <v>Insumo</v>
          </cell>
          <cell r="E825" t="str">
            <v>M</v>
          </cell>
          <cell r="F825">
            <v>1</v>
          </cell>
          <cell r="G825">
            <v>4734</v>
          </cell>
          <cell r="H825">
            <v>4734</v>
          </cell>
        </row>
        <row r="826">
          <cell r="A826" t="str">
            <v>032.049</v>
          </cell>
          <cell r="B826" t="str">
            <v>I647</v>
          </cell>
          <cell r="C826" t="str">
            <v>SOLDADURA PVC LIQUIDA 1/4</v>
          </cell>
          <cell r="D826" t="str">
            <v>Insumo</v>
          </cell>
          <cell r="E826" t="str">
            <v>UND</v>
          </cell>
          <cell r="F826">
            <v>0.04</v>
          </cell>
          <cell r="G826">
            <v>94162</v>
          </cell>
          <cell r="H826">
            <v>3766</v>
          </cell>
        </row>
        <row r="827">
          <cell r="A827" t="str">
            <v>032.049</v>
          </cell>
          <cell r="B827" t="str">
            <v>I744</v>
          </cell>
          <cell r="C827" t="str">
            <v>TUBO PRESION RDE 21 PVC 200 PSI  -  2 1/2"</v>
          </cell>
          <cell r="D827" t="str">
            <v>Insumo</v>
          </cell>
          <cell r="E827" t="str">
            <v>M</v>
          </cell>
          <cell r="F827">
            <v>0.3</v>
          </cell>
          <cell r="G827">
            <v>26472</v>
          </cell>
          <cell r="H827">
            <v>7942</v>
          </cell>
        </row>
        <row r="828">
          <cell r="A828" t="str">
            <v>032.049</v>
          </cell>
          <cell r="B828" t="str">
            <v>I752</v>
          </cell>
          <cell r="C828" t="str">
            <v xml:space="preserve">TUBO PVC SANITARIO 2'' </v>
          </cell>
          <cell r="D828" t="str">
            <v>Insumo</v>
          </cell>
          <cell r="E828" t="str">
            <v>M</v>
          </cell>
          <cell r="F828">
            <v>1</v>
          </cell>
          <cell r="G828">
            <v>11785</v>
          </cell>
          <cell r="H828">
            <v>11785</v>
          </cell>
        </row>
        <row r="829">
          <cell r="A829" t="str">
            <v>032.049</v>
          </cell>
          <cell r="B829" t="str">
            <v>I979</v>
          </cell>
          <cell r="C829" t="str">
            <v>TABLA CHAPA ORDINARIO 30 CM X 2 CM X 3 M.</v>
          </cell>
          <cell r="D829" t="str">
            <v>Insumo</v>
          </cell>
          <cell r="E829" t="str">
            <v>UND</v>
          </cell>
          <cell r="F829">
            <v>1.5</v>
          </cell>
          <cell r="G829">
            <v>13702</v>
          </cell>
          <cell r="H829">
            <v>20553</v>
          </cell>
        </row>
        <row r="831">
          <cell r="A831" t="str">
            <v>032.336</v>
          </cell>
          <cell r="B831" t="str">
            <v>-</v>
          </cell>
          <cell r="C831" t="str">
            <v>SUMINISTRO TRANSPORTE E INSTALACION DE PUNTO DE GAS 1/2"INCLUYE VALVULA Y 3 MTS DE TUBERIA</v>
          </cell>
          <cell r="D831" t="str">
            <v>Actividad</v>
          </cell>
          <cell r="E831" t="str">
            <v>UND</v>
          </cell>
          <cell r="H831">
            <v>150854</v>
          </cell>
        </row>
        <row r="832">
          <cell r="A832" t="str">
            <v>032.336</v>
          </cell>
          <cell r="B832" t="str">
            <v>C2</v>
          </cell>
          <cell r="C832" t="str">
            <v>CUADRILLA BB TIPO 1 (1 OFICIAL + 1 AYUDANTE) (Instalaciones)</v>
          </cell>
          <cell r="D832" t="str">
            <v>Cuadrilla</v>
          </cell>
          <cell r="E832" t="str">
            <v>HR</v>
          </cell>
          <cell r="F832">
            <v>4</v>
          </cell>
          <cell r="G832">
            <v>18383</v>
          </cell>
          <cell r="H832">
            <v>73532</v>
          </cell>
        </row>
        <row r="833">
          <cell r="A833" t="str">
            <v>032.336</v>
          </cell>
          <cell r="B833" t="str">
            <v>E12</v>
          </cell>
          <cell r="C833" t="str">
            <v>EQUIPO DE TRANSPORTE</v>
          </cell>
          <cell r="D833" t="str">
            <v>Equipos</v>
          </cell>
          <cell r="E833" t="str">
            <v>DIA</v>
          </cell>
          <cell r="F833">
            <v>1.4999999999999999E-2</v>
          </cell>
          <cell r="G833">
            <v>131205</v>
          </cell>
          <cell r="H833">
            <v>1968</v>
          </cell>
        </row>
        <row r="834">
          <cell r="A834" t="str">
            <v>032.336</v>
          </cell>
          <cell r="B834" t="str">
            <v>H2</v>
          </cell>
          <cell r="C834" t="str">
            <v>EQUIPO BASICO (HERRAMIENTA MENOR)</v>
          </cell>
          <cell r="D834" t="str">
            <v>Herramienta</v>
          </cell>
          <cell r="E834" t="str">
            <v>UND</v>
          </cell>
          <cell r="F834">
            <v>1</v>
          </cell>
          <cell r="G834">
            <v>2536</v>
          </cell>
          <cell r="H834">
            <v>2536</v>
          </cell>
        </row>
        <row r="835">
          <cell r="A835" t="str">
            <v>032.336</v>
          </cell>
          <cell r="B835" t="str">
            <v>I1565</v>
          </cell>
          <cell r="C835" t="str">
            <v>ACARREO INTERNO</v>
          </cell>
          <cell r="D835" t="str">
            <v>Insumo</v>
          </cell>
          <cell r="E835" t="str">
            <v>UND</v>
          </cell>
          <cell r="F835">
            <v>1</v>
          </cell>
          <cell r="G835">
            <v>1327</v>
          </cell>
          <cell r="H835">
            <v>1327</v>
          </cell>
        </row>
        <row r="836">
          <cell r="A836" t="str">
            <v>032.336</v>
          </cell>
          <cell r="B836" t="str">
            <v>I1930</v>
          </cell>
          <cell r="C836" t="str">
            <v>ACCESORIOS PARA LA CONEXION</v>
          </cell>
          <cell r="D836" t="str">
            <v>Insumo</v>
          </cell>
          <cell r="E836" t="str">
            <v>UND</v>
          </cell>
          <cell r="F836">
            <v>2</v>
          </cell>
          <cell r="G836">
            <v>23310</v>
          </cell>
          <cell r="H836">
            <v>46620</v>
          </cell>
        </row>
        <row r="837">
          <cell r="A837" t="str">
            <v>032.336</v>
          </cell>
          <cell r="B837" t="str">
            <v>I2006</v>
          </cell>
          <cell r="C837" t="str">
            <v>TUBERIA PEALPE 1/2" PARA GAS</v>
          </cell>
          <cell r="D837" t="str">
            <v>Insumo</v>
          </cell>
          <cell r="E837" t="str">
            <v>ML</v>
          </cell>
          <cell r="F837">
            <v>3.3</v>
          </cell>
          <cell r="G837">
            <v>2963</v>
          </cell>
          <cell r="H837">
            <v>9778</v>
          </cell>
        </row>
        <row r="838">
          <cell r="A838" t="str">
            <v>032.336</v>
          </cell>
          <cell r="B838" t="str">
            <v>I2007</v>
          </cell>
          <cell r="C838" t="str">
            <v>VALVULA PARA GAS 1/2"</v>
          </cell>
          <cell r="D838" t="str">
            <v>Insumo</v>
          </cell>
          <cell r="E838" t="str">
            <v>UND</v>
          </cell>
          <cell r="F838">
            <v>1</v>
          </cell>
          <cell r="G838">
            <v>15093</v>
          </cell>
          <cell r="H838">
            <v>15093</v>
          </cell>
        </row>
        <row r="840">
          <cell r="A840" t="str">
            <v>032.900</v>
          </cell>
          <cell r="B840" t="str">
            <v>-</v>
          </cell>
          <cell r="C840" t="str">
            <v>SUMINISTRO, TRANSPORTE E INSTALACION TUBERIA PEALPE 1/2" PARA GAS</v>
          </cell>
          <cell r="D840" t="str">
            <v>Actividad</v>
          </cell>
          <cell r="E840" t="str">
            <v>ML</v>
          </cell>
          <cell r="H840">
            <v>14152</v>
          </cell>
        </row>
        <row r="841">
          <cell r="A841" t="str">
            <v>032.900</v>
          </cell>
          <cell r="B841" t="str">
            <v>C23</v>
          </cell>
          <cell r="C841" t="str">
            <v>CUADRILLA BB TIPO 4 (1 OFICIAL + 4 AYUDANTE) (Instalaciones)</v>
          </cell>
          <cell r="D841" t="str">
            <v>Cuadrilla</v>
          </cell>
          <cell r="E841" t="str">
            <v>HR</v>
          </cell>
          <cell r="F841">
            <v>0.2</v>
          </cell>
          <cell r="G841">
            <v>39593</v>
          </cell>
          <cell r="H841">
            <v>7919</v>
          </cell>
        </row>
        <row r="842">
          <cell r="A842" t="str">
            <v>032.900</v>
          </cell>
          <cell r="B842" t="str">
            <v>E12</v>
          </cell>
          <cell r="C842" t="str">
            <v>EQUIPO DE TRANSPORTE</v>
          </cell>
          <cell r="D842" t="str">
            <v>Equipos</v>
          </cell>
          <cell r="E842" t="str">
            <v>DIA</v>
          </cell>
          <cell r="F842">
            <v>1.6E-2</v>
          </cell>
          <cell r="G842">
            <v>131205</v>
          </cell>
          <cell r="H842">
            <v>2099</v>
          </cell>
        </row>
        <row r="843">
          <cell r="A843" t="str">
            <v>032.900</v>
          </cell>
          <cell r="B843" t="str">
            <v>H2</v>
          </cell>
          <cell r="C843" t="str">
            <v>EQUIPO BASICO (HERRAMIENTA MENOR)</v>
          </cell>
          <cell r="D843" t="str">
            <v>Herramienta</v>
          </cell>
          <cell r="E843" t="str">
            <v>UND</v>
          </cell>
          <cell r="F843">
            <v>0.2</v>
          </cell>
          <cell r="G843">
            <v>2536</v>
          </cell>
          <cell r="H843">
            <v>507</v>
          </cell>
        </row>
        <row r="844">
          <cell r="A844" t="str">
            <v>032.900</v>
          </cell>
          <cell r="B844" t="str">
            <v>I1565</v>
          </cell>
          <cell r="C844" t="str">
            <v>ACARREO INTERNO</v>
          </cell>
          <cell r="D844" t="str">
            <v>Insumo</v>
          </cell>
          <cell r="E844" t="str">
            <v>UND</v>
          </cell>
          <cell r="F844">
            <v>0.5</v>
          </cell>
          <cell r="G844">
            <v>1327</v>
          </cell>
          <cell r="H844">
            <v>664</v>
          </cell>
        </row>
        <row r="845">
          <cell r="A845" t="str">
            <v>032.900</v>
          </cell>
          <cell r="B845" t="str">
            <v>I2006</v>
          </cell>
          <cell r="C845" t="str">
            <v>TUBERIA PEALPE 1/2" PARA GAS</v>
          </cell>
          <cell r="D845" t="str">
            <v>Insumo</v>
          </cell>
          <cell r="E845" t="str">
            <v>ML</v>
          </cell>
          <cell r="F845">
            <v>1</v>
          </cell>
          <cell r="G845">
            <v>2963</v>
          </cell>
          <cell r="H845">
            <v>2963</v>
          </cell>
        </row>
        <row r="847">
          <cell r="A847" t="str">
            <v>015.024</v>
          </cell>
          <cell r="B847" t="str">
            <v>-</v>
          </cell>
          <cell r="C847" t="str">
            <v>SUMINISTRO, TRANSPORTE E INSTALACION DUCHA antivandálica con regadera tubular ref: 754000001 corona o similar</v>
          </cell>
          <cell r="D847" t="str">
            <v>Actividad</v>
          </cell>
          <cell r="E847" t="str">
            <v>UND</v>
          </cell>
          <cell r="H847">
            <v>205510</v>
          </cell>
        </row>
        <row r="848">
          <cell r="A848" t="str">
            <v>015.024</v>
          </cell>
          <cell r="B848" t="str">
            <v>C2</v>
          </cell>
          <cell r="C848" t="str">
            <v>CUADRILLA BB TIPO 1 (1 OFICIAL + 1 AYUDANTE) (Instalaciones)</v>
          </cell>
          <cell r="D848" t="str">
            <v>Cuadrilla</v>
          </cell>
          <cell r="E848" t="str">
            <v>HR</v>
          </cell>
          <cell r="F848">
            <v>1.25</v>
          </cell>
          <cell r="G848">
            <v>18383</v>
          </cell>
          <cell r="H848">
            <v>22979</v>
          </cell>
        </row>
        <row r="849">
          <cell r="A849" t="str">
            <v>015.024</v>
          </cell>
          <cell r="B849" t="str">
            <v>E12</v>
          </cell>
          <cell r="C849" t="str">
            <v>EQUIPO DE TRANSPORTE</v>
          </cell>
          <cell r="D849" t="str">
            <v>Equipos</v>
          </cell>
          <cell r="E849" t="str">
            <v>DIA</v>
          </cell>
          <cell r="F849">
            <v>2.5999999999999999E-2</v>
          </cell>
          <cell r="G849">
            <v>131205</v>
          </cell>
          <cell r="H849">
            <v>3411</v>
          </cell>
        </row>
        <row r="850">
          <cell r="A850" t="str">
            <v>015.024</v>
          </cell>
          <cell r="B850" t="str">
            <v>H2</v>
          </cell>
          <cell r="C850" t="str">
            <v>EQUIPO BASICO (HERRAMIENTA MENOR)</v>
          </cell>
          <cell r="D850" t="str">
            <v>Herramienta</v>
          </cell>
          <cell r="E850" t="str">
            <v>UND</v>
          </cell>
          <cell r="F850">
            <v>0.1</v>
          </cell>
          <cell r="G850">
            <v>2536</v>
          </cell>
          <cell r="H850">
            <v>254</v>
          </cell>
        </row>
        <row r="851">
          <cell r="A851" t="str">
            <v>015.024</v>
          </cell>
          <cell r="B851" t="str">
            <v>I1565</v>
          </cell>
          <cell r="C851" t="str">
            <v>ACARREO INTERNO</v>
          </cell>
          <cell r="D851" t="str">
            <v>Insumo</v>
          </cell>
          <cell r="E851" t="str">
            <v>UND</v>
          </cell>
          <cell r="F851">
            <v>1.4</v>
          </cell>
          <cell r="G851">
            <v>1327</v>
          </cell>
          <cell r="H851">
            <v>1858</v>
          </cell>
        </row>
        <row r="852">
          <cell r="A852" t="str">
            <v>015.024</v>
          </cell>
          <cell r="B852" t="str">
            <v>I70</v>
          </cell>
          <cell r="C852" t="str">
            <v>DUCHA ANTIVANDÁLICA CON REGADERA TUBULAR REF: 754000001 CORONA O SIMILAR</v>
          </cell>
          <cell r="D852" t="str">
            <v>Insumo</v>
          </cell>
          <cell r="E852" t="str">
            <v>UND</v>
          </cell>
          <cell r="F852">
            <v>1</v>
          </cell>
          <cell r="G852">
            <v>177008</v>
          </cell>
          <cell r="H852">
            <v>177008</v>
          </cell>
        </row>
        <row r="854">
          <cell r="A854" t="str">
            <v>005</v>
          </cell>
          <cell r="C854" t="str">
            <v>ESTABILIDAD DE TALUDES</v>
          </cell>
          <cell r="D854" t="str">
            <v>Capitulo</v>
          </cell>
        </row>
        <row r="856">
          <cell r="A856" t="str">
            <v>003.063</v>
          </cell>
          <cell r="B856" t="str">
            <v>-</v>
          </cell>
          <cell r="C856" t="str">
            <v>SUMINISTRO, TRANSPORTE E INSTALACION CARCAMO  A=0.30 m.  H=0.20 m. CON REJILLA PREFABRICADA (Incluye rejilla prefabricada concreto)</v>
          </cell>
          <cell r="D856" t="str">
            <v>Actividad</v>
          </cell>
          <cell r="E856" t="str">
            <v>ML</v>
          </cell>
          <cell r="H856">
            <v>69954</v>
          </cell>
        </row>
        <row r="857">
          <cell r="A857" t="str">
            <v>003.063</v>
          </cell>
          <cell r="B857" t="str">
            <v>AB5</v>
          </cell>
          <cell r="C857" t="str">
            <v>CONCRETO 3000 psi - 21 Mpa</v>
          </cell>
          <cell r="D857" t="str">
            <v>Analisis</v>
          </cell>
          <cell r="E857" t="str">
            <v>M3</v>
          </cell>
          <cell r="F857">
            <v>2.4E-2</v>
          </cell>
          <cell r="G857">
            <v>421155</v>
          </cell>
          <cell r="H857">
            <v>10108</v>
          </cell>
        </row>
        <row r="858">
          <cell r="A858" t="str">
            <v>003.063</v>
          </cell>
          <cell r="B858" t="str">
            <v>C30</v>
          </cell>
          <cell r="C858" t="str">
            <v>CUADRILLA BB TIPO 5 (1 OFICIAL + 5 AYUDANTE) (Instalaciones)</v>
          </cell>
          <cell r="D858" t="str">
            <v>Cuadrilla</v>
          </cell>
          <cell r="E858" t="str">
            <v>HR</v>
          </cell>
          <cell r="F858">
            <v>0.15</v>
          </cell>
          <cell r="G858">
            <v>46663</v>
          </cell>
          <cell r="H858">
            <v>6999</v>
          </cell>
        </row>
        <row r="859">
          <cell r="A859" t="str">
            <v>003.063</v>
          </cell>
          <cell r="B859" t="str">
            <v>E12</v>
          </cell>
          <cell r="C859" t="str">
            <v>EQUIPO DE TRANSPORTE</v>
          </cell>
          <cell r="D859" t="str">
            <v>Equipos</v>
          </cell>
          <cell r="E859" t="str">
            <v>DIA</v>
          </cell>
          <cell r="F859">
            <v>8.9999999999999993E-3</v>
          </cell>
          <cell r="G859">
            <v>131205</v>
          </cell>
          <cell r="H859">
            <v>1181</v>
          </cell>
        </row>
        <row r="860">
          <cell r="A860" t="str">
            <v>003.063</v>
          </cell>
          <cell r="B860" t="str">
            <v>H2</v>
          </cell>
          <cell r="C860" t="str">
            <v>EQUIPO BASICO (HERRAMIENTA MENOR)</v>
          </cell>
          <cell r="D860" t="str">
            <v>Herramienta</v>
          </cell>
          <cell r="E860" t="str">
            <v>UND</v>
          </cell>
          <cell r="F860">
            <v>0.36</v>
          </cell>
          <cell r="G860">
            <v>2536</v>
          </cell>
          <cell r="H860">
            <v>913</v>
          </cell>
        </row>
        <row r="861">
          <cell r="A861" t="str">
            <v>003.063</v>
          </cell>
          <cell r="B861" t="str">
            <v>I1097</v>
          </cell>
          <cell r="C861" t="str">
            <v>REJILLA SUMIDERO PLAQUETA (PEATONAL) A=40 CM. L=40 CM. E=6 CM. REF. P40402 TIPO TITAN O SIMILAR</v>
          </cell>
          <cell r="D861" t="str">
            <v>Insumo</v>
          </cell>
          <cell r="E861" t="str">
            <v>UND</v>
          </cell>
          <cell r="F861">
            <v>2.5</v>
          </cell>
          <cell r="G861">
            <v>18790</v>
          </cell>
          <cell r="H861">
            <v>46975</v>
          </cell>
        </row>
        <row r="862">
          <cell r="A862" t="str">
            <v>003.063</v>
          </cell>
          <cell r="B862" t="str">
            <v>I1565</v>
          </cell>
          <cell r="C862" t="str">
            <v>ACARREO INTERNO</v>
          </cell>
          <cell r="D862" t="str">
            <v>Insumo</v>
          </cell>
          <cell r="E862" t="str">
            <v>UND</v>
          </cell>
          <cell r="F862">
            <v>0.4</v>
          </cell>
          <cell r="G862">
            <v>1327</v>
          </cell>
          <cell r="H862">
            <v>531</v>
          </cell>
        </row>
        <row r="863">
          <cell r="A863" t="str">
            <v>003.063</v>
          </cell>
          <cell r="B863" t="str">
            <v>I427</v>
          </cell>
          <cell r="C863" t="str">
            <v>SIKA-1 IMPERMEABILIZANTE INTEGRAL MORTEROS O SIMILAR.</v>
          </cell>
          <cell r="D863" t="str">
            <v>Insumo</v>
          </cell>
          <cell r="E863" t="str">
            <v>KG</v>
          </cell>
          <cell r="F863">
            <v>0.32</v>
          </cell>
          <cell r="G863">
            <v>10146</v>
          </cell>
          <cell r="H863">
            <v>3247</v>
          </cell>
        </row>
        <row r="865">
          <cell r="A865" t="str">
            <v>033.158</v>
          </cell>
          <cell r="B865" t="str">
            <v>-</v>
          </cell>
          <cell r="C865" t="str">
            <v>SUMINISTRO, TRANSPORTE E INSTALACIÓN DE ACERO DE REFUERZO DE 1/4" Y 1 1/4" DE 420 MPA (4200 KG/CM2)</v>
          </cell>
          <cell r="D865" t="str">
            <v>Actividad</v>
          </cell>
          <cell r="E865" t="str">
            <v>KG</v>
          </cell>
          <cell r="H865">
            <v>6328</v>
          </cell>
        </row>
        <row r="866">
          <cell r="A866" t="str">
            <v>033.158</v>
          </cell>
          <cell r="B866" t="str">
            <v>C29</v>
          </cell>
          <cell r="C866" t="str">
            <v>CUADRILLA AA TIPO 5 (1 OFICIAL + 5 AYUDANTE) (Albañileria)</v>
          </cell>
          <cell r="D866" t="str">
            <v>Cuadrilla</v>
          </cell>
          <cell r="E866" t="str">
            <v>HR</v>
          </cell>
          <cell r="F866">
            <v>0.02</v>
          </cell>
          <cell r="G866">
            <v>42424</v>
          </cell>
          <cell r="H866">
            <v>848</v>
          </cell>
        </row>
        <row r="867">
          <cell r="A867" t="str">
            <v>033.158</v>
          </cell>
          <cell r="B867" t="str">
            <v>E12</v>
          </cell>
          <cell r="C867" t="str">
            <v>EQUIPO DE TRANSPORTE</v>
          </cell>
          <cell r="D867" t="str">
            <v>Equipos</v>
          </cell>
          <cell r="E867" t="str">
            <v>DIA</v>
          </cell>
          <cell r="F867">
            <v>5.9999999999999995E-4</v>
          </cell>
          <cell r="G867">
            <v>131205</v>
          </cell>
          <cell r="H867">
            <v>79</v>
          </cell>
        </row>
        <row r="868">
          <cell r="A868" t="str">
            <v>033.158</v>
          </cell>
          <cell r="B868" t="str">
            <v>H2</v>
          </cell>
          <cell r="C868" t="str">
            <v>EQUIPO BASICO (HERRAMIENTA MENOR)</v>
          </cell>
          <cell r="D868" t="str">
            <v>Herramienta</v>
          </cell>
          <cell r="E868" t="str">
            <v>UND</v>
          </cell>
          <cell r="F868">
            <v>0.03</v>
          </cell>
          <cell r="G868">
            <v>2536</v>
          </cell>
          <cell r="H868">
            <v>76</v>
          </cell>
        </row>
        <row r="869">
          <cell r="A869" t="str">
            <v>033.158</v>
          </cell>
          <cell r="B869" t="str">
            <v>I1565</v>
          </cell>
          <cell r="C869" t="str">
            <v>ACARREO INTERNO</v>
          </cell>
          <cell r="D869" t="str">
            <v>Insumo</v>
          </cell>
          <cell r="E869" t="str">
            <v>UND</v>
          </cell>
          <cell r="F869">
            <v>0.2</v>
          </cell>
          <cell r="G869">
            <v>1327</v>
          </cell>
          <cell r="H869">
            <v>265</v>
          </cell>
        </row>
        <row r="870">
          <cell r="A870" t="str">
            <v>033.158</v>
          </cell>
          <cell r="B870" t="str">
            <v>I2</v>
          </cell>
          <cell r="C870" t="str">
            <v>ACERO 60.000 PSI</v>
          </cell>
          <cell r="D870" t="str">
            <v>Insumo</v>
          </cell>
          <cell r="E870" t="str">
            <v>KG</v>
          </cell>
          <cell r="F870">
            <v>1.17</v>
          </cell>
          <cell r="G870">
            <v>4214</v>
          </cell>
          <cell r="H870">
            <v>4930</v>
          </cell>
        </row>
        <row r="871">
          <cell r="A871" t="str">
            <v>033.158</v>
          </cell>
          <cell r="B871" t="str">
            <v>I3</v>
          </cell>
          <cell r="C871" t="str">
            <v>ALAMBRE NEGRO NO. 18</v>
          </cell>
          <cell r="D871" t="str">
            <v>Insumo</v>
          </cell>
          <cell r="E871" t="str">
            <v>KG</v>
          </cell>
          <cell r="F871">
            <v>0.03</v>
          </cell>
          <cell r="G871">
            <v>4323</v>
          </cell>
          <cell r="H871">
            <v>130</v>
          </cell>
        </row>
        <row r="873">
          <cell r="A873" t="str">
            <v>005.086</v>
          </cell>
          <cell r="B873" t="str">
            <v>-</v>
          </cell>
          <cell r="C873" t="str">
            <v>SUMINISTRO TRANSPORTE E INSTALACION MURO EN CONCRETO 21 MPA, NO INCLUYE REFUERZO</v>
          </cell>
          <cell r="D873" t="str">
            <v>Actividad</v>
          </cell>
          <cell r="E873" t="str">
            <v>M3</v>
          </cell>
          <cell r="H873">
            <v>569680</v>
          </cell>
        </row>
        <row r="874">
          <cell r="A874" t="str">
            <v>005.086</v>
          </cell>
          <cell r="B874" t="str">
            <v>AB5</v>
          </cell>
          <cell r="C874" t="str">
            <v>CONCRETO 3000 psi - 21 Mpa</v>
          </cell>
          <cell r="D874" t="str">
            <v>Analisis</v>
          </cell>
          <cell r="E874" t="str">
            <v>M3</v>
          </cell>
          <cell r="F874">
            <v>1.05</v>
          </cell>
          <cell r="G874">
            <v>421155</v>
          </cell>
          <cell r="H874">
            <v>442213</v>
          </cell>
        </row>
        <row r="875">
          <cell r="A875" t="str">
            <v>005.086</v>
          </cell>
          <cell r="B875" t="str">
            <v>C36</v>
          </cell>
          <cell r="C875" t="str">
            <v>CUADRILLA AA TIPO 6 (1 OFICIAL + 6 AYUDANTE) (Albañileria)</v>
          </cell>
          <cell r="D875" t="str">
            <v>Cuadrilla</v>
          </cell>
          <cell r="E875" t="str">
            <v>HR</v>
          </cell>
          <cell r="F875">
            <v>2.5</v>
          </cell>
          <cell r="G875">
            <v>48852</v>
          </cell>
          <cell r="H875">
            <v>122130</v>
          </cell>
        </row>
        <row r="876">
          <cell r="A876" t="str">
            <v>005.086</v>
          </cell>
          <cell r="B876" t="str">
            <v>H2</v>
          </cell>
          <cell r="C876" t="str">
            <v>EQUIPO BASICO (HERRAMIENTA MENOR)</v>
          </cell>
          <cell r="D876" t="str">
            <v>Herramienta</v>
          </cell>
          <cell r="E876" t="str">
            <v>UND</v>
          </cell>
          <cell r="F876">
            <v>2</v>
          </cell>
          <cell r="G876">
            <v>2536</v>
          </cell>
          <cell r="H876">
            <v>5072</v>
          </cell>
        </row>
        <row r="877">
          <cell r="A877" t="str">
            <v>005.086</v>
          </cell>
          <cell r="B877" t="str">
            <v>I1565</v>
          </cell>
          <cell r="C877" t="str">
            <v>ACARREO INTERNO</v>
          </cell>
          <cell r="D877" t="str">
            <v>Insumo</v>
          </cell>
          <cell r="E877" t="str">
            <v>UND</v>
          </cell>
          <cell r="F877">
            <v>0.2</v>
          </cell>
          <cell r="G877">
            <v>1327</v>
          </cell>
          <cell r="H877">
            <v>265</v>
          </cell>
        </row>
        <row r="879">
          <cell r="A879" t="str">
            <v>003.057</v>
          </cell>
          <cell r="B879" t="str">
            <v>-</v>
          </cell>
          <cell r="C879" t="str">
            <v xml:space="preserve">SUMINISTRO, TRANSPORTE E INSTALACION Tubo Drenaje Corrugado de 4" </v>
          </cell>
          <cell r="D879" t="str">
            <v>Actividad</v>
          </cell>
          <cell r="E879" t="str">
            <v>ML</v>
          </cell>
          <cell r="H879">
            <v>31156</v>
          </cell>
        </row>
        <row r="880">
          <cell r="A880" t="str">
            <v>003.057</v>
          </cell>
          <cell r="B880" t="str">
            <v>C1</v>
          </cell>
          <cell r="C880" t="str">
            <v>CUADRILLA AA TIPO 1 (1 OFICIAL + 1 AYUDANTE) (Albañileria)</v>
          </cell>
          <cell r="D880" t="str">
            <v>Cuadrilla</v>
          </cell>
          <cell r="E880" t="str">
            <v>HR</v>
          </cell>
          <cell r="F880">
            <v>3.4000000000000002E-2</v>
          </cell>
          <cell r="G880">
            <v>16712</v>
          </cell>
          <cell r="H880">
            <v>568</v>
          </cell>
        </row>
        <row r="881">
          <cell r="A881" t="str">
            <v>003.057</v>
          </cell>
          <cell r="B881" t="str">
            <v>E12</v>
          </cell>
          <cell r="C881" t="str">
            <v>EQUIPO DE TRANSPORTE</v>
          </cell>
          <cell r="D881" t="str">
            <v>Equipos</v>
          </cell>
          <cell r="E881" t="str">
            <v>DIA</v>
          </cell>
          <cell r="F881">
            <v>1E-3</v>
          </cell>
          <cell r="G881">
            <v>131205</v>
          </cell>
          <cell r="H881">
            <v>131</v>
          </cell>
        </row>
        <row r="882">
          <cell r="A882" t="str">
            <v>003.057</v>
          </cell>
          <cell r="B882" t="str">
            <v>I1565</v>
          </cell>
          <cell r="C882" t="str">
            <v>ACARREO INTERNO</v>
          </cell>
          <cell r="D882" t="str">
            <v>Insumo</v>
          </cell>
          <cell r="E882" t="str">
            <v>UND</v>
          </cell>
          <cell r="F882">
            <v>3.0000000000000001E-3</v>
          </cell>
          <cell r="G882">
            <v>1327</v>
          </cell>
          <cell r="H882">
            <v>4</v>
          </cell>
        </row>
        <row r="883">
          <cell r="A883" t="str">
            <v>003.057</v>
          </cell>
          <cell r="B883" t="str">
            <v>I731</v>
          </cell>
          <cell r="C883" t="str">
            <v>TUBO DRENAJE  CORRUGADA PVC 100 MM ( 4") SIN FILTRO. TRAMOS DE 5 M. CON UNIÓN.</v>
          </cell>
          <cell r="D883" t="str">
            <v>Insumo</v>
          </cell>
          <cell r="E883" t="str">
            <v>M</v>
          </cell>
          <cell r="F883">
            <v>1.01</v>
          </cell>
          <cell r="G883">
            <v>30151</v>
          </cell>
          <cell r="H883">
            <v>30453</v>
          </cell>
        </row>
        <row r="885">
          <cell r="A885" t="str">
            <v>033.139</v>
          </cell>
          <cell r="B885" t="str">
            <v>-</v>
          </cell>
          <cell r="C885" t="str">
            <v>SUMINISTRO, TRANSPORTE E INSTALACION ZANJA COLECTORA EN CONCRETO DE 3000 PSI PRODUCIDO EN OBRA</v>
          </cell>
          <cell r="D885" t="str">
            <v>Actividad</v>
          </cell>
          <cell r="E885" t="str">
            <v>M3</v>
          </cell>
          <cell r="H885">
            <v>693005</v>
          </cell>
        </row>
        <row r="886">
          <cell r="A886" t="str">
            <v>033.139</v>
          </cell>
          <cell r="B886" t="str">
            <v>AB5</v>
          </cell>
          <cell r="C886" t="str">
            <v>CONCRETO 3000 psi - 21 Mpa</v>
          </cell>
          <cell r="D886" t="str">
            <v>Analisis</v>
          </cell>
          <cell r="E886" t="str">
            <v>M3</v>
          </cell>
          <cell r="F886">
            <v>1.05</v>
          </cell>
          <cell r="G886">
            <v>421155</v>
          </cell>
          <cell r="H886">
            <v>442213</v>
          </cell>
        </row>
        <row r="887">
          <cell r="A887" t="str">
            <v>033.139</v>
          </cell>
          <cell r="B887" t="str">
            <v>C36</v>
          </cell>
          <cell r="C887" t="str">
            <v>CUADRILLA AA TIPO 6 (1 OFICIAL + 6 AYUDANTE) (Albañileria)</v>
          </cell>
          <cell r="D887" t="str">
            <v>Cuadrilla</v>
          </cell>
          <cell r="E887" t="str">
            <v>HR</v>
          </cell>
          <cell r="F887">
            <v>3</v>
          </cell>
          <cell r="G887">
            <v>48852</v>
          </cell>
          <cell r="H887">
            <v>146556</v>
          </cell>
        </row>
        <row r="888">
          <cell r="A888" t="str">
            <v>033.139</v>
          </cell>
          <cell r="B888" t="str">
            <v>E12</v>
          </cell>
          <cell r="C888" t="str">
            <v>EQUIPO DE TRANSPORTE</v>
          </cell>
          <cell r="D888" t="str">
            <v>Equipos</v>
          </cell>
          <cell r="E888" t="str">
            <v>DIA</v>
          </cell>
          <cell r="F888">
            <v>7.7670000000000003E-2</v>
          </cell>
          <cell r="G888">
            <v>131205</v>
          </cell>
          <cell r="H888">
            <v>10191</v>
          </cell>
        </row>
        <row r="889">
          <cell r="A889" t="str">
            <v>033.139</v>
          </cell>
          <cell r="B889" t="str">
            <v>E21</v>
          </cell>
          <cell r="C889" t="str">
            <v>VIBRADOR A GASOLINA</v>
          </cell>
          <cell r="D889" t="str">
            <v>Equipos</v>
          </cell>
          <cell r="E889" t="str">
            <v>DIA</v>
          </cell>
          <cell r="F889">
            <v>0.1</v>
          </cell>
          <cell r="G889">
            <v>51948</v>
          </cell>
          <cell r="H889">
            <v>5195</v>
          </cell>
        </row>
        <row r="890">
          <cell r="A890" t="str">
            <v>033.139</v>
          </cell>
          <cell r="B890" t="str">
            <v>H2</v>
          </cell>
          <cell r="C890" t="str">
            <v>EQUIPO BASICO (HERRAMIENTA MENOR)</v>
          </cell>
          <cell r="D890" t="str">
            <v>Herramienta</v>
          </cell>
          <cell r="E890" t="str">
            <v>UND</v>
          </cell>
          <cell r="F890">
            <v>3</v>
          </cell>
          <cell r="G890">
            <v>2536</v>
          </cell>
          <cell r="H890">
            <v>7608</v>
          </cell>
        </row>
        <row r="891">
          <cell r="A891" t="str">
            <v>033.139</v>
          </cell>
          <cell r="B891" t="str">
            <v>I1565</v>
          </cell>
          <cell r="C891" t="str">
            <v>ACARREO INTERNO</v>
          </cell>
          <cell r="D891" t="str">
            <v>Insumo</v>
          </cell>
          <cell r="E891" t="str">
            <v>UND</v>
          </cell>
          <cell r="F891">
            <v>8.1</v>
          </cell>
          <cell r="G891">
            <v>1327</v>
          </cell>
          <cell r="H891">
            <v>10749</v>
          </cell>
        </row>
        <row r="892">
          <cell r="A892" t="str">
            <v>033.139</v>
          </cell>
          <cell r="B892" t="str">
            <v>I425</v>
          </cell>
          <cell r="C892" t="str">
            <v>PUNTILLA CON CABEZA 2"</v>
          </cell>
          <cell r="D892" t="str">
            <v>Insumo</v>
          </cell>
          <cell r="E892" t="str">
            <v>LB</v>
          </cell>
          <cell r="F892">
            <v>2</v>
          </cell>
          <cell r="G892">
            <v>3585</v>
          </cell>
          <cell r="H892">
            <v>7170</v>
          </cell>
        </row>
        <row r="893">
          <cell r="A893" t="str">
            <v>033.139</v>
          </cell>
          <cell r="B893" t="str">
            <v>I987</v>
          </cell>
          <cell r="C893" t="str">
            <v>VARILLÓN DE 0,02 X 0,05 X 2,80</v>
          </cell>
          <cell r="D893" t="str">
            <v>Insumo</v>
          </cell>
          <cell r="E893" t="str">
            <v>UND</v>
          </cell>
          <cell r="F893">
            <v>17</v>
          </cell>
          <cell r="G893">
            <v>2321</v>
          </cell>
          <cell r="H893">
            <v>39457</v>
          </cell>
        </row>
        <row r="894">
          <cell r="A894" t="str">
            <v>033.139</v>
          </cell>
          <cell r="B894" t="str">
            <v>I991</v>
          </cell>
          <cell r="C894" t="str">
            <v>CUARTON 2"X4"X3M</v>
          </cell>
          <cell r="D894" t="str">
            <v>Insumo</v>
          </cell>
          <cell r="E894" t="str">
            <v>UND</v>
          </cell>
          <cell r="F894">
            <v>2.4</v>
          </cell>
          <cell r="G894">
            <v>9944</v>
          </cell>
          <cell r="H894">
            <v>23866</v>
          </cell>
        </row>
        <row r="896">
          <cell r="A896" t="str">
            <v>027.009</v>
          </cell>
          <cell r="B896" t="str">
            <v>-</v>
          </cell>
          <cell r="C896" t="str">
            <v>SUMINISTRO, TRANSPORTE E INSTALACION CANALES CON TAPA EN CONCRETO DE 3000 PSI PRODUCIDO EN OBRA</v>
          </cell>
          <cell r="D896" t="str">
            <v>Actividad</v>
          </cell>
          <cell r="E896" t="str">
            <v>M3</v>
          </cell>
          <cell r="H896">
            <v>672450</v>
          </cell>
        </row>
        <row r="897">
          <cell r="A897" t="str">
            <v>027.009</v>
          </cell>
          <cell r="B897" t="str">
            <v>AB5</v>
          </cell>
          <cell r="C897" t="str">
            <v>CONCRETO 3000 psi - 21 Mpa</v>
          </cell>
          <cell r="D897" t="str">
            <v>Analisis</v>
          </cell>
          <cell r="E897" t="str">
            <v>M3</v>
          </cell>
          <cell r="F897">
            <v>1.05</v>
          </cell>
          <cell r="G897">
            <v>421155</v>
          </cell>
          <cell r="H897">
            <v>442213</v>
          </cell>
        </row>
        <row r="898">
          <cell r="A898" t="str">
            <v>027.009</v>
          </cell>
          <cell r="B898" t="str">
            <v>C36</v>
          </cell>
          <cell r="C898" t="str">
            <v>CUADRILLA AA TIPO 6 (1 OFICIAL + 6 AYUDANTE) (Albañileria)</v>
          </cell>
          <cell r="D898" t="str">
            <v>Cuadrilla</v>
          </cell>
          <cell r="E898" t="str">
            <v>HR</v>
          </cell>
          <cell r="F898">
            <v>2.6</v>
          </cell>
          <cell r="G898">
            <v>48852</v>
          </cell>
          <cell r="H898">
            <v>127015</v>
          </cell>
        </row>
        <row r="899">
          <cell r="A899" t="str">
            <v>027.009</v>
          </cell>
          <cell r="B899" t="str">
            <v>E12</v>
          </cell>
          <cell r="C899" t="str">
            <v>EQUIPO DE TRANSPORTE</v>
          </cell>
          <cell r="D899" t="str">
            <v>Equipos</v>
          </cell>
          <cell r="E899" t="str">
            <v>DIA</v>
          </cell>
          <cell r="F899">
            <v>7.7670000000000003E-2</v>
          </cell>
          <cell r="G899">
            <v>131205</v>
          </cell>
          <cell r="H899">
            <v>10191</v>
          </cell>
        </row>
        <row r="900">
          <cell r="A900" t="str">
            <v>027.009</v>
          </cell>
          <cell r="B900" t="str">
            <v>E21</v>
          </cell>
          <cell r="C900" t="str">
            <v>VIBRADOR A GASOLINA</v>
          </cell>
          <cell r="D900" t="str">
            <v>Equipos</v>
          </cell>
          <cell r="E900" t="str">
            <v>DIA</v>
          </cell>
          <cell r="F900">
            <v>0.1</v>
          </cell>
          <cell r="G900">
            <v>51948</v>
          </cell>
          <cell r="H900">
            <v>5195</v>
          </cell>
        </row>
        <row r="901">
          <cell r="A901" t="str">
            <v>027.009</v>
          </cell>
          <cell r="B901" t="str">
            <v>H2</v>
          </cell>
          <cell r="C901" t="str">
            <v>EQUIPO BASICO (HERRAMIENTA MENOR)</v>
          </cell>
          <cell r="D901" t="str">
            <v>Herramienta</v>
          </cell>
          <cell r="E901" t="str">
            <v>UND</v>
          </cell>
          <cell r="F901">
            <v>2.6</v>
          </cell>
          <cell r="G901">
            <v>2536</v>
          </cell>
          <cell r="H901">
            <v>6594</v>
          </cell>
        </row>
        <row r="902">
          <cell r="A902" t="str">
            <v>027.009</v>
          </cell>
          <cell r="B902" t="str">
            <v>I1565</v>
          </cell>
          <cell r="C902" t="str">
            <v>ACARREO INTERNO</v>
          </cell>
          <cell r="D902" t="str">
            <v>Insumo</v>
          </cell>
          <cell r="E902" t="str">
            <v>UND</v>
          </cell>
          <cell r="F902">
            <v>8.1</v>
          </cell>
          <cell r="G902">
            <v>1327</v>
          </cell>
          <cell r="H902">
            <v>10749</v>
          </cell>
        </row>
        <row r="903">
          <cell r="A903" t="str">
            <v>027.009</v>
          </cell>
          <cell r="B903" t="str">
            <v>I425</v>
          </cell>
          <cell r="C903" t="str">
            <v>PUNTILLA CON CABEZA 2"</v>
          </cell>
          <cell r="D903" t="str">
            <v>Insumo</v>
          </cell>
          <cell r="E903" t="str">
            <v>LB</v>
          </cell>
          <cell r="F903">
            <v>2</v>
          </cell>
          <cell r="G903">
            <v>3585</v>
          </cell>
          <cell r="H903">
            <v>7170</v>
          </cell>
        </row>
        <row r="904">
          <cell r="A904" t="str">
            <v>027.009</v>
          </cell>
          <cell r="B904" t="str">
            <v>I987</v>
          </cell>
          <cell r="C904" t="str">
            <v>VARILLÓN DE 0,02 X 0,05 X 2,80</v>
          </cell>
          <cell r="D904" t="str">
            <v>Insumo</v>
          </cell>
          <cell r="E904" t="str">
            <v>UND</v>
          </cell>
          <cell r="F904">
            <v>17</v>
          </cell>
          <cell r="G904">
            <v>2321</v>
          </cell>
          <cell r="H904">
            <v>39457</v>
          </cell>
        </row>
        <row r="905">
          <cell r="A905" t="str">
            <v>027.009</v>
          </cell>
          <cell r="B905" t="str">
            <v>I991</v>
          </cell>
          <cell r="C905" t="str">
            <v>CUARTON 2"X4"X3M</v>
          </cell>
          <cell r="D905" t="str">
            <v>Insumo</v>
          </cell>
          <cell r="E905" t="str">
            <v>UND</v>
          </cell>
          <cell r="F905">
            <v>2.4</v>
          </cell>
          <cell r="G905">
            <v>9944</v>
          </cell>
          <cell r="H905">
            <v>23866</v>
          </cell>
        </row>
        <row r="907">
          <cell r="A907" t="str">
            <v>005.009</v>
          </cell>
          <cell r="B907" t="str">
            <v>-</v>
          </cell>
          <cell r="C907" t="str">
            <v>SUMINISTRO, TRANSPORTE E INSTALACION MALLA ELECTROSOLDADA M-221 Q-6 F 6.5mm c/.15m en ambos sentidos (Incluye alambre negro, colocación y traslapo).</v>
          </cell>
          <cell r="D907" t="str">
            <v>Actividad</v>
          </cell>
          <cell r="E907" t="str">
            <v>KG</v>
          </cell>
          <cell r="H907">
            <v>4739</v>
          </cell>
        </row>
        <row r="908">
          <cell r="A908" t="str">
            <v>005.009</v>
          </cell>
          <cell r="B908" t="str">
            <v>C8</v>
          </cell>
          <cell r="C908" t="str">
            <v>CUADRILLA AA TIPO 2 (1 OFICIAL + 2 AYUDANTE) (Albañileria)</v>
          </cell>
          <cell r="D908" t="str">
            <v>Cuadrilla</v>
          </cell>
          <cell r="E908" t="str">
            <v>HR</v>
          </cell>
          <cell r="F908">
            <v>0.05</v>
          </cell>
          <cell r="G908">
            <v>23140</v>
          </cell>
          <cell r="H908">
            <v>1157</v>
          </cell>
        </row>
        <row r="909">
          <cell r="A909" t="str">
            <v>005.009</v>
          </cell>
          <cell r="B909" t="str">
            <v>E12</v>
          </cell>
          <cell r="C909" t="str">
            <v>EQUIPO DE TRANSPORTE</v>
          </cell>
          <cell r="D909" t="str">
            <v>Equipos</v>
          </cell>
          <cell r="E909" t="str">
            <v>DIA</v>
          </cell>
          <cell r="F909">
            <v>5.0000000000000001E-4</v>
          </cell>
          <cell r="G909">
            <v>131205</v>
          </cell>
          <cell r="H909">
            <v>66</v>
          </cell>
        </row>
        <row r="910">
          <cell r="A910" t="str">
            <v>005.009</v>
          </cell>
          <cell r="B910" t="str">
            <v>I11</v>
          </cell>
          <cell r="C910" t="str">
            <v>MALLA ELECTROSOLDADA M-221  Q-6  6.5 MM  15 X 15 CM.</v>
          </cell>
          <cell r="D910" t="str">
            <v>Insumo</v>
          </cell>
          <cell r="E910" t="str">
            <v>KG</v>
          </cell>
          <cell r="F910">
            <v>1.05</v>
          </cell>
          <cell r="G910">
            <v>3154</v>
          </cell>
          <cell r="H910">
            <v>3312</v>
          </cell>
        </row>
        <row r="911">
          <cell r="A911" t="str">
            <v>005.009</v>
          </cell>
          <cell r="B911" t="str">
            <v>I1565</v>
          </cell>
          <cell r="C911" t="str">
            <v>ACARREO INTERNO</v>
          </cell>
          <cell r="D911" t="str">
            <v>Insumo</v>
          </cell>
          <cell r="E911" t="str">
            <v>UND</v>
          </cell>
          <cell r="F911">
            <v>5.2999999999999999E-2</v>
          </cell>
          <cell r="G911">
            <v>1327</v>
          </cell>
          <cell r="H911">
            <v>70</v>
          </cell>
        </row>
        <row r="912">
          <cell r="A912" t="str">
            <v>005.009</v>
          </cell>
          <cell r="B912" t="str">
            <v>I3</v>
          </cell>
          <cell r="C912" t="str">
            <v>ALAMBRE NEGRO NO. 18</v>
          </cell>
          <cell r="D912" t="str">
            <v>Insumo</v>
          </cell>
          <cell r="E912" t="str">
            <v>KG</v>
          </cell>
          <cell r="F912">
            <v>3.1E-2</v>
          </cell>
          <cell r="G912">
            <v>4323</v>
          </cell>
          <cell r="H912">
            <v>134</v>
          </cell>
        </row>
        <row r="914">
          <cell r="A914" t="str">
            <v>027.022</v>
          </cell>
          <cell r="B914" t="str">
            <v>-</v>
          </cell>
          <cell r="C914" t="str">
            <v>SUMINISTRO, TRANSPORTE E INSTALACION PERFORACION PARA DREN HORIZONTAL EN TIERRA CON EQUIPO MECANICO</v>
          </cell>
          <cell r="D914" t="str">
            <v>Actividad</v>
          </cell>
          <cell r="E914" t="str">
            <v>ML</v>
          </cell>
          <cell r="H914">
            <v>35145</v>
          </cell>
        </row>
        <row r="915">
          <cell r="A915" t="str">
            <v>027.022</v>
          </cell>
          <cell r="B915" t="str">
            <v>C8</v>
          </cell>
          <cell r="C915" t="str">
            <v>CUADRILLA AA TIPO 2 (1 OFICIAL + 2 AYUDANTE) (Albañileria)</v>
          </cell>
          <cell r="D915" t="str">
            <v>Cuadrilla</v>
          </cell>
          <cell r="E915" t="str">
            <v>HR</v>
          </cell>
          <cell r="F915">
            <v>0.4</v>
          </cell>
          <cell r="G915">
            <v>23140</v>
          </cell>
          <cell r="H915">
            <v>9256</v>
          </cell>
        </row>
        <row r="916">
          <cell r="A916" t="str">
            <v>027.022</v>
          </cell>
          <cell r="B916" t="str">
            <v>E12</v>
          </cell>
          <cell r="C916" t="str">
            <v>EQUIPO DE TRANSPORTE</v>
          </cell>
          <cell r="D916" t="str">
            <v>Equipos</v>
          </cell>
          <cell r="E916" t="str">
            <v>DIA</v>
          </cell>
          <cell r="F916">
            <v>8.9999999999999993E-3</v>
          </cell>
          <cell r="G916">
            <v>131205</v>
          </cell>
          <cell r="H916">
            <v>1181</v>
          </cell>
        </row>
        <row r="917">
          <cell r="A917" t="str">
            <v>027.022</v>
          </cell>
          <cell r="B917" t="str">
            <v>E77</v>
          </cell>
          <cell r="C917" t="str">
            <v>EQUIPO DE PERFORACION 6"</v>
          </cell>
          <cell r="D917" t="str">
            <v>Equipos</v>
          </cell>
          <cell r="E917" t="str">
            <v>HR</v>
          </cell>
          <cell r="F917">
            <v>0.35</v>
          </cell>
          <cell r="G917">
            <v>65800</v>
          </cell>
          <cell r="H917">
            <v>23030</v>
          </cell>
        </row>
        <row r="918">
          <cell r="A918" t="str">
            <v>027.022</v>
          </cell>
          <cell r="B918" t="str">
            <v>H2</v>
          </cell>
          <cell r="C918" t="str">
            <v>EQUIPO BASICO (HERRAMIENTA MENOR)</v>
          </cell>
          <cell r="D918" t="str">
            <v>Herramienta</v>
          </cell>
          <cell r="E918" t="str">
            <v>UND</v>
          </cell>
          <cell r="F918">
            <v>0.4</v>
          </cell>
          <cell r="G918">
            <v>2536</v>
          </cell>
          <cell r="H918">
            <v>1014</v>
          </cell>
        </row>
        <row r="919">
          <cell r="A919" t="str">
            <v>027.022</v>
          </cell>
          <cell r="B919" t="str">
            <v>I1565</v>
          </cell>
          <cell r="C919" t="str">
            <v>ACARREO INTERNO</v>
          </cell>
          <cell r="D919" t="str">
            <v>Insumo</v>
          </cell>
          <cell r="E919" t="str">
            <v>UND</v>
          </cell>
          <cell r="F919">
            <v>0.5</v>
          </cell>
          <cell r="G919">
            <v>1327</v>
          </cell>
          <cell r="H919">
            <v>664</v>
          </cell>
        </row>
        <row r="921">
          <cell r="A921" t="str">
            <v>021.006</v>
          </cell>
          <cell r="B921" t="str">
            <v>-</v>
          </cell>
          <cell r="C921" t="str">
            <v>SUMINISTRO, TRANSPORTE E INSTALACIÓN DE EMPRADIZACIÓN DE TALUDES Y ZONAS VERDES</v>
          </cell>
          <cell r="D921" t="str">
            <v>Actividad</v>
          </cell>
          <cell r="E921" t="str">
            <v>M2</v>
          </cell>
          <cell r="H921">
            <v>4996</v>
          </cell>
        </row>
        <row r="922">
          <cell r="A922" t="str">
            <v>021.006</v>
          </cell>
          <cell r="B922" t="str">
            <v>C1</v>
          </cell>
          <cell r="C922" t="str">
            <v>CUADRILLA AA TIPO 1 (1 OFICIAL + 1 AYUDANTE) (Albañileria)</v>
          </cell>
          <cell r="D922" t="str">
            <v>Cuadrilla</v>
          </cell>
          <cell r="E922" t="str">
            <v>HR</v>
          </cell>
          <cell r="F922">
            <v>0.1</v>
          </cell>
          <cell r="G922">
            <v>16712</v>
          </cell>
          <cell r="H922">
            <v>1671</v>
          </cell>
        </row>
        <row r="923">
          <cell r="A923" t="str">
            <v>021.006</v>
          </cell>
          <cell r="B923" t="str">
            <v>H2</v>
          </cell>
          <cell r="C923" t="str">
            <v>EQUIPO BASICO (HERRAMIENTA MENOR)</v>
          </cell>
          <cell r="D923" t="str">
            <v>Herramienta</v>
          </cell>
          <cell r="E923" t="str">
            <v>UND</v>
          </cell>
          <cell r="F923">
            <v>0.05</v>
          </cell>
          <cell r="G923">
            <v>2536</v>
          </cell>
          <cell r="H923">
            <v>127</v>
          </cell>
        </row>
        <row r="924">
          <cell r="A924" t="str">
            <v>021.006</v>
          </cell>
          <cell r="B924" t="str">
            <v>I1565</v>
          </cell>
          <cell r="C924" t="str">
            <v>ACARREO INTERNO</v>
          </cell>
          <cell r="D924" t="str">
            <v>Insumo</v>
          </cell>
          <cell r="E924" t="str">
            <v>UND</v>
          </cell>
          <cell r="F924">
            <v>0.11700000000000001</v>
          </cell>
          <cell r="G924">
            <v>1327</v>
          </cell>
          <cell r="H924">
            <v>155</v>
          </cell>
        </row>
        <row r="925">
          <cell r="A925" t="str">
            <v>021.006</v>
          </cell>
          <cell r="B925" t="str">
            <v>I372</v>
          </cell>
          <cell r="C925" t="str">
            <v xml:space="preserve">CESPEDON </v>
          </cell>
          <cell r="D925" t="str">
            <v>Insumo</v>
          </cell>
          <cell r="E925" t="str">
            <v>M2</v>
          </cell>
          <cell r="F925">
            <v>0.25</v>
          </cell>
          <cell r="G925">
            <v>5088</v>
          </cell>
          <cell r="H925">
            <v>1272</v>
          </cell>
        </row>
        <row r="926">
          <cell r="A926" t="str">
            <v>021.006</v>
          </cell>
          <cell r="B926" t="str">
            <v>I374</v>
          </cell>
          <cell r="C926" t="str">
            <v>TIERRA NEGRA</v>
          </cell>
          <cell r="D926" t="str">
            <v>Insumo</v>
          </cell>
          <cell r="E926" t="str">
            <v>M3</v>
          </cell>
          <cell r="F926">
            <v>0.02</v>
          </cell>
          <cell r="G926">
            <v>88559</v>
          </cell>
          <cell r="H926">
            <v>1771</v>
          </cell>
        </row>
        <row r="928">
          <cell r="A928" t="str">
            <v>027.033</v>
          </cell>
          <cell r="B928" t="str">
            <v>-</v>
          </cell>
          <cell r="C928" t="str">
            <v>SUMINISTRO, TRANSPORTE E INSTALACION DE PLASTICOS PARA PROTECCIÓN EN TALUDES</v>
          </cell>
          <cell r="D928" t="str">
            <v>Actividad</v>
          </cell>
          <cell r="E928" t="str">
            <v>M2</v>
          </cell>
          <cell r="H928">
            <v>4184</v>
          </cell>
        </row>
        <row r="929">
          <cell r="A929" t="str">
            <v>027.033</v>
          </cell>
          <cell r="B929" t="str">
            <v>C8</v>
          </cell>
          <cell r="C929" t="str">
            <v>CUADRILLA AA TIPO 2 (1 OFICIAL + 2 AYUDANTE) (Albañileria)</v>
          </cell>
          <cell r="D929" t="str">
            <v>Cuadrilla</v>
          </cell>
          <cell r="E929" t="str">
            <v>HR</v>
          </cell>
          <cell r="F929">
            <v>0.05</v>
          </cell>
          <cell r="G929">
            <v>23140</v>
          </cell>
          <cell r="H929">
            <v>1157</v>
          </cell>
        </row>
        <row r="930">
          <cell r="A930" t="str">
            <v>027.033</v>
          </cell>
          <cell r="B930" t="str">
            <v>E12</v>
          </cell>
          <cell r="C930" t="str">
            <v>EQUIPO DE TRANSPORTE</v>
          </cell>
          <cell r="D930" t="str">
            <v>Equipos</v>
          </cell>
          <cell r="E930" t="str">
            <v>DIA</v>
          </cell>
          <cell r="F930">
            <v>0</v>
          </cell>
          <cell r="G930">
            <v>131205</v>
          </cell>
          <cell r="H930">
            <v>0</v>
          </cell>
        </row>
        <row r="931">
          <cell r="A931" t="str">
            <v>027.033</v>
          </cell>
          <cell r="B931" t="str">
            <v>H2</v>
          </cell>
          <cell r="C931" t="str">
            <v>EQUIPO BASICO (HERRAMIENTA MENOR)</v>
          </cell>
          <cell r="D931" t="str">
            <v>Herramienta</v>
          </cell>
          <cell r="E931" t="str">
            <v>UND</v>
          </cell>
          <cell r="F931">
            <v>0.05</v>
          </cell>
          <cell r="G931">
            <v>2536</v>
          </cell>
          <cell r="H931">
            <v>127</v>
          </cell>
        </row>
        <row r="932">
          <cell r="A932" t="str">
            <v>027.033</v>
          </cell>
          <cell r="B932" t="str">
            <v>I1565</v>
          </cell>
          <cell r="C932" t="str">
            <v>ACARREO INTERNO</v>
          </cell>
          <cell r="D932" t="str">
            <v>Insumo</v>
          </cell>
          <cell r="E932" t="str">
            <v>UND</v>
          </cell>
          <cell r="F932">
            <v>0.1</v>
          </cell>
          <cell r="G932">
            <v>1327</v>
          </cell>
          <cell r="H932">
            <v>133</v>
          </cell>
        </row>
        <row r="933">
          <cell r="A933" t="str">
            <v>027.033</v>
          </cell>
          <cell r="B933" t="str">
            <v>I492</v>
          </cell>
          <cell r="C933" t="str">
            <v>ESTACAS PARA ANCLAJE</v>
          </cell>
          <cell r="D933" t="str">
            <v>Insumo</v>
          </cell>
          <cell r="E933" t="str">
            <v>UND</v>
          </cell>
          <cell r="F933">
            <v>4</v>
          </cell>
          <cell r="G933">
            <v>140</v>
          </cell>
          <cell r="H933">
            <v>560</v>
          </cell>
        </row>
        <row r="934">
          <cell r="A934" t="str">
            <v>027.033</v>
          </cell>
          <cell r="B934" t="str">
            <v>I494</v>
          </cell>
          <cell r="C934" t="str">
            <v>PLASTICO DE PROTECCION</v>
          </cell>
          <cell r="D934" t="str">
            <v>Insumo</v>
          </cell>
          <cell r="E934" t="str">
            <v>M2</v>
          </cell>
          <cell r="F934">
            <v>1</v>
          </cell>
          <cell r="G934">
            <v>2207</v>
          </cell>
          <cell r="H934">
            <v>2207</v>
          </cell>
        </row>
        <row r="936">
          <cell r="A936" t="str">
            <v>006</v>
          </cell>
          <cell r="C936" t="str">
            <v>CERRAMIENTO</v>
          </cell>
          <cell r="D936" t="str">
            <v>Capitulo</v>
          </cell>
        </row>
        <row r="938">
          <cell r="A938" t="str">
            <v>028.004</v>
          </cell>
          <cell r="B938" t="str">
            <v>-</v>
          </cell>
          <cell r="C938" t="str">
            <v xml:space="preserve">DESMONTE CERRAMIENTO MALLA </v>
          </cell>
          <cell r="D938" t="str">
            <v>Actividad</v>
          </cell>
          <cell r="E938" t="str">
            <v>M2</v>
          </cell>
          <cell r="H938">
            <v>9114</v>
          </cell>
        </row>
        <row r="939">
          <cell r="A939" t="str">
            <v>028.004</v>
          </cell>
          <cell r="B939" t="str">
            <v>C8</v>
          </cell>
          <cell r="C939" t="str">
            <v>CUADRILLA AA TIPO 2 (1 OFICIAL + 2 AYUDANTE) (Albañileria)</v>
          </cell>
          <cell r="D939" t="str">
            <v>Cuadrilla</v>
          </cell>
          <cell r="E939" t="str">
            <v>HR</v>
          </cell>
          <cell r="F939">
            <v>0.2</v>
          </cell>
          <cell r="G939">
            <v>23140</v>
          </cell>
          <cell r="H939">
            <v>4628</v>
          </cell>
        </row>
        <row r="940">
          <cell r="A940" t="str">
            <v>028.004</v>
          </cell>
          <cell r="B940" t="str">
            <v>E24</v>
          </cell>
          <cell r="C940" t="str">
            <v>VOLQUETA  6M3 (CARGUE A MANO)</v>
          </cell>
          <cell r="D940" t="str">
            <v>Equipos</v>
          </cell>
          <cell r="E940" t="str">
            <v>VJE</v>
          </cell>
          <cell r="F940">
            <v>0.03</v>
          </cell>
          <cell r="G940">
            <v>118086</v>
          </cell>
          <cell r="H940">
            <v>3543</v>
          </cell>
        </row>
        <row r="941">
          <cell r="A941" t="str">
            <v>028.004</v>
          </cell>
          <cell r="B941" t="str">
            <v>H2</v>
          </cell>
          <cell r="C941" t="str">
            <v>EQUIPO BASICO (HERRAMIENTA MENOR)</v>
          </cell>
          <cell r="D941" t="str">
            <v>Herramienta</v>
          </cell>
          <cell r="E941" t="str">
            <v>UND</v>
          </cell>
          <cell r="F941">
            <v>0.2</v>
          </cell>
          <cell r="G941">
            <v>2536</v>
          </cell>
          <cell r="H941">
            <v>507</v>
          </cell>
        </row>
        <row r="942">
          <cell r="A942" t="str">
            <v>028.004</v>
          </cell>
          <cell r="B942" t="str">
            <v>I1565</v>
          </cell>
          <cell r="C942" t="str">
            <v>ACARREO INTERNO</v>
          </cell>
          <cell r="D942" t="str">
            <v>Insumo</v>
          </cell>
          <cell r="E942" t="str">
            <v>UND</v>
          </cell>
          <cell r="F942">
            <v>0.32819999999999999</v>
          </cell>
          <cell r="G942">
            <v>1327</v>
          </cell>
          <cell r="H942">
            <v>436</v>
          </cell>
        </row>
        <row r="944">
          <cell r="A944" t="str">
            <v>021.010</v>
          </cell>
          <cell r="B944" t="str">
            <v>-</v>
          </cell>
          <cell r="C944" t="str">
            <v>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SEGÚN DETALLE.</v>
          </cell>
          <cell r="D944" t="str">
            <v>Actividad</v>
          </cell>
          <cell r="E944" t="str">
            <v>ML</v>
          </cell>
          <cell r="H944">
            <v>326150</v>
          </cell>
        </row>
        <row r="945">
          <cell r="A945" t="str">
            <v>021.010</v>
          </cell>
          <cell r="B945" t="str">
            <v>AB5</v>
          </cell>
          <cell r="C945" t="str">
            <v>CONCRETO 3000 psi - 21 Mpa</v>
          </cell>
          <cell r="D945" t="str">
            <v>Analisis</v>
          </cell>
          <cell r="E945" t="str">
            <v>M3</v>
          </cell>
          <cell r="F945">
            <v>2.5000000000000001E-2</v>
          </cell>
          <cell r="G945">
            <v>421155</v>
          </cell>
          <cell r="H945">
            <v>10529</v>
          </cell>
        </row>
        <row r="946">
          <cell r="A946" t="str">
            <v>021.010</v>
          </cell>
          <cell r="B946" t="str">
            <v>C22</v>
          </cell>
          <cell r="C946" t="str">
            <v>CUADRILLA AA TIPO 4 (1 OFICIAL + 4 AYUDANTE) (Albañileria)</v>
          </cell>
          <cell r="D946" t="str">
            <v>Cuadrilla</v>
          </cell>
          <cell r="E946" t="str">
            <v>HR</v>
          </cell>
          <cell r="F946">
            <v>1.5</v>
          </cell>
          <cell r="G946">
            <v>35996</v>
          </cell>
          <cell r="H946">
            <v>53994</v>
          </cell>
        </row>
        <row r="947">
          <cell r="A947" t="str">
            <v>021.010</v>
          </cell>
          <cell r="B947" t="str">
            <v>E12</v>
          </cell>
          <cell r="C947" t="str">
            <v>EQUIPO DE TRANSPORTE</v>
          </cell>
          <cell r="D947" t="str">
            <v>Equipos</v>
          </cell>
          <cell r="E947" t="str">
            <v>DIA</v>
          </cell>
          <cell r="F947">
            <v>3.5999999999999997E-2</v>
          </cell>
          <cell r="G947">
            <v>131205</v>
          </cell>
          <cell r="H947">
            <v>4723</v>
          </cell>
        </row>
        <row r="948">
          <cell r="A948" t="str">
            <v>021.010</v>
          </cell>
          <cell r="B948" t="str">
            <v>H2</v>
          </cell>
          <cell r="C948" t="str">
            <v>EQUIPO BASICO (HERRAMIENTA MENOR)</v>
          </cell>
          <cell r="D948" t="str">
            <v>Herramienta</v>
          </cell>
          <cell r="E948" t="str">
            <v>UND</v>
          </cell>
          <cell r="F948">
            <v>4</v>
          </cell>
          <cell r="G948">
            <v>2536</v>
          </cell>
          <cell r="H948">
            <v>10144</v>
          </cell>
        </row>
        <row r="949">
          <cell r="A949" t="str">
            <v>021.010</v>
          </cell>
          <cell r="B949" t="str">
            <v>I1001</v>
          </cell>
          <cell r="C949" t="str">
            <v>ANTICORROSIVO PREMIUM - TIPO PINTUCO REF. 513 O SIMILAR</v>
          </cell>
          <cell r="D949" t="str">
            <v>Insumo</v>
          </cell>
          <cell r="E949" t="str">
            <v>GAL</v>
          </cell>
          <cell r="F949">
            <v>0.02</v>
          </cell>
          <cell r="G949">
            <v>61233</v>
          </cell>
          <cell r="H949">
            <v>1225</v>
          </cell>
        </row>
        <row r="950">
          <cell r="A950" t="str">
            <v>021.010</v>
          </cell>
          <cell r="B950" t="str">
            <v>I1002</v>
          </cell>
          <cell r="C950" t="str">
            <v>ESMALTE SINTETICO PINTULUX - TIPO PINTUCO REF. SEGÚN COLOR DISEÑO O SIMILAR</v>
          </cell>
          <cell r="D950" t="str">
            <v>Insumo</v>
          </cell>
          <cell r="E950" t="str">
            <v>GAL</v>
          </cell>
          <cell r="F950">
            <v>0.02</v>
          </cell>
          <cell r="G950">
            <v>88789</v>
          </cell>
          <cell r="H950">
            <v>1776</v>
          </cell>
        </row>
        <row r="951">
          <cell r="A951" t="str">
            <v>021.010</v>
          </cell>
          <cell r="B951" t="str">
            <v>I1565</v>
          </cell>
          <cell r="C951" t="str">
            <v>ACARREO INTERNO</v>
          </cell>
          <cell r="D951" t="str">
            <v>Insumo</v>
          </cell>
          <cell r="E951" t="str">
            <v>UND</v>
          </cell>
          <cell r="F951">
            <v>3.4</v>
          </cell>
          <cell r="G951">
            <v>1327</v>
          </cell>
          <cell r="H951">
            <v>4512</v>
          </cell>
        </row>
        <row r="952">
          <cell r="A952" t="str">
            <v>021.010</v>
          </cell>
          <cell r="B952" t="str">
            <v>I161</v>
          </cell>
          <cell r="C952" t="str">
            <v>ANGULO  HIERRO 3/4" X 1/8"</v>
          </cell>
          <cell r="D952" t="str">
            <v>Insumo</v>
          </cell>
          <cell r="E952" t="str">
            <v>M</v>
          </cell>
          <cell r="F952">
            <v>3.3</v>
          </cell>
          <cell r="G952">
            <v>4303</v>
          </cell>
          <cell r="H952">
            <v>14200</v>
          </cell>
        </row>
        <row r="953">
          <cell r="A953" t="str">
            <v>021.010</v>
          </cell>
          <cell r="B953" t="str">
            <v>I169</v>
          </cell>
          <cell r="C953" t="str">
            <v>MALLA ESLABONADA 21/4*21/4 *2 MTS</v>
          </cell>
          <cell r="D953" t="str">
            <v>Insumo</v>
          </cell>
          <cell r="E953" t="str">
            <v>M2</v>
          </cell>
          <cell r="F953">
            <v>2.0499999999999998</v>
          </cell>
          <cell r="G953">
            <v>15061</v>
          </cell>
          <cell r="H953">
            <v>30875</v>
          </cell>
        </row>
        <row r="954">
          <cell r="A954" t="str">
            <v>021.010</v>
          </cell>
          <cell r="B954" t="str">
            <v>I170</v>
          </cell>
          <cell r="C954" t="str">
            <v>CONCERTINA DIAMETRO 18" ESPIRAL ESPACIADO CADA 20 INCLUYE CABLE GALVANIZADO SUPER GX DE 1/8 Y PERROS DE SUJECION 3/16</v>
          </cell>
          <cell r="D954" t="str">
            <v>Insumo</v>
          </cell>
          <cell r="E954" t="str">
            <v>M</v>
          </cell>
          <cell r="F954">
            <v>1.1000000000000001</v>
          </cell>
          <cell r="G954">
            <v>26535</v>
          </cell>
          <cell r="H954">
            <v>29189</v>
          </cell>
        </row>
        <row r="955">
          <cell r="A955" t="str">
            <v>021.010</v>
          </cell>
          <cell r="B955" t="str">
            <v>I435</v>
          </cell>
          <cell r="C955" t="str">
            <v>SOLDADURA ELECTRICA TIPO WESTARCO SUPER E- 6013  DE 1/8 O SIMILAR.</v>
          </cell>
          <cell r="D955" t="str">
            <v>Insumo</v>
          </cell>
          <cell r="E955" t="str">
            <v>KG</v>
          </cell>
          <cell r="F955">
            <v>0.08</v>
          </cell>
          <cell r="G955">
            <v>10755</v>
          </cell>
          <cell r="H955">
            <v>860</v>
          </cell>
        </row>
        <row r="956">
          <cell r="A956" t="str">
            <v>021.010</v>
          </cell>
          <cell r="B956" t="str">
            <v>I680</v>
          </cell>
          <cell r="C956" t="str">
            <v xml:space="preserve">TUBO ACERO AGUA NEGRA PARA CERRAMIENTO  1 1/2" -   - TIPO COLMENA O SIMILAR. </v>
          </cell>
          <cell r="D956" t="str">
            <v>Insumo</v>
          </cell>
          <cell r="E956" t="str">
            <v>M</v>
          </cell>
          <cell r="F956">
            <v>1.5</v>
          </cell>
          <cell r="G956">
            <v>28422</v>
          </cell>
          <cell r="H956">
            <v>42633</v>
          </cell>
        </row>
        <row r="957">
          <cell r="A957" t="str">
            <v>021.010</v>
          </cell>
          <cell r="B957" t="str">
            <v>I684</v>
          </cell>
          <cell r="C957" t="str">
            <v xml:space="preserve">TUBO ACERO AGUA NEGRA PARA CERRAMIENTO  2" -   - TIPO COLMENA O SIMILAR. </v>
          </cell>
          <cell r="D957" t="str">
            <v>Insumo</v>
          </cell>
          <cell r="E957" t="str">
            <v>M</v>
          </cell>
          <cell r="F957">
            <v>3.3</v>
          </cell>
          <cell r="G957">
            <v>36815</v>
          </cell>
          <cell r="H957">
            <v>121490</v>
          </cell>
        </row>
        <row r="959">
          <cell r="A959" t="str">
            <v>007</v>
          </cell>
          <cell r="C959" t="str">
            <v>ZONAS COMUNES</v>
          </cell>
          <cell r="D959" t="str">
            <v>Capitulo</v>
          </cell>
        </row>
        <row r="961">
          <cell r="A961" t="str">
            <v>005.056</v>
          </cell>
          <cell r="B961" t="str">
            <v>-</v>
          </cell>
          <cell r="C961" t="str">
            <v>SUMINISTRO, TRANSPORTE E INSTALACION JUNTA DE DILATACION PARA PLACA CONTRAPISO (Inlcuye sellante)</v>
          </cell>
          <cell r="D961" t="str">
            <v>Actividad</v>
          </cell>
          <cell r="E961" t="str">
            <v>ML</v>
          </cell>
          <cell r="H961">
            <v>11107</v>
          </cell>
        </row>
        <row r="962">
          <cell r="A962" t="str">
            <v>005.056</v>
          </cell>
          <cell r="B962" t="str">
            <v>C8</v>
          </cell>
          <cell r="C962" t="str">
            <v>CUADRILLA AA TIPO 2 (1 OFICIAL + 2 AYUDANTE) (Albañileria)</v>
          </cell>
          <cell r="D962" t="str">
            <v>Cuadrilla</v>
          </cell>
          <cell r="E962" t="str">
            <v>HR</v>
          </cell>
          <cell r="F962">
            <v>0.35</v>
          </cell>
          <cell r="G962">
            <v>23140</v>
          </cell>
          <cell r="H962">
            <v>8099</v>
          </cell>
        </row>
        <row r="963">
          <cell r="A963" t="str">
            <v>005.056</v>
          </cell>
          <cell r="B963" t="str">
            <v>E12</v>
          </cell>
          <cell r="C963" t="str">
            <v>EQUIPO DE TRANSPORTE</v>
          </cell>
          <cell r="D963" t="str">
            <v>Equipos</v>
          </cell>
          <cell r="E963" t="str">
            <v>DIA</v>
          </cell>
          <cell r="F963">
            <v>2.9999999999999997E-4</v>
          </cell>
          <cell r="G963">
            <v>131205</v>
          </cell>
          <cell r="H963">
            <v>39</v>
          </cell>
        </row>
        <row r="964">
          <cell r="A964" t="str">
            <v>005.056</v>
          </cell>
          <cell r="B964" t="str">
            <v>H2</v>
          </cell>
          <cell r="C964" t="str">
            <v>EQUIPO BASICO (HERRAMIENTA MENOR)</v>
          </cell>
          <cell r="D964" t="str">
            <v>Herramienta</v>
          </cell>
          <cell r="E964" t="str">
            <v>UND</v>
          </cell>
          <cell r="F964">
            <v>7.0000000000000001E-3</v>
          </cell>
          <cell r="G964">
            <v>2536</v>
          </cell>
          <cell r="H964">
            <v>18</v>
          </cell>
        </row>
        <row r="965">
          <cell r="A965" t="str">
            <v>005.056</v>
          </cell>
          <cell r="B965" t="str">
            <v>I1565</v>
          </cell>
          <cell r="C965" t="str">
            <v>ACARREO INTERNO</v>
          </cell>
          <cell r="D965" t="str">
            <v>Insumo</v>
          </cell>
          <cell r="E965" t="str">
            <v>UND</v>
          </cell>
          <cell r="F965">
            <v>0.49</v>
          </cell>
          <cell r="G965">
            <v>1327</v>
          </cell>
          <cell r="H965">
            <v>650</v>
          </cell>
        </row>
        <row r="966">
          <cell r="A966" t="str">
            <v>005.056</v>
          </cell>
          <cell r="B966" t="str">
            <v>I432</v>
          </cell>
          <cell r="C966" t="str">
            <v>SIKAFLEX PRO 3 WF TUBO 600 CC O SIMILAR.</v>
          </cell>
          <cell r="D966" t="str">
            <v>Insumo</v>
          </cell>
          <cell r="E966" t="str">
            <v>UND</v>
          </cell>
          <cell r="F966">
            <v>0.03</v>
          </cell>
          <cell r="G966">
            <v>76705</v>
          </cell>
          <cell r="H966">
            <v>2301</v>
          </cell>
        </row>
        <row r="968">
          <cell r="A968" t="str">
            <v>001.066</v>
          </cell>
          <cell r="B968" t="str">
            <v>-</v>
          </cell>
          <cell r="C968" t="str">
            <v>CORTE MECANIZADO DE PAVIMENTO 0,07 MM</v>
          </cell>
          <cell r="D968" t="str">
            <v>Actividad</v>
          </cell>
          <cell r="E968" t="str">
            <v>ML</v>
          </cell>
          <cell r="H968">
            <v>6897</v>
          </cell>
        </row>
        <row r="969">
          <cell r="A969" t="str">
            <v>001.066</v>
          </cell>
          <cell r="B969" t="str">
            <v>C1</v>
          </cell>
          <cell r="C969" t="str">
            <v>CUADRILLA AA TIPO 1 (1 OFICIAL + 1 AYUDANTE) (Albañileria)</v>
          </cell>
          <cell r="D969" t="str">
            <v>Cuadrilla</v>
          </cell>
          <cell r="E969" t="str">
            <v>HR</v>
          </cell>
          <cell r="F969">
            <v>0.27</v>
          </cell>
          <cell r="G969">
            <v>16712</v>
          </cell>
          <cell r="H969">
            <v>4512</v>
          </cell>
        </row>
        <row r="970">
          <cell r="A970" t="str">
            <v>001.066</v>
          </cell>
          <cell r="B970" t="str">
            <v>E29</v>
          </cell>
          <cell r="C970" t="str">
            <v>CORTADORA DE CONCRETO</v>
          </cell>
          <cell r="D970" t="str">
            <v>Equipos</v>
          </cell>
          <cell r="E970" t="str">
            <v>HR</v>
          </cell>
          <cell r="F970">
            <v>0.4</v>
          </cell>
          <cell r="G970">
            <v>2768</v>
          </cell>
          <cell r="H970">
            <v>1107</v>
          </cell>
        </row>
        <row r="971">
          <cell r="A971" t="str">
            <v>001.066</v>
          </cell>
          <cell r="B971" t="str">
            <v>H2</v>
          </cell>
          <cell r="C971" t="str">
            <v>EQUIPO BASICO (HERRAMIENTA MENOR)</v>
          </cell>
          <cell r="D971" t="str">
            <v>Herramienta</v>
          </cell>
          <cell r="E971" t="str">
            <v>UND</v>
          </cell>
          <cell r="F971">
            <v>0.27</v>
          </cell>
          <cell r="G971">
            <v>2536</v>
          </cell>
          <cell r="H971">
            <v>685</v>
          </cell>
        </row>
        <row r="972">
          <cell r="A972" t="str">
            <v>001.066</v>
          </cell>
          <cell r="B972" t="str">
            <v>I1565</v>
          </cell>
          <cell r="C972" t="str">
            <v>ACARREO INTERNO</v>
          </cell>
          <cell r="D972" t="str">
            <v>Insumo</v>
          </cell>
          <cell r="E972" t="str">
            <v>UND</v>
          </cell>
          <cell r="F972">
            <v>0.44700000000000001</v>
          </cell>
          <cell r="G972">
            <v>1327</v>
          </cell>
          <cell r="H972">
            <v>593</v>
          </cell>
        </row>
        <row r="974">
          <cell r="A974" t="str">
            <v>023.046</v>
          </cell>
          <cell r="B974" t="str">
            <v>-</v>
          </cell>
          <cell r="C974" t="str">
            <v>DOVELAS DE ACERO LISO 60000 PSI PARA PAVIMENTOS</v>
          </cell>
          <cell r="D974" t="str">
            <v>Actividad</v>
          </cell>
          <cell r="E974" t="str">
            <v>KG</v>
          </cell>
          <cell r="H974">
            <v>16624</v>
          </cell>
        </row>
        <row r="975">
          <cell r="A975" t="str">
            <v>023.046</v>
          </cell>
          <cell r="B975" t="str">
            <v>C1</v>
          </cell>
          <cell r="C975" t="str">
            <v>CUADRILLA AA TIPO 1 (1 OFICIAL + 1 AYUDANTE) (Albañileria)</v>
          </cell>
          <cell r="D975" t="str">
            <v>Cuadrilla</v>
          </cell>
          <cell r="E975" t="str">
            <v>HR</v>
          </cell>
          <cell r="F975">
            <v>0.5</v>
          </cell>
          <cell r="G975">
            <v>16712</v>
          </cell>
          <cell r="H975">
            <v>8356</v>
          </cell>
        </row>
        <row r="976">
          <cell r="A976" t="str">
            <v>023.046</v>
          </cell>
          <cell r="B976" t="str">
            <v>H2</v>
          </cell>
          <cell r="C976" t="str">
            <v>EQUIPO BASICO (HERRAMIENTA MENOR)</v>
          </cell>
          <cell r="D976" t="str">
            <v>Herramienta</v>
          </cell>
          <cell r="E976" t="str">
            <v>UND</v>
          </cell>
          <cell r="F976">
            <v>0.5</v>
          </cell>
          <cell r="G976">
            <v>2536</v>
          </cell>
          <cell r="H976">
            <v>1268</v>
          </cell>
        </row>
        <row r="977">
          <cell r="A977" t="str">
            <v>023.046</v>
          </cell>
          <cell r="B977" t="str">
            <v>I27</v>
          </cell>
          <cell r="C977" t="str">
            <v>HIERRO LISO (DOVELAS)</v>
          </cell>
          <cell r="D977" t="str">
            <v>Insumo</v>
          </cell>
          <cell r="E977" t="str">
            <v>KG</v>
          </cell>
          <cell r="F977">
            <v>1.6</v>
          </cell>
          <cell r="G977">
            <v>3945</v>
          </cell>
          <cell r="H977">
            <v>6312</v>
          </cell>
        </row>
        <row r="978">
          <cell r="A978" t="str">
            <v>023.046</v>
          </cell>
          <cell r="B978" t="str">
            <v>I273</v>
          </cell>
          <cell r="C978" t="str">
            <v>GRASA ECON X 370 GRS</v>
          </cell>
          <cell r="D978" t="str">
            <v>Insumo</v>
          </cell>
          <cell r="E978" t="str">
            <v>UND</v>
          </cell>
          <cell r="F978">
            <v>0.08</v>
          </cell>
          <cell r="G978">
            <v>8597</v>
          </cell>
          <cell r="H978">
            <v>688</v>
          </cell>
        </row>
        <row r="980">
          <cell r="A980" t="str">
            <v>021.002</v>
          </cell>
          <cell r="B980" t="str">
            <v>-</v>
          </cell>
          <cell r="C980" t="str">
            <v>SUMINISTRO, TRANSPORTE E INSTALACIÓN DE CUNETA PARA VÍA VEHICULAR CONCRETO CLASE II PRODUCIDO EN OBRA</v>
          </cell>
          <cell r="D980" t="str">
            <v>Actividad</v>
          </cell>
          <cell r="E980" t="str">
            <v>M3</v>
          </cell>
          <cell r="H980">
            <v>590483</v>
          </cell>
        </row>
        <row r="981">
          <cell r="A981" t="str">
            <v>021.002</v>
          </cell>
          <cell r="B981" t="str">
            <v>AB5</v>
          </cell>
          <cell r="C981" t="str">
            <v>CONCRETO 3000 psi - 21 Mpa</v>
          </cell>
          <cell r="D981" t="str">
            <v>Analisis</v>
          </cell>
          <cell r="E981" t="str">
            <v>M3</v>
          </cell>
          <cell r="F981">
            <v>1.05</v>
          </cell>
          <cell r="G981">
            <v>421155</v>
          </cell>
          <cell r="H981">
            <v>442213</v>
          </cell>
        </row>
        <row r="982">
          <cell r="A982" t="str">
            <v>021.002</v>
          </cell>
          <cell r="B982" t="str">
            <v>C15</v>
          </cell>
          <cell r="C982" t="str">
            <v>CUADRILLA AA TIPO 3 (1 OFICIAL + 3 AYUDANTE) (Albañileria)</v>
          </cell>
          <cell r="D982" t="str">
            <v>Cuadrilla</v>
          </cell>
          <cell r="E982" t="str">
            <v>HR</v>
          </cell>
          <cell r="F982">
            <v>4.5</v>
          </cell>
          <cell r="G982">
            <v>29568</v>
          </cell>
          <cell r="H982">
            <v>133056</v>
          </cell>
        </row>
        <row r="983">
          <cell r="A983" t="str">
            <v>021.002</v>
          </cell>
          <cell r="B983" t="str">
            <v>E104</v>
          </cell>
          <cell r="C983" t="str">
            <v>FORMALETA SARDINEL DESDE 0.20 HASTA 0.60 M. DE ALTURA POR 2.00 M. DE LONGITUD</v>
          </cell>
          <cell r="D983" t="str">
            <v>Equipos</v>
          </cell>
          <cell r="E983" t="str">
            <v>DIA</v>
          </cell>
          <cell r="F983">
            <v>4</v>
          </cell>
          <cell r="G983">
            <v>353</v>
          </cell>
          <cell r="H983">
            <v>1412</v>
          </cell>
        </row>
        <row r="984">
          <cell r="A984" t="str">
            <v>021.002</v>
          </cell>
          <cell r="B984" t="str">
            <v>E12</v>
          </cell>
          <cell r="C984" t="str">
            <v>EQUIPO DE TRANSPORTE</v>
          </cell>
          <cell r="D984" t="str">
            <v>Equipos</v>
          </cell>
          <cell r="E984" t="str">
            <v>DIA</v>
          </cell>
          <cell r="F984">
            <v>6.6030000000000005E-2</v>
          </cell>
          <cell r="G984">
            <v>131205</v>
          </cell>
          <cell r="H984">
            <v>8663</v>
          </cell>
        </row>
        <row r="985">
          <cell r="A985" t="str">
            <v>021.002</v>
          </cell>
          <cell r="B985" t="str">
            <v>H2</v>
          </cell>
          <cell r="C985" t="str">
            <v>EQUIPO BASICO (HERRAMIENTA MENOR)</v>
          </cell>
          <cell r="D985" t="str">
            <v>Herramienta</v>
          </cell>
          <cell r="E985" t="str">
            <v>UND</v>
          </cell>
          <cell r="F985">
            <v>0.3</v>
          </cell>
          <cell r="G985">
            <v>2536</v>
          </cell>
          <cell r="H985">
            <v>761</v>
          </cell>
        </row>
        <row r="986">
          <cell r="A986" t="str">
            <v>021.002</v>
          </cell>
          <cell r="B986" t="str">
            <v>I1565</v>
          </cell>
          <cell r="C986" t="str">
            <v>ACARREO INTERNO</v>
          </cell>
          <cell r="D986" t="str">
            <v>Insumo</v>
          </cell>
          <cell r="E986" t="str">
            <v>UND</v>
          </cell>
          <cell r="F986">
            <v>2.6</v>
          </cell>
          <cell r="G986">
            <v>1327</v>
          </cell>
          <cell r="H986">
            <v>3450</v>
          </cell>
        </row>
        <row r="987">
          <cell r="A987" t="str">
            <v>021.002</v>
          </cell>
          <cell r="B987" t="str">
            <v>I422</v>
          </cell>
          <cell r="C987" t="str">
            <v>PLASTOCRETE DM DE SIKA IMPERMEABILIZANTE PARA CONCRETOS O SIMILAR.</v>
          </cell>
          <cell r="D987" t="str">
            <v>Insumo</v>
          </cell>
          <cell r="E987" t="str">
            <v>KG</v>
          </cell>
          <cell r="F987">
            <v>0.09</v>
          </cell>
          <cell r="G987">
            <v>10314</v>
          </cell>
          <cell r="H987">
            <v>928</v>
          </cell>
        </row>
        <row r="989">
          <cell r="A989" t="str">
            <v>023.028</v>
          </cell>
          <cell r="B989" t="str">
            <v>-</v>
          </cell>
          <cell r="C989" t="str">
            <v>SUMINISTRO, TRANSPORTE E INSTALACION PAVIMENTO EN CONCRETO MR 42 HECHO EN OBRA</v>
          </cell>
          <cell r="D989" t="str">
            <v>Actividad</v>
          </cell>
          <cell r="E989" t="str">
            <v>M3</v>
          </cell>
          <cell r="H989">
            <v>651736</v>
          </cell>
        </row>
        <row r="990">
          <cell r="A990" t="str">
            <v>023.028</v>
          </cell>
          <cell r="B990" t="str">
            <v>AB15</v>
          </cell>
          <cell r="C990" t="str">
            <v>CONCRETO MR 42 kg/cm2</v>
          </cell>
          <cell r="D990" t="str">
            <v>Analisis</v>
          </cell>
          <cell r="E990" t="str">
            <v>M3</v>
          </cell>
          <cell r="F990">
            <v>1.05</v>
          </cell>
          <cell r="G990">
            <v>434251</v>
          </cell>
          <cell r="H990">
            <v>455964</v>
          </cell>
        </row>
        <row r="991">
          <cell r="A991" t="str">
            <v>023.028</v>
          </cell>
          <cell r="B991" t="str">
            <v>C22</v>
          </cell>
          <cell r="C991" t="str">
            <v>CUADRILLA AA TIPO 4 (1 OFICIAL + 4 AYUDANTE) (Albañileria)</v>
          </cell>
          <cell r="D991" t="str">
            <v>Cuadrilla</v>
          </cell>
          <cell r="E991" t="str">
            <v>HR</v>
          </cell>
          <cell r="F991">
            <v>3.5</v>
          </cell>
          <cell r="G991">
            <v>35996</v>
          </cell>
          <cell r="H991">
            <v>125986</v>
          </cell>
        </row>
        <row r="992">
          <cell r="A992" t="str">
            <v>023.028</v>
          </cell>
          <cell r="B992" t="str">
            <v>E12</v>
          </cell>
          <cell r="C992" t="str">
            <v>EQUIPO DE TRANSPORTE</v>
          </cell>
          <cell r="D992" t="str">
            <v>Equipos</v>
          </cell>
          <cell r="E992" t="str">
            <v>DIA</v>
          </cell>
          <cell r="F992">
            <v>6.5699999999999995E-2</v>
          </cell>
          <cell r="G992">
            <v>131205</v>
          </cell>
          <cell r="H992">
            <v>8620</v>
          </cell>
        </row>
        <row r="993">
          <cell r="A993" t="str">
            <v>023.028</v>
          </cell>
          <cell r="B993" t="str">
            <v>E16</v>
          </cell>
          <cell r="C993" t="str">
            <v>REGLA VIBRATORIA</v>
          </cell>
          <cell r="D993" t="str">
            <v>Equipos</v>
          </cell>
          <cell r="E993" t="str">
            <v>DIA</v>
          </cell>
          <cell r="F993">
            <v>0.1</v>
          </cell>
          <cell r="G993">
            <v>76106</v>
          </cell>
          <cell r="H993">
            <v>7611</v>
          </cell>
        </row>
        <row r="994">
          <cell r="A994" t="str">
            <v>023.028</v>
          </cell>
          <cell r="B994" t="str">
            <v>E21</v>
          </cell>
          <cell r="C994" t="str">
            <v>VIBRADOR A GASOLINA</v>
          </cell>
          <cell r="D994" t="str">
            <v>Equipos</v>
          </cell>
          <cell r="E994" t="str">
            <v>DIA</v>
          </cell>
          <cell r="F994">
            <v>0.1</v>
          </cell>
          <cell r="G994">
            <v>51948</v>
          </cell>
          <cell r="H994">
            <v>5195</v>
          </cell>
        </row>
        <row r="995">
          <cell r="A995" t="str">
            <v>023.028</v>
          </cell>
          <cell r="B995" t="str">
            <v>H2</v>
          </cell>
          <cell r="C995" t="str">
            <v>EQUIPO BASICO (HERRAMIENTA MENOR)</v>
          </cell>
          <cell r="D995" t="str">
            <v>Herramienta</v>
          </cell>
          <cell r="E995" t="str">
            <v>UND</v>
          </cell>
          <cell r="F995">
            <v>3.5</v>
          </cell>
          <cell r="G995">
            <v>2536</v>
          </cell>
          <cell r="H995">
            <v>8876</v>
          </cell>
        </row>
        <row r="996">
          <cell r="A996" t="str">
            <v>023.028</v>
          </cell>
          <cell r="B996" t="str">
            <v>I1565</v>
          </cell>
          <cell r="C996" t="str">
            <v>ACARREO INTERNO</v>
          </cell>
          <cell r="D996" t="str">
            <v>Insumo</v>
          </cell>
          <cell r="E996" t="str">
            <v>UND</v>
          </cell>
          <cell r="F996">
            <v>7</v>
          </cell>
          <cell r="G996">
            <v>1327</v>
          </cell>
          <cell r="H996">
            <v>9289</v>
          </cell>
        </row>
        <row r="997">
          <cell r="A997" t="str">
            <v>023.028</v>
          </cell>
          <cell r="B997" t="str">
            <v>I424</v>
          </cell>
          <cell r="C997" t="str">
            <v>PUNTILLA CON CABEZA 1"</v>
          </cell>
          <cell r="D997" t="str">
            <v>Insumo</v>
          </cell>
          <cell r="E997" t="str">
            <v>LB</v>
          </cell>
          <cell r="F997">
            <v>0.2</v>
          </cell>
          <cell r="G997">
            <v>3585</v>
          </cell>
          <cell r="H997">
            <v>717</v>
          </cell>
        </row>
        <row r="998">
          <cell r="A998" t="str">
            <v>023.028</v>
          </cell>
          <cell r="B998" t="str">
            <v>I478</v>
          </cell>
          <cell r="C998" t="str">
            <v>ADITIVO PARA CURAR EL CONCRETO</v>
          </cell>
          <cell r="D998" t="str">
            <v>Insumo</v>
          </cell>
          <cell r="E998" t="str">
            <v>UND</v>
          </cell>
          <cell r="F998">
            <v>0.09</v>
          </cell>
          <cell r="G998">
            <v>34001</v>
          </cell>
          <cell r="H998">
            <v>3060</v>
          </cell>
        </row>
        <row r="999">
          <cell r="A999" t="str">
            <v>023.028</v>
          </cell>
          <cell r="B999" t="str">
            <v>I479</v>
          </cell>
          <cell r="C999" t="str">
            <v>SELLO ELASTOMERICO</v>
          </cell>
          <cell r="D999" t="str">
            <v>Insumo</v>
          </cell>
          <cell r="E999" t="str">
            <v>M</v>
          </cell>
          <cell r="F999">
            <v>1.0900000000000001</v>
          </cell>
          <cell r="G999">
            <v>5049</v>
          </cell>
          <cell r="H999">
            <v>5503</v>
          </cell>
        </row>
        <row r="1000">
          <cell r="A1000" t="str">
            <v>023.028</v>
          </cell>
          <cell r="B1000" t="str">
            <v>I990</v>
          </cell>
          <cell r="C1000" t="str">
            <v>TABLA 1"X10"X3M</v>
          </cell>
          <cell r="D1000" t="str">
            <v>Insumo</v>
          </cell>
          <cell r="E1000" t="str">
            <v>UND</v>
          </cell>
          <cell r="F1000">
            <v>0.8</v>
          </cell>
          <cell r="G1000">
            <v>10606</v>
          </cell>
          <cell r="H1000">
            <v>8485</v>
          </cell>
        </row>
        <row r="1001">
          <cell r="A1001" t="str">
            <v>023.028</v>
          </cell>
          <cell r="B1001" t="str">
            <v>I991</v>
          </cell>
          <cell r="C1001" t="str">
            <v>CUARTON 2"X4"X3M</v>
          </cell>
          <cell r="D1001" t="str">
            <v>Insumo</v>
          </cell>
          <cell r="E1001" t="str">
            <v>UND</v>
          </cell>
          <cell r="F1001">
            <v>1.25</v>
          </cell>
          <cell r="G1001">
            <v>9944</v>
          </cell>
          <cell r="H1001">
            <v>12430</v>
          </cell>
        </row>
        <row r="1003">
          <cell r="A1003" t="str">
            <v>005.010</v>
          </cell>
          <cell r="B1003" t="str">
            <v>-</v>
          </cell>
          <cell r="C1003" t="str">
            <v>SUMINISTRO, TRANSPORTE E INSTALACION PLACA CONTRAPISO CONCRETO 3000 PSI  E=0.07 m ( Sin refuerzo)</v>
          </cell>
          <cell r="D1003" t="str">
            <v>Actividad</v>
          </cell>
          <cell r="E1003" t="str">
            <v>M2</v>
          </cell>
          <cell r="H1003">
            <v>54402</v>
          </cell>
        </row>
        <row r="1004">
          <cell r="A1004" t="str">
            <v>005.010</v>
          </cell>
          <cell r="B1004" t="str">
            <v>AB5</v>
          </cell>
          <cell r="C1004" t="str">
            <v>CONCRETO 3000 psi - 21 Mpa</v>
          </cell>
          <cell r="D1004" t="str">
            <v>Analisis</v>
          </cell>
          <cell r="E1004" t="str">
            <v>M3</v>
          </cell>
          <cell r="F1004">
            <v>7.1999999999999995E-2</v>
          </cell>
          <cell r="G1004">
            <v>421155</v>
          </cell>
          <cell r="H1004">
            <v>30323</v>
          </cell>
        </row>
        <row r="1005">
          <cell r="A1005" t="str">
            <v>005.010</v>
          </cell>
          <cell r="B1005" t="str">
            <v>C36</v>
          </cell>
          <cell r="C1005" t="str">
            <v>CUADRILLA AA TIPO 6 (1 OFICIAL + 6 AYUDANTE) (Albañileria)</v>
          </cell>
          <cell r="D1005" t="str">
            <v>Cuadrilla</v>
          </cell>
          <cell r="E1005" t="str">
            <v>HR</v>
          </cell>
          <cell r="F1005">
            <v>0.3</v>
          </cell>
          <cell r="G1005">
            <v>48852</v>
          </cell>
          <cell r="H1005">
            <v>14656</v>
          </cell>
        </row>
        <row r="1006">
          <cell r="A1006" t="str">
            <v>005.010</v>
          </cell>
          <cell r="B1006" t="str">
            <v>E12</v>
          </cell>
          <cell r="C1006" t="str">
            <v>EQUIPO DE TRANSPORTE</v>
          </cell>
          <cell r="D1006" t="str">
            <v>Equipos</v>
          </cell>
          <cell r="E1006" t="str">
            <v>DIA</v>
          </cell>
          <cell r="F1006">
            <v>5.4999999999999997E-3</v>
          </cell>
          <cell r="G1006">
            <v>131205</v>
          </cell>
          <cell r="H1006">
            <v>722</v>
          </cell>
        </row>
        <row r="1007">
          <cell r="A1007" t="str">
            <v>005.010</v>
          </cell>
          <cell r="B1007" t="str">
            <v>E21</v>
          </cell>
          <cell r="C1007" t="str">
            <v>VIBRADOR A GASOLINA</v>
          </cell>
          <cell r="D1007" t="str">
            <v>Equipos</v>
          </cell>
          <cell r="E1007" t="str">
            <v>DIA</v>
          </cell>
          <cell r="F1007">
            <v>7.0000000000000001E-3</v>
          </cell>
          <cell r="G1007">
            <v>51948</v>
          </cell>
          <cell r="H1007">
            <v>364</v>
          </cell>
        </row>
        <row r="1008">
          <cell r="A1008" t="str">
            <v>005.010</v>
          </cell>
          <cell r="B1008" t="str">
            <v>H2</v>
          </cell>
          <cell r="C1008" t="str">
            <v>EQUIPO BASICO (HERRAMIENTA MENOR)</v>
          </cell>
          <cell r="D1008" t="str">
            <v>Herramienta</v>
          </cell>
          <cell r="E1008" t="str">
            <v>UND</v>
          </cell>
          <cell r="F1008">
            <v>2.1000000000000001E-2</v>
          </cell>
          <cell r="G1008">
            <v>2536</v>
          </cell>
          <cell r="H1008">
            <v>53</v>
          </cell>
        </row>
        <row r="1009">
          <cell r="A1009" t="str">
            <v>005.010</v>
          </cell>
          <cell r="B1009" t="str">
            <v>I1565</v>
          </cell>
          <cell r="C1009" t="str">
            <v>ACARREO INTERNO</v>
          </cell>
          <cell r="D1009" t="str">
            <v>Insumo</v>
          </cell>
          <cell r="E1009" t="str">
            <v>UND</v>
          </cell>
          <cell r="F1009">
            <v>0.7</v>
          </cell>
          <cell r="G1009">
            <v>1327</v>
          </cell>
          <cell r="H1009">
            <v>929</v>
          </cell>
        </row>
        <row r="1010">
          <cell r="A1010" t="str">
            <v>005.010</v>
          </cell>
          <cell r="B1010" t="str">
            <v>I425</v>
          </cell>
          <cell r="C1010" t="str">
            <v>PUNTILLA CON CABEZA 2"</v>
          </cell>
          <cell r="D1010" t="str">
            <v>Insumo</v>
          </cell>
          <cell r="E1010" t="str">
            <v>LB</v>
          </cell>
          <cell r="F1010">
            <v>0.03</v>
          </cell>
          <cell r="G1010">
            <v>3585</v>
          </cell>
          <cell r="H1010">
            <v>108</v>
          </cell>
        </row>
        <row r="1011">
          <cell r="A1011" t="str">
            <v>005.010</v>
          </cell>
          <cell r="B1011" t="str">
            <v>I957</v>
          </cell>
          <cell r="C1011" t="str">
            <v>LISTON 2 X 4</v>
          </cell>
          <cell r="D1011" t="str">
            <v>Insumo</v>
          </cell>
          <cell r="E1011" t="str">
            <v>M</v>
          </cell>
          <cell r="F1011">
            <v>0.84</v>
          </cell>
          <cell r="G1011">
            <v>3244</v>
          </cell>
          <cell r="H1011">
            <v>2725</v>
          </cell>
        </row>
        <row r="1012">
          <cell r="A1012" t="str">
            <v>005.010</v>
          </cell>
          <cell r="B1012" t="str">
            <v>I979</v>
          </cell>
          <cell r="C1012" t="str">
            <v>TABLA CHAPA ORDINARIO 30 CM X 2 CM X 3 M.</v>
          </cell>
          <cell r="D1012" t="str">
            <v>Insumo</v>
          </cell>
          <cell r="E1012" t="str">
            <v>UND</v>
          </cell>
          <cell r="F1012">
            <v>0.33</v>
          </cell>
          <cell r="G1012">
            <v>13702</v>
          </cell>
          <cell r="H1012">
            <v>4522</v>
          </cell>
        </row>
        <row r="1014">
          <cell r="A1014" t="str">
            <v>021.004</v>
          </cell>
          <cell r="B1014" t="str">
            <v>-</v>
          </cell>
          <cell r="C1014" t="str">
            <v>SUMINISTRO, TRANSPORTE E INSTALACION ANDEN CONCRETO 2500 PSI  REFORZADO  E= 0.10M.  ACABADO:  ESCOBIADO</v>
          </cell>
          <cell r="D1014" t="str">
            <v>Actividad</v>
          </cell>
          <cell r="E1014" t="str">
            <v>M2</v>
          </cell>
          <cell r="H1014">
            <v>78559</v>
          </cell>
        </row>
        <row r="1015">
          <cell r="A1015" t="str">
            <v>021.004</v>
          </cell>
          <cell r="B1015" t="str">
            <v>AB4</v>
          </cell>
          <cell r="C1015" t="str">
            <v>CONCRETO 2500 psi - 17.5 Mpa</v>
          </cell>
          <cell r="D1015" t="str">
            <v>Analisis</v>
          </cell>
          <cell r="E1015" t="str">
            <v>M3</v>
          </cell>
          <cell r="F1015">
            <v>0.1</v>
          </cell>
          <cell r="G1015">
            <v>380250</v>
          </cell>
          <cell r="H1015">
            <v>38025</v>
          </cell>
        </row>
        <row r="1016">
          <cell r="A1016" t="str">
            <v>021.004</v>
          </cell>
          <cell r="B1016" t="str">
            <v>C15</v>
          </cell>
          <cell r="C1016" t="str">
            <v>CUADRILLA AA TIPO 3 (1 OFICIAL + 3 AYUDANTE) (Albañileria)</v>
          </cell>
          <cell r="D1016" t="str">
            <v>Cuadrilla</v>
          </cell>
          <cell r="E1016" t="str">
            <v>HR</v>
          </cell>
          <cell r="F1016">
            <v>1</v>
          </cell>
          <cell r="G1016">
            <v>29568</v>
          </cell>
          <cell r="H1016">
            <v>29568</v>
          </cell>
        </row>
        <row r="1017">
          <cell r="A1017" t="str">
            <v>021.004</v>
          </cell>
          <cell r="B1017" t="str">
            <v>E104</v>
          </cell>
          <cell r="C1017" t="str">
            <v>FORMALETA SARDINEL DESDE 0.20 HASTA 0.60 M. DE ALTURA POR 2.00 M. DE LONGITUD</v>
          </cell>
          <cell r="D1017" t="str">
            <v>Equipos</v>
          </cell>
          <cell r="E1017" t="str">
            <v>DIA</v>
          </cell>
          <cell r="F1017">
            <v>1.5</v>
          </cell>
          <cell r="G1017">
            <v>353</v>
          </cell>
          <cell r="H1017">
            <v>530</v>
          </cell>
        </row>
        <row r="1018">
          <cell r="A1018" t="str">
            <v>021.004</v>
          </cell>
          <cell r="B1018" t="str">
            <v>E12</v>
          </cell>
          <cell r="C1018" t="str">
            <v>EQUIPO DE TRANSPORTE</v>
          </cell>
          <cell r="D1018" t="str">
            <v>Equipos</v>
          </cell>
          <cell r="E1018" t="str">
            <v>DIA</v>
          </cell>
          <cell r="F1018">
            <v>6.4999999999999997E-3</v>
          </cell>
          <cell r="G1018">
            <v>131205</v>
          </cell>
          <cell r="H1018">
            <v>853</v>
          </cell>
        </row>
        <row r="1019">
          <cell r="A1019" t="str">
            <v>021.004</v>
          </cell>
          <cell r="B1019" t="str">
            <v>H2</v>
          </cell>
          <cell r="C1019" t="str">
            <v>EQUIPO BASICO (HERRAMIENTA MENOR)</v>
          </cell>
          <cell r="D1019" t="str">
            <v>Herramienta</v>
          </cell>
          <cell r="E1019" t="str">
            <v>UND</v>
          </cell>
          <cell r="F1019">
            <v>0.4</v>
          </cell>
          <cell r="G1019">
            <v>2536</v>
          </cell>
          <cell r="H1019">
            <v>1014</v>
          </cell>
        </row>
        <row r="1020">
          <cell r="A1020" t="str">
            <v>021.004</v>
          </cell>
          <cell r="B1020" t="str">
            <v>I1565</v>
          </cell>
          <cell r="C1020" t="str">
            <v>ACARREO INTERNO</v>
          </cell>
          <cell r="D1020" t="str">
            <v>Insumo</v>
          </cell>
          <cell r="E1020" t="str">
            <v>UND</v>
          </cell>
          <cell r="F1020">
            <v>1.8</v>
          </cell>
          <cell r="G1020">
            <v>1327</v>
          </cell>
          <cell r="H1020">
            <v>2389</v>
          </cell>
        </row>
        <row r="1021">
          <cell r="A1021" t="str">
            <v>021.004</v>
          </cell>
          <cell r="B1021" t="str">
            <v>I423</v>
          </cell>
          <cell r="C1021" t="str">
            <v>POLIETILENO NO. 6</v>
          </cell>
          <cell r="D1021" t="str">
            <v>Insumo</v>
          </cell>
          <cell r="E1021" t="str">
            <v>M2</v>
          </cell>
          <cell r="F1021">
            <v>1</v>
          </cell>
          <cell r="G1021">
            <v>3585</v>
          </cell>
          <cell r="H1021">
            <v>3585</v>
          </cell>
        </row>
        <row r="1022">
          <cell r="A1022" t="str">
            <v>021.004</v>
          </cell>
          <cell r="B1022" t="str">
            <v>I957</v>
          </cell>
          <cell r="C1022" t="str">
            <v>LISTON 2 X 4</v>
          </cell>
          <cell r="D1022" t="str">
            <v>Insumo</v>
          </cell>
          <cell r="E1022" t="str">
            <v>M</v>
          </cell>
          <cell r="F1022">
            <v>0.8</v>
          </cell>
          <cell r="G1022">
            <v>3244</v>
          </cell>
          <cell r="H1022">
            <v>2595</v>
          </cell>
        </row>
        <row r="1024">
          <cell r="A1024" t="str">
            <v>004.013</v>
          </cell>
          <cell r="B1024" t="str">
            <v>-</v>
          </cell>
          <cell r="C1024" t="str">
            <v>SUMINISTRO, TRANSPORTE E INSTALACION AFIRMADO COMPACTADO PARA ESTRUCTURAS</v>
          </cell>
          <cell r="D1024" t="str">
            <v>Actividad</v>
          </cell>
          <cell r="E1024" t="str">
            <v>M3</v>
          </cell>
          <cell r="H1024">
            <v>98786</v>
          </cell>
        </row>
        <row r="1025">
          <cell r="A1025" t="str">
            <v>004.013</v>
          </cell>
          <cell r="B1025" t="str">
            <v>C15</v>
          </cell>
          <cell r="C1025" t="str">
            <v>CUADRILLA AA TIPO 3 (1 OFICIAL + 3 AYUDANTE) (Albañileria)</v>
          </cell>
          <cell r="D1025" t="str">
            <v>Cuadrilla</v>
          </cell>
          <cell r="E1025" t="str">
            <v>HR</v>
          </cell>
          <cell r="F1025">
            <v>0.3</v>
          </cell>
          <cell r="G1025">
            <v>29568</v>
          </cell>
          <cell r="H1025">
            <v>8870</v>
          </cell>
        </row>
        <row r="1026">
          <cell r="A1026" t="str">
            <v>004.013</v>
          </cell>
          <cell r="B1026" t="str">
            <v>E47</v>
          </cell>
          <cell r="C1026" t="str">
            <v>VIBROCOMPACTADOR TIPO RANA</v>
          </cell>
          <cell r="D1026" t="str">
            <v>Equipos</v>
          </cell>
          <cell r="E1026" t="str">
            <v>DIA</v>
          </cell>
          <cell r="F1026">
            <v>0.4</v>
          </cell>
          <cell r="G1026">
            <v>43299</v>
          </cell>
          <cell r="H1026">
            <v>17320</v>
          </cell>
        </row>
        <row r="1027">
          <cell r="A1027" t="str">
            <v>004.013</v>
          </cell>
          <cell r="B1027" t="str">
            <v>H2</v>
          </cell>
          <cell r="C1027" t="str">
            <v>EQUIPO BASICO (HERRAMIENTA MENOR)</v>
          </cell>
          <cell r="D1027" t="str">
            <v>Herramienta</v>
          </cell>
          <cell r="E1027" t="str">
            <v>UND</v>
          </cell>
          <cell r="F1027">
            <v>0.5</v>
          </cell>
          <cell r="G1027">
            <v>2536</v>
          </cell>
          <cell r="H1027">
            <v>1268</v>
          </cell>
        </row>
        <row r="1028">
          <cell r="A1028" t="str">
            <v>004.013</v>
          </cell>
          <cell r="B1028" t="str">
            <v>I1565</v>
          </cell>
          <cell r="C1028" t="str">
            <v>ACARREO INTERNO</v>
          </cell>
          <cell r="D1028" t="str">
            <v>Insumo</v>
          </cell>
          <cell r="E1028" t="str">
            <v>UND</v>
          </cell>
          <cell r="F1028">
            <v>0.6</v>
          </cell>
          <cell r="G1028">
            <v>1327</v>
          </cell>
          <cell r="H1028">
            <v>796</v>
          </cell>
        </row>
        <row r="1029">
          <cell r="A1029" t="str">
            <v>004.013</v>
          </cell>
          <cell r="B1029" t="str">
            <v>I50</v>
          </cell>
          <cell r="C1029" t="str">
            <v>AFIRMADO NORMA INVIAS</v>
          </cell>
          <cell r="D1029" t="str">
            <v>Insumo</v>
          </cell>
          <cell r="E1029" t="str">
            <v>M3</v>
          </cell>
          <cell r="F1029">
            <v>1.4</v>
          </cell>
          <cell r="G1029">
            <v>50380</v>
          </cell>
          <cell r="H1029">
            <v>70532</v>
          </cell>
        </row>
        <row r="1031">
          <cell r="A1031" t="str">
            <v>021.034</v>
          </cell>
          <cell r="B1031" t="str">
            <v>-</v>
          </cell>
          <cell r="C1031" t="str">
            <v>SUMINISTRO, TRANSPORTE E INSTALACION ESCALAS CONCRETO 3000 PSI E= 0.10M.  SOBRE TIERRA ACABADO ESCOBIADO</v>
          </cell>
          <cell r="D1031" t="str">
            <v>Actividad</v>
          </cell>
          <cell r="E1031" t="str">
            <v>M2</v>
          </cell>
          <cell r="H1031">
            <v>113711</v>
          </cell>
        </row>
        <row r="1032">
          <cell r="A1032" t="str">
            <v>021.034</v>
          </cell>
          <cell r="B1032" t="str">
            <v>AB20</v>
          </cell>
          <cell r="C1032" t="str">
            <v>MORTERO 1:3</v>
          </cell>
          <cell r="D1032" t="str">
            <v>Analisis</v>
          </cell>
          <cell r="E1032" t="str">
            <v>M3</v>
          </cell>
          <cell r="F1032">
            <v>1.0999999999999999E-2</v>
          </cell>
          <cell r="G1032">
            <v>449080</v>
          </cell>
          <cell r="H1032">
            <v>4940</v>
          </cell>
        </row>
        <row r="1033">
          <cell r="A1033" t="str">
            <v>021.034</v>
          </cell>
          <cell r="B1033" t="str">
            <v>AB5</v>
          </cell>
          <cell r="C1033" t="str">
            <v>CONCRETO 3000 psi - 21 Mpa</v>
          </cell>
          <cell r="D1033" t="str">
            <v>Analisis</v>
          </cell>
          <cell r="E1033" t="str">
            <v>M3</v>
          </cell>
          <cell r="F1033">
            <v>0.18</v>
          </cell>
          <cell r="G1033">
            <v>421155</v>
          </cell>
          <cell r="H1033">
            <v>75808</v>
          </cell>
        </row>
        <row r="1034">
          <cell r="A1034" t="str">
            <v>021.034</v>
          </cell>
          <cell r="B1034" t="str">
            <v>C15</v>
          </cell>
          <cell r="C1034" t="str">
            <v>CUADRILLA AA TIPO 3 (1 OFICIAL + 3 AYUDANTE) (Albañileria)</v>
          </cell>
          <cell r="D1034" t="str">
            <v>Cuadrilla</v>
          </cell>
          <cell r="E1034" t="str">
            <v>HR</v>
          </cell>
          <cell r="F1034">
            <v>0.65</v>
          </cell>
          <cell r="G1034">
            <v>29568</v>
          </cell>
          <cell r="H1034">
            <v>19219</v>
          </cell>
        </row>
        <row r="1035">
          <cell r="A1035" t="str">
            <v>021.034</v>
          </cell>
          <cell r="B1035" t="str">
            <v>E104</v>
          </cell>
          <cell r="C1035" t="str">
            <v>FORMALETA SARDINEL DESDE 0.20 HASTA 0.60 M. DE ALTURA POR 2.00 M. DE LONGITUD</v>
          </cell>
          <cell r="D1035" t="str">
            <v>Equipos</v>
          </cell>
          <cell r="E1035" t="str">
            <v>DIA</v>
          </cell>
          <cell r="F1035">
            <v>1.5</v>
          </cell>
          <cell r="G1035">
            <v>353</v>
          </cell>
          <cell r="H1035">
            <v>530</v>
          </cell>
        </row>
        <row r="1036">
          <cell r="A1036" t="str">
            <v>021.034</v>
          </cell>
          <cell r="B1036" t="str">
            <v>E12</v>
          </cell>
          <cell r="C1036" t="str">
            <v>EQUIPO DE TRANSPORTE</v>
          </cell>
          <cell r="D1036" t="str">
            <v>Equipos</v>
          </cell>
          <cell r="E1036" t="str">
            <v>DIA</v>
          </cell>
          <cell r="F1036">
            <v>7.7999999999999996E-3</v>
          </cell>
          <cell r="G1036">
            <v>131205</v>
          </cell>
          <cell r="H1036">
            <v>1023</v>
          </cell>
        </row>
        <row r="1037">
          <cell r="A1037" t="str">
            <v>021.034</v>
          </cell>
          <cell r="B1037" t="str">
            <v>E21</v>
          </cell>
          <cell r="C1037" t="str">
            <v>VIBRADOR A GASOLINA</v>
          </cell>
          <cell r="D1037" t="str">
            <v>Equipos</v>
          </cell>
          <cell r="E1037" t="str">
            <v>DIA</v>
          </cell>
          <cell r="F1037">
            <v>3.7999999999999999E-2</v>
          </cell>
          <cell r="G1037">
            <v>51948</v>
          </cell>
          <cell r="H1037">
            <v>1974</v>
          </cell>
        </row>
        <row r="1038">
          <cell r="A1038" t="str">
            <v>021.034</v>
          </cell>
          <cell r="B1038" t="str">
            <v>H2</v>
          </cell>
          <cell r="C1038" t="str">
            <v>EQUIPO BASICO (HERRAMIENTA MENOR)</v>
          </cell>
          <cell r="D1038" t="str">
            <v>Herramienta</v>
          </cell>
          <cell r="E1038" t="str">
            <v>UND</v>
          </cell>
          <cell r="F1038">
            <v>0.65</v>
          </cell>
          <cell r="G1038">
            <v>2536</v>
          </cell>
          <cell r="H1038">
            <v>1648</v>
          </cell>
        </row>
        <row r="1039">
          <cell r="A1039" t="str">
            <v>021.034</v>
          </cell>
          <cell r="B1039" t="str">
            <v>I1565</v>
          </cell>
          <cell r="C1039" t="str">
            <v>ACARREO INTERNO</v>
          </cell>
          <cell r="D1039" t="str">
            <v>Insumo</v>
          </cell>
          <cell r="E1039" t="str">
            <v>UND</v>
          </cell>
          <cell r="F1039">
            <v>1.8</v>
          </cell>
          <cell r="G1039">
            <v>1327</v>
          </cell>
          <cell r="H1039">
            <v>2389</v>
          </cell>
        </row>
        <row r="1040">
          <cell r="A1040" t="str">
            <v>021.034</v>
          </cell>
          <cell r="B1040" t="str">
            <v>I423</v>
          </cell>
          <cell r="C1040" t="str">
            <v>POLIETILENO NO. 6</v>
          </cell>
          <cell r="D1040" t="str">
            <v>Insumo</v>
          </cell>
          <cell r="E1040" t="str">
            <v>M2</v>
          </cell>
          <cell r="F1040">
            <v>1</v>
          </cell>
          <cell r="G1040">
            <v>3585</v>
          </cell>
          <cell r="H1040">
            <v>3585</v>
          </cell>
        </row>
        <row r="1041">
          <cell r="A1041" t="str">
            <v>021.034</v>
          </cell>
          <cell r="B1041" t="str">
            <v>I957</v>
          </cell>
          <cell r="C1041" t="str">
            <v>LISTON 2 X 4</v>
          </cell>
          <cell r="D1041" t="str">
            <v>Insumo</v>
          </cell>
          <cell r="E1041" t="str">
            <v>M</v>
          </cell>
          <cell r="F1041">
            <v>0.8</v>
          </cell>
          <cell r="G1041">
            <v>3244</v>
          </cell>
          <cell r="H1041">
            <v>2595</v>
          </cell>
        </row>
        <row r="1043">
          <cell r="A1043" t="str">
            <v>021.059</v>
          </cell>
          <cell r="B1043" t="str">
            <v>-</v>
          </cell>
          <cell r="C1043" t="str">
            <v>SUMINISTRO, TRANSPORTE E INSTALACION BORDILLO BASE PARA MUROS PREFABRICADOS H= ENTRE 0,15 Y 0,20M Y A= ENTRE 0,13 Y 0,18M</v>
          </cell>
          <cell r="D1043" t="str">
            <v>Actividad</v>
          </cell>
          <cell r="E1043" t="str">
            <v>ML</v>
          </cell>
          <cell r="H1043">
            <v>56516</v>
          </cell>
        </row>
        <row r="1044">
          <cell r="A1044" t="str">
            <v>021.059</v>
          </cell>
          <cell r="B1044" t="str">
            <v>AB5</v>
          </cell>
          <cell r="C1044" t="str">
            <v>CONCRETO 3000 psi - 21 Mpa</v>
          </cell>
          <cell r="D1044" t="str">
            <v>Analisis</v>
          </cell>
          <cell r="E1044" t="str">
            <v>M3</v>
          </cell>
          <cell r="F1044">
            <v>3.5999999999999997E-2</v>
          </cell>
          <cell r="G1044">
            <v>421155</v>
          </cell>
          <cell r="H1044">
            <v>15162</v>
          </cell>
        </row>
        <row r="1045">
          <cell r="A1045" t="str">
            <v>021.059</v>
          </cell>
          <cell r="B1045" t="str">
            <v>C15</v>
          </cell>
          <cell r="C1045" t="str">
            <v>CUADRILLA AA TIPO 3 (1 OFICIAL + 3 AYUDANTE) (Albañileria)</v>
          </cell>
          <cell r="D1045" t="str">
            <v>Cuadrilla</v>
          </cell>
          <cell r="E1045" t="str">
            <v>HR</v>
          </cell>
          <cell r="F1045">
            <v>0.7</v>
          </cell>
          <cell r="G1045">
            <v>29568</v>
          </cell>
          <cell r="H1045">
            <v>20698</v>
          </cell>
        </row>
        <row r="1046">
          <cell r="A1046" t="str">
            <v>021.059</v>
          </cell>
          <cell r="B1046" t="str">
            <v>E12</v>
          </cell>
          <cell r="C1046" t="str">
            <v>EQUIPO DE TRANSPORTE</v>
          </cell>
          <cell r="D1046" t="str">
            <v>Equipos</v>
          </cell>
          <cell r="E1046" t="str">
            <v>DIA</v>
          </cell>
          <cell r="F1046">
            <v>8.9999999999999993E-3</v>
          </cell>
          <cell r="G1046">
            <v>131205</v>
          </cell>
          <cell r="H1046">
            <v>1181</v>
          </cell>
        </row>
        <row r="1047">
          <cell r="A1047" t="str">
            <v>021.059</v>
          </cell>
          <cell r="B1047" t="str">
            <v>E52</v>
          </cell>
          <cell r="C1047" t="str">
            <v>VIBRADOR</v>
          </cell>
          <cell r="D1047" t="str">
            <v>Equipos</v>
          </cell>
          <cell r="E1047" t="str">
            <v>HR</v>
          </cell>
          <cell r="F1047">
            <v>0.5</v>
          </cell>
          <cell r="G1047">
            <v>5905</v>
          </cell>
          <cell r="H1047">
            <v>2953</v>
          </cell>
        </row>
        <row r="1048">
          <cell r="A1048" t="str">
            <v>021.059</v>
          </cell>
          <cell r="B1048" t="str">
            <v>H2</v>
          </cell>
          <cell r="C1048" t="str">
            <v>EQUIPO BASICO (HERRAMIENTA MENOR)</v>
          </cell>
          <cell r="D1048" t="str">
            <v>Herramienta</v>
          </cell>
          <cell r="E1048" t="str">
            <v>UND</v>
          </cell>
          <cell r="F1048">
            <v>0.2</v>
          </cell>
          <cell r="G1048">
            <v>2536</v>
          </cell>
          <cell r="H1048">
            <v>507</v>
          </cell>
        </row>
        <row r="1049">
          <cell r="A1049" t="str">
            <v>021.059</v>
          </cell>
          <cell r="B1049" t="str">
            <v>I1565</v>
          </cell>
          <cell r="C1049" t="str">
            <v>ACARREO INTERNO</v>
          </cell>
          <cell r="D1049" t="str">
            <v>Insumo</v>
          </cell>
          <cell r="E1049" t="str">
            <v>UND</v>
          </cell>
          <cell r="F1049">
            <v>1.2</v>
          </cell>
          <cell r="G1049">
            <v>1327</v>
          </cell>
          <cell r="H1049">
            <v>1592</v>
          </cell>
        </row>
        <row r="1050">
          <cell r="A1050" t="str">
            <v>021.059</v>
          </cell>
          <cell r="B1050" t="str">
            <v>I425</v>
          </cell>
          <cell r="C1050" t="str">
            <v>PUNTILLA CON CABEZA 2"</v>
          </cell>
          <cell r="D1050" t="str">
            <v>Insumo</v>
          </cell>
          <cell r="E1050" t="str">
            <v>LB</v>
          </cell>
          <cell r="F1050">
            <v>0.1</v>
          </cell>
          <cell r="G1050">
            <v>3585</v>
          </cell>
          <cell r="H1050">
            <v>359</v>
          </cell>
        </row>
        <row r="1051">
          <cell r="A1051" t="str">
            <v>021.059</v>
          </cell>
          <cell r="B1051" t="str">
            <v>I957</v>
          </cell>
          <cell r="C1051" t="str">
            <v>LISTON 2 X 4</v>
          </cell>
          <cell r="D1051" t="str">
            <v>Insumo</v>
          </cell>
          <cell r="E1051" t="str">
            <v>M</v>
          </cell>
          <cell r="F1051">
            <v>2.145</v>
          </cell>
          <cell r="G1051">
            <v>3244</v>
          </cell>
          <cell r="H1051">
            <v>6958</v>
          </cell>
        </row>
        <row r="1052">
          <cell r="A1052" t="str">
            <v>021.059</v>
          </cell>
          <cell r="B1052" t="str">
            <v>I990</v>
          </cell>
          <cell r="C1052" t="str">
            <v>TABLA 1"X10"X3M</v>
          </cell>
          <cell r="D1052" t="str">
            <v>Insumo</v>
          </cell>
          <cell r="E1052" t="str">
            <v>UND</v>
          </cell>
          <cell r="F1052">
            <v>0.67</v>
          </cell>
          <cell r="G1052">
            <v>10606</v>
          </cell>
          <cell r="H1052">
            <v>7106</v>
          </cell>
        </row>
        <row r="1054">
          <cell r="A1054" t="str">
            <v>019.017</v>
          </cell>
          <cell r="B1054" t="str">
            <v>-</v>
          </cell>
          <cell r="C1054" t="str">
            <v>SUMINISTRO, TRANSPORTE E INSTALACION DEMARCACION HORIZONTAL DE VIAS PINTURA TIPO TRAFICO</v>
          </cell>
          <cell r="D1054" t="str">
            <v>Actividad</v>
          </cell>
          <cell r="E1054" t="str">
            <v>M2</v>
          </cell>
          <cell r="H1054">
            <v>25554</v>
          </cell>
        </row>
        <row r="1055">
          <cell r="A1055" t="str">
            <v>019.017</v>
          </cell>
          <cell r="B1055" t="str">
            <v>C3</v>
          </cell>
          <cell r="C1055" t="str">
            <v>CUADRILLA CC TIPO 1 (1 OFICIAL + 1 AYUDANTE) (Pintura)</v>
          </cell>
          <cell r="D1055" t="str">
            <v>Cuadrilla</v>
          </cell>
          <cell r="E1055" t="str">
            <v>HR</v>
          </cell>
          <cell r="F1055">
            <v>0.6</v>
          </cell>
          <cell r="G1055">
            <v>19217</v>
          </cell>
          <cell r="H1055">
            <v>11530</v>
          </cell>
        </row>
        <row r="1056">
          <cell r="A1056" t="str">
            <v>019.017</v>
          </cell>
          <cell r="B1056" t="str">
            <v>E12</v>
          </cell>
          <cell r="C1056" t="str">
            <v>EQUIPO DE TRANSPORTE</v>
          </cell>
          <cell r="D1056" t="str">
            <v>Equipos</v>
          </cell>
          <cell r="E1056" t="str">
            <v>DIA</v>
          </cell>
          <cell r="F1056">
            <v>1.7099999999999999E-3</v>
          </cell>
          <cell r="G1056">
            <v>131205</v>
          </cell>
          <cell r="H1056">
            <v>224</v>
          </cell>
        </row>
        <row r="1057">
          <cell r="A1057" t="str">
            <v>019.017</v>
          </cell>
          <cell r="B1057" t="str">
            <v>H2</v>
          </cell>
          <cell r="C1057" t="str">
            <v>EQUIPO BASICO (HERRAMIENTA MENOR)</v>
          </cell>
          <cell r="D1057" t="str">
            <v>Herramienta</v>
          </cell>
          <cell r="E1057" t="str">
            <v>UND</v>
          </cell>
          <cell r="F1057">
            <v>0.6</v>
          </cell>
          <cell r="G1057">
            <v>2536</v>
          </cell>
          <cell r="H1057">
            <v>1522</v>
          </cell>
        </row>
        <row r="1058">
          <cell r="A1058" t="str">
            <v>019.017</v>
          </cell>
          <cell r="B1058" t="str">
            <v>I1015</v>
          </cell>
          <cell r="C1058" t="str">
            <v>PINTURA ACRILICA PARA TRAFICO TIPO PINTUCO (PINTUTRÁFICO) O SIMILAR - COLORES: BLANCO, AMARILLO O NEGRO SEGÚN DISEÑO.</v>
          </cell>
          <cell r="D1058" t="str">
            <v>Insumo</v>
          </cell>
          <cell r="E1058" t="str">
            <v>GAL</v>
          </cell>
          <cell r="F1058">
            <v>0.1</v>
          </cell>
          <cell r="G1058">
            <v>91659</v>
          </cell>
          <cell r="H1058">
            <v>9166</v>
          </cell>
        </row>
        <row r="1059">
          <cell r="A1059" t="str">
            <v>019.017</v>
          </cell>
          <cell r="B1059" t="str">
            <v>I1565</v>
          </cell>
          <cell r="C1059" t="str">
            <v>ACARREO INTERNO</v>
          </cell>
          <cell r="D1059" t="str">
            <v>Insumo</v>
          </cell>
          <cell r="E1059" t="str">
            <v>UND</v>
          </cell>
          <cell r="F1059">
            <v>0.8</v>
          </cell>
          <cell r="G1059">
            <v>1327</v>
          </cell>
          <cell r="H1059">
            <v>1062</v>
          </cell>
        </row>
        <row r="1060">
          <cell r="A1060" t="str">
            <v>019.017</v>
          </cell>
          <cell r="B1060" t="str">
            <v>I495</v>
          </cell>
          <cell r="C1060" t="str">
            <v>MOLDES GUIA METALICOS PINTURA</v>
          </cell>
          <cell r="D1060" t="str">
            <v>Insumo</v>
          </cell>
          <cell r="E1060" t="str">
            <v>M2</v>
          </cell>
          <cell r="F1060">
            <v>1</v>
          </cell>
          <cell r="G1060">
            <v>2050</v>
          </cell>
          <cell r="H1060">
            <v>2050</v>
          </cell>
        </row>
        <row r="1062">
          <cell r="A1062" t="str">
            <v>021.025</v>
          </cell>
          <cell r="B1062" t="str">
            <v>-</v>
          </cell>
          <cell r="C1062" t="str">
            <v>SUMINISTRO, TRANSPORTE E INSTALACION ARBOL DE GRAN PORTE H=1,50M</v>
          </cell>
          <cell r="D1062" t="str">
            <v>Actividad</v>
          </cell>
          <cell r="E1062" t="str">
            <v>UND</v>
          </cell>
          <cell r="H1062">
            <v>207672</v>
          </cell>
        </row>
        <row r="1063">
          <cell r="A1063" t="str">
            <v>021.025</v>
          </cell>
          <cell r="B1063" t="str">
            <v>C1</v>
          </cell>
          <cell r="C1063" t="str">
            <v>CUADRILLA AA TIPO 1 (1 OFICIAL + 1 AYUDANTE) (Albañileria)</v>
          </cell>
          <cell r="D1063" t="str">
            <v>Cuadrilla</v>
          </cell>
          <cell r="E1063" t="str">
            <v>HR</v>
          </cell>
          <cell r="F1063">
            <v>1.7</v>
          </cell>
          <cell r="G1063">
            <v>16712</v>
          </cell>
          <cell r="H1063">
            <v>28410</v>
          </cell>
        </row>
        <row r="1064">
          <cell r="A1064" t="str">
            <v>021.025</v>
          </cell>
          <cell r="B1064" t="str">
            <v>E12</v>
          </cell>
          <cell r="C1064" t="str">
            <v>EQUIPO DE TRANSPORTE</v>
          </cell>
          <cell r="D1064" t="str">
            <v>Equipos</v>
          </cell>
          <cell r="E1064" t="str">
            <v>DIA</v>
          </cell>
          <cell r="F1064">
            <v>0.03</v>
          </cell>
          <cell r="G1064">
            <v>131205</v>
          </cell>
          <cell r="H1064">
            <v>3936</v>
          </cell>
        </row>
        <row r="1065">
          <cell r="A1065" t="str">
            <v>021.025</v>
          </cell>
          <cell r="B1065" t="str">
            <v>H2</v>
          </cell>
          <cell r="C1065" t="str">
            <v>EQUIPO BASICO (HERRAMIENTA MENOR)</v>
          </cell>
          <cell r="D1065" t="str">
            <v>Herramienta</v>
          </cell>
          <cell r="E1065" t="str">
            <v>UND</v>
          </cell>
          <cell r="F1065">
            <v>0.23</v>
          </cell>
          <cell r="G1065">
            <v>2536</v>
          </cell>
          <cell r="H1065">
            <v>583</v>
          </cell>
        </row>
        <row r="1066">
          <cell r="A1066" t="str">
            <v>021.025</v>
          </cell>
          <cell r="B1066" t="str">
            <v>I1565</v>
          </cell>
          <cell r="C1066" t="str">
            <v>ACARREO INTERNO</v>
          </cell>
          <cell r="D1066" t="str">
            <v>Insumo</v>
          </cell>
          <cell r="E1066" t="str">
            <v>UND</v>
          </cell>
          <cell r="F1066">
            <v>1.8</v>
          </cell>
          <cell r="G1066">
            <v>1327</v>
          </cell>
          <cell r="H1066">
            <v>2389</v>
          </cell>
        </row>
        <row r="1067">
          <cell r="A1067" t="str">
            <v>021.025</v>
          </cell>
          <cell r="B1067" t="str">
            <v>I384</v>
          </cell>
          <cell r="C1067" t="str">
            <v>ARBOL DE GRAN PORTE</v>
          </cell>
          <cell r="D1067" t="str">
            <v>Insumo</v>
          </cell>
          <cell r="E1067" t="str">
            <v>UND</v>
          </cell>
          <cell r="F1067">
            <v>1</v>
          </cell>
          <cell r="G1067">
            <v>172354</v>
          </cell>
          <cell r="H1067">
            <v>172354</v>
          </cell>
        </row>
        <row r="1070">
          <cell r="A1070" t="str">
            <v>008</v>
          </cell>
          <cell r="C1070" t="str">
            <v>OBRAS ELECTRICAS</v>
          </cell>
          <cell r="D1070" t="str">
            <v>Capitulo</v>
          </cell>
        </row>
        <row r="1072">
          <cell r="A1072" t="str">
            <v>015.200</v>
          </cell>
          <cell r="B1072" t="str">
            <v>-</v>
          </cell>
          <cell r="C1072" t="str">
            <v>SUMINISTRO, TRANSPORTE E INSTALACIÓN LAMPARA HERMETICA LED 2 X 18W 6500 K Ó SIMILAR (INCLUYE ACCESORIOS DE FIJACIÓN E INSTALACIÓN)</v>
          </cell>
          <cell r="D1072" t="str">
            <v>Actividad</v>
          </cell>
          <cell r="E1072" t="str">
            <v>UND</v>
          </cell>
          <cell r="H1072">
            <v>122200</v>
          </cell>
        </row>
        <row r="1073">
          <cell r="A1073" t="str">
            <v>015.200</v>
          </cell>
          <cell r="B1073" t="str">
            <v>C13</v>
          </cell>
          <cell r="C1073" t="str">
            <v>CUADRILLA FF TIPO 2 (1 OFICIAL + 2 AYUDANTE) (Electricas)</v>
          </cell>
          <cell r="D1073" t="str">
            <v>Cuadrilla</v>
          </cell>
          <cell r="E1073" t="str">
            <v>HR</v>
          </cell>
          <cell r="F1073">
            <v>0.5</v>
          </cell>
          <cell r="G1073">
            <v>33348</v>
          </cell>
          <cell r="H1073">
            <v>16674</v>
          </cell>
        </row>
        <row r="1074">
          <cell r="A1074" t="str">
            <v>015.200</v>
          </cell>
          <cell r="B1074" t="str">
            <v>E1</v>
          </cell>
          <cell r="C1074" t="str">
            <v>ANDAMIO METALICO CERTIFICADO, INCLUYE ESCALERILLA CON BARANDAS Y PLATAFORMAS DE TRABAJO</v>
          </cell>
          <cell r="D1074" t="str">
            <v>Equipos</v>
          </cell>
          <cell r="E1074" t="str">
            <v>UND</v>
          </cell>
          <cell r="F1074">
            <v>0.15</v>
          </cell>
          <cell r="G1074">
            <v>7257</v>
          </cell>
          <cell r="H1074">
            <v>1089</v>
          </cell>
        </row>
        <row r="1075">
          <cell r="A1075" t="str">
            <v>015.200</v>
          </cell>
          <cell r="B1075" t="str">
            <v>E12</v>
          </cell>
          <cell r="C1075" t="str">
            <v>EQUIPO DE TRANSPORTE</v>
          </cell>
          <cell r="D1075" t="str">
            <v>Equipos</v>
          </cell>
          <cell r="E1075" t="str">
            <v>DIA</v>
          </cell>
          <cell r="F1075">
            <v>3.04E-2</v>
          </cell>
          <cell r="G1075">
            <v>131205</v>
          </cell>
          <cell r="H1075">
            <v>3989</v>
          </cell>
        </row>
        <row r="1076">
          <cell r="A1076" t="str">
            <v>015.200</v>
          </cell>
          <cell r="B1076" t="str">
            <v>H2</v>
          </cell>
          <cell r="C1076" t="str">
            <v>EQUIPO BASICO (HERRAMIENTA MENOR)</v>
          </cell>
          <cell r="D1076" t="str">
            <v>Herramienta</v>
          </cell>
          <cell r="E1076" t="str">
            <v>UND</v>
          </cell>
          <cell r="F1076">
            <v>0.7</v>
          </cell>
          <cell r="G1076">
            <v>2536</v>
          </cell>
          <cell r="H1076">
            <v>1775</v>
          </cell>
        </row>
        <row r="1077">
          <cell r="A1077" t="str">
            <v>015.200</v>
          </cell>
          <cell r="B1077" t="str">
            <v>I1110</v>
          </cell>
          <cell r="C1077" t="str">
            <v>ACCESORIOS DE FIJACION</v>
          </cell>
          <cell r="D1077" t="str">
            <v>Insumo</v>
          </cell>
          <cell r="E1077" t="str">
            <v>UND</v>
          </cell>
          <cell r="F1077">
            <v>4</v>
          </cell>
          <cell r="G1077">
            <v>1792</v>
          </cell>
          <cell r="H1077">
            <v>7168</v>
          </cell>
        </row>
        <row r="1078">
          <cell r="A1078" t="str">
            <v>015.200</v>
          </cell>
          <cell r="B1078" t="str">
            <v>I1565</v>
          </cell>
          <cell r="C1078" t="str">
            <v>ACARREO INTERNO</v>
          </cell>
          <cell r="D1078" t="str">
            <v>Insumo</v>
          </cell>
          <cell r="E1078" t="str">
            <v>UND</v>
          </cell>
          <cell r="F1078">
            <v>0.79</v>
          </cell>
          <cell r="G1078">
            <v>1327</v>
          </cell>
          <cell r="H1078">
            <v>1048</v>
          </cell>
        </row>
        <row r="1079">
          <cell r="A1079" t="str">
            <v>015.200</v>
          </cell>
          <cell r="B1079" t="str">
            <v>I1880</v>
          </cell>
          <cell r="C1079" t="str">
            <v>LAMPARA HERMETICA LED 2X18 TUBO LED 6500 K O SIMILAR</v>
          </cell>
          <cell r="D1079" t="str">
            <v>Insumo</v>
          </cell>
          <cell r="E1079" t="str">
            <v>UND</v>
          </cell>
          <cell r="F1079">
            <v>1</v>
          </cell>
          <cell r="G1079">
            <v>90457</v>
          </cell>
          <cell r="H1079">
            <v>90457</v>
          </cell>
        </row>
        <row r="1081">
          <cell r="A1081" t="str">
            <v>015.201</v>
          </cell>
          <cell r="B1081" t="str">
            <v>-</v>
          </cell>
          <cell r="C1081" t="str">
            <v>SUMINISTRO, TRANSPORTE E INSTALACION SALIDA ILUMINACION EN TUBERIA CONDUIT EMT 3/4", ALAMBRE No 12 AWG HFFR LS</v>
          </cell>
          <cell r="D1081" t="str">
            <v>Actividad</v>
          </cell>
          <cell r="E1081" t="str">
            <v>UND</v>
          </cell>
          <cell r="H1081">
            <v>106794</v>
          </cell>
        </row>
        <row r="1082">
          <cell r="A1082" t="str">
            <v>015.201</v>
          </cell>
          <cell r="B1082" t="str">
            <v>C13</v>
          </cell>
          <cell r="C1082" t="str">
            <v>CUADRILLA FF TIPO 2 (1 OFICIAL + 2 AYUDANTE) (Electricas)</v>
          </cell>
          <cell r="D1082" t="str">
            <v>Cuadrilla</v>
          </cell>
          <cell r="E1082" t="str">
            <v>HR</v>
          </cell>
          <cell r="F1082">
            <v>1</v>
          </cell>
          <cell r="G1082">
            <v>33348</v>
          </cell>
          <cell r="H1082">
            <v>33348</v>
          </cell>
        </row>
        <row r="1083">
          <cell r="A1083" t="str">
            <v>015.201</v>
          </cell>
          <cell r="B1083" t="str">
            <v>E12</v>
          </cell>
          <cell r="C1083" t="str">
            <v>EQUIPO DE TRANSPORTE</v>
          </cell>
          <cell r="D1083" t="str">
            <v>Equipos</v>
          </cell>
          <cell r="E1083" t="str">
            <v>DIA</v>
          </cell>
          <cell r="F1083">
            <v>9.5999999999999992E-3</v>
          </cell>
          <cell r="G1083">
            <v>131205</v>
          </cell>
          <cell r="H1083">
            <v>1260</v>
          </cell>
        </row>
        <row r="1084">
          <cell r="A1084" t="str">
            <v>015.201</v>
          </cell>
          <cell r="B1084" t="str">
            <v>H2</v>
          </cell>
          <cell r="C1084" t="str">
            <v>EQUIPO BASICO (HERRAMIENTA MENOR)</v>
          </cell>
          <cell r="D1084" t="str">
            <v>Herramienta</v>
          </cell>
          <cell r="E1084" t="str">
            <v>UND</v>
          </cell>
          <cell r="F1084">
            <v>0.5</v>
          </cell>
          <cell r="G1084">
            <v>2536</v>
          </cell>
          <cell r="H1084">
            <v>1268</v>
          </cell>
        </row>
        <row r="1085">
          <cell r="A1085" t="str">
            <v>015.201</v>
          </cell>
          <cell r="B1085" t="str">
            <v>I1116</v>
          </cell>
          <cell r="C1085" t="str">
            <v>ACCESORIOS FIJACION TUBERIA EMT 3/4" (ABRAZADERA, ALAMBRE)</v>
          </cell>
          <cell r="D1085" t="str">
            <v>Insumo</v>
          </cell>
          <cell r="E1085" t="str">
            <v>UND</v>
          </cell>
          <cell r="F1085">
            <v>2</v>
          </cell>
          <cell r="G1085">
            <v>2152</v>
          </cell>
          <cell r="H1085">
            <v>4304</v>
          </cell>
        </row>
        <row r="1086">
          <cell r="A1086" t="str">
            <v>015.201</v>
          </cell>
          <cell r="B1086" t="str">
            <v>I1129</v>
          </cell>
          <cell r="C1086" t="str">
            <v>ACCESORIOS TUBERIA EMT 3/4" (UNION Y CURVA)</v>
          </cell>
          <cell r="D1086" t="str">
            <v>Insumo</v>
          </cell>
          <cell r="E1086" t="str">
            <v>UND</v>
          </cell>
          <cell r="F1086">
            <v>2</v>
          </cell>
          <cell r="G1086">
            <v>4524</v>
          </cell>
          <cell r="H1086">
            <v>9048</v>
          </cell>
        </row>
        <row r="1087">
          <cell r="A1087" t="str">
            <v>015.201</v>
          </cell>
          <cell r="B1087" t="str">
            <v>I1747</v>
          </cell>
          <cell r="C1087" t="str">
            <v>SUMINISTRO DE ALAMBRE  12AWG HFFR LS 600V 75º CT</v>
          </cell>
          <cell r="D1087" t="str">
            <v>Insumo</v>
          </cell>
          <cell r="E1087" t="str">
            <v>ML</v>
          </cell>
          <cell r="F1087">
            <v>9</v>
          </cell>
          <cell r="G1087">
            <v>1589</v>
          </cell>
          <cell r="H1087">
            <v>14301</v>
          </cell>
        </row>
        <row r="1088">
          <cell r="A1088" t="str">
            <v>015.201</v>
          </cell>
          <cell r="B1088" t="str">
            <v>I1186</v>
          </cell>
          <cell r="C1088" t="str">
            <v>CABLE DE COBRE ENCAUCHETADO 3 X 16 THHN</v>
          </cell>
          <cell r="D1088" t="str">
            <v>Insumo</v>
          </cell>
          <cell r="E1088" t="str">
            <v>M</v>
          </cell>
          <cell r="F1088">
            <v>1</v>
          </cell>
          <cell r="G1088">
            <v>3597</v>
          </cell>
          <cell r="H1088">
            <v>3597</v>
          </cell>
        </row>
        <row r="1089">
          <cell r="A1089" t="str">
            <v>015.201</v>
          </cell>
          <cell r="B1089" t="str">
            <v>I1227</v>
          </cell>
          <cell r="C1089" t="str">
            <v>CONDULETA EN T Ó L 3/4" NPT</v>
          </cell>
          <cell r="D1089" t="str">
            <v>Insumo</v>
          </cell>
          <cell r="E1089" t="str">
            <v>UND</v>
          </cell>
          <cell r="F1089">
            <v>1</v>
          </cell>
          <cell r="G1089">
            <v>11336</v>
          </cell>
          <cell r="H1089">
            <v>11336</v>
          </cell>
        </row>
        <row r="1090">
          <cell r="A1090" t="str">
            <v>015.201</v>
          </cell>
          <cell r="B1090" t="str">
            <v>I1375</v>
          </cell>
          <cell r="C1090" t="str">
            <v>PRENSA ESTOPA ALUMINIO 3/4" NPT</v>
          </cell>
          <cell r="D1090" t="str">
            <v>Insumo</v>
          </cell>
          <cell r="E1090" t="str">
            <v>UND</v>
          </cell>
          <cell r="F1090">
            <v>1</v>
          </cell>
          <cell r="G1090">
            <v>6453</v>
          </cell>
          <cell r="H1090">
            <v>6453</v>
          </cell>
        </row>
        <row r="1091">
          <cell r="A1091" t="str">
            <v>015.201</v>
          </cell>
          <cell r="B1091" t="str">
            <v>I1461</v>
          </cell>
          <cell r="C1091" t="str">
            <v xml:space="preserve">TUBO CONDUIT GALVANIZADA EMT 3/4" </v>
          </cell>
          <cell r="D1091" t="str">
            <v>Insumo</v>
          </cell>
          <cell r="E1091" t="str">
            <v>M</v>
          </cell>
          <cell r="F1091">
            <v>3</v>
          </cell>
          <cell r="G1091">
            <v>6364</v>
          </cell>
          <cell r="H1091">
            <v>19092</v>
          </cell>
        </row>
        <row r="1092">
          <cell r="A1092" t="str">
            <v>015.201</v>
          </cell>
          <cell r="B1092" t="str">
            <v>I1565</v>
          </cell>
          <cell r="C1092" t="str">
            <v>ACARREO INTERNO</v>
          </cell>
          <cell r="D1092" t="str">
            <v>Insumo</v>
          </cell>
          <cell r="E1092" t="str">
            <v>UND</v>
          </cell>
          <cell r="F1092">
            <v>2.1</v>
          </cell>
          <cell r="G1092">
            <v>1327</v>
          </cell>
          <cell r="H1092">
            <v>2787</v>
          </cell>
        </row>
        <row r="1094">
          <cell r="A1094" t="str">
            <v>015.202</v>
          </cell>
          <cell r="B1094" t="str">
            <v>-</v>
          </cell>
          <cell r="C1094" t="str">
            <v>SUMINISTRO, TRANSPORTE E INSTALACION SALIDA INTERRUPTOR SENCILLO EN TUBERIA CONDUIT EMT 3/4", ALAMBRE No 12 AWG HFFR LS</v>
          </cell>
          <cell r="D1094" t="str">
            <v>Actividad</v>
          </cell>
          <cell r="E1094" t="str">
            <v>UND</v>
          </cell>
          <cell r="H1094">
            <v>113697</v>
          </cell>
        </row>
        <row r="1095">
          <cell r="A1095" t="str">
            <v>015.202</v>
          </cell>
          <cell r="B1095" t="str">
            <v>C13</v>
          </cell>
          <cell r="C1095" t="str">
            <v>CUADRILLA FF TIPO 2 (1 OFICIAL + 2 AYUDANTE) (Electricas)</v>
          </cell>
          <cell r="D1095" t="str">
            <v>Cuadrilla</v>
          </cell>
          <cell r="E1095" t="str">
            <v>HR</v>
          </cell>
          <cell r="F1095">
            <v>1</v>
          </cell>
          <cell r="G1095">
            <v>33348</v>
          </cell>
          <cell r="H1095">
            <v>33348</v>
          </cell>
        </row>
        <row r="1096">
          <cell r="A1096" t="str">
            <v>015.202</v>
          </cell>
          <cell r="B1096" t="str">
            <v>E12</v>
          </cell>
          <cell r="C1096" t="str">
            <v>EQUIPO DE TRANSPORTE</v>
          </cell>
          <cell r="D1096" t="str">
            <v>Equipos</v>
          </cell>
          <cell r="E1096" t="str">
            <v>DIA</v>
          </cell>
          <cell r="F1096">
            <v>1.03E-2</v>
          </cell>
          <cell r="G1096">
            <v>131205</v>
          </cell>
          <cell r="H1096">
            <v>1351</v>
          </cell>
        </row>
        <row r="1097">
          <cell r="A1097" t="str">
            <v>015.202</v>
          </cell>
          <cell r="B1097" t="str">
            <v>H2</v>
          </cell>
          <cell r="C1097" t="str">
            <v>EQUIPO BASICO (HERRAMIENTA MENOR)</v>
          </cell>
          <cell r="D1097" t="str">
            <v>Herramienta</v>
          </cell>
          <cell r="E1097" t="str">
            <v>UND</v>
          </cell>
          <cell r="F1097">
            <v>0.5</v>
          </cell>
          <cell r="G1097">
            <v>2536</v>
          </cell>
          <cell r="H1097">
            <v>1268</v>
          </cell>
        </row>
        <row r="1098">
          <cell r="A1098" t="str">
            <v>015.202</v>
          </cell>
          <cell r="B1098" t="str">
            <v>I1116</v>
          </cell>
          <cell r="C1098" t="str">
            <v>ACCESORIOS FIJACION TUBERIA EMT 3/4" (ABRAZADERA, ALAMBRE)</v>
          </cell>
          <cell r="D1098" t="str">
            <v>Insumo</v>
          </cell>
          <cell r="E1098" t="str">
            <v>UND</v>
          </cell>
          <cell r="F1098">
            <v>2</v>
          </cell>
          <cell r="G1098">
            <v>2152</v>
          </cell>
          <cell r="H1098">
            <v>4304</v>
          </cell>
        </row>
        <row r="1099">
          <cell r="A1099" t="str">
            <v>015.202</v>
          </cell>
          <cell r="B1099" t="str">
            <v>I1129</v>
          </cell>
          <cell r="C1099" t="str">
            <v>ACCESORIOS TUBERIA EMT 3/4" (UNION Y CURVA)</v>
          </cell>
          <cell r="D1099" t="str">
            <v>Insumo</v>
          </cell>
          <cell r="E1099" t="str">
            <v>UND</v>
          </cell>
          <cell r="F1099">
            <v>2</v>
          </cell>
          <cell r="G1099">
            <v>4524</v>
          </cell>
          <cell r="H1099">
            <v>9048</v>
          </cell>
        </row>
        <row r="1100">
          <cell r="A1100" t="str">
            <v>015.202</v>
          </cell>
          <cell r="B1100" t="str">
            <v>I1747</v>
          </cell>
          <cell r="C1100" t="str">
            <v>SUMINISTRO DE ALAMBRE  12AWG HFFR LS 600V 75º CT</v>
          </cell>
          <cell r="D1100" t="str">
            <v>Insumo</v>
          </cell>
          <cell r="E1100" t="str">
            <v>ML</v>
          </cell>
          <cell r="F1100">
            <v>15</v>
          </cell>
          <cell r="G1100">
            <v>1589</v>
          </cell>
          <cell r="H1100">
            <v>23835</v>
          </cell>
        </row>
        <row r="1101">
          <cell r="A1101" t="str">
            <v>015.202</v>
          </cell>
          <cell r="B1101" t="str">
            <v>I1206</v>
          </cell>
          <cell r="C1101" t="str">
            <v xml:space="preserve">CAJA METALICA GALVANIZADA (REF: 5800) </v>
          </cell>
          <cell r="D1101" t="str">
            <v>Insumo</v>
          </cell>
          <cell r="E1101" t="str">
            <v>UND</v>
          </cell>
          <cell r="F1101">
            <v>1</v>
          </cell>
          <cell r="G1101">
            <v>1871</v>
          </cell>
          <cell r="H1101">
            <v>1871</v>
          </cell>
        </row>
        <row r="1102">
          <cell r="A1102" t="str">
            <v>015.202</v>
          </cell>
          <cell r="B1102" t="str">
            <v>I1333</v>
          </cell>
          <cell r="C1102" t="str">
            <v xml:space="preserve">INTERRUPTOR SENCILLO </v>
          </cell>
          <cell r="D1102" t="str">
            <v>Insumo</v>
          </cell>
          <cell r="E1102" t="str">
            <v>HR</v>
          </cell>
          <cell r="F1102">
            <v>1</v>
          </cell>
          <cell r="G1102">
            <v>4065</v>
          </cell>
          <cell r="H1102">
            <v>4065</v>
          </cell>
        </row>
        <row r="1103">
          <cell r="A1103" t="str">
            <v>015.202</v>
          </cell>
          <cell r="B1103" t="str">
            <v>I1461</v>
          </cell>
          <cell r="C1103" t="str">
            <v xml:space="preserve">TUBO CONDUIT GALVANIZADA EMT 3/4" </v>
          </cell>
          <cell r="D1103" t="str">
            <v>Insumo</v>
          </cell>
          <cell r="E1103" t="str">
            <v>M</v>
          </cell>
          <cell r="F1103">
            <v>5</v>
          </cell>
          <cell r="G1103">
            <v>6364</v>
          </cell>
          <cell r="H1103">
            <v>31820</v>
          </cell>
        </row>
        <row r="1104">
          <cell r="A1104" t="str">
            <v>015.202</v>
          </cell>
          <cell r="B1104" t="str">
            <v>I1565</v>
          </cell>
          <cell r="C1104" t="str">
            <v>ACARREO INTERNO</v>
          </cell>
          <cell r="D1104" t="str">
            <v>Insumo</v>
          </cell>
          <cell r="E1104" t="str">
            <v>UND</v>
          </cell>
          <cell r="F1104">
            <v>2.1</v>
          </cell>
          <cell r="G1104">
            <v>1327</v>
          </cell>
          <cell r="H1104">
            <v>2787</v>
          </cell>
        </row>
        <row r="1106">
          <cell r="A1106" t="str">
            <v>015.203</v>
          </cell>
          <cell r="B1106" t="str">
            <v>-</v>
          </cell>
          <cell r="C1106" t="str">
            <v>SUMINISTRO, TRANSPORTE E INSTALACION SALIDA INTERRUPTOR DOBLE EN TUBERIA CONDUIT EMT 3/4", ALAMBRE No 12 AWG HFFR LS</v>
          </cell>
          <cell r="D1106" t="str">
            <v>Actividad</v>
          </cell>
          <cell r="E1106" t="str">
            <v>UND</v>
          </cell>
          <cell r="H1106">
            <v>123429</v>
          </cell>
        </row>
        <row r="1107">
          <cell r="A1107" t="str">
            <v>015.203</v>
          </cell>
          <cell r="B1107" t="str">
            <v>C13</v>
          </cell>
          <cell r="C1107" t="str">
            <v>CUADRILLA FF TIPO 2 (1 OFICIAL + 2 AYUDANTE) (Electricas)</v>
          </cell>
          <cell r="D1107" t="str">
            <v>Cuadrilla</v>
          </cell>
          <cell r="E1107" t="str">
            <v>HR</v>
          </cell>
          <cell r="F1107">
            <v>1</v>
          </cell>
          <cell r="G1107">
            <v>33348</v>
          </cell>
          <cell r="H1107">
            <v>33348</v>
          </cell>
        </row>
        <row r="1108">
          <cell r="A1108" t="str">
            <v>015.203</v>
          </cell>
          <cell r="B1108" t="str">
            <v>E12</v>
          </cell>
          <cell r="C1108" t="str">
            <v>EQUIPO DE TRANSPORTE</v>
          </cell>
          <cell r="D1108" t="str">
            <v>Equipos</v>
          </cell>
          <cell r="E1108" t="str">
            <v>DIA</v>
          </cell>
          <cell r="F1108">
            <v>1.14E-2</v>
          </cell>
          <cell r="G1108">
            <v>131205</v>
          </cell>
          <cell r="H1108">
            <v>1496</v>
          </cell>
        </row>
        <row r="1109">
          <cell r="A1109" t="str">
            <v>015.203</v>
          </cell>
          <cell r="B1109" t="str">
            <v>H2</v>
          </cell>
          <cell r="C1109" t="str">
            <v>EQUIPO BASICO (HERRAMIENTA MENOR)</v>
          </cell>
          <cell r="D1109" t="str">
            <v>Herramienta</v>
          </cell>
          <cell r="E1109" t="str">
            <v>UND</v>
          </cell>
          <cell r="F1109">
            <v>0.5</v>
          </cell>
          <cell r="G1109">
            <v>2536</v>
          </cell>
          <cell r="H1109">
            <v>1268</v>
          </cell>
        </row>
        <row r="1110">
          <cell r="A1110" t="str">
            <v>015.203</v>
          </cell>
          <cell r="B1110" t="str">
            <v>I1116</v>
          </cell>
          <cell r="C1110" t="str">
            <v>ACCESORIOS FIJACION TUBERIA EMT 3/4" (ABRAZADERA, ALAMBRE)</v>
          </cell>
          <cell r="D1110" t="str">
            <v>Insumo</v>
          </cell>
          <cell r="E1110" t="str">
            <v>UND</v>
          </cell>
          <cell r="F1110">
            <v>2</v>
          </cell>
          <cell r="G1110">
            <v>2152</v>
          </cell>
          <cell r="H1110">
            <v>4304</v>
          </cell>
        </row>
        <row r="1111">
          <cell r="A1111" t="str">
            <v>015.203</v>
          </cell>
          <cell r="B1111" t="str">
            <v>I1129</v>
          </cell>
          <cell r="C1111" t="str">
            <v>ACCESORIOS TUBERIA EMT 3/4" (UNION Y CURVA)</v>
          </cell>
          <cell r="D1111" t="str">
            <v>Insumo</v>
          </cell>
          <cell r="E1111" t="str">
            <v>UND</v>
          </cell>
          <cell r="F1111">
            <v>2</v>
          </cell>
          <cell r="G1111">
            <v>4524</v>
          </cell>
          <cell r="H1111">
            <v>9048</v>
          </cell>
        </row>
        <row r="1112">
          <cell r="A1112" t="str">
            <v>015.203</v>
          </cell>
          <cell r="B1112" t="str">
            <v>I1747</v>
          </cell>
          <cell r="C1112" t="str">
            <v>SUMINISTRO DE ALAMBRE  12AWG HFFR LS 600V 75º CT</v>
          </cell>
          <cell r="D1112" t="str">
            <v>Insumo</v>
          </cell>
          <cell r="E1112" t="str">
            <v>ML</v>
          </cell>
          <cell r="F1112">
            <v>20</v>
          </cell>
          <cell r="G1112">
            <v>1589</v>
          </cell>
          <cell r="H1112">
            <v>31780</v>
          </cell>
        </row>
        <row r="1113">
          <cell r="A1113" t="str">
            <v>015.203</v>
          </cell>
          <cell r="B1113" t="str">
            <v>I1206</v>
          </cell>
          <cell r="C1113" t="str">
            <v xml:space="preserve">CAJA METALICA GALVANIZADA (REF: 5800) </v>
          </cell>
          <cell r="D1113" t="str">
            <v>Insumo</v>
          </cell>
          <cell r="E1113" t="str">
            <v>UND</v>
          </cell>
          <cell r="F1113">
            <v>1</v>
          </cell>
          <cell r="G1113">
            <v>1871</v>
          </cell>
          <cell r="H1113">
            <v>1871</v>
          </cell>
        </row>
        <row r="1114">
          <cell r="A1114" t="str">
            <v>015.203</v>
          </cell>
          <cell r="B1114" t="str">
            <v>I1290</v>
          </cell>
          <cell r="C1114" t="str">
            <v>INTERRUPTOR DOBLE</v>
          </cell>
          <cell r="D1114" t="str">
            <v>Insumo</v>
          </cell>
          <cell r="E1114" t="str">
            <v>UND</v>
          </cell>
          <cell r="F1114">
            <v>1</v>
          </cell>
          <cell r="G1114">
            <v>5707</v>
          </cell>
          <cell r="H1114">
            <v>5707</v>
          </cell>
        </row>
        <row r="1115">
          <cell r="A1115" t="str">
            <v>015.203</v>
          </cell>
          <cell r="B1115" t="str">
            <v>I1461</v>
          </cell>
          <cell r="C1115" t="str">
            <v xml:space="preserve">TUBO CONDUIT GALVANIZADA EMT 3/4" </v>
          </cell>
          <cell r="D1115" t="str">
            <v>Insumo</v>
          </cell>
          <cell r="E1115" t="str">
            <v>M</v>
          </cell>
          <cell r="F1115">
            <v>5</v>
          </cell>
          <cell r="G1115">
            <v>6364</v>
          </cell>
          <cell r="H1115">
            <v>31820</v>
          </cell>
        </row>
        <row r="1116">
          <cell r="A1116" t="str">
            <v>015.203</v>
          </cell>
          <cell r="B1116" t="str">
            <v>I1565</v>
          </cell>
          <cell r="C1116" t="str">
            <v>ACARREO INTERNO</v>
          </cell>
          <cell r="D1116" t="str">
            <v>Insumo</v>
          </cell>
          <cell r="E1116" t="str">
            <v>UND</v>
          </cell>
          <cell r="F1116">
            <v>2.1</v>
          </cell>
          <cell r="G1116">
            <v>1327</v>
          </cell>
          <cell r="H1116">
            <v>2787</v>
          </cell>
        </row>
        <row r="1118">
          <cell r="A1118" t="str">
            <v>015.204</v>
          </cell>
          <cell r="B1118" t="str">
            <v>-</v>
          </cell>
          <cell r="C1118" t="str">
            <v>SUMINISTRO, TRANSPORTE E INSTALACION LUMINARIA PANEL LED DE INCRUSTAR 40W 120X30CMS</v>
          </cell>
          <cell r="D1118" t="str">
            <v>Actividad</v>
          </cell>
          <cell r="E1118" t="str">
            <v>UND</v>
          </cell>
          <cell r="H1118">
            <v>184551</v>
          </cell>
        </row>
        <row r="1119">
          <cell r="A1119" t="str">
            <v>015.204</v>
          </cell>
          <cell r="B1119" t="str">
            <v>C13</v>
          </cell>
          <cell r="C1119" t="str">
            <v>CUADRILLA FF TIPO 2 (1 OFICIAL + 2 AYUDANTE) (Electricas)</v>
          </cell>
          <cell r="D1119" t="str">
            <v>Cuadrilla</v>
          </cell>
          <cell r="E1119" t="str">
            <v>HR</v>
          </cell>
          <cell r="F1119">
            <v>0.8</v>
          </cell>
          <cell r="G1119">
            <v>33348</v>
          </cell>
          <cell r="H1119">
            <v>26678</v>
          </cell>
        </row>
        <row r="1120">
          <cell r="A1120" t="str">
            <v>015.204</v>
          </cell>
          <cell r="B1120" t="str">
            <v>E1</v>
          </cell>
          <cell r="C1120" t="str">
            <v>ANDAMIO METALICO CERTIFICADO, INCLUYE ESCALERILLA CON BARANDAS Y PLATAFORMAS DE TRABAJO</v>
          </cell>
          <cell r="D1120" t="str">
            <v>Equipos</v>
          </cell>
          <cell r="E1120" t="str">
            <v>UND</v>
          </cell>
          <cell r="F1120">
            <v>0.4</v>
          </cell>
          <cell r="G1120">
            <v>7257</v>
          </cell>
          <cell r="H1120">
            <v>2903</v>
          </cell>
        </row>
        <row r="1121">
          <cell r="A1121" t="str">
            <v>015.204</v>
          </cell>
          <cell r="B1121" t="str">
            <v>E12</v>
          </cell>
          <cell r="C1121" t="str">
            <v>EQUIPO DE TRANSPORTE</v>
          </cell>
          <cell r="D1121" t="str">
            <v>Equipos</v>
          </cell>
          <cell r="E1121" t="str">
            <v>DIA</v>
          </cell>
          <cell r="F1121">
            <v>0.03</v>
          </cell>
          <cell r="G1121">
            <v>131205</v>
          </cell>
          <cell r="H1121">
            <v>3936</v>
          </cell>
        </row>
        <row r="1122">
          <cell r="A1122" t="str">
            <v>015.204</v>
          </cell>
          <cell r="B1122" t="str">
            <v>H2</v>
          </cell>
          <cell r="C1122" t="str">
            <v>EQUIPO BASICO (HERRAMIENTA MENOR)</v>
          </cell>
          <cell r="D1122" t="str">
            <v>Herramienta</v>
          </cell>
          <cell r="E1122" t="str">
            <v>UND</v>
          </cell>
          <cell r="F1122">
            <v>0.5</v>
          </cell>
          <cell r="G1122">
            <v>2536</v>
          </cell>
          <cell r="H1122">
            <v>1268</v>
          </cell>
        </row>
        <row r="1123">
          <cell r="A1123" t="str">
            <v>015.204</v>
          </cell>
          <cell r="B1123" t="str">
            <v>I1110</v>
          </cell>
          <cell r="C1123" t="str">
            <v>ACCESORIOS DE FIJACION</v>
          </cell>
          <cell r="D1123" t="str">
            <v>Insumo</v>
          </cell>
          <cell r="E1123" t="str">
            <v>UND</v>
          </cell>
          <cell r="F1123">
            <v>4</v>
          </cell>
          <cell r="G1123">
            <v>1792</v>
          </cell>
          <cell r="H1123">
            <v>7168</v>
          </cell>
        </row>
        <row r="1124">
          <cell r="A1124" t="str">
            <v>015.204</v>
          </cell>
          <cell r="B1124" t="str">
            <v>I1565</v>
          </cell>
          <cell r="C1124" t="str">
            <v>ACARREO INTERNO</v>
          </cell>
          <cell r="D1124" t="str">
            <v>Insumo</v>
          </cell>
          <cell r="E1124" t="str">
            <v>UND</v>
          </cell>
          <cell r="F1124">
            <v>1.2</v>
          </cell>
          <cell r="G1124">
            <v>1327</v>
          </cell>
          <cell r="H1124">
            <v>1592</v>
          </cell>
        </row>
        <row r="1125">
          <cell r="A1125" t="str">
            <v>015.204</v>
          </cell>
          <cell r="B1125" t="str">
            <v>I1657</v>
          </cell>
          <cell r="C1125" t="str">
            <v>LUMINARIA PANEL LED DE INCRUSTAR 40 W 120X30CMS</v>
          </cell>
          <cell r="D1125" t="str">
            <v>Insumo</v>
          </cell>
          <cell r="E1125" t="str">
            <v>UND</v>
          </cell>
          <cell r="F1125">
            <v>1</v>
          </cell>
          <cell r="G1125">
            <v>141006</v>
          </cell>
          <cell r="H1125">
            <v>141006</v>
          </cell>
        </row>
        <row r="1127">
          <cell r="A1127" t="str">
            <v>015.205</v>
          </cell>
          <cell r="B1127" t="str">
            <v>-</v>
          </cell>
          <cell r="C1127" t="str">
            <v>SUMINISTRO, TRANSPORTE E INSTALACION LED SPOT DE INCRUSTAR 9W 720 LÚMENES TIPO SYLVANA O SIMILAR</v>
          </cell>
          <cell r="D1127" t="str">
            <v>Actividad</v>
          </cell>
          <cell r="E1127" t="str">
            <v>UND</v>
          </cell>
          <cell r="H1127">
            <v>44591</v>
          </cell>
        </row>
        <row r="1128">
          <cell r="A1128" t="str">
            <v>015.205</v>
          </cell>
          <cell r="B1128" t="str">
            <v>C13</v>
          </cell>
          <cell r="C1128" t="str">
            <v>CUADRILLA FF TIPO 2 (1 OFICIAL + 2 AYUDANTE) (Electricas)</v>
          </cell>
          <cell r="D1128" t="str">
            <v>Cuadrilla</v>
          </cell>
          <cell r="E1128" t="str">
            <v>HR</v>
          </cell>
          <cell r="F1128">
            <v>0.6</v>
          </cell>
          <cell r="G1128">
            <v>33348</v>
          </cell>
          <cell r="H1128">
            <v>20009</v>
          </cell>
        </row>
        <row r="1129">
          <cell r="A1129" t="str">
            <v>015.205</v>
          </cell>
          <cell r="B1129" t="str">
            <v>E1</v>
          </cell>
          <cell r="C1129" t="str">
            <v>ANDAMIO METALICO CERTIFICADO, INCLUYE ESCALERILLA CON BARANDAS Y PLATAFORMAS DE TRABAJO</v>
          </cell>
          <cell r="D1129" t="str">
            <v>Equipos</v>
          </cell>
          <cell r="E1129" t="str">
            <v>UND</v>
          </cell>
          <cell r="F1129">
            <v>0.4</v>
          </cell>
          <cell r="G1129">
            <v>7257</v>
          </cell>
          <cell r="H1129">
            <v>2903</v>
          </cell>
        </row>
        <row r="1130">
          <cell r="A1130" t="str">
            <v>015.205</v>
          </cell>
          <cell r="B1130" t="str">
            <v>E12</v>
          </cell>
          <cell r="C1130" t="str">
            <v>EQUIPO DE TRANSPORTE</v>
          </cell>
          <cell r="D1130" t="str">
            <v>Equipos</v>
          </cell>
          <cell r="E1130" t="str">
            <v>DIA</v>
          </cell>
          <cell r="F1130">
            <v>2.86E-2</v>
          </cell>
          <cell r="G1130">
            <v>131205</v>
          </cell>
          <cell r="H1130">
            <v>3752</v>
          </cell>
        </row>
        <row r="1131">
          <cell r="A1131" t="str">
            <v>015.205</v>
          </cell>
          <cell r="B1131" t="str">
            <v>H2</v>
          </cell>
          <cell r="C1131" t="str">
            <v>EQUIPO BASICO (HERRAMIENTA MENOR)</v>
          </cell>
          <cell r="D1131" t="str">
            <v>Herramienta</v>
          </cell>
          <cell r="E1131" t="str">
            <v>UND</v>
          </cell>
          <cell r="F1131">
            <v>0.5</v>
          </cell>
          <cell r="G1131">
            <v>2536</v>
          </cell>
          <cell r="H1131">
            <v>1268</v>
          </cell>
        </row>
        <row r="1132">
          <cell r="A1132" t="str">
            <v>015.205</v>
          </cell>
          <cell r="B1132" t="str">
            <v>I1110</v>
          </cell>
          <cell r="C1132" t="str">
            <v>ACCESORIOS DE FIJACION</v>
          </cell>
          <cell r="D1132" t="str">
            <v>Insumo</v>
          </cell>
          <cell r="E1132" t="str">
            <v>UND</v>
          </cell>
          <cell r="F1132">
            <v>0.5</v>
          </cell>
          <cell r="G1132">
            <v>1792</v>
          </cell>
          <cell r="H1132">
            <v>896</v>
          </cell>
        </row>
        <row r="1133">
          <cell r="A1133" t="str">
            <v>015.205</v>
          </cell>
          <cell r="B1133" t="str">
            <v>I1565</v>
          </cell>
          <cell r="C1133" t="str">
            <v>ACARREO INTERNO</v>
          </cell>
          <cell r="D1133" t="str">
            <v>Insumo</v>
          </cell>
          <cell r="E1133" t="str">
            <v>UND</v>
          </cell>
          <cell r="F1133">
            <v>1.2</v>
          </cell>
          <cell r="G1133">
            <v>1327</v>
          </cell>
          <cell r="H1133">
            <v>1592</v>
          </cell>
        </row>
        <row r="1134">
          <cell r="A1134" t="str">
            <v>015.205</v>
          </cell>
          <cell r="B1134" t="str">
            <v>I2048</v>
          </cell>
          <cell r="C1134" t="str">
            <v>LED SPOT 9W 720 LUMENES</v>
          </cell>
          <cell r="D1134" t="str">
            <v>Insumo</v>
          </cell>
          <cell r="E1134" t="str">
            <v>UND</v>
          </cell>
          <cell r="F1134">
            <v>1</v>
          </cell>
          <cell r="G1134">
            <v>14171</v>
          </cell>
          <cell r="H1134">
            <v>14171</v>
          </cell>
        </row>
        <row r="1136">
          <cell r="A1136" t="str">
            <v>015.206</v>
          </cell>
          <cell r="B1136" t="str">
            <v>-</v>
          </cell>
          <cell r="C1136" t="str">
            <v>SUMINISTRO, TRANSPORTE E INSTALACION PANEL LED REDONDO DE INCRUSTAR 12W 1020 LÚMENES TIPO SYLVANA O SIMILAR</v>
          </cell>
          <cell r="D1136" t="str">
            <v>Actividad</v>
          </cell>
          <cell r="E1136" t="str">
            <v>UND</v>
          </cell>
          <cell r="H1136">
            <v>48333</v>
          </cell>
        </row>
        <row r="1137">
          <cell r="A1137" t="str">
            <v>015.206</v>
          </cell>
          <cell r="B1137" t="str">
            <v>C13</v>
          </cell>
          <cell r="C1137" t="str">
            <v>CUADRILLA FF TIPO 2 (1 OFICIAL + 2 AYUDANTE) (Electricas)</v>
          </cell>
          <cell r="D1137" t="str">
            <v>Cuadrilla</v>
          </cell>
          <cell r="E1137" t="str">
            <v>HR</v>
          </cell>
          <cell r="F1137">
            <v>0.6</v>
          </cell>
          <cell r="G1137">
            <v>33348</v>
          </cell>
          <cell r="H1137">
            <v>20009</v>
          </cell>
        </row>
        <row r="1138">
          <cell r="A1138" t="str">
            <v>015.206</v>
          </cell>
          <cell r="B1138" t="str">
            <v>E1</v>
          </cell>
          <cell r="C1138" t="str">
            <v>ANDAMIO METALICO CERTIFICADO, INCLUYE ESCALERILLA CON BARANDAS Y PLATAFORMAS DE TRABAJO</v>
          </cell>
          <cell r="D1138" t="str">
            <v>Equipos</v>
          </cell>
          <cell r="E1138" t="str">
            <v>UND</v>
          </cell>
          <cell r="F1138">
            <v>0.4</v>
          </cell>
          <cell r="G1138">
            <v>7257</v>
          </cell>
          <cell r="H1138">
            <v>2903</v>
          </cell>
        </row>
        <row r="1139">
          <cell r="A1139" t="str">
            <v>015.206</v>
          </cell>
          <cell r="B1139" t="str">
            <v>E12</v>
          </cell>
          <cell r="C1139" t="str">
            <v>EQUIPO DE TRANSPORTE</v>
          </cell>
          <cell r="D1139" t="str">
            <v>Equipos</v>
          </cell>
          <cell r="E1139" t="str">
            <v>DIA</v>
          </cell>
          <cell r="F1139">
            <v>2.86E-2</v>
          </cell>
          <cell r="G1139">
            <v>131205</v>
          </cell>
          <cell r="H1139">
            <v>3752</v>
          </cell>
        </row>
        <row r="1140">
          <cell r="A1140" t="str">
            <v>015.206</v>
          </cell>
          <cell r="B1140" t="str">
            <v>H2</v>
          </cell>
          <cell r="C1140" t="str">
            <v>EQUIPO BASICO (HERRAMIENTA MENOR)</v>
          </cell>
          <cell r="D1140" t="str">
            <v>Herramienta</v>
          </cell>
          <cell r="E1140" t="str">
            <v>UND</v>
          </cell>
          <cell r="F1140">
            <v>0.5</v>
          </cell>
          <cell r="G1140">
            <v>2536</v>
          </cell>
          <cell r="H1140">
            <v>1268</v>
          </cell>
        </row>
        <row r="1141">
          <cell r="A1141" t="str">
            <v>015.206</v>
          </cell>
          <cell r="B1141" t="str">
            <v>I1110</v>
          </cell>
          <cell r="C1141" t="str">
            <v>ACCESORIOS DE FIJACION</v>
          </cell>
          <cell r="D1141" t="str">
            <v>Insumo</v>
          </cell>
          <cell r="E1141" t="str">
            <v>UND</v>
          </cell>
          <cell r="F1141">
            <v>0.5</v>
          </cell>
          <cell r="G1141">
            <v>1792</v>
          </cell>
          <cell r="H1141">
            <v>896</v>
          </cell>
        </row>
        <row r="1142">
          <cell r="A1142" t="str">
            <v>015.206</v>
          </cell>
          <cell r="B1142" t="str">
            <v>I1565</v>
          </cell>
          <cell r="C1142" t="str">
            <v>ACARREO INTERNO</v>
          </cell>
          <cell r="D1142" t="str">
            <v>Insumo</v>
          </cell>
          <cell r="E1142" t="str">
            <v>UND</v>
          </cell>
          <cell r="F1142">
            <v>1.2</v>
          </cell>
          <cell r="G1142">
            <v>1327</v>
          </cell>
          <cell r="H1142">
            <v>1592</v>
          </cell>
        </row>
        <row r="1143">
          <cell r="A1143" t="str">
            <v>015.206</v>
          </cell>
          <cell r="B1143" t="str">
            <v>I2048</v>
          </cell>
          <cell r="C1143" t="str">
            <v>PANEL LED REDONDO DE INCRUSTAR 12W 1020 LÚMENES</v>
          </cell>
          <cell r="D1143" t="str">
            <v>Insumo</v>
          </cell>
          <cell r="E1143" t="str">
            <v>UND</v>
          </cell>
          <cell r="F1143">
            <v>1</v>
          </cell>
          <cell r="G1143">
            <v>17913</v>
          </cell>
          <cell r="H1143">
            <v>17913</v>
          </cell>
        </row>
        <row r="1145">
          <cell r="A1145" t="str">
            <v>015.207</v>
          </cell>
          <cell r="B1145" t="str">
            <v>-</v>
          </cell>
          <cell r="C1145" t="str">
            <v>SUMINISTRO, TRANSPORTE E INSTALACION LUMINARIA PANEL LED DE INCRUSTAR 40W 60X60CMS</v>
          </cell>
          <cell r="D1145" t="str">
            <v>Actividad</v>
          </cell>
          <cell r="E1145" t="str">
            <v>UND</v>
          </cell>
          <cell r="H1145">
            <v>221627</v>
          </cell>
        </row>
        <row r="1146">
          <cell r="A1146" t="str">
            <v>015.207</v>
          </cell>
          <cell r="B1146" t="str">
            <v>C13</v>
          </cell>
          <cell r="C1146" t="str">
            <v>CUADRILLA FF TIPO 2 (1 OFICIAL + 2 AYUDANTE) (Electricas)</v>
          </cell>
          <cell r="D1146" t="str">
            <v>Cuadrilla</v>
          </cell>
          <cell r="E1146" t="str">
            <v>HR</v>
          </cell>
          <cell r="F1146">
            <v>0.8</v>
          </cell>
          <cell r="G1146">
            <v>33348</v>
          </cell>
          <cell r="H1146">
            <v>26678</v>
          </cell>
        </row>
        <row r="1147">
          <cell r="A1147" t="str">
            <v>015.207</v>
          </cell>
          <cell r="B1147" t="str">
            <v>E1</v>
          </cell>
          <cell r="C1147" t="str">
            <v>ANDAMIO METALICO CERTIFICADO, INCLUYE ESCALERILLA CON BARANDAS Y PLATAFORMAS DE TRABAJO</v>
          </cell>
          <cell r="D1147" t="str">
            <v>Equipos</v>
          </cell>
          <cell r="E1147" t="str">
            <v>UND</v>
          </cell>
          <cell r="F1147">
            <v>0.4</v>
          </cell>
          <cell r="G1147">
            <v>7257</v>
          </cell>
          <cell r="H1147">
            <v>2903</v>
          </cell>
        </row>
        <row r="1148">
          <cell r="A1148" t="str">
            <v>015.207</v>
          </cell>
          <cell r="B1148" t="str">
            <v>E12</v>
          </cell>
          <cell r="C1148" t="str">
            <v>EQUIPO DE TRANSPORTE</v>
          </cell>
          <cell r="D1148" t="str">
            <v>Equipos</v>
          </cell>
          <cell r="E1148" t="str">
            <v>DIA</v>
          </cell>
          <cell r="F1148">
            <v>0.03</v>
          </cell>
          <cell r="G1148">
            <v>131205</v>
          </cell>
          <cell r="H1148">
            <v>3936</v>
          </cell>
        </row>
        <row r="1149">
          <cell r="A1149" t="str">
            <v>015.207</v>
          </cell>
          <cell r="B1149" t="str">
            <v>H2</v>
          </cell>
          <cell r="C1149" t="str">
            <v>EQUIPO BASICO (HERRAMIENTA MENOR)</v>
          </cell>
          <cell r="D1149" t="str">
            <v>Herramienta</v>
          </cell>
          <cell r="E1149" t="str">
            <v>UND</v>
          </cell>
          <cell r="F1149">
            <v>0.5</v>
          </cell>
          <cell r="G1149">
            <v>2536</v>
          </cell>
          <cell r="H1149">
            <v>1268</v>
          </cell>
        </row>
        <row r="1150">
          <cell r="A1150" t="str">
            <v>015.207</v>
          </cell>
          <cell r="B1150" t="str">
            <v>I1110</v>
          </cell>
          <cell r="C1150" t="str">
            <v>ACCESORIOS DE FIJACION</v>
          </cell>
          <cell r="D1150" t="str">
            <v>Insumo</v>
          </cell>
          <cell r="E1150" t="str">
            <v>UND</v>
          </cell>
          <cell r="F1150">
            <v>4</v>
          </cell>
          <cell r="G1150">
            <v>1792</v>
          </cell>
          <cell r="H1150">
            <v>7168</v>
          </cell>
        </row>
        <row r="1151">
          <cell r="A1151" t="str">
            <v>015.207</v>
          </cell>
          <cell r="B1151" t="str">
            <v>I1565</v>
          </cell>
          <cell r="C1151" t="str">
            <v>ACARREO INTERNO</v>
          </cell>
          <cell r="D1151" t="str">
            <v>Insumo</v>
          </cell>
          <cell r="E1151" t="str">
            <v>UND</v>
          </cell>
          <cell r="F1151">
            <v>1.2</v>
          </cell>
          <cell r="G1151">
            <v>1327</v>
          </cell>
          <cell r="H1151">
            <v>1592</v>
          </cell>
        </row>
        <row r="1152">
          <cell r="A1152" t="str">
            <v>015.207</v>
          </cell>
          <cell r="B1152" t="str">
            <v>I1657</v>
          </cell>
          <cell r="C1152" t="str">
            <v>LUMINARIA PANEL LED DE INCRUSTAR 40 W 60X60CMS</v>
          </cell>
          <cell r="D1152" t="str">
            <v>Insumo</v>
          </cell>
          <cell r="E1152" t="str">
            <v>UND</v>
          </cell>
          <cell r="F1152">
            <v>1</v>
          </cell>
          <cell r="G1152">
            <v>178082</v>
          </cell>
          <cell r="H1152">
            <v>178082</v>
          </cell>
        </row>
        <row r="1154">
          <cell r="A1154" t="str">
            <v>015.208</v>
          </cell>
          <cell r="B1154" t="str">
            <v>-</v>
          </cell>
          <cell r="C1154" t="str">
            <v>SUMINISTRO, TRANSPORTE E INSTALACION SALIDA SENSOR DE MOVIMIENTO</v>
          </cell>
          <cell r="D1154" t="str">
            <v>Actividad</v>
          </cell>
          <cell r="E1154" t="str">
            <v>UND</v>
          </cell>
          <cell r="H1154">
            <v>63412</v>
          </cell>
        </row>
        <row r="1155">
          <cell r="A1155" t="str">
            <v>015.208</v>
          </cell>
          <cell r="B1155" t="str">
            <v>C6</v>
          </cell>
          <cell r="C1155" t="str">
            <v>CUADRILLA FF TIPO 1 (1 OFICIAL + 1 AYUDANTE) (ELECTRICAS)</v>
          </cell>
          <cell r="D1155" t="str">
            <v>Cuadrilla</v>
          </cell>
          <cell r="E1155" t="str">
            <v>HR</v>
          </cell>
          <cell r="F1155">
            <v>0.5</v>
          </cell>
          <cell r="G1155">
            <v>23707</v>
          </cell>
          <cell r="H1155">
            <v>11854</v>
          </cell>
        </row>
        <row r="1156">
          <cell r="A1156" t="str">
            <v>015.208</v>
          </cell>
          <cell r="B1156" t="str">
            <v>E12</v>
          </cell>
          <cell r="C1156" t="str">
            <v>EQUIPO DE TRANSPORTE</v>
          </cell>
          <cell r="D1156" t="str">
            <v>Equipos</v>
          </cell>
          <cell r="E1156" t="str">
            <v>DIA</v>
          </cell>
          <cell r="F1156">
            <v>0.1</v>
          </cell>
          <cell r="G1156">
            <v>131205</v>
          </cell>
          <cell r="H1156">
            <v>13121</v>
          </cell>
        </row>
        <row r="1157">
          <cell r="A1157" t="str">
            <v>015.208</v>
          </cell>
          <cell r="B1157" t="str">
            <v>H2</v>
          </cell>
          <cell r="C1157" t="str">
            <v>EQUIPO BASICO (HERRAMIENTA MENOR)</v>
          </cell>
          <cell r="D1157" t="str">
            <v>Herramienta</v>
          </cell>
          <cell r="E1157" t="str">
            <v>UND</v>
          </cell>
          <cell r="F1157">
            <v>2</v>
          </cell>
          <cell r="G1157">
            <v>2536</v>
          </cell>
          <cell r="H1157">
            <v>5072</v>
          </cell>
        </row>
        <row r="1158">
          <cell r="A1158" t="str">
            <v>015.208</v>
          </cell>
          <cell r="B1158" t="str">
            <v>I1721</v>
          </cell>
          <cell r="C1158" t="str">
            <v>SUMINISTRO DE CINTA AISLANTE SCOTH</v>
          </cell>
          <cell r="D1158" t="str">
            <v>Insumo</v>
          </cell>
          <cell r="E1158" t="str">
            <v>ML</v>
          </cell>
          <cell r="F1158">
            <v>0.05</v>
          </cell>
          <cell r="G1158">
            <v>14915</v>
          </cell>
          <cell r="H1158">
            <v>746</v>
          </cell>
        </row>
        <row r="1159">
          <cell r="A1159" t="str">
            <v>015.208</v>
          </cell>
          <cell r="B1159" t="str">
            <v>I1747</v>
          </cell>
          <cell r="C1159" t="str">
            <v>SUMINISTRO DE ALAMBRE  12AWG HFFR LS 600V 75º CT</v>
          </cell>
          <cell r="D1159" t="str">
            <v>Insumo</v>
          </cell>
          <cell r="E1159" t="str">
            <v>ML</v>
          </cell>
          <cell r="F1159">
            <v>2</v>
          </cell>
          <cell r="G1159">
            <v>1589</v>
          </cell>
          <cell r="H1159">
            <v>3178</v>
          </cell>
        </row>
        <row r="1160">
          <cell r="A1160" t="str">
            <v>015.208</v>
          </cell>
          <cell r="B1160" t="str">
            <v>I1764</v>
          </cell>
          <cell r="C1160" t="str">
            <v>SUMINISTRO DE INTERRUPTOR SENSOR DE MOVIMIENTO</v>
          </cell>
          <cell r="D1160" t="str">
            <v>Insumo</v>
          </cell>
          <cell r="E1160" t="str">
            <v>UND</v>
          </cell>
          <cell r="F1160">
            <v>1</v>
          </cell>
          <cell r="G1160">
            <v>29441</v>
          </cell>
          <cell r="H1160">
            <v>29441</v>
          </cell>
        </row>
        <row r="1162">
          <cell r="A1162" t="str">
            <v>015.209</v>
          </cell>
          <cell r="B1162" t="str">
            <v>-</v>
          </cell>
          <cell r="C1162" t="str">
            <v>SUMINISTRO, TRANSPORTE E INSTALACION SALIDA INTERRUPTOR SENCILLO CONMUTABLE EN TUBERIA CONDUIT EMT 3/4", ALAMBRE No 12 AWG HFFR LS</v>
          </cell>
          <cell r="D1162" t="str">
            <v>Actividad</v>
          </cell>
          <cell r="E1162" t="str">
            <v>UND</v>
          </cell>
          <cell r="H1162">
            <v>122294</v>
          </cell>
        </row>
        <row r="1163">
          <cell r="A1163" t="str">
            <v>015.209</v>
          </cell>
          <cell r="B1163" t="str">
            <v>C13</v>
          </cell>
          <cell r="C1163" t="str">
            <v>CUADRILLA FF TIPO 2 (1 OFICIAL + 2 AYUDANTE) (Electricas)</v>
          </cell>
          <cell r="D1163" t="str">
            <v>Cuadrilla</v>
          </cell>
          <cell r="E1163" t="str">
            <v>HR</v>
          </cell>
          <cell r="F1163">
            <v>1</v>
          </cell>
          <cell r="G1163">
            <v>33348</v>
          </cell>
          <cell r="H1163">
            <v>33348</v>
          </cell>
        </row>
        <row r="1164">
          <cell r="A1164" t="str">
            <v>015.209</v>
          </cell>
          <cell r="B1164" t="str">
            <v>E12</v>
          </cell>
          <cell r="C1164" t="str">
            <v>EQUIPO DE TRANSPORTE</v>
          </cell>
          <cell r="D1164" t="str">
            <v>Equipos</v>
          </cell>
          <cell r="E1164" t="str">
            <v>DIA</v>
          </cell>
          <cell r="F1164">
            <v>1.1299999999999999E-2</v>
          </cell>
          <cell r="G1164">
            <v>131205</v>
          </cell>
          <cell r="H1164">
            <v>1483</v>
          </cell>
        </row>
        <row r="1165">
          <cell r="A1165" t="str">
            <v>015.209</v>
          </cell>
          <cell r="B1165" t="str">
            <v>H2</v>
          </cell>
          <cell r="C1165" t="str">
            <v>EQUIPO BASICO (HERRAMIENTA MENOR)</v>
          </cell>
          <cell r="D1165" t="str">
            <v>Herramienta</v>
          </cell>
          <cell r="E1165" t="str">
            <v>UND</v>
          </cell>
          <cell r="F1165">
            <v>0.5</v>
          </cell>
          <cell r="G1165">
            <v>2536</v>
          </cell>
          <cell r="H1165">
            <v>1268</v>
          </cell>
        </row>
        <row r="1166">
          <cell r="A1166" t="str">
            <v>015.209</v>
          </cell>
          <cell r="B1166" t="str">
            <v>I1116</v>
          </cell>
          <cell r="C1166" t="str">
            <v>ACCESORIOS FIJACION TUBERIA EMT 3/4" (ABRAZADERA, ALAMBRE)</v>
          </cell>
          <cell r="D1166" t="str">
            <v>Insumo</v>
          </cell>
          <cell r="E1166" t="str">
            <v>UND</v>
          </cell>
          <cell r="F1166">
            <v>2</v>
          </cell>
          <cell r="G1166">
            <v>2152</v>
          </cell>
          <cell r="H1166">
            <v>4304</v>
          </cell>
        </row>
        <row r="1167">
          <cell r="A1167" t="str">
            <v>015.209</v>
          </cell>
          <cell r="B1167" t="str">
            <v>I1129</v>
          </cell>
          <cell r="C1167" t="str">
            <v>ACCESORIOS TUBERIA EMT 3/4" (UNION Y CURVA)</v>
          </cell>
          <cell r="D1167" t="str">
            <v>Insumo</v>
          </cell>
          <cell r="E1167" t="str">
            <v>UND</v>
          </cell>
          <cell r="F1167">
            <v>2</v>
          </cell>
          <cell r="G1167">
            <v>4524</v>
          </cell>
          <cell r="H1167">
            <v>9048</v>
          </cell>
        </row>
        <row r="1168">
          <cell r="A1168" t="str">
            <v>015.209</v>
          </cell>
          <cell r="B1168" t="str">
            <v>I1747</v>
          </cell>
          <cell r="C1168" t="str">
            <v>SUMINISTRO DE ALAMBRE  12AWG HFFR LS 600V 75º CT</v>
          </cell>
          <cell r="D1168" t="str">
            <v>Insumo</v>
          </cell>
          <cell r="E1168" t="str">
            <v>ML</v>
          </cell>
          <cell r="F1168">
            <v>20</v>
          </cell>
          <cell r="G1168">
            <v>1589</v>
          </cell>
          <cell r="H1168">
            <v>31780</v>
          </cell>
        </row>
        <row r="1169">
          <cell r="A1169" t="str">
            <v>015.209</v>
          </cell>
          <cell r="B1169" t="str">
            <v>I1206</v>
          </cell>
          <cell r="C1169" t="str">
            <v xml:space="preserve">CAJA METALICA GALVANIZADA (REF: 5800) </v>
          </cell>
          <cell r="D1169" t="str">
            <v>Insumo</v>
          </cell>
          <cell r="E1169" t="str">
            <v>UND</v>
          </cell>
          <cell r="F1169">
            <v>1</v>
          </cell>
          <cell r="G1169">
            <v>1871</v>
          </cell>
          <cell r="H1169">
            <v>1871</v>
          </cell>
        </row>
        <row r="1170">
          <cell r="A1170" t="str">
            <v>015.209</v>
          </cell>
          <cell r="B1170" t="str">
            <v>I1334</v>
          </cell>
          <cell r="C1170" t="str">
            <v xml:space="preserve">INTERRUPTOR SENCILLO CONMUTABLE </v>
          </cell>
          <cell r="D1170" t="str">
            <v>Insumo</v>
          </cell>
          <cell r="E1170" t="str">
            <v>UND</v>
          </cell>
          <cell r="F1170">
            <v>1</v>
          </cell>
          <cell r="G1170">
            <v>4585</v>
          </cell>
          <cell r="H1170">
            <v>4585</v>
          </cell>
        </row>
        <row r="1171">
          <cell r="A1171" t="str">
            <v>015.209</v>
          </cell>
          <cell r="B1171" t="str">
            <v>I1461</v>
          </cell>
          <cell r="C1171" t="str">
            <v xml:space="preserve">TUBO CONDUIT GALVANIZADA EMT 3/4" </v>
          </cell>
          <cell r="D1171" t="str">
            <v>Insumo</v>
          </cell>
          <cell r="E1171" t="str">
            <v>M</v>
          </cell>
          <cell r="F1171">
            <v>5</v>
          </cell>
          <cell r="G1171">
            <v>6364</v>
          </cell>
          <cell r="H1171">
            <v>31820</v>
          </cell>
        </row>
        <row r="1172">
          <cell r="A1172" t="str">
            <v>015.209</v>
          </cell>
          <cell r="B1172" t="str">
            <v>I1565</v>
          </cell>
          <cell r="C1172" t="str">
            <v>ACARREO INTERNO</v>
          </cell>
          <cell r="D1172" t="str">
            <v>Insumo</v>
          </cell>
          <cell r="E1172" t="str">
            <v>UND</v>
          </cell>
          <cell r="F1172">
            <v>2.1</v>
          </cell>
          <cell r="G1172">
            <v>1327</v>
          </cell>
          <cell r="H1172">
            <v>2787</v>
          </cell>
        </row>
        <row r="1174">
          <cell r="A1174" t="str">
            <v>015.210</v>
          </cell>
          <cell r="B1174" t="str">
            <v>-</v>
          </cell>
          <cell r="C1174" t="str">
            <v xml:space="preserve">SUMINISTRO, TRANSPORTE E INSTALACION SALIDA INTERRUPTOR DOBLE CONMUTABLE EN TUBERIA CONDUIT EMT 3/4", ALAMBRE No 12 AWG HFFR LS </v>
          </cell>
          <cell r="D1174" t="str">
            <v>Actividad</v>
          </cell>
          <cell r="E1174" t="str">
            <v>UND</v>
          </cell>
          <cell r="H1174">
            <v>140537</v>
          </cell>
        </row>
        <row r="1175">
          <cell r="A1175" t="str">
            <v>015.210</v>
          </cell>
          <cell r="B1175" t="str">
            <v>C13</v>
          </cell>
          <cell r="C1175" t="str">
            <v>CUADRILLA FF TIPO 2 (1 OFICIAL + 2 AYUDANTE) (Electricas)</v>
          </cell>
          <cell r="D1175" t="str">
            <v>Cuadrilla</v>
          </cell>
          <cell r="E1175" t="str">
            <v>HR</v>
          </cell>
          <cell r="F1175">
            <v>1</v>
          </cell>
          <cell r="G1175">
            <v>33348</v>
          </cell>
          <cell r="H1175">
            <v>33348</v>
          </cell>
        </row>
        <row r="1176">
          <cell r="A1176" t="str">
            <v>015.210</v>
          </cell>
          <cell r="B1176" t="str">
            <v>E12</v>
          </cell>
          <cell r="C1176" t="str">
            <v>EQUIPO DE TRANSPORTE</v>
          </cell>
          <cell r="D1176" t="str">
            <v>Equipos</v>
          </cell>
          <cell r="E1176" t="str">
            <v>DIA</v>
          </cell>
          <cell r="F1176">
            <v>1.34E-2</v>
          </cell>
          <cell r="G1176">
            <v>131205</v>
          </cell>
          <cell r="H1176">
            <v>1758</v>
          </cell>
        </row>
        <row r="1177">
          <cell r="A1177" t="str">
            <v>015.210</v>
          </cell>
          <cell r="B1177" t="str">
            <v>H2</v>
          </cell>
          <cell r="C1177" t="str">
            <v>EQUIPO BASICO (HERRAMIENTA MENOR)</v>
          </cell>
          <cell r="D1177" t="str">
            <v>Herramienta</v>
          </cell>
          <cell r="E1177" t="str">
            <v>UND</v>
          </cell>
          <cell r="F1177">
            <v>0.5</v>
          </cell>
          <cell r="G1177">
            <v>2536</v>
          </cell>
          <cell r="H1177">
            <v>1268</v>
          </cell>
        </row>
        <row r="1178">
          <cell r="A1178" t="str">
            <v>015.210</v>
          </cell>
          <cell r="B1178" t="str">
            <v>I1116</v>
          </cell>
          <cell r="C1178" t="str">
            <v>ACCESORIOS FIJACION TUBERIA EMT 3/4" (ABRAZADERA, ALAMBRE)</v>
          </cell>
          <cell r="D1178" t="str">
            <v>Insumo</v>
          </cell>
          <cell r="E1178" t="str">
            <v>UND</v>
          </cell>
          <cell r="F1178">
            <v>2</v>
          </cell>
          <cell r="G1178">
            <v>2152</v>
          </cell>
          <cell r="H1178">
            <v>4304</v>
          </cell>
        </row>
        <row r="1179">
          <cell r="A1179" t="str">
            <v>015.210</v>
          </cell>
          <cell r="B1179" t="str">
            <v>I1129</v>
          </cell>
          <cell r="C1179" t="str">
            <v>ACCESORIOS TUBERIA EMT 3/4" (UNION Y CURVA)</v>
          </cell>
          <cell r="D1179" t="str">
            <v>Insumo</v>
          </cell>
          <cell r="E1179" t="str">
            <v>UND</v>
          </cell>
          <cell r="F1179">
            <v>2</v>
          </cell>
          <cell r="G1179">
            <v>4524</v>
          </cell>
          <cell r="H1179">
            <v>9048</v>
          </cell>
        </row>
        <row r="1180">
          <cell r="A1180" t="str">
            <v>015.210</v>
          </cell>
          <cell r="B1180" t="str">
            <v>I1747</v>
          </cell>
          <cell r="C1180" t="str">
            <v>SUMINISTRO DE ALAMBRE  12AWG HFFR LS 600V 75º CT</v>
          </cell>
          <cell r="D1180" t="str">
            <v>Insumo</v>
          </cell>
          <cell r="E1180" t="str">
            <v>ML</v>
          </cell>
          <cell r="F1180">
            <v>30</v>
          </cell>
          <cell r="G1180">
            <v>1589</v>
          </cell>
          <cell r="H1180">
            <v>47670</v>
          </cell>
        </row>
        <row r="1181">
          <cell r="A1181" t="str">
            <v>015.210</v>
          </cell>
          <cell r="B1181" t="str">
            <v>I1206</v>
          </cell>
          <cell r="C1181" t="str">
            <v xml:space="preserve">CAJA METALICA GALVANIZADA (REF: 5800) </v>
          </cell>
          <cell r="D1181" t="str">
            <v>Insumo</v>
          </cell>
          <cell r="E1181" t="str">
            <v>UND</v>
          </cell>
          <cell r="F1181">
            <v>1</v>
          </cell>
          <cell r="G1181">
            <v>1871</v>
          </cell>
          <cell r="H1181">
            <v>1871</v>
          </cell>
        </row>
        <row r="1182">
          <cell r="A1182" t="str">
            <v>015.210</v>
          </cell>
          <cell r="B1182" t="str">
            <v>I1291</v>
          </cell>
          <cell r="C1182" t="str">
            <v xml:space="preserve">INTERRUPTOR DOBLE CONMUTABLE </v>
          </cell>
          <cell r="D1182" t="str">
            <v>Insumo</v>
          </cell>
          <cell r="E1182" t="str">
            <v>UND</v>
          </cell>
          <cell r="F1182">
            <v>1</v>
          </cell>
          <cell r="G1182">
            <v>6663</v>
          </cell>
          <cell r="H1182">
            <v>6663</v>
          </cell>
        </row>
        <row r="1183">
          <cell r="A1183" t="str">
            <v>015.210</v>
          </cell>
          <cell r="B1183" t="str">
            <v>I1461</v>
          </cell>
          <cell r="C1183" t="str">
            <v xml:space="preserve">TUBO CONDUIT GALVANIZADA EMT 3/4" </v>
          </cell>
          <cell r="D1183" t="str">
            <v>Insumo</v>
          </cell>
          <cell r="E1183" t="str">
            <v>M</v>
          </cell>
          <cell r="F1183">
            <v>5</v>
          </cell>
          <cell r="G1183">
            <v>6364</v>
          </cell>
          <cell r="H1183">
            <v>31820</v>
          </cell>
        </row>
        <row r="1184">
          <cell r="A1184" t="str">
            <v>015.210</v>
          </cell>
          <cell r="B1184" t="str">
            <v>I1565</v>
          </cell>
          <cell r="C1184" t="str">
            <v>ACARREO INTERNO</v>
          </cell>
          <cell r="D1184" t="str">
            <v>Insumo</v>
          </cell>
          <cell r="E1184" t="str">
            <v>UND</v>
          </cell>
          <cell r="F1184">
            <v>2.1</v>
          </cell>
          <cell r="G1184">
            <v>1327</v>
          </cell>
          <cell r="H1184">
            <v>2787</v>
          </cell>
        </row>
        <row r="1186">
          <cell r="A1186" t="str">
            <v>015.211</v>
          </cell>
          <cell r="B1186" t="str">
            <v>-</v>
          </cell>
          <cell r="C1186" t="str">
            <v>SUMINISTRO, TRANSPORTE E INSTALACION DE LUMINARIA LED DECORATIVA APLIQUE DE SOBREPONER 12W</v>
          </cell>
          <cell r="D1186" t="str">
            <v>Actividad</v>
          </cell>
          <cell r="E1186" t="str">
            <v>UND</v>
          </cell>
          <cell r="H1186">
            <v>98463</v>
          </cell>
        </row>
        <row r="1187">
          <cell r="A1187" t="str">
            <v>015.211</v>
          </cell>
          <cell r="B1187" t="str">
            <v>C13</v>
          </cell>
          <cell r="C1187" t="str">
            <v>CUADRILLA FF TIPO 2 (1 OFICIAL + 2 AYUDANTE) (Electricas)</v>
          </cell>
          <cell r="D1187" t="str">
            <v>Cuadrilla</v>
          </cell>
          <cell r="E1187" t="str">
            <v>HR</v>
          </cell>
          <cell r="F1187">
            <v>0.6</v>
          </cell>
          <cell r="G1187">
            <v>33348</v>
          </cell>
          <cell r="H1187">
            <v>20009</v>
          </cell>
        </row>
        <row r="1188">
          <cell r="A1188" t="str">
            <v>015.211</v>
          </cell>
          <cell r="B1188" t="str">
            <v>E12</v>
          </cell>
          <cell r="C1188" t="str">
            <v>EQUIPO DE TRANSPORTE</v>
          </cell>
          <cell r="D1188" t="str">
            <v>Equipos</v>
          </cell>
          <cell r="E1188" t="str">
            <v>DIA</v>
          </cell>
          <cell r="F1188">
            <v>2.86E-2</v>
          </cell>
          <cell r="G1188">
            <v>131205</v>
          </cell>
          <cell r="H1188">
            <v>3752</v>
          </cell>
        </row>
        <row r="1189">
          <cell r="A1189" t="str">
            <v>015.211</v>
          </cell>
          <cell r="B1189" t="str">
            <v>H2</v>
          </cell>
          <cell r="C1189" t="str">
            <v>EQUIPO BASICO (HERRAMIENTA MENOR)</v>
          </cell>
          <cell r="D1189" t="str">
            <v>Herramienta</v>
          </cell>
          <cell r="E1189" t="str">
            <v>UND</v>
          </cell>
          <cell r="F1189">
            <v>0.5</v>
          </cell>
          <cell r="G1189">
            <v>2536</v>
          </cell>
          <cell r="H1189">
            <v>1268</v>
          </cell>
        </row>
        <row r="1190">
          <cell r="A1190" t="str">
            <v>015.211</v>
          </cell>
          <cell r="B1190" t="str">
            <v>I1110</v>
          </cell>
          <cell r="C1190" t="str">
            <v>ACCESORIOS DE FIJACION</v>
          </cell>
          <cell r="D1190" t="str">
            <v>Insumo</v>
          </cell>
          <cell r="E1190" t="str">
            <v>UND</v>
          </cell>
          <cell r="F1190">
            <v>0.5</v>
          </cell>
          <cell r="G1190">
            <v>1792</v>
          </cell>
          <cell r="H1190">
            <v>896</v>
          </cell>
        </row>
        <row r="1191">
          <cell r="A1191" t="str">
            <v>015.211</v>
          </cell>
          <cell r="B1191" t="str">
            <v>I1565</v>
          </cell>
          <cell r="C1191" t="str">
            <v>ACARREO INTERNO</v>
          </cell>
          <cell r="D1191" t="str">
            <v>Insumo</v>
          </cell>
          <cell r="E1191" t="str">
            <v>UND</v>
          </cell>
          <cell r="F1191">
            <v>1.2</v>
          </cell>
          <cell r="G1191">
            <v>1327</v>
          </cell>
          <cell r="H1191">
            <v>1592</v>
          </cell>
        </row>
        <row r="1192">
          <cell r="A1192" t="str">
            <v>015.211</v>
          </cell>
          <cell r="B1192" t="str">
            <v>I1746</v>
          </cell>
          <cell r="C1192" t="str">
            <v>SUMINISTRO DE LUMINARIA LED APLIQUE CIRCULAR DE SOBREPONER 12W</v>
          </cell>
          <cell r="D1192" t="str">
            <v>Insumo</v>
          </cell>
          <cell r="E1192" t="str">
            <v>UND</v>
          </cell>
          <cell r="F1192">
            <v>1</v>
          </cell>
          <cell r="G1192">
            <v>70946</v>
          </cell>
          <cell r="H1192">
            <v>70946</v>
          </cell>
        </row>
        <row r="1194">
          <cell r="A1194" t="str">
            <v>015.212</v>
          </cell>
          <cell r="B1194" t="str">
            <v>-</v>
          </cell>
          <cell r="C1194" t="str">
            <v xml:space="preserve">SUMINISTRO, TRANSPORTE E INSTALACION APLIQUE TORTUGA APTO PARA USO A LA INTEMPERIE. 12W </v>
          </cell>
          <cell r="D1194" t="str">
            <v>Actividad</v>
          </cell>
          <cell r="E1194" t="str">
            <v>UND</v>
          </cell>
          <cell r="H1194">
            <v>55978</v>
          </cell>
        </row>
        <row r="1195">
          <cell r="A1195" t="str">
            <v>015.212</v>
          </cell>
          <cell r="B1195" t="str">
            <v>C13</v>
          </cell>
          <cell r="C1195" t="str">
            <v>CUADRILLA FF TIPO 2 (1 OFICIAL + 2 AYUDANTE) (Electricas)</v>
          </cell>
          <cell r="D1195" t="str">
            <v>Cuadrilla</v>
          </cell>
          <cell r="E1195" t="str">
            <v>HR</v>
          </cell>
          <cell r="F1195">
            <v>0.4</v>
          </cell>
          <cell r="G1195">
            <v>33348</v>
          </cell>
          <cell r="H1195">
            <v>13339</v>
          </cell>
        </row>
        <row r="1196">
          <cell r="A1196" t="str">
            <v>015.212</v>
          </cell>
          <cell r="B1196" t="str">
            <v>E12</v>
          </cell>
          <cell r="C1196" t="str">
            <v>EQUIPO DE TRANSPORTE</v>
          </cell>
          <cell r="D1196" t="str">
            <v>Equipos</v>
          </cell>
          <cell r="E1196" t="str">
            <v>DIA</v>
          </cell>
          <cell r="F1196">
            <v>9.7999999999999997E-3</v>
          </cell>
          <cell r="G1196">
            <v>131205</v>
          </cell>
          <cell r="H1196">
            <v>1286</v>
          </cell>
        </row>
        <row r="1197">
          <cell r="A1197" t="str">
            <v>015.212</v>
          </cell>
          <cell r="B1197" t="str">
            <v>H2</v>
          </cell>
          <cell r="C1197" t="str">
            <v>EQUIPO BASICO (HERRAMIENTA MENOR)</v>
          </cell>
          <cell r="D1197" t="str">
            <v>Herramienta</v>
          </cell>
          <cell r="E1197" t="str">
            <v>UND</v>
          </cell>
          <cell r="F1197">
            <v>0.5</v>
          </cell>
          <cell r="G1197">
            <v>2536</v>
          </cell>
          <cell r="H1197">
            <v>1268</v>
          </cell>
        </row>
        <row r="1198">
          <cell r="A1198" t="str">
            <v>015.212</v>
          </cell>
          <cell r="B1198" t="str">
            <v>I1110</v>
          </cell>
          <cell r="C1198" t="str">
            <v>ACCESORIOS DE FIJACION</v>
          </cell>
          <cell r="D1198" t="str">
            <v>Insumo</v>
          </cell>
          <cell r="E1198" t="str">
            <v>UND</v>
          </cell>
          <cell r="F1198">
            <v>1</v>
          </cell>
          <cell r="G1198">
            <v>1792</v>
          </cell>
          <cell r="H1198">
            <v>1792</v>
          </cell>
        </row>
        <row r="1199">
          <cell r="A1199" t="str">
            <v>015.212</v>
          </cell>
          <cell r="B1199" t="str">
            <v>I1147</v>
          </cell>
          <cell r="C1199" t="str">
            <v>APLIQUE LED TORTUGA APTO PARA USO A LA INTEMPERIE. 12W</v>
          </cell>
          <cell r="D1199" t="str">
            <v>Insumo</v>
          </cell>
          <cell r="E1199" t="str">
            <v>UND</v>
          </cell>
          <cell r="F1199">
            <v>1</v>
          </cell>
          <cell r="G1199">
            <v>37245</v>
          </cell>
          <cell r="H1199">
            <v>37245</v>
          </cell>
        </row>
        <row r="1200">
          <cell r="A1200" t="str">
            <v>015.212</v>
          </cell>
          <cell r="B1200" t="str">
            <v>I1565</v>
          </cell>
          <cell r="C1200" t="str">
            <v>ACARREO INTERNO</v>
          </cell>
          <cell r="D1200" t="str">
            <v>Insumo</v>
          </cell>
          <cell r="E1200" t="str">
            <v>UND</v>
          </cell>
          <cell r="F1200">
            <v>0.79</v>
          </cell>
          <cell r="G1200">
            <v>1327</v>
          </cell>
          <cell r="H1200">
            <v>1048</v>
          </cell>
        </row>
        <row r="1202">
          <cell r="A1202" t="str">
            <v>015.213</v>
          </cell>
          <cell r="B1202" t="str">
            <v>-</v>
          </cell>
          <cell r="C1202" t="str">
            <v>SUMINISTRO, TRANSPORTE E INSTALACION REFLECTOR LED RGB 30W</v>
          </cell>
          <cell r="D1202" t="str">
            <v>Actividad</v>
          </cell>
          <cell r="E1202" t="str">
            <v>UND</v>
          </cell>
          <cell r="H1202">
            <v>100349</v>
          </cell>
        </row>
        <row r="1203">
          <cell r="A1203" t="str">
            <v>015.213</v>
          </cell>
          <cell r="B1203" t="str">
            <v>C13</v>
          </cell>
          <cell r="C1203" t="str">
            <v>CUADRILLA FF TIPO 2 (1 OFICIAL + 2 AYUDANTE) (Electricas)</v>
          </cell>
          <cell r="D1203" t="str">
            <v>Cuadrilla</v>
          </cell>
          <cell r="E1203" t="str">
            <v>HR</v>
          </cell>
          <cell r="F1203">
            <v>0.4</v>
          </cell>
          <cell r="G1203">
            <v>33348</v>
          </cell>
          <cell r="H1203">
            <v>13339</v>
          </cell>
        </row>
        <row r="1204">
          <cell r="A1204" t="str">
            <v>015.213</v>
          </cell>
          <cell r="B1204" t="str">
            <v>E12</v>
          </cell>
          <cell r="C1204" t="str">
            <v>EQUIPO DE TRANSPORTE</v>
          </cell>
          <cell r="D1204" t="str">
            <v>Equipos</v>
          </cell>
          <cell r="E1204" t="str">
            <v>DIA</v>
          </cell>
          <cell r="F1204">
            <v>0.01</v>
          </cell>
          <cell r="G1204">
            <v>131205</v>
          </cell>
          <cell r="H1204">
            <v>1312</v>
          </cell>
        </row>
        <row r="1205">
          <cell r="A1205" t="str">
            <v>015.213</v>
          </cell>
          <cell r="B1205" t="str">
            <v>H2</v>
          </cell>
          <cell r="C1205" t="str">
            <v>EQUIPO BASICO (HERRAMIENTA MENOR)</v>
          </cell>
          <cell r="D1205" t="str">
            <v>Herramienta</v>
          </cell>
          <cell r="E1205" t="str">
            <v>UND</v>
          </cell>
          <cell r="F1205">
            <v>0.5</v>
          </cell>
          <cell r="G1205">
            <v>2536</v>
          </cell>
          <cell r="H1205">
            <v>1268</v>
          </cell>
        </row>
        <row r="1206">
          <cell r="A1206" t="str">
            <v>015.213</v>
          </cell>
          <cell r="B1206" t="str">
            <v>I1110</v>
          </cell>
          <cell r="C1206" t="str">
            <v>ACCESORIOS DE FIJACION</v>
          </cell>
          <cell r="D1206" t="str">
            <v>Insumo</v>
          </cell>
          <cell r="E1206" t="str">
            <v>UND</v>
          </cell>
          <cell r="F1206">
            <v>2</v>
          </cell>
          <cell r="G1206">
            <v>1792</v>
          </cell>
          <cell r="H1206">
            <v>3584</v>
          </cell>
        </row>
        <row r="1207">
          <cell r="A1207" t="str">
            <v>015.213</v>
          </cell>
          <cell r="B1207" t="str">
            <v>I1154</v>
          </cell>
          <cell r="C1207" t="str">
            <v>REFLECTOR LED RGB 30W</v>
          </cell>
          <cell r="D1207" t="str">
            <v>Insumo</v>
          </cell>
          <cell r="E1207" t="str">
            <v>UND</v>
          </cell>
          <cell r="F1207">
            <v>1</v>
          </cell>
          <cell r="G1207">
            <v>79798</v>
          </cell>
          <cell r="H1207">
            <v>79798</v>
          </cell>
        </row>
        <row r="1208">
          <cell r="A1208" t="str">
            <v>015.213</v>
          </cell>
          <cell r="B1208" t="str">
            <v>I1565</v>
          </cell>
          <cell r="C1208" t="str">
            <v>ACARREO INTERNO</v>
          </cell>
          <cell r="D1208" t="str">
            <v>Insumo</v>
          </cell>
          <cell r="E1208" t="str">
            <v>UND</v>
          </cell>
          <cell r="F1208">
            <v>0.79</v>
          </cell>
          <cell r="G1208">
            <v>1327</v>
          </cell>
          <cell r="H1208">
            <v>1048</v>
          </cell>
        </row>
        <row r="1210">
          <cell r="A1210" t="str">
            <v>015.214</v>
          </cell>
          <cell r="B1210" t="str">
            <v>-</v>
          </cell>
          <cell r="C1210" t="str">
            <v>SUMINISTRO, TRANSPORTE E INSTALACION SALIDA ILUMINACION EN TUBERIA CONDUIT PVC 3/4", ALAMBRE No 12 AWG HFFR LS</v>
          </cell>
          <cell r="D1210" t="str">
            <v>Actividad</v>
          </cell>
          <cell r="E1210" t="str">
            <v>UND</v>
          </cell>
          <cell r="H1210">
            <v>86904</v>
          </cell>
        </row>
        <row r="1211">
          <cell r="A1211" t="str">
            <v>015.214</v>
          </cell>
          <cell r="B1211" t="str">
            <v>C13</v>
          </cell>
          <cell r="C1211" t="str">
            <v>CUADRILLA FF TIPO 2 (1 OFICIAL + 2 AYUDANTE) (Electricas)</v>
          </cell>
          <cell r="D1211" t="str">
            <v>Cuadrilla</v>
          </cell>
          <cell r="E1211" t="str">
            <v>HR</v>
          </cell>
          <cell r="F1211">
            <v>1.5</v>
          </cell>
          <cell r="G1211">
            <v>33348</v>
          </cell>
          <cell r="H1211">
            <v>50022</v>
          </cell>
        </row>
        <row r="1212">
          <cell r="A1212" t="str">
            <v>015.214</v>
          </cell>
          <cell r="B1212" t="str">
            <v>E12</v>
          </cell>
          <cell r="C1212" t="str">
            <v>EQUIPO DE TRANSPORTE</v>
          </cell>
          <cell r="D1212" t="str">
            <v>Equipos</v>
          </cell>
          <cell r="E1212" t="str">
            <v>DIA</v>
          </cell>
          <cell r="F1212">
            <v>4.1000000000000003E-3</v>
          </cell>
          <cell r="G1212">
            <v>131205</v>
          </cell>
          <cell r="H1212">
            <v>538</v>
          </cell>
        </row>
        <row r="1213">
          <cell r="A1213" t="str">
            <v>015.214</v>
          </cell>
          <cell r="B1213" t="str">
            <v>H2</v>
          </cell>
          <cell r="C1213" t="str">
            <v>EQUIPO BASICO (HERRAMIENTA MENOR)</v>
          </cell>
          <cell r="D1213" t="str">
            <v>Herramienta</v>
          </cell>
          <cell r="E1213" t="str">
            <v>UND</v>
          </cell>
          <cell r="F1213">
            <v>0.5</v>
          </cell>
          <cell r="G1213">
            <v>2536</v>
          </cell>
          <cell r="H1213">
            <v>1268</v>
          </cell>
        </row>
        <row r="1214">
          <cell r="A1214" t="str">
            <v>015.214</v>
          </cell>
          <cell r="B1214" t="str">
            <v>I1110</v>
          </cell>
          <cell r="C1214" t="str">
            <v>ACCESORIOS DE FIJACION</v>
          </cell>
          <cell r="D1214" t="str">
            <v>Insumo</v>
          </cell>
          <cell r="E1214" t="str">
            <v>UND</v>
          </cell>
          <cell r="F1214">
            <v>5</v>
          </cell>
          <cell r="G1214">
            <v>1792</v>
          </cell>
          <cell r="H1214">
            <v>8960</v>
          </cell>
        </row>
        <row r="1215">
          <cell r="A1215" t="str">
            <v>015.214</v>
          </cell>
          <cell r="B1215" t="str">
            <v>I1137</v>
          </cell>
          <cell r="C1215" t="str">
            <v>ADAPTADOR TERMINAL PVC 3/4"</v>
          </cell>
          <cell r="D1215" t="str">
            <v>Insumo</v>
          </cell>
          <cell r="E1215" t="str">
            <v>UND</v>
          </cell>
          <cell r="F1215">
            <v>2</v>
          </cell>
          <cell r="G1215">
            <v>245</v>
          </cell>
          <cell r="H1215">
            <v>490</v>
          </cell>
        </row>
        <row r="1216">
          <cell r="A1216" t="str">
            <v>015.214</v>
          </cell>
          <cell r="B1216" t="str">
            <v>I1747</v>
          </cell>
          <cell r="C1216" t="str">
            <v>SUMINISTRO DE ALAMBRE  12AWG HFFR LS 600V 75º CT</v>
          </cell>
          <cell r="D1216" t="str">
            <v>Insumo</v>
          </cell>
          <cell r="E1216" t="str">
            <v>ML</v>
          </cell>
          <cell r="F1216">
            <v>9</v>
          </cell>
          <cell r="G1216">
            <v>1589</v>
          </cell>
          <cell r="H1216">
            <v>14301</v>
          </cell>
        </row>
        <row r="1217">
          <cell r="A1217" t="str">
            <v>015.214</v>
          </cell>
          <cell r="B1217" t="str">
            <v>I1207</v>
          </cell>
          <cell r="C1217" t="str">
            <v>CAJA OCTOGONAL GALVANIZADA (CAJA EMP GALV.OCTAGONAL 4")</v>
          </cell>
          <cell r="D1217" t="str">
            <v>Insumo</v>
          </cell>
          <cell r="E1217" t="str">
            <v>UND</v>
          </cell>
          <cell r="F1217">
            <v>1</v>
          </cell>
          <cell r="G1217">
            <v>1871</v>
          </cell>
          <cell r="H1217">
            <v>1871</v>
          </cell>
        </row>
        <row r="1218">
          <cell r="A1218" t="str">
            <v>015.214</v>
          </cell>
          <cell r="B1218" t="str">
            <v>I1409</v>
          </cell>
          <cell r="C1218" t="str">
            <v>TAPA CIEGA CON IMPACTO GALVANIZADA CUADRADA 4X4"</v>
          </cell>
          <cell r="D1218" t="str">
            <v>Insumo</v>
          </cell>
          <cell r="E1218" t="str">
            <v>UND</v>
          </cell>
          <cell r="F1218">
            <v>1</v>
          </cell>
          <cell r="G1218">
            <v>848</v>
          </cell>
          <cell r="H1218">
            <v>848</v>
          </cell>
        </row>
        <row r="1219">
          <cell r="A1219" t="str">
            <v>015.214</v>
          </cell>
          <cell r="B1219" t="str">
            <v>I1473</v>
          </cell>
          <cell r="C1219" t="str">
            <v>TUBO CONDUIT PVC 3/4"</v>
          </cell>
          <cell r="D1219" t="str">
            <v>Insumo</v>
          </cell>
          <cell r="E1219" t="str">
            <v>M</v>
          </cell>
          <cell r="F1219">
            <v>3</v>
          </cell>
          <cell r="G1219">
            <v>1220</v>
          </cell>
          <cell r="H1219">
            <v>3660</v>
          </cell>
        </row>
        <row r="1220">
          <cell r="A1220" t="str">
            <v>015.214</v>
          </cell>
          <cell r="B1220" t="str">
            <v>I1489</v>
          </cell>
          <cell r="C1220" t="str">
            <v>CINTA AISLANTE 3M</v>
          </cell>
          <cell r="D1220" t="str">
            <v>Insumo</v>
          </cell>
          <cell r="E1220" t="str">
            <v>ROLLO</v>
          </cell>
          <cell r="F1220">
            <v>0.2</v>
          </cell>
          <cell r="G1220">
            <v>4158</v>
          </cell>
          <cell r="H1220">
            <v>832</v>
          </cell>
        </row>
        <row r="1221">
          <cell r="A1221" t="str">
            <v>015.214</v>
          </cell>
          <cell r="B1221" t="str">
            <v>I1565</v>
          </cell>
          <cell r="C1221" t="str">
            <v>ACARREO INTERNO</v>
          </cell>
          <cell r="D1221" t="str">
            <v>Insumo</v>
          </cell>
          <cell r="E1221" t="str">
            <v>UND</v>
          </cell>
          <cell r="F1221">
            <v>3.1</v>
          </cell>
          <cell r="G1221">
            <v>1327</v>
          </cell>
          <cell r="H1221">
            <v>4114</v>
          </cell>
        </row>
        <row r="1223">
          <cell r="A1223" t="str">
            <v>015.215</v>
          </cell>
          <cell r="B1223" t="str">
            <v>-</v>
          </cell>
          <cell r="C1223" t="str">
            <v>SUMINISTRO, TRANSPORTE E INSTALACION SALIDA ILUMINACION EN TUBERIA CONDUIT EMT 3/4", ALAMBRE No 10 AWG HFFR LS</v>
          </cell>
          <cell r="D1223" t="str">
            <v>Actividad</v>
          </cell>
          <cell r="E1223" t="str">
            <v>UND</v>
          </cell>
          <cell r="H1223">
            <v>113175</v>
          </cell>
        </row>
        <row r="1224">
          <cell r="A1224" t="str">
            <v>015.215</v>
          </cell>
          <cell r="B1224" t="str">
            <v>C13</v>
          </cell>
          <cell r="C1224" t="str">
            <v>CUADRILLA FF TIPO 2 (1 OFICIAL + 2 AYUDANTE) (Electricas)</v>
          </cell>
          <cell r="D1224" t="str">
            <v>Cuadrilla</v>
          </cell>
          <cell r="E1224" t="str">
            <v>HR</v>
          </cell>
          <cell r="F1224">
            <v>1</v>
          </cell>
          <cell r="G1224">
            <v>33348</v>
          </cell>
          <cell r="H1224">
            <v>33348</v>
          </cell>
        </row>
        <row r="1225">
          <cell r="A1225" t="str">
            <v>015.215</v>
          </cell>
          <cell r="B1225" t="str">
            <v>E12</v>
          </cell>
          <cell r="C1225" t="str">
            <v>EQUIPO DE TRANSPORTE</v>
          </cell>
          <cell r="D1225" t="str">
            <v>Equipos</v>
          </cell>
          <cell r="E1225" t="str">
            <v>DIA</v>
          </cell>
          <cell r="F1225">
            <v>9.5999999999999992E-3</v>
          </cell>
          <cell r="G1225">
            <v>131205</v>
          </cell>
          <cell r="H1225">
            <v>1260</v>
          </cell>
        </row>
        <row r="1226">
          <cell r="A1226" t="str">
            <v>015.215</v>
          </cell>
          <cell r="B1226" t="str">
            <v>H2</v>
          </cell>
          <cell r="C1226" t="str">
            <v>EQUIPO BASICO (HERRAMIENTA MENOR)</v>
          </cell>
          <cell r="D1226" t="str">
            <v>Herramienta</v>
          </cell>
          <cell r="E1226" t="str">
            <v>UND</v>
          </cell>
          <cell r="F1226">
            <v>0.5</v>
          </cell>
          <cell r="G1226">
            <v>2536</v>
          </cell>
          <cell r="H1226">
            <v>1268</v>
          </cell>
        </row>
        <row r="1227">
          <cell r="A1227" t="str">
            <v>015.215</v>
          </cell>
          <cell r="B1227" t="str">
            <v>I1116</v>
          </cell>
          <cell r="C1227" t="str">
            <v>ACCESORIOS FIJACION TUBERIA EMT 3/4" (ABRAZADERA, ALAMBRE)</v>
          </cell>
          <cell r="D1227" t="str">
            <v>Insumo</v>
          </cell>
          <cell r="E1227" t="str">
            <v>UND</v>
          </cell>
          <cell r="F1227">
            <v>2</v>
          </cell>
          <cell r="G1227">
            <v>2152</v>
          </cell>
          <cell r="H1227">
            <v>4304</v>
          </cell>
        </row>
        <row r="1228">
          <cell r="A1228" t="str">
            <v>015.215</v>
          </cell>
          <cell r="B1228" t="str">
            <v>I1129</v>
          </cell>
          <cell r="C1228" t="str">
            <v>ACCESORIOS TUBERIA EMT 3/4" (UNION Y CURVA)</v>
          </cell>
          <cell r="D1228" t="str">
            <v>Insumo</v>
          </cell>
          <cell r="E1228" t="str">
            <v>UND</v>
          </cell>
          <cell r="F1228">
            <v>2</v>
          </cell>
          <cell r="G1228">
            <v>4524</v>
          </cell>
          <cell r="H1228">
            <v>9048</v>
          </cell>
        </row>
        <row r="1229">
          <cell r="A1229" t="str">
            <v>015.215</v>
          </cell>
          <cell r="B1229" t="str">
            <v>I1733</v>
          </cell>
          <cell r="C1229" t="str">
            <v>SUMINISTRO DE CABLE  10 AWG HFFR LS 600V 75º CT</v>
          </cell>
          <cell r="D1229" t="str">
            <v>Insumos</v>
          </cell>
          <cell r="E1229" t="str">
            <v>ML</v>
          </cell>
          <cell r="F1229">
            <v>9</v>
          </cell>
          <cell r="G1229">
            <v>2298</v>
          </cell>
          <cell r="H1229">
            <v>20682</v>
          </cell>
        </row>
        <row r="1230">
          <cell r="A1230" t="str">
            <v>015.215</v>
          </cell>
          <cell r="B1230" t="str">
            <v>I1186</v>
          </cell>
          <cell r="C1230" t="str">
            <v>CABLE DE COBRE ENCAUCHETADO 3 X 16 THHN</v>
          </cell>
          <cell r="D1230" t="str">
            <v>Insumo</v>
          </cell>
          <cell r="E1230" t="str">
            <v>M</v>
          </cell>
          <cell r="F1230">
            <v>1</v>
          </cell>
          <cell r="G1230">
            <v>3597</v>
          </cell>
          <cell r="H1230">
            <v>3597</v>
          </cell>
        </row>
        <row r="1231">
          <cell r="A1231" t="str">
            <v>015.215</v>
          </cell>
          <cell r="B1231" t="str">
            <v>I1227</v>
          </cell>
          <cell r="C1231" t="str">
            <v>CONDULETA EN T Ó L 3/4" NPT</v>
          </cell>
          <cell r="D1231" t="str">
            <v>Insumo</v>
          </cell>
          <cell r="E1231" t="str">
            <v>UND</v>
          </cell>
          <cell r="F1231">
            <v>1</v>
          </cell>
          <cell r="G1231">
            <v>11336</v>
          </cell>
          <cell r="H1231">
            <v>11336</v>
          </cell>
        </row>
        <row r="1232">
          <cell r="A1232" t="str">
            <v>015.215</v>
          </cell>
          <cell r="B1232" t="str">
            <v>I1375</v>
          </cell>
          <cell r="C1232" t="str">
            <v>PRENSA ESTOPA ALUMINIO 3/4" NPT</v>
          </cell>
          <cell r="D1232" t="str">
            <v>Insumo</v>
          </cell>
          <cell r="E1232" t="str">
            <v>UND</v>
          </cell>
          <cell r="F1232">
            <v>1</v>
          </cell>
          <cell r="G1232">
            <v>6453</v>
          </cell>
          <cell r="H1232">
            <v>6453</v>
          </cell>
        </row>
        <row r="1233">
          <cell r="A1233" t="str">
            <v>015.215</v>
          </cell>
          <cell r="B1233" t="str">
            <v>I1461</v>
          </cell>
          <cell r="C1233" t="str">
            <v xml:space="preserve">TUBO CONDUIT GALVANIZADA EMT 3/4" </v>
          </cell>
          <cell r="D1233" t="str">
            <v>Insumo</v>
          </cell>
          <cell r="E1233" t="str">
            <v>M</v>
          </cell>
          <cell r="F1233">
            <v>3</v>
          </cell>
          <cell r="G1233">
            <v>6364</v>
          </cell>
          <cell r="H1233">
            <v>19092</v>
          </cell>
        </row>
        <row r="1234">
          <cell r="A1234" t="str">
            <v>015.215</v>
          </cell>
          <cell r="B1234" t="str">
            <v>I1565</v>
          </cell>
          <cell r="C1234" t="str">
            <v>ACARREO INTERNO</v>
          </cell>
          <cell r="D1234" t="str">
            <v>Insumo</v>
          </cell>
          <cell r="E1234" t="str">
            <v>UND</v>
          </cell>
          <cell r="F1234">
            <v>2.1</v>
          </cell>
          <cell r="G1234">
            <v>1327</v>
          </cell>
          <cell r="H1234">
            <v>2787</v>
          </cell>
        </row>
        <row r="1236">
          <cell r="A1236" t="str">
            <v>015.216</v>
          </cell>
          <cell r="B1236" t="str">
            <v>-</v>
          </cell>
          <cell r="C1236" t="str">
            <v>SUMINISTRO, TRANSPORTE E INSTALACION SALIDA INTERRUPTOR SENCILLO EN TUBERIA CONDUIT EMT 3/4", ALAMBRE No 10 AWG HFFR LS</v>
          </cell>
          <cell r="D1236" t="str">
            <v>Actividad</v>
          </cell>
          <cell r="E1236" t="str">
            <v>UND</v>
          </cell>
          <cell r="H1236">
            <v>124332</v>
          </cell>
        </row>
        <row r="1237">
          <cell r="A1237" t="str">
            <v>015.216</v>
          </cell>
          <cell r="B1237" t="str">
            <v>C13</v>
          </cell>
          <cell r="C1237" t="str">
            <v>CUADRILLA FF TIPO 2 (1 OFICIAL + 2 AYUDANTE) (Electricas)</v>
          </cell>
          <cell r="D1237" t="str">
            <v>Cuadrilla</v>
          </cell>
          <cell r="E1237" t="str">
            <v>HR</v>
          </cell>
          <cell r="F1237">
            <v>1</v>
          </cell>
          <cell r="G1237">
            <v>33348</v>
          </cell>
          <cell r="H1237">
            <v>33348</v>
          </cell>
        </row>
        <row r="1238">
          <cell r="A1238" t="str">
            <v>015.216</v>
          </cell>
          <cell r="B1238" t="str">
            <v>E12</v>
          </cell>
          <cell r="C1238" t="str">
            <v>EQUIPO DE TRANSPORTE</v>
          </cell>
          <cell r="D1238" t="str">
            <v>Equipos</v>
          </cell>
          <cell r="E1238" t="str">
            <v>DIA</v>
          </cell>
          <cell r="F1238">
            <v>1.03E-2</v>
          </cell>
          <cell r="G1238">
            <v>131205</v>
          </cell>
          <cell r="H1238">
            <v>1351</v>
          </cell>
        </row>
        <row r="1239">
          <cell r="A1239" t="str">
            <v>015.216</v>
          </cell>
          <cell r="B1239" t="str">
            <v>H2</v>
          </cell>
          <cell r="C1239" t="str">
            <v>EQUIPO BASICO (HERRAMIENTA MENOR)</v>
          </cell>
          <cell r="D1239" t="str">
            <v>Herramienta</v>
          </cell>
          <cell r="E1239" t="str">
            <v>UND</v>
          </cell>
          <cell r="F1239">
            <v>0.5</v>
          </cell>
          <cell r="G1239">
            <v>2536</v>
          </cell>
          <cell r="H1239">
            <v>1268</v>
          </cell>
        </row>
        <row r="1240">
          <cell r="A1240" t="str">
            <v>015.216</v>
          </cell>
          <cell r="B1240" t="str">
            <v>I1116</v>
          </cell>
          <cell r="C1240" t="str">
            <v>ACCESORIOS FIJACION TUBERIA EMT 3/4" (ABRAZADERA, ALAMBRE)</v>
          </cell>
          <cell r="D1240" t="str">
            <v>Insumo</v>
          </cell>
          <cell r="E1240" t="str">
            <v>UND</v>
          </cell>
          <cell r="F1240">
            <v>2</v>
          </cell>
          <cell r="G1240">
            <v>2152</v>
          </cell>
          <cell r="H1240">
            <v>4304</v>
          </cell>
        </row>
        <row r="1241">
          <cell r="A1241" t="str">
            <v>015.216</v>
          </cell>
          <cell r="B1241" t="str">
            <v>I1129</v>
          </cell>
          <cell r="C1241" t="str">
            <v>ACCESORIOS TUBERIA EMT 3/4" (UNION Y CURVA)</v>
          </cell>
          <cell r="D1241" t="str">
            <v>Insumo</v>
          </cell>
          <cell r="E1241" t="str">
            <v>UND</v>
          </cell>
          <cell r="F1241">
            <v>2</v>
          </cell>
          <cell r="G1241">
            <v>4524</v>
          </cell>
          <cell r="H1241">
            <v>9048</v>
          </cell>
        </row>
        <row r="1242">
          <cell r="A1242" t="str">
            <v>015.216</v>
          </cell>
          <cell r="B1242" t="str">
            <v>I1733</v>
          </cell>
          <cell r="C1242" t="str">
            <v>SUMINISTRO DE CABLE  10 AWG HFFR LS 600V 75º CT</v>
          </cell>
          <cell r="D1242" t="str">
            <v>Insumos</v>
          </cell>
          <cell r="E1242" t="str">
            <v>ML</v>
          </cell>
          <cell r="F1242">
            <v>15</v>
          </cell>
          <cell r="G1242">
            <v>2298</v>
          </cell>
          <cell r="H1242">
            <v>34470</v>
          </cell>
        </row>
        <row r="1243">
          <cell r="A1243" t="str">
            <v>015.216</v>
          </cell>
          <cell r="B1243" t="str">
            <v>I1206</v>
          </cell>
          <cell r="C1243" t="str">
            <v xml:space="preserve">CAJA METALICA GALVANIZADA (REF: 5800) </v>
          </cell>
          <cell r="D1243" t="str">
            <v>Insumo</v>
          </cell>
          <cell r="E1243" t="str">
            <v>UND</v>
          </cell>
          <cell r="F1243">
            <v>1</v>
          </cell>
          <cell r="G1243">
            <v>1871</v>
          </cell>
          <cell r="H1243">
            <v>1871</v>
          </cell>
        </row>
        <row r="1244">
          <cell r="A1244" t="str">
            <v>015.216</v>
          </cell>
          <cell r="B1244" t="str">
            <v>I1333</v>
          </cell>
          <cell r="C1244" t="str">
            <v xml:space="preserve">INTERRUPTOR SENCILLO </v>
          </cell>
          <cell r="D1244" t="str">
            <v>Insumo</v>
          </cell>
          <cell r="E1244" t="str">
            <v>HR</v>
          </cell>
          <cell r="F1244">
            <v>1</v>
          </cell>
          <cell r="G1244">
            <v>4065</v>
          </cell>
          <cell r="H1244">
            <v>4065</v>
          </cell>
        </row>
        <row r="1245">
          <cell r="A1245" t="str">
            <v>015.216</v>
          </cell>
          <cell r="B1245" t="str">
            <v>I1461</v>
          </cell>
          <cell r="C1245" t="str">
            <v xml:space="preserve">TUBO CONDUIT GALVANIZADA EMT 3/4" </v>
          </cell>
          <cell r="D1245" t="str">
            <v>Insumo</v>
          </cell>
          <cell r="E1245" t="str">
            <v>M</v>
          </cell>
          <cell r="F1245">
            <v>5</v>
          </cell>
          <cell r="G1245">
            <v>6364</v>
          </cell>
          <cell r="H1245">
            <v>31820</v>
          </cell>
        </row>
        <row r="1246">
          <cell r="A1246" t="str">
            <v>015.216</v>
          </cell>
          <cell r="B1246" t="str">
            <v>I1565</v>
          </cell>
          <cell r="C1246" t="str">
            <v>ACARREO INTERNO</v>
          </cell>
          <cell r="D1246" t="str">
            <v>Insumo</v>
          </cell>
          <cell r="E1246" t="str">
            <v>UND</v>
          </cell>
          <cell r="F1246">
            <v>2.1</v>
          </cell>
          <cell r="G1246">
            <v>1327</v>
          </cell>
          <cell r="H1246">
            <v>2787</v>
          </cell>
        </row>
        <row r="1248">
          <cell r="A1248" t="str">
            <v>015.217</v>
          </cell>
          <cell r="B1248" t="str">
            <v>-</v>
          </cell>
          <cell r="C1248" t="str">
            <v xml:space="preserve">SUMINISTRO, TRANSPORTE E INSTALACION SALIDA INTERRUPTOR DOBLE EN TUBERIA CONDUIT EMT 3/4", ALAMBRE No 10 AWG HFFR LS </v>
          </cell>
          <cell r="D1248" t="str">
            <v>Actividad</v>
          </cell>
          <cell r="E1248" t="str">
            <v>UND</v>
          </cell>
          <cell r="H1248">
            <v>137609</v>
          </cell>
        </row>
        <row r="1249">
          <cell r="A1249" t="str">
            <v>015.217</v>
          </cell>
          <cell r="B1249" t="str">
            <v>C13</v>
          </cell>
          <cell r="C1249" t="str">
            <v>CUADRILLA FF TIPO 2 (1 OFICIAL + 2 AYUDANTE) (Electricas)</v>
          </cell>
          <cell r="D1249" t="str">
            <v>Cuadrilla</v>
          </cell>
          <cell r="E1249" t="str">
            <v>HR</v>
          </cell>
          <cell r="F1249">
            <v>1</v>
          </cell>
          <cell r="G1249">
            <v>33348</v>
          </cell>
          <cell r="H1249">
            <v>33348</v>
          </cell>
        </row>
        <row r="1250">
          <cell r="A1250" t="str">
            <v>015.217</v>
          </cell>
          <cell r="B1250" t="str">
            <v>E12</v>
          </cell>
          <cell r="C1250" t="str">
            <v>EQUIPO DE TRANSPORTE</v>
          </cell>
          <cell r="D1250" t="str">
            <v>Equipos</v>
          </cell>
          <cell r="E1250" t="str">
            <v>DIA</v>
          </cell>
          <cell r="F1250">
            <v>1.14E-2</v>
          </cell>
          <cell r="G1250">
            <v>131205</v>
          </cell>
          <cell r="H1250">
            <v>1496</v>
          </cell>
        </row>
        <row r="1251">
          <cell r="A1251" t="str">
            <v>015.217</v>
          </cell>
          <cell r="B1251" t="str">
            <v>H2</v>
          </cell>
          <cell r="C1251" t="str">
            <v>EQUIPO BASICO (HERRAMIENTA MENOR)</v>
          </cell>
          <cell r="D1251" t="str">
            <v>Herramienta</v>
          </cell>
          <cell r="E1251" t="str">
            <v>UND</v>
          </cell>
          <cell r="F1251">
            <v>0.5</v>
          </cell>
          <cell r="G1251">
            <v>2536</v>
          </cell>
          <cell r="H1251">
            <v>1268</v>
          </cell>
        </row>
        <row r="1252">
          <cell r="A1252" t="str">
            <v>015.217</v>
          </cell>
          <cell r="B1252" t="str">
            <v>I1116</v>
          </cell>
          <cell r="C1252" t="str">
            <v>ACCESORIOS FIJACION TUBERIA EMT 3/4" (ABRAZADERA, ALAMBRE)</v>
          </cell>
          <cell r="D1252" t="str">
            <v>Insumo</v>
          </cell>
          <cell r="E1252" t="str">
            <v>UND</v>
          </cell>
          <cell r="F1252">
            <v>2</v>
          </cell>
          <cell r="G1252">
            <v>2152</v>
          </cell>
          <cell r="H1252">
            <v>4304</v>
          </cell>
        </row>
        <row r="1253">
          <cell r="A1253" t="str">
            <v>015.217</v>
          </cell>
          <cell r="B1253" t="str">
            <v>I1129</v>
          </cell>
          <cell r="C1253" t="str">
            <v>ACCESORIOS TUBERIA EMT 3/4" (UNION Y CURVA)</v>
          </cell>
          <cell r="D1253" t="str">
            <v>Insumo</v>
          </cell>
          <cell r="E1253" t="str">
            <v>UND</v>
          </cell>
          <cell r="F1253">
            <v>2</v>
          </cell>
          <cell r="G1253">
            <v>4524</v>
          </cell>
          <cell r="H1253">
            <v>9048</v>
          </cell>
        </row>
        <row r="1254">
          <cell r="A1254" t="str">
            <v>015.217</v>
          </cell>
          <cell r="B1254" t="str">
            <v>I1733</v>
          </cell>
          <cell r="C1254" t="str">
            <v>SUMINISTRO DE CABLE  10 AWG HFFR LS 600V 75º CT</v>
          </cell>
          <cell r="D1254" t="str">
            <v>Insumos</v>
          </cell>
          <cell r="E1254" t="str">
            <v>ML</v>
          </cell>
          <cell r="F1254">
            <v>20</v>
          </cell>
          <cell r="G1254">
            <v>2298</v>
          </cell>
          <cell r="H1254">
            <v>45960</v>
          </cell>
        </row>
        <row r="1255">
          <cell r="A1255" t="str">
            <v>015.217</v>
          </cell>
          <cell r="B1255" t="str">
            <v>I1206</v>
          </cell>
          <cell r="C1255" t="str">
            <v xml:space="preserve">CAJA METALICA GALVANIZADA (REF: 5800) </v>
          </cell>
          <cell r="D1255" t="str">
            <v>Insumo</v>
          </cell>
          <cell r="E1255" t="str">
            <v>UND</v>
          </cell>
          <cell r="F1255">
            <v>1</v>
          </cell>
          <cell r="G1255">
            <v>1871</v>
          </cell>
          <cell r="H1255">
            <v>1871</v>
          </cell>
        </row>
        <row r="1256">
          <cell r="A1256" t="str">
            <v>015.217</v>
          </cell>
          <cell r="B1256" t="str">
            <v>I1290</v>
          </cell>
          <cell r="C1256" t="str">
            <v>INTERRUPTOR DOBLE</v>
          </cell>
          <cell r="D1256" t="str">
            <v>Insumo</v>
          </cell>
          <cell r="E1256" t="str">
            <v>UND</v>
          </cell>
          <cell r="F1256">
            <v>1</v>
          </cell>
          <cell r="G1256">
            <v>5707</v>
          </cell>
          <cell r="H1256">
            <v>5707</v>
          </cell>
        </row>
        <row r="1257">
          <cell r="A1257" t="str">
            <v>015.217</v>
          </cell>
          <cell r="B1257" t="str">
            <v>I1461</v>
          </cell>
          <cell r="C1257" t="str">
            <v xml:space="preserve">TUBO CONDUIT GALVANIZADA EMT 3/4" </v>
          </cell>
          <cell r="D1257" t="str">
            <v>Insumo</v>
          </cell>
          <cell r="E1257" t="str">
            <v>M</v>
          </cell>
          <cell r="F1257">
            <v>5</v>
          </cell>
          <cell r="G1257">
            <v>6364</v>
          </cell>
          <cell r="H1257">
            <v>31820</v>
          </cell>
        </row>
        <row r="1258">
          <cell r="A1258" t="str">
            <v>015.217</v>
          </cell>
          <cell r="B1258" t="str">
            <v>I1565</v>
          </cell>
          <cell r="C1258" t="str">
            <v>ACARREO INTERNO</v>
          </cell>
          <cell r="D1258" t="str">
            <v>Insumo</v>
          </cell>
          <cell r="E1258" t="str">
            <v>UND</v>
          </cell>
          <cell r="F1258">
            <v>2.1</v>
          </cell>
          <cell r="G1258">
            <v>1327</v>
          </cell>
          <cell r="H1258">
            <v>2787</v>
          </cell>
        </row>
        <row r="1260">
          <cell r="A1260" t="str">
            <v>015.218</v>
          </cell>
          <cell r="B1260" t="str">
            <v>-</v>
          </cell>
          <cell r="C1260" t="str">
            <v>SUMINISTRO, TRANSPORTE E INSTALACION SALIDA INTERRUPTOR SENCILLO CONMUTABLE EN TUBERIA CONDUIT EMT 3/4", ALAMBRE No 10 AWG. HFFR LS</v>
          </cell>
          <cell r="D1260" t="str">
            <v>Actividad</v>
          </cell>
          <cell r="E1260" t="str">
            <v>UND</v>
          </cell>
          <cell r="H1260">
            <v>136474</v>
          </cell>
        </row>
        <row r="1261">
          <cell r="A1261" t="str">
            <v>015.218</v>
          </cell>
          <cell r="B1261" t="str">
            <v>C13</v>
          </cell>
          <cell r="C1261" t="str">
            <v>CUADRILLA FF TIPO 2 (1 OFICIAL + 2 AYUDANTE) (Electricas)</v>
          </cell>
          <cell r="D1261" t="str">
            <v>Cuadrilla</v>
          </cell>
          <cell r="E1261" t="str">
            <v>HR</v>
          </cell>
          <cell r="F1261">
            <v>1</v>
          </cell>
          <cell r="G1261">
            <v>33348</v>
          </cell>
          <cell r="H1261">
            <v>33348</v>
          </cell>
        </row>
        <row r="1262">
          <cell r="A1262" t="str">
            <v>015.218</v>
          </cell>
          <cell r="B1262" t="str">
            <v>E12</v>
          </cell>
          <cell r="C1262" t="str">
            <v>EQUIPO DE TRANSPORTE</v>
          </cell>
          <cell r="D1262" t="str">
            <v>Equipos</v>
          </cell>
          <cell r="E1262" t="str">
            <v>DIA</v>
          </cell>
          <cell r="F1262">
            <v>1.1299999999999999E-2</v>
          </cell>
          <cell r="G1262">
            <v>131205</v>
          </cell>
          <cell r="H1262">
            <v>1483</v>
          </cell>
        </row>
        <row r="1263">
          <cell r="A1263" t="str">
            <v>015.218</v>
          </cell>
          <cell r="B1263" t="str">
            <v>H2</v>
          </cell>
          <cell r="C1263" t="str">
            <v>EQUIPO BASICO (HERRAMIENTA MENOR)</v>
          </cell>
          <cell r="D1263" t="str">
            <v>Herramienta</v>
          </cell>
          <cell r="E1263" t="str">
            <v>UND</v>
          </cell>
          <cell r="F1263">
            <v>0.5</v>
          </cell>
          <cell r="G1263">
            <v>2536</v>
          </cell>
          <cell r="H1263">
            <v>1268</v>
          </cell>
        </row>
        <row r="1264">
          <cell r="A1264" t="str">
            <v>015.218</v>
          </cell>
          <cell r="B1264" t="str">
            <v>I1116</v>
          </cell>
          <cell r="C1264" t="str">
            <v>ACCESORIOS FIJACION TUBERIA EMT 3/4" (ABRAZADERA, ALAMBRE)</v>
          </cell>
          <cell r="D1264" t="str">
            <v>Insumo</v>
          </cell>
          <cell r="E1264" t="str">
            <v>UND</v>
          </cell>
          <cell r="F1264">
            <v>2</v>
          </cell>
          <cell r="G1264">
            <v>2152</v>
          </cell>
          <cell r="H1264">
            <v>4304</v>
          </cell>
        </row>
        <row r="1265">
          <cell r="A1265" t="str">
            <v>015.218</v>
          </cell>
          <cell r="B1265" t="str">
            <v>I1129</v>
          </cell>
          <cell r="C1265" t="str">
            <v>ACCESORIOS TUBERIA EMT 3/4" (UNION Y CURVA)</v>
          </cell>
          <cell r="D1265" t="str">
            <v>Insumo</v>
          </cell>
          <cell r="E1265" t="str">
            <v>UND</v>
          </cell>
          <cell r="F1265">
            <v>2</v>
          </cell>
          <cell r="G1265">
            <v>4524</v>
          </cell>
          <cell r="H1265">
            <v>9048</v>
          </cell>
        </row>
        <row r="1266">
          <cell r="A1266" t="str">
            <v>015.218</v>
          </cell>
          <cell r="B1266" t="str">
            <v>I1733</v>
          </cell>
          <cell r="C1266" t="str">
            <v>SUMINISTRO DE CABLE  10 AWG HFFR LS 600V 75º CT</v>
          </cell>
          <cell r="D1266" t="str">
            <v>Insumos</v>
          </cell>
          <cell r="E1266" t="str">
            <v>ML</v>
          </cell>
          <cell r="F1266">
            <v>20</v>
          </cell>
          <cell r="G1266">
            <v>2298</v>
          </cell>
          <cell r="H1266">
            <v>45960</v>
          </cell>
        </row>
        <row r="1267">
          <cell r="A1267" t="str">
            <v>015.218</v>
          </cell>
          <cell r="B1267" t="str">
            <v>I1206</v>
          </cell>
          <cell r="C1267" t="str">
            <v xml:space="preserve">CAJA METALICA GALVANIZADA (REF: 5800) </v>
          </cell>
          <cell r="D1267" t="str">
            <v>Insumo</v>
          </cell>
          <cell r="E1267" t="str">
            <v>UND</v>
          </cell>
          <cell r="F1267">
            <v>1</v>
          </cell>
          <cell r="G1267">
            <v>1871</v>
          </cell>
          <cell r="H1267">
            <v>1871</v>
          </cell>
        </row>
        <row r="1268">
          <cell r="A1268" t="str">
            <v>015.218</v>
          </cell>
          <cell r="B1268" t="str">
            <v>I1334</v>
          </cell>
          <cell r="C1268" t="str">
            <v xml:space="preserve">INTERRUPTOR SENCILLO CONMUTABLE </v>
          </cell>
          <cell r="D1268" t="str">
            <v>Insumo</v>
          </cell>
          <cell r="E1268" t="str">
            <v>UND</v>
          </cell>
          <cell r="F1268">
            <v>1</v>
          </cell>
          <cell r="G1268">
            <v>4585</v>
          </cell>
          <cell r="H1268">
            <v>4585</v>
          </cell>
        </row>
        <row r="1269">
          <cell r="A1269" t="str">
            <v>015.218</v>
          </cell>
          <cell r="B1269" t="str">
            <v>I1461</v>
          </cell>
          <cell r="C1269" t="str">
            <v xml:space="preserve">TUBO CONDUIT GALVANIZADA EMT 3/4" </v>
          </cell>
          <cell r="D1269" t="str">
            <v>Insumo</v>
          </cell>
          <cell r="E1269" t="str">
            <v>M</v>
          </cell>
          <cell r="F1269">
            <v>5</v>
          </cell>
          <cell r="G1269">
            <v>6364</v>
          </cell>
          <cell r="H1269">
            <v>31820</v>
          </cell>
        </row>
        <row r="1270">
          <cell r="A1270" t="str">
            <v>015.218</v>
          </cell>
          <cell r="B1270" t="str">
            <v>I1565</v>
          </cell>
          <cell r="C1270" t="str">
            <v>ACARREO INTERNO</v>
          </cell>
          <cell r="D1270" t="str">
            <v>Insumo</v>
          </cell>
          <cell r="E1270" t="str">
            <v>UND</v>
          </cell>
          <cell r="F1270">
            <v>2.1</v>
          </cell>
          <cell r="G1270">
            <v>1327</v>
          </cell>
          <cell r="H1270">
            <v>2787</v>
          </cell>
        </row>
        <row r="1272">
          <cell r="A1272" t="str">
            <v>015.219</v>
          </cell>
          <cell r="B1272" t="str">
            <v>-</v>
          </cell>
          <cell r="C1272" t="str">
            <v>SUMINISTRO, TRANSPORTE E INSTALACION LUMINARIA LED VIAL DE 50 VATIOS - FOTOCELDA INCORPORADA - INCLUYE BRAZO -ROY ALPHA , SCHREDER , O CALIDAD SUPERIOR.</v>
          </cell>
          <cell r="D1272" t="str">
            <v>Actividad</v>
          </cell>
          <cell r="E1272" t="str">
            <v>UND</v>
          </cell>
          <cell r="H1272">
            <v>1148201</v>
          </cell>
        </row>
        <row r="1273">
          <cell r="A1273" t="str">
            <v>015.219</v>
          </cell>
          <cell r="B1273" t="str">
            <v>C35</v>
          </cell>
          <cell r="C1273" t="str">
            <v>CUADRILLA GG TIPO 5 (1 OFICIAL + 5 AYUDANTE) (Alumbrado Publico)</v>
          </cell>
          <cell r="D1273" t="str">
            <v>Cuadrilla</v>
          </cell>
          <cell r="E1273" t="str">
            <v>HR</v>
          </cell>
          <cell r="F1273">
            <v>0.5</v>
          </cell>
          <cell r="G1273">
            <v>87719</v>
          </cell>
          <cell r="H1273">
            <v>43860</v>
          </cell>
        </row>
        <row r="1274">
          <cell r="A1274" t="str">
            <v>015.219</v>
          </cell>
          <cell r="B1274" t="str">
            <v>E12</v>
          </cell>
          <cell r="C1274" t="str">
            <v>EQUIPO DE TRANSPORTE</v>
          </cell>
          <cell r="D1274" t="str">
            <v>Equipos</v>
          </cell>
          <cell r="E1274" t="str">
            <v>DIA</v>
          </cell>
          <cell r="F1274">
            <v>4.48E-2</v>
          </cell>
          <cell r="G1274">
            <v>131205</v>
          </cell>
          <cell r="H1274">
            <v>5878</v>
          </cell>
        </row>
        <row r="1275">
          <cell r="A1275" t="str">
            <v>015.219</v>
          </cell>
          <cell r="B1275" t="str">
            <v>H2</v>
          </cell>
          <cell r="C1275" t="str">
            <v>EQUIPO BASICO (HERRAMIENTA MENOR)</v>
          </cell>
          <cell r="D1275" t="str">
            <v>Herramienta</v>
          </cell>
          <cell r="E1275" t="str">
            <v>UND</v>
          </cell>
          <cell r="F1275">
            <v>2</v>
          </cell>
          <cell r="G1275">
            <v>2536</v>
          </cell>
          <cell r="H1275">
            <v>5072</v>
          </cell>
        </row>
        <row r="1276">
          <cell r="A1276" t="str">
            <v>015.219</v>
          </cell>
          <cell r="B1276" t="str">
            <v>I1162</v>
          </cell>
          <cell r="C1276" t="str">
            <v>BASE Y FOTOCELDA TIPO EXTERIOR PARA ALUMBRADO INSTALADA.</v>
          </cell>
          <cell r="D1276" t="str">
            <v>Insumo</v>
          </cell>
          <cell r="E1276" t="str">
            <v>UND</v>
          </cell>
          <cell r="F1276">
            <v>1</v>
          </cell>
          <cell r="G1276">
            <v>27971</v>
          </cell>
          <cell r="H1276">
            <v>27971</v>
          </cell>
        </row>
        <row r="1277">
          <cell r="A1277" t="str">
            <v>015.219</v>
          </cell>
          <cell r="B1277" t="str">
            <v>I1172</v>
          </cell>
          <cell r="C1277" t="str">
            <v>BRAZO HORIZONTAL GALV. 3/4" X 1.50M</v>
          </cell>
          <cell r="D1277" t="str">
            <v>Insumo</v>
          </cell>
          <cell r="E1277" t="str">
            <v>UND</v>
          </cell>
          <cell r="F1277">
            <v>1</v>
          </cell>
          <cell r="G1277">
            <v>74659</v>
          </cell>
          <cell r="H1277">
            <v>74659</v>
          </cell>
        </row>
        <row r="1278">
          <cell r="A1278" t="str">
            <v>015.219</v>
          </cell>
          <cell r="B1278" t="str">
            <v>I1342</v>
          </cell>
          <cell r="C1278" t="str">
            <v>LUMINARIA 50 W LED - ROY ALPHA, SCHREDER, O CALIDAD SUPERIOR</v>
          </cell>
          <cell r="D1278" t="str">
            <v>Insumo</v>
          </cell>
          <cell r="E1278" t="str">
            <v>UND</v>
          </cell>
          <cell r="F1278">
            <v>1</v>
          </cell>
          <cell r="G1278">
            <v>985320</v>
          </cell>
          <cell r="H1278">
            <v>985320</v>
          </cell>
        </row>
        <row r="1279">
          <cell r="A1279" t="str">
            <v>015.219</v>
          </cell>
          <cell r="B1279" t="str">
            <v>I1565</v>
          </cell>
          <cell r="C1279" t="str">
            <v>ACARREO INTERNO</v>
          </cell>
          <cell r="D1279" t="str">
            <v>Insumo</v>
          </cell>
          <cell r="E1279" t="str">
            <v>UND</v>
          </cell>
          <cell r="F1279">
            <v>4.0999999999999996</v>
          </cell>
          <cell r="G1279">
            <v>1327</v>
          </cell>
          <cell r="H1279">
            <v>5441</v>
          </cell>
        </row>
        <row r="1281">
          <cell r="A1281" t="str">
            <v>015.220</v>
          </cell>
          <cell r="B1281" t="str">
            <v>-</v>
          </cell>
          <cell r="C1281" t="str">
            <v>SUMINISTRO, TRANSPORTE E INSTALACION CAJA DE INSPECCION 0.30*0.30*0.40 m.(INCLUYE, LADRILLO COMÚN, MARCO EN ANGULO 1 1/2 X 1 1/2 * 1/8" Y TAPA REFORZADA EN PLATINA DE 2 * 1/8" CON PARRILLA EN VARILLA 3/8 CADA 10 CM.)</v>
          </cell>
          <cell r="D1281" t="str">
            <v>Actividad</v>
          </cell>
          <cell r="E1281" t="str">
            <v>UND</v>
          </cell>
          <cell r="H1281">
            <v>217822</v>
          </cell>
        </row>
        <row r="1282">
          <cell r="A1282" t="str">
            <v>015.220</v>
          </cell>
          <cell r="B1282" t="str">
            <v>AB21</v>
          </cell>
          <cell r="C1282" t="str">
            <v>MORTERO 1:4</v>
          </cell>
          <cell r="D1282" t="str">
            <v>Analisis</v>
          </cell>
          <cell r="E1282" t="str">
            <v>M3</v>
          </cell>
          <cell r="F1282">
            <v>1.9E-2</v>
          </cell>
          <cell r="G1282">
            <v>388939</v>
          </cell>
          <cell r="H1282">
            <v>7390</v>
          </cell>
        </row>
        <row r="1283">
          <cell r="A1283" t="str">
            <v>015.220</v>
          </cell>
          <cell r="B1283" t="str">
            <v>AB4</v>
          </cell>
          <cell r="C1283" t="str">
            <v>CONCRETO 2500 psi - 17.5 Mpa</v>
          </cell>
          <cell r="D1283" t="str">
            <v>Analisis</v>
          </cell>
          <cell r="E1283" t="str">
            <v>M3</v>
          </cell>
          <cell r="F1283">
            <v>8.9999999999999993E-3</v>
          </cell>
          <cell r="G1283">
            <v>380250</v>
          </cell>
          <cell r="H1283">
            <v>3422</v>
          </cell>
        </row>
        <row r="1284">
          <cell r="A1284" t="str">
            <v>015.220</v>
          </cell>
          <cell r="B1284" t="str">
            <v>C23</v>
          </cell>
          <cell r="C1284" t="str">
            <v>CUADRILLA BB TIPO 4 (1 OFICIAL + 4 AYUDANTE) (Instalaciones)</v>
          </cell>
          <cell r="D1284" t="str">
            <v>Cuadrilla</v>
          </cell>
          <cell r="E1284" t="str">
            <v>HR</v>
          </cell>
          <cell r="F1284">
            <v>2.2000000000000002</v>
          </cell>
          <cell r="G1284">
            <v>39593</v>
          </cell>
          <cell r="H1284">
            <v>87105</v>
          </cell>
        </row>
        <row r="1285">
          <cell r="A1285" t="str">
            <v>015.220</v>
          </cell>
          <cell r="B1285" t="str">
            <v>E12</v>
          </cell>
          <cell r="C1285" t="str">
            <v>EQUIPO DE TRANSPORTE</v>
          </cell>
          <cell r="D1285" t="str">
            <v>Equipos</v>
          </cell>
          <cell r="E1285" t="str">
            <v>DIA</v>
          </cell>
          <cell r="F1285">
            <v>1.2E-2</v>
          </cell>
          <cell r="G1285">
            <v>131205</v>
          </cell>
          <cell r="H1285">
            <v>1574</v>
          </cell>
        </row>
        <row r="1286">
          <cell r="A1286" t="str">
            <v>015.220</v>
          </cell>
          <cell r="B1286" t="str">
            <v>H2</v>
          </cell>
          <cell r="C1286" t="str">
            <v>EQUIPO BASICO (HERRAMIENTA MENOR)</v>
          </cell>
          <cell r="D1286" t="str">
            <v>Herramienta</v>
          </cell>
          <cell r="E1286" t="str">
            <v>UND</v>
          </cell>
          <cell r="F1286">
            <v>0.2</v>
          </cell>
          <cell r="G1286">
            <v>2536</v>
          </cell>
          <cell r="H1286">
            <v>507</v>
          </cell>
        </row>
        <row r="1287">
          <cell r="A1287" t="str">
            <v>015.220</v>
          </cell>
          <cell r="B1287" t="str">
            <v>I1565</v>
          </cell>
          <cell r="C1287" t="str">
            <v>ACARREO INTERNO</v>
          </cell>
          <cell r="D1287" t="str">
            <v>Insumo</v>
          </cell>
          <cell r="E1287" t="str">
            <v>UND</v>
          </cell>
          <cell r="F1287">
            <v>6</v>
          </cell>
          <cell r="G1287">
            <v>1327</v>
          </cell>
          <cell r="H1287">
            <v>7962</v>
          </cell>
        </row>
        <row r="1288">
          <cell r="A1288" t="str">
            <v>015.220</v>
          </cell>
          <cell r="B1288" t="str">
            <v>I196</v>
          </cell>
          <cell r="C1288" t="str">
            <v>MARCO Y TAPA CAJA INSPECCION DE 0.30 X 0.30 M. (MARCO EN ANGULO 1 1/2 X 1 1/2 * 1/8", TAPA REFORZADA EN PLATINA DE 2 * 1/8" CON PARRILLA EN VARILLA 3/8 CADA 10 CM.).</v>
          </cell>
          <cell r="D1288" t="str">
            <v>Insumo</v>
          </cell>
          <cell r="E1288" t="str">
            <v>UND</v>
          </cell>
          <cell r="F1288">
            <v>1</v>
          </cell>
          <cell r="G1288">
            <v>53273</v>
          </cell>
          <cell r="H1288">
            <v>53273</v>
          </cell>
        </row>
        <row r="1289">
          <cell r="A1289" t="str">
            <v>015.220</v>
          </cell>
          <cell r="B1289" t="str">
            <v>I427</v>
          </cell>
          <cell r="C1289" t="str">
            <v>SIKA-1 IMPERMEABILIZANTE INTEGRAL MORTEROS O SIMILAR.</v>
          </cell>
          <cell r="D1289" t="str">
            <v>Insumo</v>
          </cell>
          <cell r="E1289" t="str">
            <v>KG</v>
          </cell>
          <cell r="F1289">
            <v>0.38400000000000001</v>
          </cell>
          <cell r="G1289">
            <v>10146</v>
          </cell>
          <cell r="H1289">
            <v>3896</v>
          </cell>
        </row>
        <row r="1290">
          <cell r="A1290" t="str">
            <v>015.220</v>
          </cell>
          <cell r="B1290" t="str">
            <v>I944</v>
          </cell>
          <cell r="C1290" t="str">
            <v>LADRILLO TOLETE RECOCIDO (24,5 X 12 X 6 CM)</v>
          </cell>
          <cell r="D1290" t="str">
            <v>Insumo</v>
          </cell>
          <cell r="E1290" t="str">
            <v>UND</v>
          </cell>
          <cell r="F1290">
            <v>29</v>
          </cell>
          <cell r="G1290">
            <v>1817</v>
          </cell>
          <cell r="H1290">
            <v>52693</v>
          </cell>
        </row>
        <row r="1292">
          <cell r="A1292" t="str">
            <v>015.221</v>
          </cell>
          <cell r="B1292" t="str">
            <v>-</v>
          </cell>
          <cell r="C1292" t="str">
            <v>SUMINISTRO, TRANSPORTE E INSTALACION POSTE EN ACERO ESTRUCTURAL GALVANIZADO DE 6M HOMOLOGADO</v>
          </cell>
          <cell r="D1292" t="str">
            <v>Actividad</v>
          </cell>
          <cell r="E1292" t="str">
            <v>UND</v>
          </cell>
          <cell r="H1292">
            <v>1107738</v>
          </cell>
        </row>
        <row r="1293">
          <cell r="A1293" t="str">
            <v>015.221</v>
          </cell>
          <cell r="B1293" t="str">
            <v>C35</v>
          </cell>
          <cell r="C1293" t="str">
            <v>CUADRILLA GG TIPO 5 (1 OFICIAL + 5 AYUDANTE) (Alumbrado Publico)</v>
          </cell>
          <cell r="D1293" t="str">
            <v>Cuadrilla</v>
          </cell>
          <cell r="E1293" t="str">
            <v>HR</v>
          </cell>
          <cell r="F1293">
            <v>1.3</v>
          </cell>
          <cell r="G1293">
            <v>87719</v>
          </cell>
          <cell r="H1293">
            <v>114035</v>
          </cell>
        </row>
        <row r="1294">
          <cell r="A1294" t="str">
            <v>015.221</v>
          </cell>
          <cell r="B1294" t="str">
            <v>E12</v>
          </cell>
          <cell r="C1294" t="str">
            <v>EQUIPO DE TRANSPORTE</v>
          </cell>
          <cell r="D1294" t="str">
            <v>Equipos</v>
          </cell>
          <cell r="E1294" t="str">
            <v>DIA</v>
          </cell>
          <cell r="F1294">
            <v>4.82E-2</v>
          </cell>
          <cell r="G1294">
            <v>131205</v>
          </cell>
          <cell r="H1294">
            <v>6324</v>
          </cell>
        </row>
        <row r="1295">
          <cell r="A1295" t="str">
            <v>015.221</v>
          </cell>
          <cell r="B1295" t="str">
            <v>I1372</v>
          </cell>
          <cell r="C1295" t="str">
            <v>POSTE EN ACERO ESTRUCTURAL GALVANIZADO 6 METROS HOMOLOGADO</v>
          </cell>
          <cell r="D1295" t="str">
            <v>Insumo</v>
          </cell>
          <cell r="E1295" t="str">
            <v>UND</v>
          </cell>
          <cell r="F1295">
            <v>1</v>
          </cell>
          <cell r="G1295">
            <v>971057</v>
          </cell>
          <cell r="H1295">
            <v>971057</v>
          </cell>
        </row>
        <row r="1296">
          <cell r="A1296" t="str">
            <v>015.221</v>
          </cell>
          <cell r="B1296" t="str">
            <v>I1565</v>
          </cell>
          <cell r="C1296" t="str">
            <v>ACARREO INTERNO</v>
          </cell>
          <cell r="D1296" t="str">
            <v>Insumo</v>
          </cell>
          <cell r="E1296" t="str">
            <v>UND</v>
          </cell>
          <cell r="F1296">
            <v>12.3</v>
          </cell>
          <cell r="G1296">
            <v>1327</v>
          </cell>
          <cell r="H1296">
            <v>16322</v>
          </cell>
        </row>
        <row r="1298">
          <cell r="A1298" t="str">
            <v>015.222</v>
          </cell>
          <cell r="B1298" t="str">
            <v>-</v>
          </cell>
          <cell r="C1298" t="str">
            <v>SUMINISTRO, TRANSPORTE E INSTALACION CAJA DE INSPECCION  0.80*0.80*1 m.  (Incluye, ladrillo común, marco en angulo 2 1/2 x 2 1/2 * 3/16" y tapa reforzada en platina de 3 * 3/16" con parrilla en varilla 3/8 cada 10 cm.).</v>
          </cell>
          <cell r="D1298" t="str">
            <v>Actividad</v>
          </cell>
          <cell r="E1298" t="str">
            <v>UND</v>
          </cell>
          <cell r="H1298">
            <v>983354</v>
          </cell>
        </row>
        <row r="1299">
          <cell r="A1299" t="str">
            <v>015.222</v>
          </cell>
          <cell r="B1299" t="str">
            <v>AB21</v>
          </cell>
          <cell r="C1299" t="str">
            <v>MORTERO 1:4</v>
          </cell>
          <cell r="D1299" t="str">
            <v>Analisis</v>
          </cell>
          <cell r="E1299" t="str">
            <v>M3</v>
          </cell>
          <cell r="F1299">
            <v>0.13</v>
          </cell>
          <cell r="G1299">
            <v>388939</v>
          </cell>
          <cell r="H1299">
            <v>50562</v>
          </cell>
        </row>
        <row r="1300">
          <cell r="A1300" t="str">
            <v>015.222</v>
          </cell>
          <cell r="B1300" t="str">
            <v>AB4</v>
          </cell>
          <cell r="C1300" t="str">
            <v>CONCRETO 2500 psi - 17.5 Mpa</v>
          </cell>
          <cell r="D1300" t="str">
            <v>Analisis</v>
          </cell>
          <cell r="E1300" t="str">
            <v>M3</v>
          </cell>
          <cell r="F1300">
            <v>6.4000000000000001E-2</v>
          </cell>
          <cell r="G1300">
            <v>380250</v>
          </cell>
          <cell r="H1300">
            <v>24336</v>
          </cell>
        </row>
        <row r="1301">
          <cell r="A1301" t="str">
            <v>015.222</v>
          </cell>
          <cell r="B1301" t="str">
            <v>C23</v>
          </cell>
          <cell r="C1301" t="str">
            <v>CUADRILLA BB TIPO 4 (1 OFICIAL + 4 AYUDANTE) (Instalaciones)</v>
          </cell>
          <cell r="D1301" t="str">
            <v>Cuadrilla</v>
          </cell>
          <cell r="E1301" t="str">
            <v>HR</v>
          </cell>
          <cell r="F1301">
            <v>3.35</v>
          </cell>
          <cell r="G1301">
            <v>39593</v>
          </cell>
          <cell r="H1301">
            <v>132637</v>
          </cell>
        </row>
        <row r="1302">
          <cell r="A1302" t="str">
            <v>015.222</v>
          </cell>
          <cell r="B1302" t="str">
            <v>E12</v>
          </cell>
          <cell r="C1302" t="str">
            <v>EQUIPO DE TRANSPORTE</v>
          </cell>
          <cell r="D1302" t="str">
            <v>Equipos</v>
          </cell>
          <cell r="E1302" t="str">
            <v>DIA</v>
          </cell>
          <cell r="F1302">
            <v>8.5000000000000006E-2</v>
          </cell>
          <cell r="G1302">
            <v>131205</v>
          </cell>
          <cell r="H1302">
            <v>11152</v>
          </cell>
        </row>
        <row r="1303">
          <cell r="A1303" t="str">
            <v>015.222</v>
          </cell>
          <cell r="B1303" t="str">
            <v>H2</v>
          </cell>
          <cell r="C1303" t="str">
            <v>EQUIPO BASICO (HERRAMIENTA MENOR)</v>
          </cell>
          <cell r="D1303" t="str">
            <v>Herramienta</v>
          </cell>
          <cell r="E1303" t="str">
            <v>UND</v>
          </cell>
          <cell r="F1303">
            <v>0.3</v>
          </cell>
          <cell r="G1303">
            <v>2536</v>
          </cell>
          <cell r="H1303">
            <v>761</v>
          </cell>
        </row>
        <row r="1304">
          <cell r="A1304" t="str">
            <v>015.222</v>
          </cell>
          <cell r="B1304" t="str">
            <v>I1565</v>
          </cell>
          <cell r="C1304" t="str">
            <v>ACARREO INTERNO</v>
          </cell>
          <cell r="D1304" t="str">
            <v>Insumo</v>
          </cell>
          <cell r="E1304" t="str">
            <v>UND</v>
          </cell>
          <cell r="F1304">
            <v>9</v>
          </cell>
          <cell r="G1304">
            <v>1327</v>
          </cell>
          <cell r="H1304">
            <v>11943</v>
          </cell>
        </row>
        <row r="1305">
          <cell r="A1305" t="str">
            <v>015.222</v>
          </cell>
          <cell r="B1305" t="str">
            <v>I199</v>
          </cell>
          <cell r="C1305" t="str">
            <v>MARCO Y TAPA CAJA INSPECCION DE 0.80 X 0.80 CM. (MARCO EN ANGULO 2 1/2 X 2 1/2 * 3/16", TAPA REFORZADA EN PLATINA DE 3 * 3/16" CON PARRILLA EN VARILLA 3/8 CADA 10 CM.).</v>
          </cell>
          <cell r="D1305" t="str">
            <v>Insumo</v>
          </cell>
          <cell r="E1305" t="str">
            <v>UND</v>
          </cell>
          <cell r="F1305">
            <v>1</v>
          </cell>
          <cell r="G1305">
            <v>368040</v>
          </cell>
          <cell r="H1305">
            <v>368040</v>
          </cell>
        </row>
        <row r="1306">
          <cell r="A1306" t="str">
            <v>015.222</v>
          </cell>
          <cell r="B1306" t="str">
            <v>I427</v>
          </cell>
          <cell r="C1306" t="str">
            <v>SIKA-1 IMPERMEABILIZANTE INTEGRAL MORTEROS O SIMILAR.</v>
          </cell>
          <cell r="D1306" t="str">
            <v>Insumo</v>
          </cell>
          <cell r="E1306" t="str">
            <v>KG</v>
          </cell>
          <cell r="F1306">
            <v>2.56</v>
          </cell>
          <cell r="G1306">
            <v>10146</v>
          </cell>
          <cell r="H1306">
            <v>25974</v>
          </cell>
        </row>
        <row r="1307">
          <cell r="A1307" t="str">
            <v>015.222</v>
          </cell>
          <cell r="B1307" t="str">
            <v>I944</v>
          </cell>
          <cell r="C1307" t="str">
            <v>LADRILLO TOLETE RECOCIDO (24,5 X 12 X 6 CM)</v>
          </cell>
          <cell r="D1307" t="str">
            <v>Insumo</v>
          </cell>
          <cell r="E1307" t="str">
            <v>UND</v>
          </cell>
          <cell r="F1307">
            <v>197</v>
          </cell>
          <cell r="G1307">
            <v>1817</v>
          </cell>
          <cell r="H1307">
            <v>357949</v>
          </cell>
        </row>
        <row r="1309">
          <cell r="A1309" t="str">
            <v>015.223</v>
          </cell>
          <cell r="B1309" t="str">
            <v>-</v>
          </cell>
          <cell r="C1309" t="str">
            <v xml:space="preserve"> SUMINISTRO E INSTALACION DE TUBERIA CONDUIT PVC 3/4". </v>
          </cell>
          <cell r="D1309" t="str">
            <v>Actividad</v>
          </cell>
          <cell r="E1309" t="str">
            <v>ML</v>
          </cell>
          <cell r="H1309">
            <v>5324</v>
          </cell>
        </row>
        <row r="1310">
          <cell r="A1310" t="str">
            <v>015.223</v>
          </cell>
          <cell r="B1310" t="str">
            <v>C13</v>
          </cell>
          <cell r="C1310" t="str">
            <v>CUADRILLA FF TIPO 2 (1 OFICIAL + 2 AYUDANTE) (Electricas)</v>
          </cell>
          <cell r="D1310" t="str">
            <v>Cuadrilla</v>
          </cell>
          <cell r="E1310" t="str">
            <v>HR</v>
          </cell>
          <cell r="F1310">
            <v>0.1</v>
          </cell>
          <cell r="G1310">
            <v>33348</v>
          </cell>
          <cell r="H1310">
            <v>3335</v>
          </cell>
        </row>
        <row r="1311">
          <cell r="A1311" t="str">
            <v>015.223</v>
          </cell>
          <cell r="B1311" t="str">
            <v>E12</v>
          </cell>
          <cell r="C1311" t="str">
            <v>EQUIPO DE TRANSPORTE</v>
          </cell>
          <cell r="D1311" t="str">
            <v>Equipos</v>
          </cell>
          <cell r="E1311" t="str">
            <v>DIA</v>
          </cell>
          <cell r="F1311">
            <v>2.0000000000000001E-4</v>
          </cell>
          <cell r="G1311">
            <v>131205</v>
          </cell>
          <cell r="H1311">
            <v>26</v>
          </cell>
        </row>
        <row r="1312">
          <cell r="A1312" t="str">
            <v>015.223</v>
          </cell>
          <cell r="B1312" t="str">
            <v>H2</v>
          </cell>
          <cell r="C1312" t="str">
            <v>EQUIPO BASICO (HERRAMIENTA MENOR)</v>
          </cell>
          <cell r="D1312" t="str">
            <v>Herramienta</v>
          </cell>
          <cell r="E1312" t="str">
            <v>UND</v>
          </cell>
          <cell r="F1312">
            <v>0.2</v>
          </cell>
          <cell r="G1312">
            <v>2536</v>
          </cell>
          <cell r="H1312">
            <v>507</v>
          </cell>
        </row>
        <row r="1313">
          <cell r="A1313" t="str">
            <v>015.223</v>
          </cell>
          <cell r="B1313" t="str">
            <v>I1473</v>
          </cell>
          <cell r="C1313" t="str">
            <v>TUBO CONDUIT PVC 3/4"</v>
          </cell>
          <cell r="D1313" t="str">
            <v>Insumo</v>
          </cell>
          <cell r="E1313" t="str">
            <v>M</v>
          </cell>
          <cell r="F1313">
            <v>1.03</v>
          </cell>
          <cell r="G1313">
            <v>1220</v>
          </cell>
          <cell r="H1313">
            <v>1257</v>
          </cell>
        </row>
        <row r="1314">
          <cell r="A1314" t="str">
            <v>015.223</v>
          </cell>
          <cell r="B1314" t="str">
            <v>I1565</v>
          </cell>
          <cell r="C1314" t="str">
            <v>ACARREO INTERNO</v>
          </cell>
          <cell r="D1314" t="str">
            <v>Insumo</v>
          </cell>
          <cell r="E1314" t="str">
            <v>UND</v>
          </cell>
          <cell r="F1314">
            <v>0.15</v>
          </cell>
          <cell r="G1314">
            <v>1327</v>
          </cell>
          <cell r="H1314">
            <v>199</v>
          </cell>
        </row>
        <row r="1316">
          <cell r="A1316" t="str">
            <v>015.224</v>
          </cell>
          <cell r="B1316" t="str">
            <v>-</v>
          </cell>
          <cell r="C1316" t="str">
            <v>EXCAVACIÓN EN ZANJA - MATERIAL COMÚN - 0.0 A 2.0 M</v>
          </cell>
          <cell r="D1316" t="str">
            <v>Actividad</v>
          </cell>
          <cell r="E1316" t="str">
            <v>M3</v>
          </cell>
          <cell r="H1316">
            <v>23703</v>
          </cell>
        </row>
        <row r="1317">
          <cell r="A1317" t="str">
            <v>015.224</v>
          </cell>
          <cell r="B1317" t="str">
            <v>C22</v>
          </cell>
          <cell r="C1317" t="str">
            <v>CUADRILLA AA TIPO 4 (1 OFICIAL + 4 AYUDANTE) (Albañileria)</v>
          </cell>
          <cell r="D1317" t="str">
            <v>Cuadrilla</v>
          </cell>
          <cell r="E1317" t="str">
            <v>HR</v>
          </cell>
          <cell r="F1317">
            <v>0.6</v>
          </cell>
          <cell r="G1317">
            <v>35996</v>
          </cell>
          <cell r="H1317">
            <v>21598</v>
          </cell>
        </row>
        <row r="1318">
          <cell r="A1318" t="str">
            <v>015.224</v>
          </cell>
          <cell r="B1318" t="str">
            <v>E36</v>
          </cell>
          <cell r="C1318" t="str">
            <v>EQUIPO MANEJO DE AGUAS DIFERENTE A AGUAS RESIDUALES</v>
          </cell>
          <cell r="D1318" t="str">
            <v>Equipos</v>
          </cell>
          <cell r="E1318" t="str">
            <v>DIA</v>
          </cell>
          <cell r="F1318">
            <v>3.3000000000000002E-2</v>
          </cell>
          <cell r="G1318">
            <v>48431</v>
          </cell>
          <cell r="H1318">
            <v>1598</v>
          </cell>
        </row>
        <row r="1319">
          <cell r="A1319" t="str">
            <v>015.224</v>
          </cell>
          <cell r="B1319" t="str">
            <v>H2</v>
          </cell>
          <cell r="C1319" t="str">
            <v>EQUIPO BASICO (HERRAMIENTA MENOR)</v>
          </cell>
          <cell r="D1319" t="str">
            <v>Herramienta</v>
          </cell>
          <cell r="E1319" t="str">
            <v>UND</v>
          </cell>
          <cell r="F1319">
            <v>0.2</v>
          </cell>
          <cell r="G1319">
            <v>2536</v>
          </cell>
          <cell r="H1319">
            <v>507</v>
          </cell>
        </row>
        <row r="1321">
          <cell r="A1321" t="str">
            <v>015.226</v>
          </cell>
          <cell r="B1321" t="str">
            <v>-</v>
          </cell>
          <cell r="C1321" t="str">
            <v>SUMINISTRO, TRANSPORTE E INSTALACION CABLE 10AWG 3H HFFR LS. NO INCLUYE CONDULINADO.</v>
          </cell>
          <cell r="D1321" t="str">
            <v>Actividad</v>
          </cell>
          <cell r="E1321" t="str">
            <v>ML</v>
          </cell>
          <cell r="H1321">
            <v>10175</v>
          </cell>
        </row>
        <row r="1322">
          <cell r="A1322" t="str">
            <v>015.226</v>
          </cell>
          <cell r="B1322" t="str">
            <v>C13</v>
          </cell>
          <cell r="C1322" t="str">
            <v>CUADRILLA FF TIPO 2 (1 OFICIAL + 2 AYUDANTE) (Electricas)</v>
          </cell>
          <cell r="D1322" t="str">
            <v>Cuadrilla</v>
          </cell>
          <cell r="E1322" t="str">
            <v>HR</v>
          </cell>
          <cell r="F1322">
            <v>0.08</v>
          </cell>
          <cell r="G1322">
            <v>33348</v>
          </cell>
          <cell r="H1322">
            <v>2668</v>
          </cell>
        </row>
        <row r="1323">
          <cell r="A1323" t="str">
            <v>015.226</v>
          </cell>
          <cell r="B1323" t="str">
            <v>E12</v>
          </cell>
          <cell r="C1323" t="str">
            <v>EQUIPO DE TRANSPORTE</v>
          </cell>
          <cell r="D1323" t="str">
            <v>Equipos</v>
          </cell>
          <cell r="E1323" t="str">
            <v>DIA</v>
          </cell>
          <cell r="F1323">
            <v>1E-3</v>
          </cell>
          <cell r="G1323">
            <v>131205</v>
          </cell>
          <cell r="H1323">
            <v>131</v>
          </cell>
        </row>
        <row r="1324">
          <cell r="A1324" t="str">
            <v>015.226</v>
          </cell>
          <cell r="B1324" t="str">
            <v>H2</v>
          </cell>
          <cell r="C1324" t="str">
            <v>EQUIPO BASICO (HERRAMIENTA MENOR)</v>
          </cell>
          <cell r="D1324" t="str">
            <v>Herramienta</v>
          </cell>
          <cell r="E1324" t="str">
            <v>UND</v>
          </cell>
          <cell r="F1324">
            <v>0.1</v>
          </cell>
          <cell r="G1324">
            <v>2536</v>
          </cell>
          <cell r="H1324">
            <v>254</v>
          </cell>
        </row>
        <row r="1325">
          <cell r="A1325" t="str">
            <v>015.226</v>
          </cell>
          <cell r="B1325" t="str">
            <v>I1733</v>
          </cell>
          <cell r="C1325" t="str">
            <v>SUMINISTRO DE CABLE  10 AWG HFFR LS 600V 75º CT</v>
          </cell>
          <cell r="D1325" t="str">
            <v>Insumos</v>
          </cell>
          <cell r="E1325" t="str">
            <v>ML</v>
          </cell>
          <cell r="F1325">
            <v>3.03</v>
          </cell>
          <cell r="G1325">
            <v>2298</v>
          </cell>
          <cell r="H1325">
            <v>6963</v>
          </cell>
        </row>
        <row r="1326">
          <cell r="A1326" t="str">
            <v>015.226</v>
          </cell>
          <cell r="B1326" t="str">
            <v>I1565</v>
          </cell>
          <cell r="C1326" t="str">
            <v>ACARREO INTERNO</v>
          </cell>
          <cell r="D1326" t="str">
            <v>Insumo</v>
          </cell>
          <cell r="E1326" t="str">
            <v>UND</v>
          </cell>
          <cell r="F1326">
            <v>0.12</v>
          </cell>
          <cell r="G1326">
            <v>1327</v>
          </cell>
          <cell r="H1326">
            <v>159</v>
          </cell>
        </row>
        <row r="1328">
          <cell r="A1328" t="str">
            <v>015.227</v>
          </cell>
          <cell r="B1328" t="str">
            <v>-</v>
          </cell>
          <cell r="C1328" t="str">
            <v>SUMINISTRO, TRANSPORTE E INSTALACION  POSTE METALICO de 12 m.  510 kg.  HOMOLOGADO - (Incluye grua).</v>
          </cell>
          <cell r="D1328" t="str">
            <v>Actividad</v>
          </cell>
          <cell r="E1328" t="str">
            <v>UND</v>
          </cell>
          <cell r="H1328">
            <v>2531644</v>
          </cell>
        </row>
        <row r="1329">
          <cell r="A1329" t="str">
            <v>015.227</v>
          </cell>
          <cell r="B1329" t="str">
            <v>C35</v>
          </cell>
          <cell r="C1329" t="str">
            <v>CUADRILLA GG TIPO 5 (1 OFICIAL + 5 AYUDANTE) (Alumbrado Publico)</v>
          </cell>
          <cell r="D1329" t="str">
            <v>Cuadrilla</v>
          </cell>
          <cell r="E1329" t="str">
            <v>HR</v>
          </cell>
          <cell r="F1329">
            <v>1.3</v>
          </cell>
          <cell r="G1329">
            <v>87719</v>
          </cell>
          <cell r="H1329">
            <v>114035</v>
          </cell>
        </row>
        <row r="1330">
          <cell r="A1330" t="str">
            <v>015.227</v>
          </cell>
          <cell r="B1330" t="str">
            <v>E12</v>
          </cell>
          <cell r="C1330" t="str">
            <v>EQUIPO DE TRANSPORTE</v>
          </cell>
          <cell r="D1330" t="str">
            <v>Equipos</v>
          </cell>
          <cell r="E1330" t="str">
            <v>DIA</v>
          </cell>
          <cell r="F1330">
            <v>9.9000000000000005E-2</v>
          </cell>
          <cell r="G1330">
            <v>131205</v>
          </cell>
          <cell r="H1330">
            <v>12989</v>
          </cell>
        </row>
        <row r="1331">
          <cell r="A1331" t="str">
            <v>015.227</v>
          </cell>
          <cell r="B1331" t="str">
            <v>E13</v>
          </cell>
          <cell r="C1331" t="str">
            <v>GRUA CON BRAZO HIDRAULICO</v>
          </cell>
          <cell r="D1331" t="str">
            <v>Equipos</v>
          </cell>
          <cell r="E1331" t="str">
            <v>DIA</v>
          </cell>
          <cell r="F1331">
            <v>0.125</v>
          </cell>
          <cell r="G1331">
            <v>3044002</v>
          </cell>
          <cell r="H1331">
            <v>380500</v>
          </cell>
        </row>
        <row r="1332">
          <cell r="A1332" t="str">
            <v>015.227</v>
          </cell>
          <cell r="B1332" t="str">
            <v>I1370</v>
          </cell>
          <cell r="C1332" t="str">
            <v>POSTE METALICO 12 METROS - 510 KG - HOMOLOGADO</v>
          </cell>
          <cell r="D1332" t="str">
            <v>Insumo</v>
          </cell>
          <cell r="E1332" t="str">
            <v>UND</v>
          </cell>
          <cell r="F1332">
            <v>1</v>
          </cell>
          <cell r="G1332">
            <v>2007798</v>
          </cell>
          <cell r="H1332">
            <v>2007798</v>
          </cell>
        </row>
        <row r="1333">
          <cell r="A1333" t="str">
            <v>015.227</v>
          </cell>
          <cell r="B1333" t="str">
            <v>I1565</v>
          </cell>
          <cell r="C1333" t="str">
            <v>ACARREO INTERNO</v>
          </cell>
          <cell r="D1333" t="str">
            <v>Insumo</v>
          </cell>
          <cell r="E1333" t="str">
            <v>UND</v>
          </cell>
          <cell r="F1333">
            <v>12.3</v>
          </cell>
          <cell r="G1333">
            <v>1327</v>
          </cell>
          <cell r="H1333">
            <v>16322</v>
          </cell>
        </row>
        <row r="1335">
          <cell r="A1335" t="str">
            <v>015.228</v>
          </cell>
          <cell r="B1335" t="str">
            <v>-</v>
          </cell>
          <cell r="C1335" t="str">
            <v>SUMINISTRO, TRANSPORTE E INSTALACION CAJA DE INSPECCION 0.60*0.60*1 m. (Incluye, ladrillo común, marco en angulo 2 1/2 x 2 1/2 * 3/16" y tapa reforzada en platina de 3 * 3/16" con parrilla en varilla 3/8 cada 10 cm.).</v>
          </cell>
          <cell r="D1335" t="str">
            <v>Actividad</v>
          </cell>
          <cell r="E1335" t="str">
            <v>UND</v>
          </cell>
          <cell r="H1335">
            <v>742930</v>
          </cell>
        </row>
        <row r="1336">
          <cell r="A1336" t="str">
            <v>015.228</v>
          </cell>
          <cell r="B1336" t="str">
            <v>AB21</v>
          </cell>
          <cell r="C1336" t="str">
            <v>MORTERO 1:4</v>
          </cell>
          <cell r="D1336" t="str">
            <v>Analisis</v>
          </cell>
          <cell r="E1336" t="str">
            <v>M3</v>
          </cell>
          <cell r="F1336">
            <v>0.09</v>
          </cell>
          <cell r="G1336">
            <v>388939</v>
          </cell>
          <cell r="H1336">
            <v>35005</v>
          </cell>
        </row>
        <row r="1337">
          <cell r="A1337" t="str">
            <v>015.228</v>
          </cell>
          <cell r="B1337" t="str">
            <v>AB4</v>
          </cell>
          <cell r="C1337" t="str">
            <v>CONCRETO 2500 psi - 17.5 Mpa</v>
          </cell>
          <cell r="D1337" t="str">
            <v>Analisis</v>
          </cell>
          <cell r="E1337" t="str">
            <v>M3</v>
          </cell>
          <cell r="F1337">
            <v>3.5999999999999997E-2</v>
          </cell>
          <cell r="G1337">
            <v>380250</v>
          </cell>
          <cell r="H1337">
            <v>13689</v>
          </cell>
        </row>
        <row r="1338">
          <cell r="A1338" t="str">
            <v>015.228</v>
          </cell>
          <cell r="B1338" t="str">
            <v>C23</v>
          </cell>
          <cell r="C1338" t="str">
            <v>CUADRILLA BB TIPO 4 (1 OFICIAL + 4 AYUDANTE) (Instalaciones)</v>
          </cell>
          <cell r="D1338" t="str">
            <v>Cuadrilla</v>
          </cell>
          <cell r="E1338" t="str">
            <v>HR</v>
          </cell>
          <cell r="F1338">
            <v>3.2</v>
          </cell>
          <cell r="G1338">
            <v>39593</v>
          </cell>
          <cell r="H1338">
            <v>126698</v>
          </cell>
        </row>
        <row r="1339">
          <cell r="A1339" t="str">
            <v>015.228</v>
          </cell>
          <cell r="B1339" t="str">
            <v>E12</v>
          </cell>
          <cell r="C1339" t="str">
            <v>EQUIPO DE TRANSPORTE</v>
          </cell>
          <cell r="D1339" t="str">
            <v>Equipos</v>
          </cell>
          <cell r="E1339" t="str">
            <v>DIA</v>
          </cell>
          <cell r="F1339">
            <v>0.06</v>
          </cell>
          <cell r="G1339">
            <v>131205</v>
          </cell>
          <cell r="H1339">
            <v>7872</v>
          </cell>
        </row>
        <row r="1340">
          <cell r="A1340" t="str">
            <v>015.228</v>
          </cell>
          <cell r="B1340" t="str">
            <v>H2</v>
          </cell>
          <cell r="C1340" t="str">
            <v>EQUIPO BASICO (HERRAMIENTA MENOR)</v>
          </cell>
          <cell r="D1340" t="str">
            <v>Herramienta</v>
          </cell>
          <cell r="E1340" t="str">
            <v>UND</v>
          </cell>
          <cell r="F1340">
            <v>0.3</v>
          </cell>
          <cell r="G1340">
            <v>2536</v>
          </cell>
          <cell r="H1340">
            <v>761</v>
          </cell>
        </row>
        <row r="1341">
          <cell r="A1341" t="str">
            <v>015.228</v>
          </cell>
          <cell r="B1341" t="str">
            <v>I1565</v>
          </cell>
          <cell r="C1341" t="str">
            <v>ACARREO INTERNO</v>
          </cell>
          <cell r="D1341" t="str">
            <v>Insumo</v>
          </cell>
          <cell r="E1341" t="str">
            <v>UND</v>
          </cell>
          <cell r="F1341">
            <v>8</v>
          </cell>
          <cell r="G1341">
            <v>1327</v>
          </cell>
          <cell r="H1341">
            <v>10616</v>
          </cell>
        </row>
        <row r="1342">
          <cell r="A1342" t="str">
            <v>015.228</v>
          </cell>
          <cell r="B1342" t="str">
            <v>I198</v>
          </cell>
          <cell r="C1342" t="str">
            <v>MARCO Y TAPA CAJA INSPECCION DE 0.60 X 0.60 CM. (MARCO EN ANGULO 2 1/2 X 2 1/2 * 3/16", TAPA REFORZADA EN PLATINA DE 3 * 3/16" CON PARRILLA EN VARILLA 3/8 CADA 10 CM.).</v>
          </cell>
          <cell r="D1342" t="str">
            <v>Insumo</v>
          </cell>
          <cell r="E1342" t="str">
            <v>UND</v>
          </cell>
          <cell r="F1342">
            <v>1</v>
          </cell>
          <cell r="G1342">
            <v>260184</v>
          </cell>
          <cell r="H1342">
            <v>260184</v>
          </cell>
        </row>
        <row r="1343">
          <cell r="A1343" t="str">
            <v>015.228</v>
          </cell>
          <cell r="B1343" t="str">
            <v>I427</v>
          </cell>
          <cell r="C1343" t="str">
            <v>SIKA-1 IMPERMEABILIZANTE INTEGRAL MORTEROS O SIMILAR.</v>
          </cell>
          <cell r="D1343" t="str">
            <v>Insumo</v>
          </cell>
          <cell r="E1343" t="str">
            <v>KG</v>
          </cell>
          <cell r="F1343">
            <v>1.92</v>
          </cell>
          <cell r="G1343">
            <v>10146</v>
          </cell>
          <cell r="H1343">
            <v>19480</v>
          </cell>
        </row>
        <row r="1344">
          <cell r="A1344" t="str">
            <v>015.228</v>
          </cell>
          <cell r="B1344" t="str">
            <v>I944</v>
          </cell>
          <cell r="C1344" t="str">
            <v>LADRILLO TOLETE RECOCIDO (24,5 X 12 X 6 CM)</v>
          </cell>
          <cell r="D1344" t="str">
            <v>Insumo</v>
          </cell>
          <cell r="E1344" t="str">
            <v>UND</v>
          </cell>
          <cell r="F1344">
            <v>147.84</v>
          </cell>
          <cell r="G1344">
            <v>1817</v>
          </cell>
          <cell r="H1344">
            <v>268625</v>
          </cell>
        </row>
        <row r="1346">
          <cell r="A1346" t="str">
            <v>015.229</v>
          </cell>
          <cell r="B1346" t="str">
            <v>-</v>
          </cell>
          <cell r="C1346" t="str">
            <v xml:space="preserve"> SUMINISTRO E INSTALACION DE TUBERIA CONDUIT PVC 1</v>
          </cell>
          <cell r="D1346" t="str">
            <v>Actividad</v>
          </cell>
          <cell r="E1346" t="str">
            <v>ML</v>
          </cell>
          <cell r="H1346">
            <v>6543</v>
          </cell>
        </row>
        <row r="1347">
          <cell r="A1347" t="str">
            <v>015.229</v>
          </cell>
          <cell r="B1347" t="str">
            <v>C13</v>
          </cell>
          <cell r="C1347" t="str">
            <v>CUADRILLA FF TIPO 2 (1 OFICIAL + 2 AYUDANTE) (Electricas)</v>
          </cell>
          <cell r="D1347" t="str">
            <v>Cuadrilla</v>
          </cell>
          <cell r="E1347" t="str">
            <v>HR</v>
          </cell>
          <cell r="F1347">
            <v>0.12</v>
          </cell>
          <cell r="G1347">
            <v>33348</v>
          </cell>
          <cell r="H1347">
            <v>4002</v>
          </cell>
        </row>
        <row r="1348">
          <cell r="A1348" t="str">
            <v>015.229</v>
          </cell>
          <cell r="B1348" t="str">
            <v>E12</v>
          </cell>
          <cell r="C1348" t="str">
            <v>EQUIPO DE TRANSPORTE</v>
          </cell>
          <cell r="D1348" t="str">
            <v>Equipos</v>
          </cell>
          <cell r="E1348" t="str">
            <v>DIA</v>
          </cell>
          <cell r="F1348">
            <v>2.9999999999999997E-4</v>
          </cell>
          <cell r="G1348">
            <v>131205</v>
          </cell>
          <cell r="H1348">
            <v>39</v>
          </cell>
        </row>
        <row r="1349">
          <cell r="A1349" t="str">
            <v>015.229</v>
          </cell>
          <cell r="B1349" t="str">
            <v>H2</v>
          </cell>
          <cell r="C1349" t="str">
            <v>EQUIPO BASICO (HERRAMIENTA MENOR)</v>
          </cell>
          <cell r="D1349" t="str">
            <v>Herramienta</v>
          </cell>
          <cell r="E1349" t="str">
            <v>UND</v>
          </cell>
          <cell r="F1349">
            <v>0.2</v>
          </cell>
          <cell r="G1349">
            <v>2536</v>
          </cell>
          <cell r="H1349">
            <v>507</v>
          </cell>
        </row>
        <row r="1350">
          <cell r="A1350" t="str">
            <v>015.229</v>
          </cell>
          <cell r="B1350" t="str">
            <v>I1470</v>
          </cell>
          <cell r="C1350" t="str">
            <v>TUBO CONDUIT PVC 1"</v>
          </cell>
          <cell r="D1350" t="str">
            <v>Insumo</v>
          </cell>
          <cell r="E1350" t="str">
            <v>M</v>
          </cell>
          <cell r="F1350">
            <v>1.03</v>
          </cell>
          <cell r="G1350">
            <v>1692</v>
          </cell>
          <cell r="H1350">
            <v>1743</v>
          </cell>
        </row>
        <row r="1351">
          <cell r="A1351" t="str">
            <v>015.229</v>
          </cell>
          <cell r="B1351" t="str">
            <v>I1565</v>
          </cell>
          <cell r="C1351" t="str">
            <v>ACARREO INTERNO</v>
          </cell>
          <cell r="D1351" t="str">
            <v>Insumo</v>
          </cell>
          <cell r="E1351" t="str">
            <v>UND</v>
          </cell>
          <cell r="F1351">
            <v>0.19</v>
          </cell>
          <cell r="G1351">
            <v>1327</v>
          </cell>
          <cell r="H1351">
            <v>252</v>
          </cell>
        </row>
        <row r="1353">
          <cell r="A1353" t="str">
            <v>015.230</v>
          </cell>
          <cell r="B1353" t="str">
            <v>-</v>
          </cell>
          <cell r="C1353" t="str">
            <v xml:space="preserve">SUMINISTRO E INSTALACION DE TUBERIA CONDUIT IMC ó RIDGID 1". </v>
          </cell>
          <cell r="D1353" t="str">
            <v>Actividad</v>
          </cell>
          <cell r="E1353" t="str">
            <v>ML</v>
          </cell>
          <cell r="H1353">
            <v>45345</v>
          </cell>
        </row>
        <row r="1354">
          <cell r="A1354" t="str">
            <v>015.230</v>
          </cell>
          <cell r="B1354" t="str">
            <v>C13</v>
          </cell>
          <cell r="C1354" t="str">
            <v>CUADRILLA FF TIPO 2 (1 OFICIAL + 2 AYUDANTE) (Electricas)</v>
          </cell>
          <cell r="D1354" t="str">
            <v>Cuadrilla</v>
          </cell>
          <cell r="E1354" t="str">
            <v>HR</v>
          </cell>
          <cell r="F1354">
            <v>0.2</v>
          </cell>
          <cell r="G1354">
            <v>33348</v>
          </cell>
          <cell r="H1354">
            <v>6670</v>
          </cell>
        </row>
        <row r="1355">
          <cell r="A1355" t="str">
            <v>015.230</v>
          </cell>
          <cell r="B1355" t="str">
            <v>E12</v>
          </cell>
          <cell r="C1355" t="str">
            <v>EQUIPO DE TRANSPORTE</v>
          </cell>
          <cell r="D1355" t="str">
            <v>Equipos</v>
          </cell>
          <cell r="E1355" t="str">
            <v>DIA</v>
          </cell>
          <cell r="F1355">
            <v>5.4000000000000003E-3</v>
          </cell>
          <cell r="G1355">
            <v>131205</v>
          </cell>
          <cell r="H1355">
            <v>709</v>
          </cell>
        </row>
        <row r="1356">
          <cell r="A1356" t="str">
            <v>015.230</v>
          </cell>
          <cell r="B1356" t="str">
            <v>H2</v>
          </cell>
          <cell r="C1356" t="str">
            <v>EQUIPO BASICO (HERRAMIENTA MENOR)</v>
          </cell>
          <cell r="D1356" t="str">
            <v>Herramienta</v>
          </cell>
          <cell r="E1356" t="str">
            <v>UND</v>
          </cell>
          <cell r="F1356">
            <v>0.2</v>
          </cell>
          <cell r="G1356">
            <v>2536</v>
          </cell>
          <cell r="H1356">
            <v>507</v>
          </cell>
        </row>
        <row r="1357">
          <cell r="A1357" t="str">
            <v>015.230</v>
          </cell>
          <cell r="B1357" t="str">
            <v>I1117</v>
          </cell>
          <cell r="C1357" t="str">
            <v>ACCESORIOS FIJACION TUBERIA IMC Ó RIDGID 1" (ABRAZADERA, PERNOS)</v>
          </cell>
          <cell r="D1357" t="str">
            <v>Insumo</v>
          </cell>
          <cell r="E1357" t="str">
            <v>UND</v>
          </cell>
          <cell r="F1357">
            <v>1</v>
          </cell>
          <cell r="G1357">
            <v>5017</v>
          </cell>
          <cell r="H1357">
            <v>5017</v>
          </cell>
        </row>
        <row r="1358">
          <cell r="A1358" t="str">
            <v>015.230</v>
          </cell>
          <cell r="B1358" t="str">
            <v>I1130</v>
          </cell>
          <cell r="C1358" t="str">
            <v>ACCESORIOS TUBERIA IMC Ó RIDGID 1" (UNION  Y CURVA)</v>
          </cell>
          <cell r="D1358" t="str">
            <v>Insumo</v>
          </cell>
          <cell r="E1358" t="str">
            <v>UND</v>
          </cell>
          <cell r="F1358">
            <v>1</v>
          </cell>
          <cell r="G1358">
            <v>11569</v>
          </cell>
          <cell r="H1358">
            <v>11569</v>
          </cell>
        </row>
        <row r="1359">
          <cell r="A1359" t="str">
            <v>015.230</v>
          </cell>
          <cell r="B1359" t="str">
            <v>I1463</v>
          </cell>
          <cell r="C1359" t="str">
            <v xml:space="preserve">TUBO CONDUIT IMC 1" </v>
          </cell>
          <cell r="D1359" t="str">
            <v>Insumo</v>
          </cell>
          <cell r="E1359" t="str">
            <v>M</v>
          </cell>
          <cell r="F1359">
            <v>1</v>
          </cell>
          <cell r="G1359">
            <v>20475</v>
          </cell>
          <cell r="H1359">
            <v>20475</v>
          </cell>
        </row>
        <row r="1360">
          <cell r="A1360" t="str">
            <v>015.230</v>
          </cell>
          <cell r="B1360" t="str">
            <v>I1565</v>
          </cell>
          <cell r="C1360" t="str">
            <v>ACARREO INTERNO</v>
          </cell>
          <cell r="D1360" t="str">
            <v>Insumo</v>
          </cell>
          <cell r="E1360" t="str">
            <v>UND</v>
          </cell>
          <cell r="F1360">
            <v>0.3</v>
          </cell>
          <cell r="G1360">
            <v>1327</v>
          </cell>
          <cell r="H1360">
            <v>398</v>
          </cell>
        </row>
        <row r="1362">
          <cell r="A1362" t="str">
            <v>015.231</v>
          </cell>
          <cell r="B1362" t="str">
            <v>-</v>
          </cell>
          <cell r="C1362" t="str">
            <v>SUMINISTRO, TRANSPORTE E INSTALACION CABLE 8AWG 4H THW. NO INCLUYE CONDULINADO.</v>
          </cell>
          <cell r="D1362" t="str">
            <v>Actividad</v>
          </cell>
          <cell r="E1362" t="str">
            <v>ML</v>
          </cell>
          <cell r="H1362">
            <v>21515</v>
          </cell>
        </row>
        <row r="1363">
          <cell r="A1363" t="str">
            <v>015.231</v>
          </cell>
          <cell r="B1363" t="str">
            <v>C13</v>
          </cell>
          <cell r="C1363" t="str">
            <v>CUADRILLA FF TIPO 2 (1 OFICIAL + 2 AYUDANTE) (Electricas)</v>
          </cell>
          <cell r="D1363" t="str">
            <v>Cuadrilla</v>
          </cell>
          <cell r="E1363" t="str">
            <v>HR</v>
          </cell>
          <cell r="F1363">
            <v>0.12</v>
          </cell>
          <cell r="G1363">
            <v>33348</v>
          </cell>
          <cell r="H1363">
            <v>4002</v>
          </cell>
        </row>
        <row r="1364">
          <cell r="A1364" t="str">
            <v>015.231</v>
          </cell>
          <cell r="B1364" t="str">
            <v>E12</v>
          </cell>
          <cell r="C1364" t="str">
            <v>EQUIPO DE TRANSPORTE</v>
          </cell>
          <cell r="D1364" t="str">
            <v>Equipos</v>
          </cell>
          <cell r="E1364" t="str">
            <v>DIA</v>
          </cell>
          <cell r="F1364">
            <v>2.3E-3</v>
          </cell>
          <cell r="G1364">
            <v>131205</v>
          </cell>
          <cell r="H1364">
            <v>302</v>
          </cell>
        </row>
        <row r="1365">
          <cell r="A1365" t="str">
            <v>015.231</v>
          </cell>
          <cell r="B1365" t="str">
            <v>H2</v>
          </cell>
          <cell r="C1365" t="str">
            <v>EQUIPO BASICO (HERRAMIENTA MENOR)</v>
          </cell>
          <cell r="D1365" t="str">
            <v>Herramienta</v>
          </cell>
          <cell r="E1365" t="str">
            <v>UND</v>
          </cell>
          <cell r="F1365">
            <v>0.1</v>
          </cell>
          <cell r="G1365">
            <v>2536</v>
          </cell>
          <cell r="H1365">
            <v>254</v>
          </cell>
        </row>
        <row r="1366">
          <cell r="A1366" t="str">
            <v>015.231</v>
          </cell>
          <cell r="B1366" t="str">
            <v>I1196</v>
          </cell>
          <cell r="C1366" t="str">
            <v xml:space="preserve">CABLE DE COBRE Nº 8 THHN AWG  </v>
          </cell>
          <cell r="D1366" t="str">
            <v>Insumo</v>
          </cell>
          <cell r="E1366" t="str">
            <v>M</v>
          </cell>
          <cell r="F1366">
            <v>4.04</v>
          </cell>
          <cell r="G1366">
            <v>4135</v>
          </cell>
          <cell r="H1366">
            <v>16705</v>
          </cell>
        </row>
        <row r="1367">
          <cell r="A1367" t="str">
            <v>015.231</v>
          </cell>
          <cell r="B1367" t="str">
            <v>I1565</v>
          </cell>
          <cell r="C1367" t="str">
            <v>ACARREO INTERNO</v>
          </cell>
          <cell r="D1367" t="str">
            <v>Insumo</v>
          </cell>
          <cell r="E1367" t="str">
            <v>UND</v>
          </cell>
          <cell r="F1367">
            <v>0.19</v>
          </cell>
          <cell r="G1367">
            <v>1327</v>
          </cell>
          <cell r="H1367">
            <v>252</v>
          </cell>
        </row>
        <row r="1369">
          <cell r="A1369" t="str">
            <v>015.232</v>
          </cell>
          <cell r="B1369" t="str">
            <v>-</v>
          </cell>
          <cell r="C1369" t="str">
            <v>SUMINISTRO E INSTALACIÓN TABLERO ELECTRICO DE 1,20M X 0,60M X 0,30 TIPO INTEMPERIE, ANTIVANDALICO PARA ALOJAR EQUIPOS DE CONTROL Y FUERZA PARA MOTORES Y ALUMBRADO FUENTE. INCLIUYE BREAKERS. INSTALACIÓN A TODO COSTO.</v>
          </cell>
          <cell r="D1369" t="str">
            <v>Actividad</v>
          </cell>
          <cell r="E1369" t="str">
            <v>UND</v>
          </cell>
          <cell r="H1369">
            <v>5441258</v>
          </cell>
        </row>
        <row r="1370">
          <cell r="A1370" t="str">
            <v>015.232</v>
          </cell>
          <cell r="B1370" t="str">
            <v>I1971</v>
          </cell>
          <cell r="C1370" t="str">
            <v>SUMINISTRO E INSTALACIÓN TABLERO ELECTRICO DE 1,20M X 0,60M X 0,30 TIPO INTEMPERIE, ANTIVANDALICO PARA ALOJAR EQUIPOS DE CONTROL Y FUERZA PARA MOTORES Y ALUMBRADO FUENTE. INCLIUYE BREAKERS. INSTALACIÓN A TODO COSTO.</v>
          </cell>
          <cell r="D1370" t="str">
            <v>Insumo</v>
          </cell>
          <cell r="E1370" t="str">
            <v>UND</v>
          </cell>
          <cell r="F1370">
            <v>1</v>
          </cell>
          <cell r="G1370">
            <v>5441258</v>
          </cell>
          <cell r="H1370">
            <v>5441258</v>
          </cell>
        </row>
        <row r="1372">
          <cell r="A1372" t="str">
            <v>015.233</v>
          </cell>
          <cell r="B1372" t="str">
            <v>-</v>
          </cell>
          <cell r="C1372" t="str">
            <v>SUMINISTRO, TRANSPORTE E INSTALACION PROYECTOR LED DE 300 VATIOS -   INCLUYE ACCESORIOS DE FIJACION SUJECION E INSTALACION</v>
          </cell>
          <cell r="D1372" t="str">
            <v>Actividad</v>
          </cell>
          <cell r="E1372" t="str">
            <v>UND</v>
          </cell>
          <cell r="H1372">
            <v>2545984</v>
          </cell>
        </row>
        <row r="1373">
          <cell r="A1373" t="str">
            <v>015.233</v>
          </cell>
          <cell r="B1373" t="str">
            <v>C35</v>
          </cell>
          <cell r="C1373" t="str">
            <v>CUADRILLA GG TIPO 5 (1 OFICIAL + 5 AYUDANTE) (Alumbrado Publico)</v>
          </cell>
          <cell r="D1373" t="str">
            <v>Cuadrilla</v>
          </cell>
          <cell r="E1373" t="str">
            <v>HR</v>
          </cell>
          <cell r="F1373">
            <v>0.5</v>
          </cell>
          <cell r="G1373">
            <v>87719</v>
          </cell>
          <cell r="H1373">
            <v>43860</v>
          </cell>
        </row>
        <row r="1374">
          <cell r="A1374" t="str">
            <v>015.233</v>
          </cell>
          <cell r="B1374" t="str">
            <v>E12</v>
          </cell>
          <cell r="C1374" t="str">
            <v>EQUIPO DE TRANSPORTE</v>
          </cell>
          <cell r="D1374" t="str">
            <v>Equipos</v>
          </cell>
          <cell r="E1374" t="str">
            <v>DIA</v>
          </cell>
          <cell r="F1374">
            <v>7.9200000000000007E-2</v>
          </cell>
          <cell r="G1374">
            <v>131205</v>
          </cell>
          <cell r="H1374">
            <v>10391</v>
          </cell>
        </row>
        <row r="1375">
          <cell r="A1375" t="str">
            <v>015.233</v>
          </cell>
          <cell r="B1375" t="str">
            <v>H2</v>
          </cell>
          <cell r="C1375" t="str">
            <v>EQUIPO BASICO (HERRAMIENTA MENOR)</v>
          </cell>
          <cell r="D1375" t="str">
            <v>Herramienta</v>
          </cell>
          <cell r="E1375" t="str">
            <v>UND</v>
          </cell>
          <cell r="F1375">
            <v>2</v>
          </cell>
          <cell r="G1375">
            <v>2536</v>
          </cell>
          <cell r="H1375">
            <v>5072</v>
          </cell>
        </row>
        <row r="1376">
          <cell r="A1376" t="str">
            <v>015.233</v>
          </cell>
          <cell r="B1376" t="str">
            <v>I1110</v>
          </cell>
          <cell r="C1376" t="str">
            <v>ACCESORIOS DE FIJACION</v>
          </cell>
          <cell r="D1376" t="str">
            <v>Insumo</v>
          </cell>
          <cell r="E1376" t="str">
            <v>UND</v>
          </cell>
          <cell r="F1376">
            <v>10</v>
          </cell>
          <cell r="G1376">
            <v>1792</v>
          </cell>
          <cell r="H1376">
            <v>17920</v>
          </cell>
        </row>
        <row r="1377">
          <cell r="A1377" t="str">
            <v>015.233</v>
          </cell>
          <cell r="B1377" t="str">
            <v>I1378</v>
          </cell>
          <cell r="C1377" t="str">
            <v xml:space="preserve">PROYECTOR LED DE 300 VATIOS INCLUYE ACCESORIOS DE SUJECION E INSTALACION  </v>
          </cell>
          <cell r="D1377" t="str">
            <v>Insumo</v>
          </cell>
          <cell r="E1377" t="str">
            <v>UND</v>
          </cell>
          <cell r="F1377">
            <v>1</v>
          </cell>
          <cell r="G1377">
            <v>2463300</v>
          </cell>
          <cell r="H1377">
            <v>2463300</v>
          </cell>
        </row>
        <row r="1378">
          <cell r="A1378" t="str">
            <v>015.233</v>
          </cell>
          <cell r="B1378" t="str">
            <v>I1565</v>
          </cell>
          <cell r="C1378" t="str">
            <v>ACARREO INTERNO</v>
          </cell>
          <cell r="D1378" t="str">
            <v>Insumo</v>
          </cell>
          <cell r="E1378" t="str">
            <v>UND</v>
          </cell>
          <cell r="F1378">
            <v>4.0999999999999996</v>
          </cell>
          <cell r="G1378">
            <v>1327</v>
          </cell>
          <cell r="H1378">
            <v>5441</v>
          </cell>
        </row>
        <row r="1380">
          <cell r="A1380" t="str">
            <v>015.234</v>
          </cell>
          <cell r="B1380" t="str">
            <v>-</v>
          </cell>
          <cell r="C1380" t="str">
            <v xml:space="preserve"> SUMINISTRO E INSTALACION DE TUBERIA CONDUIT PVC 2"</v>
          </cell>
          <cell r="D1380" t="str">
            <v>Actividad</v>
          </cell>
          <cell r="E1380" t="str">
            <v>ML</v>
          </cell>
          <cell r="H1380">
            <v>9639</v>
          </cell>
        </row>
        <row r="1381">
          <cell r="A1381" t="str">
            <v>015.234</v>
          </cell>
          <cell r="B1381" t="str">
            <v>C13</v>
          </cell>
          <cell r="C1381" t="str">
            <v>CUADRILLA FF TIPO 2 (1 OFICIAL + 2 AYUDANTE) (Electricas)</v>
          </cell>
          <cell r="D1381" t="str">
            <v>Cuadrilla</v>
          </cell>
          <cell r="E1381" t="str">
            <v>HR</v>
          </cell>
          <cell r="F1381">
            <v>0.1</v>
          </cell>
          <cell r="G1381">
            <v>33348</v>
          </cell>
          <cell r="H1381">
            <v>3335</v>
          </cell>
        </row>
        <row r="1382">
          <cell r="A1382" t="str">
            <v>015.234</v>
          </cell>
          <cell r="B1382" t="str">
            <v>E12</v>
          </cell>
          <cell r="C1382" t="str">
            <v>EQUIPO DE TRANSPORTE</v>
          </cell>
          <cell r="D1382" t="str">
            <v>Equipos</v>
          </cell>
          <cell r="E1382" t="str">
            <v>DIA</v>
          </cell>
          <cell r="F1382">
            <v>8.0000000000000004E-4</v>
          </cell>
          <cell r="G1382">
            <v>131205</v>
          </cell>
          <cell r="H1382">
            <v>105</v>
          </cell>
        </row>
        <row r="1383">
          <cell r="A1383" t="str">
            <v>015.234</v>
          </cell>
          <cell r="B1383" t="str">
            <v>H2</v>
          </cell>
          <cell r="C1383" t="str">
            <v>EQUIPO BASICO (HERRAMIENTA MENOR)</v>
          </cell>
          <cell r="D1383" t="str">
            <v>Herramienta</v>
          </cell>
          <cell r="E1383" t="str">
            <v>UND</v>
          </cell>
          <cell r="F1383">
            <v>0.2</v>
          </cell>
          <cell r="G1383">
            <v>2536</v>
          </cell>
          <cell r="H1383">
            <v>507</v>
          </cell>
        </row>
        <row r="1384">
          <cell r="A1384" t="str">
            <v>015.234</v>
          </cell>
          <cell r="B1384" t="str">
            <v>I1472</v>
          </cell>
          <cell r="C1384" t="str">
            <v>TUBO CONDUIT PVC 2"</v>
          </cell>
          <cell r="D1384" t="str">
            <v>Insumo</v>
          </cell>
          <cell r="E1384" t="str">
            <v>M</v>
          </cell>
          <cell r="F1384">
            <v>1.03</v>
          </cell>
          <cell r="G1384">
            <v>5282</v>
          </cell>
          <cell r="H1384">
            <v>5440</v>
          </cell>
        </row>
        <row r="1385">
          <cell r="A1385" t="str">
            <v>015.234</v>
          </cell>
          <cell r="B1385" t="str">
            <v>I1565</v>
          </cell>
          <cell r="C1385" t="str">
            <v>ACARREO INTERNO</v>
          </cell>
          <cell r="D1385" t="str">
            <v>Insumo</v>
          </cell>
          <cell r="E1385" t="str">
            <v>UND</v>
          </cell>
          <cell r="F1385">
            <v>0.19</v>
          </cell>
          <cell r="G1385">
            <v>1327</v>
          </cell>
          <cell r="H1385">
            <v>252</v>
          </cell>
        </row>
        <row r="1387">
          <cell r="A1387" t="str">
            <v>015.235</v>
          </cell>
          <cell r="B1387" t="str">
            <v>-</v>
          </cell>
          <cell r="C1387" t="str">
            <v xml:space="preserve">SUMINISTRO E INSTALACION DE TUBERIA CONDUIT IMC ó RIDGID 2". </v>
          </cell>
          <cell r="D1387" t="str">
            <v>Actividad</v>
          </cell>
          <cell r="E1387" t="str">
            <v>ML</v>
          </cell>
          <cell r="H1387">
            <v>100922</v>
          </cell>
        </row>
        <row r="1388">
          <cell r="A1388" t="str">
            <v>015.235</v>
          </cell>
          <cell r="B1388" t="str">
            <v>C13</v>
          </cell>
          <cell r="C1388" t="str">
            <v>CUADRILLA FF TIPO 2 (1 OFICIAL + 2 AYUDANTE) (Electricas)</v>
          </cell>
          <cell r="D1388" t="str">
            <v>Cuadrilla</v>
          </cell>
          <cell r="E1388" t="str">
            <v>HR</v>
          </cell>
          <cell r="F1388">
            <v>0.35</v>
          </cell>
          <cell r="G1388">
            <v>33348</v>
          </cell>
          <cell r="H1388">
            <v>11672</v>
          </cell>
        </row>
        <row r="1389">
          <cell r="A1389" t="str">
            <v>015.235</v>
          </cell>
          <cell r="B1389" t="str">
            <v>E12</v>
          </cell>
          <cell r="C1389" t="str">
            <v>EQUIPO DE TRANSPORTE</v>
          </cell>
          <cell r="D1389" t="str">
            <v>Equipos</v>
          </cell>
          <cell r="E1389" t="str">
            <v>DIA</v>
          </cell>
          <cell r="F1389">
            <v>1.2699999999999999E-2</v>
          </cell>
          <cell r="G1389">
            <v>131205</v>
          </cell>
          <cell r="H1389">
            <v>1666</v>
          </cell>
        </row>
        <row r="1390">
          <cell r="A1390" t="str">
            <v>015.235</v>
          </cell>
          <cell r="B1390" t="str">
            <v>H2</v>
          </cell>
          <cell r="C1390" t="str">
            <v>EQUIPO BASICO (HERRAMIENTA MENOR)</v>
          </cell>
          <cell r="D1390" t="str">
            <v>Herramienta</v>
          </cell>
          <cell r="E1390" t="str">
            <v>UND</v>
          </cell>
          <cell r="F1390">
            <v>0.2</v>
          </cell>
          <cell r="G1390">
            <v>2536</v>
          </cell>
          <cell r="H1390">
            <v>507</v>
          </cell>
        </row>
        <row r="1391">
          <cell r="A1391" t="str">
            <v>015.235</v>
          </cell>
          <cell r="B1391" t="str">
            <v>I1120</v>
          </cell>
          <cell r="C1391" t="str">
            <v>ACCESORIOS FIJACION TUBERIA IMC Ó RIDGID 2" (ABRAZADERA, PERNOS)</v>
          </cell>
          <cell r="D1391" t="str">
            <v>Insumo</v>
          </cell>
          <cell r="E1391" t="str">
            <v>UND</v>
          </cell>
          <cell r="F1391">
            <v>1</v>
          </cell>
          <cell r="G1391">
            <v>14343</v>
          </cell>
          <cell r="H1391">
            <v>14343</v>
          </cell>
        </row>
        <row r="1392">
          <cell r="A1392" t="str">
            <v>015.235</v>
          </cell>
          <cell r="B1392" t="str">
            <v>I1133</v>
          </cell>
          <cell r="C1392" t="str">
            <v>ACCESORIOS TUBERIA IMC Ó RIDGID 2" (UNION Y  CURVA)</v>
          </cell>
          <cell r="D1392" t="str">
            <v>Insumo</v>
          </cell>
          <cell r="E1392" t="str">
            <v>UND</v>
          </cell>
          <cell r="F1392">
            <v>1</v>
          </cell>
          <cell r="G1392">
            <v>30609</v>
          </cell>
          <cell r="H1392">
            <v>30609</v>
          </cell>
        </row>
        <row r="1393">
          <cell r="A1393" t="str">
            <v>015.235</v>
          </cell>
          <cell r="B1393" t="str">
            <v>I1465</v>
          </cell>
          <cell r="C1393" t="str">
            <v xml:space="preserve">TUBO CONDUIT IMC 2" </v>
          </cell>
          <cell r="D1393" t="str">
            <v>Insumo</v>
          </cell>
          <cell r="E1393" t="str">
            <v>M</v>
          </cell>
          <cell r="F1393">
            <v>1</v>
          </cell>
          <cell r="G1393">
            <v>41385</v>
          </cell>
          <cell r="H1393">
            <v>41385</v>
          </cell>
        </row>
        <row r="1394">
          <cell r="A1394" t="str">
            <v>015.235</v>
          </cell>
          <cell r="B1394" t="str">
            <v>I1565</v>
          </cell>
          <cell r="C1394" t="str">
            <v>ACARREO INTERNO</v>
          </cell>
          <cell r="D1394" t="str">
            <v>Insumo</v>
          </cell>
          <cell r="E1394" t="str">
            <v>UND</v>
          </cell>
          <cell r="F1394">
            <v>0.55800000000000005</v>
          </cell>
          <cell r="G1394">
            <v>1327</v>
          </cell>
          <cell r="H1394">
            <v>740</v>
          </cell>
        </row>
        <row r="1396">
          <cell r="A1396" t="str">
            <v>015.236</v>
          </cell>
          <cell r="B1396" t="str">
            <v>-</v>
          </cell>
          <cell r="C1396" t="str">
            <v>SUMINISTRO, TRANSPORTE E INSTALACION  MASTIL METALICO GALVANIZADO DE 16M. HOMOLOGADO. CON ESCALERILLA Y CANASTILLA PARA INSTALACION DE PROYECTORES - (Incluye  grua).</v>
          </cell>
          <cell r="D1396" t="str">
            <v>Actividad</v>
          </cell>
          <cell r="E1396" t="str">
            <v>UND</v>
          </cell>
          <cell r="H1396">
            <v>13708933</v>
          </cell>
        </row>
        <row r="1397">
          <cell r="A1397" t="str">
            <v>015.236</v>
          </cell>
          <cell r="B1397" t="str">
            <v>C35</v>
          </cell>
          <cell r="C1397" t="str">
            <v>CUADRILLA GG TIPO 5 (1 OFICIAL + 5 AYUDANTE) (Alumbrado Publico)</v>
          </cell>
          <cell r="D1397" t="str">
            <v>Cuadrilla</v>
          </cell>
          <cell r="E1397" t="str">
            <v>HR</v>
          </cell>
          <cell r="F1397">
            <v>1.3</v>
          </cell>
          <cell r="G1397">
            <v>87719</v>
          </cell>
          <cell r="H1397">
            <v>114035</v>
          </cell>
        </row>
        <row r="1398">
          <cell r="A1398" t="str">
            <v>015.236</v>
          </cell>
          <cell r="B1398" t="str">
            <v>E12</v>
          </cell>
          <cell r="C1398" t="str">
            <v>EQUIPO DE TRANSPORTE</v>
          </cell>
          <cell r="D1398" t="str">
            <v>Equipos</v>
          </cell>
          <cell r="E1398" t="str">
            <v>DIA</v>
          </cell>
          <cell r="F1398">
            <v>9.9000000000000005E-2</v>
          </cell>
          <cell r="G1398">
            <v>131205</v>
          </cell>
          <cell r="H1398">
            <v>12989</v>
          </cell>
        </row>
        <row r="1399">
          <cell r="A1399" t="str">
            <v>015.236</v>
          </cell>
          <cell r="B1399" t="str">
            <v>E13</v>
          </cell>
          <cell r="C1399" t="str">
            <v>GRUA CON BRAZO HIDRAULICO</v>
          </cell>
          <cell r="D1399" t="str">
            <v>Equipos</v>
          </cell>
          <cell r="E1399" t="str">
            <v>DIA</v>
          </cell>
          <cell r="F1399">
            <v>0.125</v>
          </cell>
          <cell r="G1399">
            <v>3044002</v>
          </cell>
          <cell r="H1399">
            <v>380500</v>
          </cell>
        </row>
        <row r="1400">
          <cell r="A1400" t="str">
            <v>015.236</v>
          </cell>
          <cell r="B1400" t="str">
            <v>I1370</v>
          </cell>
          <cell r="C1400" t="str">
            <v xml:space="preserve">MASTIL METALICO GALVANIZADO DE 16M CON ESCALERILLA Y CANASTILLA PARA INSTALACION DE PROYECTORES </v>
          </cell>
          <cell r="D1400" t="str">
            <v>Insumo</v>
          </cell>
          <cell r="E1400" t="str">
            <v>UND</v>
          </cell>
          <cell r="F1400">
            <v>1</v>
          </cell>
          <cell r="G1400">
            <v>13185087</v>
          </cell>
          <cell r="H1400">
            <v>13185087</v>
          </cell>
        </row>
        <row r="1401">
          <cell r="A1401" t="str">
            <v>015.236</v>
          </cell>
          <cell r="B1401" t="str">
            <v>I1565</v>
          </cell>
          <cell r="C1401" t="str">
            <v>ACARREO INTERNO</v>
          </cell>
          <cell r="D1401" t="str">
            <v>Insumo</v>
          </cell>
          <cell r="E1401" t="str">
            <v>UND</v>
          </cell>
          <cell r="F1401">
            <v>12.3</v>
          </cell>
          <cell r="G1401">
            <v>1327</v>
          </cell>
          <cell r="H1401">
            <v>16322</v>
          </cell>
        </row>
        <row r="1403">
          <cell r="A1403" t="str">
            <v>015.237</v>
          </cell>
          <cell r="B1403" t="str">
            <v>-</v>
          </cell>
          <cell r="C1403" t="str">
            <v>SUMINISTRO, TRANSPORTE E INSTALACION PROYECTOR LED DE 500 VATIOS -   INCLUYE ACCESORIOS DE FIJACION SUJECION E INSTALACION</v>
          </cell>
          <cell r="D1403" t="str">
            <v>Actividad</v>
          </cell>
          <cell r="E1403" t="str">
            <v>UND</v>
          </cell>
          <cell r="H1403">
            <v>3915587</v>
          </cell>
        </row>
        <row r="1404">
          <cell r="A1404" t="str">
            <v>015.237</v>
          </cell>
          <cell r="B1404" t="str">
            <v>C35</v>
          </cell>
          <cell r="C1404" t="str">
            <v>CUADRILLA GG TIPO 5 (1 OFICIAL + 5 AYUDANTE) (Alumbrado Publico)</v>
          </cell>
          <cell r="D1404" t="str">
            <v>Cuadrilla</v>
          </cell>
          <cell r="E1404" t="str">
            <v>HR</v>
          </cell>
          <cell r="F1404">
            <v>0.5</v>
          </cell>
          <cell r="G1404">
            <v>87719</v>
          </cell>
          <cell r="H1404">
            <v>43860</v>
          </cell>
        </row>
        <row r="1405">
          <cell r="A1405" t="str">
            <v>015.237</v>
          </cell>
          <cell r="B1405" t="str">
            <v>E12</v>
          </cell>
          <cell r="C1405" t="str">
            <v>EQUIPO DE TRANSPORTE</v>
          </cell>
          <cell r="D1405" t="str">
            <v>Equipos</v>
          </cell>
          <cell r="E1405" t="str">
            <v>DIA</v>
          </cell>
          <cell r="F1405">
            <v>8.7599999999999997E-2</v>
          </cell>
          <cell r="G1405">
            <v>131205</v>
          </cell>
          <cell r="H1405">
            <v>11494</v>
          </cell>
        </row>
        <row r="1406">
          <cell r="A1406" t="str">
            <v>015.237</v>
          </cell>
          <cell r="B1406" t="str">
            <v>H2</v>
          </cell>
          <cell r="C1406" t="str">
            <v>EQUIPO BASICO (HERRAMIENTA MENOR)</v>
          </cell>
          <cell r="D1406" t="str">
            <v>Herramienta</v>
          </cell>
          <cell r="E1406" t="str">
            <v>UND</v>
          </cell>
          <cell r="F1406">
            <v>2</v>
          </cell>
          <cell r="G1406">
            <v>2536</v>
          </cell>
          <cell r="H1406">
            <v>5072</v>
          </cell>
        </row>
        <row r="1407">
          <cell r="A1407" t="str">
            <v>015.237</v>
          </cell>
          <cell r="B1407" t="str">
            <v>I1110</v>
          </cell>
          <cell r="C1407" t="str">
            <v>ACCESORIOS DE FIJACION</v>
          </cell>
          <cell r="D1407" t="str">
            <v>Insumo</v>
          </cell>
          <cell r="E1407" t="str">
            <v>UND</v>
          </cell>
          <cell r="F1407">
            <v>10</v>
          </cell>
          <cell r="G1407">
            <v>1792</v>
          </cell>
          <cell r="H1407">
            <v>17920</v>
          </cell>
        </row>
        <row r="1408">
          <cell r="A1408" t="str">
            <v>015.237</v>
          </cell>
          <cell r="B1408" t="str">
            <v>I1379</v>
          </cell>
          <cell r="C1408" t="str">
            <v xml:space="preserve">PROYECTOR LED DE 500 VATIOS INCLUYE ACCESORIOS DE SUJECION E INSTALACION  </v>
          </cell>
          <cell r="D1408" t="str">
            <v>Insumo</v>
          </cell>
          <cell r="E1408" t="str">
            <v>UND</v>
          </cell>
          <cell r="F1408">
            <v>1</v>
          </cell>
          <cell r="G1408">
            <v>3831800</v>
          </cell>
          <cell r="H1408">
            <v>3831800</v>
          </cell>
        </row>
        <row r="1409">
          <cell r="A1409" t="str">
            <v>015.237</v>
          </cell>
          <cell r="B1409" t="str">
            <v>I1565</v>
          </cell>
          <cell r="C1409" t="str">
            <v>ACARREO INTERNO</v>
          </cell>
          <cell r="D1409" t="str">
            <v>Insumo</v>
          </cell>
          <cell r="E1409" t="str">
            <v>UND</v>
          </cell>
          <cell r="F1409">
            <v>4.0999999999999996</v>
          </cell>
          <cell r="G1409">
            <v>1327</v>
          </cell>
          <cell r="H1409">
            <v>5441</v>
          </cell>
        </row>
        <row r="1411">
          <cell r="A1411" t="str">
            <v>015.238</v>
          </cell>
          <cell r="B1411" t="str">
            <v>-</v>
          </cell>
          <cell r="C1411" t="str">
            <v>SUMINISTRO, TRANSPORTE E INSTALACION ACOMETIDA 2F4H Cu THHN/THWN EN CABLE 2X6AWG + 6AWG (N) + 6AWG (T). NO INCLUYE CONDULINADO.</v>
          </cell>
          <cell r="D1411" t="str">
            <v>Actividad</v>
          </cell>
          <cell r="E1411" t="str">
            <v>ML</v>
          </cell>
          <cell r="H1411">
            <v>28452</v>
          </cell>
        </row>
        <row r="1412">
          <cell r="A1412" t="str">
            <v>015.238</v>
          </cell>
          <cell r="B1412" t="str">
            <v>C13</v>
          </cell>
          <cell r="C1412" t="str">
            <v>CUADRILLA FF TIPO 2 (1 OFICIAL + 2 AYUDANTE) (Electricas)</v>
          </cell>
          <cell r="D1412" t="str">
            <v>Cuadrilla</v>
          </cell>
          <cell r="E1412" t="str">
            <v>HR</v>
          </cell>
          <cell r="F1412">
            <v>0.12</v>
          </cell>
          <cell r="G1412">
            <v>33348</v>
          </cell>
          <cell r="H1412">
            <v>4002</v>
          </cell>
        </row>
        <row r="1413">
          <cell r="A1413" t="str">
            <v>015.238</v>
          </cell>
          <cell r="B1413" t="str">
            <v>E12</v>
          </cell>
          <cell r="C1413" t="str">
            <v>EQUIPO DE TRANSPORTE</v>
          </cell>
          <cell r="D1413" t="str">
            <v>Equipos</v>
          </cell>
          <cell r="E1413" t="str">
            <v>DIA</v>
          </cell>
          <cell r="F1413">
            <v>3.0999999999999999E-3</v>
          </cell>
          <cell r="G1413">
            <v>131205</v>
          </cell>
          <cell r="H1413">
            <v>407</v>
          </cell>
        </row>
        <row r="1414">
          <cell r="A1414" t="str">
            <v>015.238</v>
          </cell>
          <cell r="B1414" t="str">
            <v>H2</v>
          </cell>
          <cell r="C1414" t="str">
            <v>EQUIPO BASICO (HERRAMIENTA MENOR)</v>
          </cell>
          <cell r="D1414" t="str">
            <v>Herramienta</v>
          </cell>
          <cell r="E1414" t="str">
            <v>UND</v>
          </cell>
          <cell r="F1414">
            <v>0.1</v>
          </cell>
          <cell r="G1414">
            <v>2536</v>
          </cell>
          <cell r="H1414">
            <v>254</v>
          </cell>
        </row>
        <row r="1415">
          <cell r="A1415" t="str">
            <v>015.238</v>
          </cell>
          <cell r="B1415" t="str">
            <v>I1195</v>
          </cell>
          <cell r="C1415" t="str">
            <v xml:space="preserve">CABLE DE COBRE Nº 6 THHN AWG NEGRO </v>
          </cell>
          <cell r="D1415" t="str">
            <v>Insumo</v>
          </cell>
          <cell r="E1415" t="str">
            <v>M</v>
          </cell>
          <cell r="F1415">
            <v>4.04</v>
          </cell>
          <cell r="G1415">
            <v>5826</v>
          </cell>
          <cell r="H1415">
            <v>23537</v>
          </cell>
        </row>
        <row r="1416">
          <cell r="A1416" t="str">
            <v>015.238</v>
          </cell>
          <cell r="B1416" t="str">
            <v>I1565</v>
          </cell>
          <cell r="C1416" t="str">
            <v>ACARREO INTERNO</v>
          </cell>
          <cell r="D1416" t="str">
            <v>Insumo</v>
          </cell>
          <cell r="E1416" t="str">
            <v>UND</v>
          </cell>
          <cell r="F1416">
            <v>0.19</v>
          </cell>
          <cell r="G1416">
            <v>1327</v>
          </cell>
          <cell r="H1416">
            <v>252</v>
          </cell>
        </row>
        <row r="1418">
          <cell r="A1418" t="str">
            <v>015.239</v>
          </cell>
          <cell r="B1418" t="str">
            <v>-</v>
          </cell>
          <cell r="C1418" t="str">
            <v xml:space="preserve">SUMINISTRO, TRANSPORTE E INSTALACION SISTEMA DE PUESTA A TIERRA GENERAL CON UNA VARILA DE COBRE 5/8X2,4M, CABLE No.2AWG (SPAT-1V). </v>
          </cell>
          <cell r="D1418" t="str">
            <v>Actividad</v>
          </cell>
          <cell r="E1418" t="str">
            <v>UND</v>
          </cell>
          <cell r="H1418">
            <v>756361</v>
          </cell>
        </row>
        <row r="1419">
          <cell r="A1419" t="str">
            <v>015.239</v>
          </cell>
          <cell r="B1419" t="str">
            <v>C35</v>
          </cell>
          <cell r="C1419" t="str">
            <v>CUADRILLA GG TIPO 5 (1 OFICIAL + 5 AYUDANTE) (Alumbrado Publico)</v>
          </cell>
          <cell r="D1419" t="str">
            <v>Cuadrilla</v>
          </cell>
          <cell r="E1419" t="str">
            <v>HR</v>
          </cell>
          <cell r="F1419">
            <v>2</v>
          </cell>
          <cell r="G1419">
            <v>87719</v>
          </cell>
          <cell r="H1419">
            <v>175438</v>
          </cell>
        </row>
        <row r="1420">
          <cell r="A1420" t="str">
            <v>015.239</v>
          </cell>
          <cell r="B1420" t="str">
            <v>E12</v>
          </cell>
          <cell r="C1420" t="str">
            <v>EQUIPO DE TRANSPORTE</v>
          </cell>
          <cell r="D1420" t="str">
            <v>Equipos</v>
          </cell>
          <cell r="E1420" t="str">
            <v>DIA</v>
          </cell>
          <cell r="F1420">
            <v>8.2100000000000006E-2</v>
          </cell>
          <cell r="G1420">
            <v>131205</v>
          </cell>
          <cell r="H1420">
            <v>10772</v>
          </cell>
        </row>
        <row r="1421">
          <cell r="A1421" t="str">
            <v>015.239</v>
          </cell>
          <cell r="B1421" t="str">
            <v>H2</v>
          </cell>
          <cell r="C1421" t="str">
            <v>EQUIPO BASICO (HERRAMIENTA MENOR)</v>
          </cell>
          <cell r="D1421" t="str">
            <v>Herramienta</v>
          </cell>
          <cell r="E1421" t="str">
            <v>UND</v>
          </cell>
          <cell r="F1421">
            <v>1</v>
          </cell>
          <cell r="G1421">
            <v>2536</v>
          </cell>
          <cell r="H1421">
            <v>2536</v>
          </cell>
        </row>
        <row r="1422">
          <cell r="A1422" t="str">
            <v>015.239</v>
          </cell>
          <cell r="B1422" t="str">
            <v>I1171</v>
          </cell>
          <cell r="C1422" t="str">
            <v>BORNA TERMINAL PONCHAR MARCA 3M Ó PANDUIT BARRIL LARGO PARA CABLE NO.2AWG</v>
          </cell>
          <cell r="D1422" t="str">
            <v>Insumo</v>
          </cell>
          <cell r="E1422" t="str">
            <v>UND</v>
          </cell>
          <cell r="F1422">
            <v>1</v>
          </cell>
          <cell r="G1422">
            <v>3826</v>
          </cell>
          <cell r="H1422">
            <v>3826</v>
          </cell>
        </row>
        <row r="1423">
          <cell r="A1423" t="str">
            <v>015.239</v>
          </cell>
          <cell r="B1423" t="str">
            <v>I1180</v>
          </cell>
          <cell r="C1423" t="str">
            <v>CABLE DE COBRE DESNUDO Nº 2  AWG</v>
          </cell>
          <cell r="D1423" t="str">
            <v>Insumo</v>
          </cell>
          <cell r="E1423" t="str">
            <v>M</v>
          </cell>
          <cell r="F1423">
            <v>5</v>
          </cell>
          <cell r="G1423">
            <v>12340</v>
          </cell>
          <cell r="H1423">
            <v>61700</v>
          </cell>
        </row>
        <row r="1424">
          <cell r="A1424" t="str">
            <v>015.239</v>
          </cell>
          <cell r="B1424" t="str">
            <v>I1381</v>
          </cell>
          <cell r="C1424" t="str">
            <v>SOLDADURA EXOTERMICA TIPO CADWELD  DE 115 GRAMOS O SIMILAR</v>
          </cell>
          <cell r="D1424" t="str">
            <v>Insumo</v>
          </cell>
          <cell r="E1424" t="str">
            <v>UND</v>
          </cell>
          <cell r="F1424">
            <v>1</v>
          </cell>
          <cell r="G1424">
            <v>16887</v>
          </cell>
          <cell r="H1424">
            <v>16887</v>
          </cell>
        </row>
        <row r="1425">
          <cell r="A1425" t="str">
            <v>015.239</v>
          </cell>
          <cell r="B1425" t="str">
            <v>I1382</v>
          </cell>
          <cell r="C1425" t="str">
            <v>SUELO ARTIFICIAL CEMENTO CONDUCTOR CELEC</v>
          </cell>
          <cell r="D1425" t="str">
            <v>Insumo</v>
          </cell>
          <cell r="E1425" t="str">
            <v>KG</v>
          </cell>
          <cell r="F1425">
            <v>40</v>
          </cell>
          <cell r="G1425">
            <v>8319</v>
          </cell>
          <cell r="H1425">
            <v>332760</v>
          </cell>
        </row>
        <row r="1426">
          <cell r="A1426" t="str">
            <v>015.239</v>
          </cell>
          <cell r="B1426" t="str">
            <v>I1484</v>
          </cell>
          <cell r="C1426" t="str">
            <v>VARILLA COPPERWELD DE  5/8 X 2,40</v>
          </cell>
          <cell r="D1426" t="str">
            <v>Insumo</v>
          </cell>
          <cell r="E1426" t="str">
            <v>UND</v>
          </cell>
          <cell r="F1426">
            <v>1</v>
          </cell>
          <cell r="G1426">
            <v>140632</v>
          </cell>
          <cell r="H1426">
            <v>140632</v>
          </cell>
        </row>
        <row r="1427">
          <cell r="A1427" t="str">
            <v>015.239</v>
          </cell>
          <cell r="B1427" t="str">
            <v>I1565</v>
          </cell>
          <cell r="C1427" t="str">
            <v>ACARREO INTERNO</v>
          </cell>
          <cell r="D1427" t="str">
            <v>Insumo</v>
          </cell>
          <cell r="E1427" t="str">
            <v>UND</v>
          </cell>
          <cell r="F1427">
            <v>8.9</v>
          </cell>
          <cell r="G1427">
            <v>1327</v>
          </cell>
          <cell r="H1427">
            <v>11810</v>
          </cell>
        </row>
        <row r="1429">
          <cell r="A1429" t="str">
            <v>015.240</v>
          </cell>
          <cell r="B1429" t="str">
            <v>-</v>
          </cell>
          <cell r="C1429" t="str">
            <v>SUMINISTRO, TRANSPORTE E INSTALACION SISTEMA DE CAPTACION DE DESCARGAS ATMOSFERICAS PARA MASTILES</v>
          </cell>
          <cell r="D1429" t="str">
            <v>Actividad</v>
          </cell>
          <cell r="E1429" t="str">
            <v>UND</v>
          </cell>
          <cell r="H1429">
            <v>715316</v>
          </cell>
        </row>
        <row r="1430">
          <cell r="A1430" t="str">
            <v>015.240</v>
          </cell>
          <cell r="B1430" t="str">
            <v>C35</v>
          </cell>
          <cell r="C1430" t="str">
            <v>CUADRILLA GG TIPO 5 (1 OFICIAL + 5 AYUDANTE) (Alumbrado Publico)</v>
          </cell>
          <cell r="D1430" t="str">
            <v>Cuadrilla</v>
          </cell>
          <cell r="E1430" t="str">
            <v>HR</v>
          </cell>
          <cell r="F1430">
            <v>3.35</v>
          </cell>
          <cell r="G1430">
            <v>87719</v>
          </cell>
          <cell r="H1430">
            <v>293859</v>
          </cell>
        </row>
        <row r="1431">
          <cell r="A1431" t="str">
            <v>015.240</v>
          </cell>
          <cell r="B1431" t="str">
            <v>E12</v>
          </cell>
          <cell r="C1431" t="str">
            <v>EQUIPO DE TRANSPORTE</v>
          </cell>
          <cell r="D1431" t="str">
            <v>Equipos</v>
          </cell>
          <cell r="E1431" t="str">
            <v>DIA</v>
          </cell>
          <cell r="F1431">
            <v>6.105E-2</v>
          </cell>
          <cell r="G1431">
            <v>131205</v>
          </cell>
          <cell r="H1431">
            <v>8010</v>
          </cell>
        </row>
        <row r="1432">
          <cell r="A1432" t="str">
            <v>015.240</v>
          </cell>
          <cell r="B1432" t="str">
            <v>H2</v>
          </cell>
          <cell r="C1432" t="str">
            <v>EQUIPO BASICO (HERRAMIENTA MENOR)</v>
          </cell>
          <cell r="D1432" t="str">
            <v>Herramienta</v>
          </cell>
          <cell r="E1432" t="str">
            <v>UND</v>
          </cell>
          <cell r="F1432">
            <v>3</v>
          </cell>
          <cell r="G1432">
            <v>2536</v>
          </cell>
          <cell r="H1432">
            <v>7608</v>
          </cell>
        </row>
        <row r="1433">
          <cell r="A1433" t="str">
            <v>015.240</v>
          </cell>
          <cell r="B1433" t="str">
            <v>I1381</v>
          </cell>
          <cell r="C1433" t="str">
            <v>SOLDADURA EXOTERMICA TIPO CADWELD  DE 115 GRAMOS O SIMILAR</v>
          </cell>
          <cell r="D1433" t="str">
            <v>Insumo</v>
          </cell>
          <cell r="E1433" t="str">
            <v>UND</v>
          </cell>
          <cell r="F1433">
            <v>2</v>
          </cell>
          <cell r="G1433">
            <v>16887</v>
          </cell>
          <cell r="H1433">
            <v>33774</v>
          </cell>
        </row>
        <row r="1434">
          <cell r="A1434" t="str">
            <v>015.240</v>
          </cell>
          <cell r="B1434" t="str">
            <v>I1512</v>
          </cell>
          <cell r="C1434" t="str">
            <v>PUNTA DE CAPTACION TIPO FRANKLIN</v>
          </cell>
          <cell r="D1434" t="str">
            <v>Insumo</v>
          </cell>
          <cell r="E1434" t="str">
            <v>UND</v>
          </cell>
          <cell r="F1434">
            <v>1</v>
          </cell>
          <cell r="G1434">
            <v>81607</v>
          </cell>
          <cell r="H1434">
            <v>81607</v>
          </cell>
        </row>
        <row r="1435">
          <cell r="A1435" t="str">
            <v>015.240</v>
          </cell>
          <cell r="B1435" t="str">
            <v>I1180</v>
          </cell>
          <cell r="C1435" t="str">
            <v>CABLE DE COBRE DESNUDO Nº 2  AWG</v>
          </cell>
          <cell r="D1435" t="str">
            <v>Insumo</v>
          </cell>
          <cell r="E1435" t="str">
            <v>M</v>
          </cell>
          <cell r="F1435">
            <v>20</v>
          </cell>
          <cell r="G1435">
            <v>12340</v>
          </cell>
          <cell r="H1435">
            <v>246800</v>
          </cell>
        </row>
        <row r="1436">
          <cell r="A1436" t="str">
            <v>015.240</v>
          </cell>
          <cell r="B1436" t="str">
            <v>I1565</v>
          </cell>
          <cell r="C1436" t="str">
            <v>ACARREO INTERNO</v>
          </cell>
          <cell r="D1436" t="str">
            <v>Insumo</v>
          </cell>
          <cell r="E1436" t="str">
            <v>UND</v>
          </cell>
          <cell r="F1436">
            <v>32.9</v>
          </cell>
          <cell r="G1436">
            <v>1327</v>
          </cell>
          <cell r="H1436">
            <v>43658</v>
          </cell>
        </row>
        <row r="1438">
          <cell r="A1438" t="str">
            <v>015.241</v>
          </cell>
          <cell r="B1438" t="str">
            <v>-</v>
          </cell>
          <cell r="C1438" t="str">
            <v xml:space="preserve">SUMINISTRO, TRANSPORTE E INSTALACION REFLECTOR LED DE 200 VATIOS. INCLUYE ACCESORIOS DE FIJACION SUJECION E INSTALACION  </v>
          </cell>
          <cell r="D1438" t="str">
            <v>Actividad</v>
          </cell>
          <cell r="E1438" t="str">
            <v>UND</v>
          </cell>
          <cell r="H1438">
            <v>450636</v>
          </cell>
        </row>
        <row r="1439">
          <cell r="A1439" t="str">
            <v>015.241</v>
          </cell>
          <cell r="B1439" t="str">
            <v>C35</v>
          </cell>
          <cell r="C1439" t="str">
            <v>CUADRILLA GG TIPO 5 (1 OFICIAL + 5 AYUDANTE) (Alumbrado Publico)</v>
          </cell>
          <cell r="D1439" t="str">
            <v>Cuadrilla</v>
          </cell>
          <cell r="E1439" t="str">
            <v>HR</v>
          </cell>
          <cell r="F1439">
            <v>0.5</v>
          </cell>
          <cell r="G1439">
            <v>87719</v>
          </cell>
          <cell r="H1439">
            <v>43860</v>
          </cell>
        </row>
        <row r="1440">
          <cell r="A1440" t="str">
            <v>015.241</v>
          </cell>
          <cell r="B1440" t="str">
            <v>E12</v>
          </cell>
          <cell r="C1440" t="str">
            <v>EQUIPO DE TRANSPORTE</v>
          </cell>
          <cell r="D1440" t="str">
            <v>Equipos</v>
          </cell>
          <cell r="E1440" t="str">
            <v>DIA</v>
          </cell>
          <cell r="F1440">
            <v>7.9200000000000007E-2</v>
          </cell>
          <cell r="G1440">
            <v>131205</v>
          </cell>
          <cell r="H1440">
            <v>10391</v>
          </cell>
        </row>
        <row r="1441">
          <cell r="A1441" t="str">
            <v>015.241</v>
          </cell>
          <cell r="B1441" t="str">
            <v>H2</v>
          </cell>
          <cell r="C1441" t="str">
            <v>EQUIPO BASICO (HERRAMIENTA MENOR)</v>
          </cell>
          <cell r="D1441" t="str">
            <v>Herramienta</v>
          </cell>
          <cell r="E1441" t="str">
            <v>UND</v>
          </cell>
          <cell r="F1441">
            <v>2</v>
          </cell>
          <cell r="G1441">
            <v>2536</v>
          </cell>
          <cell r="H1441">
            <v>5072</v>
          </cell>
        </row>
        <row r="1442">
          <cell r="A1442" t="str">
            <v>015.241</v>
          </cell>
          <cell r="B1442" t="str">
            <v>I1110</v>
          </cell>
          <cell r="C1442" t="str">
            <v>ACCESORIOS DE FIJACION</v>
          </cell>
          <cell r="D1442" t="str">
            <v>Insumo</v>
          </cell>
          <cell r="E1442" t="str">
            <v>UND</v>
          </cell>
          <cell r="F1442">
            <v>10</v>
          </cell>
          <cell r="G1442">
            <v>1792</v>
          </cell>
          <cell r="H1442">
            <v>17920</v>
          </cell>
        </row>
        <row r="1443">
          <cell r="A1443" t="str">
            <v>015.241</v>
          </cell>
          <cell r="B1443" t="str">
            <v>I1378</v>
          </cell>
          <cell r="C1443" t="str">
            <v xml:space="preserve">REFLECTOR LED DE 200 VATIOS. INCLUYE ACCESORIOS DE SUJECION E INSTALACION </v>
          </cell>
          <cell r="D1443" t="str">
            <v>Insumo</v>
          </cell>
          <cell r="E1443" t="str">
            <v>UND</v>
          </cell>
          <cell r="F1443">
            <v>1</v>
          </cell>
          <cell r="G1443">
            <v>367952</v>
          </cell>
          <cell r="H1443">
            <v>367952</v>
          </cell>
        </row>
        <row r="1444">
          <cell r="A1444" t="str">
            <v>015.241</v>
          </cell>
          <cell r="B1444" t="str">
            <v>I1565</v>
          </cell>
          <cell r="C1444" t="str">
            <v>ACARREO INTERNO</v>
          </cell>
          <cell r="D1444" t="str">
            <v>Insumo</v>
          </cell>
          <cell r="E1444" t="str">
            <v>UND</v>
          </cell>
          <cell r="F1444">
            <v>4.0999999999999996</v>
          </cell>
          <cell r="G1444">
            <v>1327</v>
          </cell>
          <cell r="H1444">
            <v>5441</v>
          </cell>
        </row>
        <row r="1446">
          <cell r="A1446" t="str">
            <v>015.242</v>
          </cell>
          <cell r="B1446" t="str">
            <v>-</v>
          </cell>
          <cell r="C1446" t="str">
            <v>SUMINISTRO, TRANSPORTE E INSTALACION SALIDA ILUMINACION DE EMERGENCIA EN TUBERIA CONDUIT EMT 3/4", ALAMBRE No 12 AWG HFFR LS</v>
          </cell>
          <cell r="D1446" t="str">
            <v>Actividad</v>
          </cell>
          <cell r="E1446" t="str">
            <v>UND</v>
          </cell>
          <cell r="H1446">
            <v>182535</v>
          </cell>
        </row>
        <row r="1447">
          <cell r="A1447" t="str">
            <v>015.242</v>
          </cell>
          <cell r="B1447" t="str">
            <v>C13</v>
          </cell>
          <cell r="C1447" t="str">
            <v>CUADRILLA FF TIPO 2 (1 OFICIAL + 2 AYUDANTE) (Electricas)</v>
          </cell>
          <cell r="D1447" t="str">
            <v>Cuadrilla</v>
          </cell>
          <cell r="E1447" t="str">
            <v>HR</v>
          </cell>
          <cell r="F1447">
            <v>1.75</v>
          </cell>
          <cell r="G1447">
            <v>33348</v>
          </cell>
          <cell r="H1447">
            <v>58359</v>
          </cell>
        </row>
        <row r="1448">
          <cell r="A1448" t="str">
            <v>015.242</v>
          </cell>
          <cell r="B1448" t="str">
            <v>E12</v>
          </cell>
          <cell r="C1448" t="str">
            <v>EQUIPO DE TRANSPORTE</v>
          </cell>
          <cell r="D1448" t="str">
            <v>Equipos</v>
          </cell>
          <cell r="E1448" t="str">
            <v>DIA</v>
          </cell>
          <cell r="F1448">
            <v>1.6799999999999999E-2</v>
          </cell>
          <cell r="G1448">
            <v>131205</v>
          </cell>
          <cell r="H1448">
            <v>2204</v>
          </cell>
        </row>
        <row r="1449">
          <cell r="A1449" t="str">
            <v>015.242</v>
          </cell>
          <cell r="B1449" t="str">
            <v>H2</v>
          </cell>
          <cell r="C1449" t="str">
            <v>EQUIPO BASICO (HERRAMIENTA MENOR)</v>
          </cell>
          <cell r="D1449" t="str">
            <v>Herramienta</v>
          </cell>
          <cell r="E1449" t="str">
            <v>UND</v>
          </cell>
          <cell r="F1449">
            <v>0.875</v>
          </cell>
          <cell r="G1449">
            <v>2536</v>
          </cell>
          <cell r="H1449">
            <v>2219</v>
          </cell>
        </row>
        <row r="1450">
          <cell r="A1450" t="str">
            <v>015.242</v>
          </cell>
          <cell r="B1450" t="str">
            <v>I1116</v>
          </cell>
          <cell r="C1450" t="str">
            <v>ACCESORIOS FIJACION TUBERIA EMT 3/4" (ABRAZADERA, ALAMBRE)</v>
          </cell>
          <cell r="D1450" t="str">
            <v>Insumo</v>
          </cell>
          <cell r="E1450" t="str">
            <v>UND</v>
          </cell>
          <cell r="F1450">
            <v>4</v>
          </cell>
          <cell r="G1450">
            <v>2152</v>
          </cell>
          <cell r="H1450">
            <v>8608</v>
          </cell>
        </row>
        <row r="1451">
          <cell r="A1451" t="str">
            <v>015.242</v>
          </cell>
          <cell r="B1451" t="str">
            <v>I1129</v>
          </cell>
          <cell r="C1451" t="str">
            <v>ACCESORIOS TUBERIA EMT 3/4" (UNION Y CURVA)</v>
          </cell>
          <cell r="D1451" t="str">
            <v>Insumo</v>
          </cell>
          <cell r="E1451" t="str">
            <v>UND</v>
          </cell>
          <cell r="F1451">
            <v>4</v>
          </cell>
          <cell r="G1451">
            <v>4524</v>
          </cell>
          <cell r="H1451">
            <v>18096</v>
          </cell>
        </row>
        <row r="1452">
          <cell r="A1452" t="str">
            <v>015.242</v>
          </cell>
          <cell r="B1452" t="str">
            <v>I1747</v>
          </cell>
          <cell r="C1452" t="str">
            <v>SUMINISTRO DE ALAMBRE  12AWG HFFR LS 600V 75º CT</v>
          </cell>
          <cell r="D1452" t="str">
            <v>Insumo</v>
          </cell>
          <cell r="E1452" t="str">
            <v>ML</v>
          </cell>
          <cell r="F1452">
            <v>18</v>
          </cell>
          <cell r="G1452">
            <v>1589</v>
          </cell>
          <cell r="H1452">
            <v>28602</v>
          </cell>
        </row>
        <row r="1453">
          <cell r="A1453" t="str">
            <v>015.242</v>
          </cell>
          <cell r="B1453" t="str">
            <v>I1186</v>
          </cell>
          <cell r="C1453" t="str">
            <v>CABLE DE COBRE ENCAUCHETADO 3 X 16 THHN</v>
          </cell>
          <cell r="D1453" t="str">
            <v>Insumo</v>
          </cell>
          <cell r="E1453" t="str">
            <v>M</v>
          </cell>
          <cell r="F1453">
            <v>1</v>
          </cell>
          <cell r="G1453">
            <v>3597</v>
          </cell>
          <cell r="H1453">
            <v>3597</v>
          </cell>
        </row>
        <row r="1454">
          <cell r="A1454" t="str">
            <v>015.242</v>
          </cell>
          <cell r="B1454" t="str">
            <v>I1227</v>
          </cell>
          <cell r="C1454" t="str">
            <v>CONDULETA EN T Ó L 3/4" NPT</v>
          </cell>
          <cell r="D1454" t="str">
            <v>Insumo</v>
          </cell>
          <cell r="E1454" t="str">
            <v>UND</v>
          </cell>
          <cell r="F1454">
            <v>1</v>
          </cell>
          <cell r="G1454">
            <v>11336</v>
          </cell>
          <cell r="H1454">
            <v>11336</v>
          </cell>
        </row>
        <row r="1455">
          <cell r="A1455" t="str">
            <v>015.242</v>
          </cell>
          <cell r="B1455" t="str">
            <v>I1375</v>
          </cell>
          <cell r="C1455" t="str">
            <v>PRENSA ESTOPA ALUMINIO 3/4" NPT</v>
          </cell>
          <cell r="D1455" t="str">
            <v>Insumo</v>
          </cell>
          <cell r="E1455" t="str">
            <v>UND</v>
          </cell>
          <cell r="F1455">
            <v>1</v>
          </cell>
          <cell r="G1455">
            <v>6453</v>
          </cell>
          <cell r="H1455">
            <v>6453</v>
          </cell>
        </row>
        <row r="1456">
          <cell r="A1456" t="str">
            <v>015.242</v>
          </cell>
          <cell r="B1456" t="str">
            <v>I1461</v>
          </cell>
          <cell r="C1456" t="str">
            <v xml:space="preserve">TUBO CONDUIT GALVANIZADA EMT 3/4" </v>
          </cell>
          <cell r="D1456" t="str">
            <v>Insumo</v>
          </cell>
          <cell r="E1456" t="str">
            <v>M</v>
          </cell>
          <cell r="F1456">
            <v>6</v>
          </cell>
          <cell r="G1456">
            <v>6364</v>
          </cell>
          <cell r="H1456">
            <v>38184</v>
          </cell>
        </row>
        <row r="1457">
          <cell r="A1457" t="str">
            <v>015.242</v>
          </cell>
          <cell r="B1457" t="str">
            <v>I1565</v>
          </cell>
          <cell r="C1457" t="str">
            <v>ACARREO INTERNO</v>
          </cell>
          <cell r="D1457" t="str">
            <v>Insumo</v>
          </cell>
          <cell r="E1457" t="str">
            <v>UND</v>
          </cell>
          <cell r="F1457">
            <v>3.6749999999999998</v>
          </cell>
          <cell r="G1457">
            <v>1327</v>
          </cell>
          <cell r="H1457">
            <v>4877</v>
          </cell>
        </row>
        <row r="1459">
          <cell r="A1459" t="str">
            <v>015.243</v>
          </cell>
          <cell r="B1459" t="str">
            <v>-</v>
          </cell>
          <cell r="C1459" t="str">
            <v>SUMINISTRO, TRANSPORTE E INSTALACION LUMINARIA DE SOBREPONER TIPO ELM</v>
          </cell>
          <cell r="D1459" t="str">
            <v>Actividad</v>
          </cell>
          <cell r="E1459" t="str">
            <v>UND</v>
          </cell>
          <cell r="H1459">
            <v>216783</v>
          </cell>
        </row>
        <row r="1460">
          <cell r="A1460" t="str">
            <v>015.243</v>
          </cell>
          <cell r="B1460" t="str">
            <v>C13</v>
          </cell>
          <cell r="C1460" t="str">
            <v>CUADRILLA FF TIPO 2 (1 OFICIAL + 2 AYUDANTE) (Electricas)</v>
          </cell>
          <cell r="D1460" t="str">
            <v>Cuadrilla</v>
          </cell>
          <cell r="E1460" t="str">
            <v>HR</v>
          </cell>
          <cell r="F1460">
            <v>0.6</v>
          </cell>
          <cell r="G1460">
            <v>33348</v>
          </cell>
          <cell r="H1460">
            <v>20009</v>
          </cell>
        </row>
        <row r="1461">
          <cell r="A1461" t="str">
            <v>015.243</v>
          </cell>
          <cell r="B1461" t="str">
            <v>E12</v>
          </cell>
          <cell r="C1461" t="str">
            <v>EQUIPO DE TRANSPORTE</v>
          </cell>
          <cell r="D1461" t="str">
            <v>Equipos</v>
          </cell>
          <cell r="E1461" t="str">
            <v>DIA</v>
          </cell>
          <cell r="F1461">
            <v>2.8000000000000001E-2</v>
          </cell>
          <cell r="G1461">
            <v>131205</v>
          </cell>
          <cell r="H1461">
            <v>3674</v>
          </cell>
        </row>
        <row r="1462">
          <cell r="A1462" t="str">
            <v>015.243</v>
          </cell>
          <cell r="B1462" t="str">
            <v>H2</v>
          </cell>
          <cell r="C1462" t="str">
            <v>EQUIPO BASICO (HERRAMIENTA MENOR)</v>
          </cell>
          <cell r="D1462" t="str">
            <v>Herramienta</v>
          </cell>
          <cell r="E1462" t="str">
            <v>UND</v>
          </cell>
          <cell r="F1462">
            <v>0.5</v>
          </cell>
          <cell r="G1462">
            <v>2536</v>
          </cell>
          <cell r="H1462">
            <v>1268</v>
          </cell>
        </row>
        <row r="1463">
          <cell r="A1463" t="str">
            <v>015.243</v>
          </cell>
          <cell r="B1463" t="str">
            <v>I1110</v>
          </cell>
          <cell r="C1463" t="str">
            <v>ACCESORIOS DE FIJACION</v>
          </cell>
          <cell r="D1463" t="str">
            <v>Insumo</v>
          </cell>
          <cell r="E1463" t="str">
            <v>UND</v>
          </cell>
          <cell r="F1463">
            <v>0.5</v>
          </cell>
          <cell r="G1463">
            <v>1792</v>
          </cell>
          <cell r="H1463">
            <v>896</v>
          </cell>
        </row>
        <row r="1464">
          <cell r="A1464" t="str">
            <v>015.243</v>
          </cell>
          <cell r="B1464" t="str">
            <v>I1497</v>
          </cell>
          <cell r="C1464" t="str">
            <v>LUMINARIA DE SOBREPONER TIPO ELM</v>
          </cell>
          <cell r="D1464" t="str">
            <v>Insumo</v>
          </cell>
          <cell r="E1464" t="str">
            <v>UND</v>
          </cell>
          <cell r="F1464">
            <v>1</v>
          </cell>
          <cell r="G1464">
            <v>189344</v>
          </cell>
          <cell r="H1464">
            <v>189344</v>
          </cell>
        </row>
        <row r="1465">
          <cell r="A1465" t="str">
            <v>015.243</v>
          </cell>
          <cell r="B1465" t="str">
            <v>I1565</v>
          </cell>
          <cell r="C1465" t="str">
            <v>ACARREO INTERNO</v>
          </cell>
          <cell r="D1465" t="str">
            <v>Insumo</v>
          </cell>
          <cell r="E1465" t="str">
            <v>UND</v>
          </cell>
          <cell r="F1465">
            <v>1.2</v>
          </cell>
          <cell r="G1465">
            <v>1327</v>
          </cell>
          <cell r="H1465">
            <v>1592</v>
          </cell>
        </row>
        <row r="1467">
          <cell r="A1467" t="str">
            <v>015.244</v>
          </cell>
          <cell r="B1467" t="str">
            <v>-</v>
          </cell>
          <cell r="C1467" t="str">
            <v>SUMINISTRO, TRANSPORTE E INSTALACION SALIDA TOMACORRIENTE NORMAL DOBLE PT EN TUBERIA CONDUIT PVC 3/4", ALAMBRE No 12 AWG HFFR LS</v>
          </cell>
          <cell r="D1467" t="str">
            <v>Actividad</v>
          </cell>
          <cell r="E1467" t="str">
            <v>UND</v>
          </cell>
          <cell r="H1467">
            <v>148480</v>
          </cell>
        </row>
        <row r="1468">
          <cell r="A1468" t="str">
            <v>015.244</v>
          </cell>
          <cell r="B1468" t="str">
            <v>C13</v>
          </cell>
          <cell r="C1468" t="str">
            <v>CUADRILLA FF TIPO 2 (1 OFICIAL + 2 AYUDANTE) (Electricas)</v>
          </cell>
          <cell r="D1468" t="str">
            <v>Cuadrilla</v>
          </cell>
          <cell r="E1468" t="str">
            <v>HR</v>
          </cell>
          <cell r="F1468">
            <v>2.5049999999999999</v>
          </cell>
          <cell r="G1468">
            <v>33348</v>
          </cell>
          <cell r="H1468">
            <v>83537</v>
          </cell>
        </row>
        <row r="1469">
          <cell r="A1469" t="str">
            <v>015.244</v>
          </cell>
          <cell r="B1469" t="str">
            <v>E12</v>
          </cell>
          <cell r="C1469" t="str">
            <v>EQUIPO DE TRANSPORTE</v>
          </cell>
          <cell r="D1469" t="str">
            <v>Equipos</v>
          </cell>
          <cell r="E1469" t="str">
            <v>DIA</v>
          </cell>
          <cell r="F1469">
            <v>8.683999999999999E-3</v>
          </cell>
          <cell r="G1469">
            <v>131205</v>
          </cell>
          <cell r="H1469">
            <v>1139</v>
          </cell>
        </row>
        <row r="1470">
          <cell r="A1470" t="str">
            <v>015.244</v>
          </cell>
          <cell r="B1470" t="str">
            <v>H2</v>
          </cell>
          <cell r="C1470" t="str">
            <v>EQUIPO BASICO (HERRAMIENTA MENOR)</v>
          </cell>
          <cell r="D1470" t="str">
            <v>Herramienta</v>
          </cell>
          <cell r="E1470" t="str">
            <v>UND</v>
          </cell>
          <cell r="F1470">
            <v>0.83499999999999996</v>
          </cell>
          <cell r="G1470">
            <v>2536</v>
          </cell>
          <cell r="H1470">
            <v>2118</v>
          </cell>
        </row>
        <row r="1471">
          <cell r="A1471" t="str">
            <v>015.244</v>
          </cell>
          <cell r="B1471" t="str">
            <v>I1110</v>
          </cell>
          <cell r="C1471" t="str">
            <v>ACCESORIOS DE FIJACION</v>
          </cell>
          <cell r="D1471" t="str">
            <v>Insumo</v>
          </cell>
          <cell r="E1471" t="str">
            <v>UND</v>
          </cell>
          <cell r="F1471">
            <v>5</v>
          </cell>
          <cell r="G1471">
            <v>1792</v>
          </cell>
          <cell r="H1471">
            <v>8960</v>
          </cell>
        </row>
        <row r="1472">
          <cell r="A1472" t="str">
            <v>015.244</v>
          </cell>
          <cell r="B1472" t="str">
            <v>I1137</v>
          </cell>
          <cell r="C1472" t="str">
            <v>ADAPTADOR TERMINAL PVC 3/4"</v>
          </cell>
          <cell r="D1472" t="str">
            <v>Insumo</v>
          </cell>
          <cell r="E1472" t="str">
            <v>UND</v>
          </cell>
          <cell r="F1472">
            <v>2</v>
          </cell>
          <cell r="G1472">
            <v>245</v>
          </cell>
          <cell r="H1472">
            <v>490</v>
          </cell>
        </row>
        <row r="1473">
          <cell r="A1473" t="str">
            <v>015.244</v>
          </cell>
          <cell r="B1473" t="str">
            <v>I1747</v>
          </cell>
          <cell r="C1473" t="str">
            <v>SUMINISTRO DE ALAMBRE  12AWG HFFR LS 600V 75º CT</v>
          </cell>
          <cell r="D1473" t="str">
            <v>Insumo</v>
          </cell>
          <cell r="E1473" t="str">
            <v>ML</v>
          </cell>
          <cell r="F1473">
            <v>15</v>
          </cell>
          <cell r="G1473">
            <v>1589</v>
          </cell>
          <cell r="H1473">
            <v>23835</v>
          </cell>
        </row>
        <row r="1474">
          <cell r="A1474" t="str">
            <v>015.244</v>
          </cell>
          <cell r="B1474" t="str">
            <v>I1205</v>
          </cell>
          <cell r="C1474" t="str">
            <v xml:space="preserve">CAJA METALICA GALVANIZADA (REF: 2400) </v>
          </cell>
          <cell r="D1474" t="str">
            <v>Insumo</v>
          </cell>
          <cell r="E1474" t="str">
            <v>UND</v>
          </cell>
          <cell r="F1474">
            <v>1</v>
          </cell>
          <cell r="G1474">
            <v>2436</v>
          </cell>
          <cell r="H1474">
            <v>2436</v>
          </cell>
        </row>
        <row r="1475">
          <cell r="A1475" t="str">
            <v>015.244</v>
          </cell>
          <cell r="B1475" t="str">
            <v>I1409</v>
          </cell>
          <cell r="C1475" t="str">
            <v>TAPA CIEGA CON IMPACTO GALVANIZADA CUADRADA 4X4"</v>
          </cell>
          <cell r="D1475" t="str">
            <v>Insumo</v>
          </cell>
          <cell r="E1475" t="str">
            <v>UND</v>
          </cell>
          <cell r="F1475">
            <v>1</v>
          </cell>
          <cell r="G1475">
            <v>848</v>
          </cell>
          <cell r="H1475">
            <v>848</v>
          </cell>
        </row>
        <row r="1476">
          <cell r="A1476" t="str">
            <v>015.244</v>
          </cell>
          <cell r="B1476" t="str">
            <v>I1431</v>
          </cell>
          <cell r="C1476" t="str">
            <v xml:space="preserve">TOMA CORRIENTE DOBLE CON POLO A TIERRA  NEMA 5-15-R; </v>
          </cell>
          <cell r="D1476" t="str">
            <v>Insumo</v>
          </cell>
          <cell r="E1476" t="str">
            <v>UND</v>
          </cell>
          <cell r="F1476">
            <v>1</v>
          </cell>
          <cell r="G1476">
            <v>10758</v>
          </cell>
          <cell r="H1476">
            <v>10758</v>
          </cell>
        </row>
        <row r="1477">
          <cell r="A1477" t="str">
            <v>015.244</v>
          </cell>
          <cell r="B1477" t="str">
            <v>I1473</v>
          </cell>
          <cell r="C1477" t="str">
            <v>TUBO CONDUIT PVC 3/4"</v>
          </cell>
          <cell r="D1477" t="str">
            <v>Insumo</v>
          </cell>
          <cell r="E1477" t="str">
            <v>M</v>
          </cell>
          <cell r="F1477">
            <v>5</v>
          </cell>
          <cell r="G1477">
            <v>1220</v>
          </cell>
          <cell r="H1477">
            <v>6100</v>
          </cell>
        </row>
        <row r="1478">
          <cell r="A1478" t="str">
            <v>015.244</v>
          </cell>
          <cell r="B1478" t="str">
            <v>I1489</v>
          </cell>
          <cell r="C1478" t="str">
            <v>CINTA AISLANTE 3M</v>
          </cell>
          <cell r="D1478" t="str">
            <v>Insumo</v>
          </cell>
          <cell r="E1478" t="str">
            <v>ROLLO</v>
          </cell>
          <cell r="F1478">
            <v>0.33400000000000002</v>
          </cell>
          <cell r="G1478">
            <v>4158</v>
          </cell>
          <cell r="H1478">
            <v>1389</v>
          </cell>
        </row>
        <row r="1479">
          <cell r="A1479" t="str">
            <v>015.244</v>
          </cell>
          <cell r="B1479" t="str">
            <v>I1565</v>
          </cell>
          <cell r="C1479" t="str">
            <v>ACARREO INTERNO</v>
          </cell>
          <cell r="D1479" t="str">
            <v>Insumo</v>
          </cell>
          <cell r="E1479" t="str">
            <v>UND</v>
          </cell>
          <cell r="F1479">
            <v>5.1769999999999996</v>
          </cell>
          <cell r="G1479">
            <v>1327</v>
          </cell>
          <cell r="H1479">
            <v>6870</v>
          </cell>
        </row>
        <row r="1481">
          <cell r="A1481" t="str">
            <v>015.245</v>
          </cell>
          <cell r="B1481" t="str">
            <v>-</v>
          </cell>
          <cell r="C1481" t="str">
            <v>SUMINISTRO, TRANSPORTE E INSTALACION SALIDA TOMACORRIENTE GFCI DOBLE EN TUBERIA CONDUIT IMC 3/4", ALAMBRE No 10 AWG HFFR LS + incluye tapa tipo intemperie</v>
          </cell>
          <cell r="D1481" t="str">
            <v>Actividad</v>
          </cell>
          <cell r="E1481" t="str">
            <v>UND</v>
          </cell>
          <cell r="H1481">
            <v>290461</v>
          </cell>
        </row>
        <row r="1482">
          <cell r="A1482" t="str">
            <v>015.245</v>
          </cell>
          <cell r="B1482" t="str">
            <v>C13</v>
          </cell>
          <cell r="C1482" t="str">
            <v>CUADRILLA FF TIPO 2 (1 OFICIAL + 2 AYUDANTE) (Electricas)</v>
          </cell>
          <cell r="D1482" t="str">
            <v>Cuadrilla</v>
          </cell>
          <cell r="E1482" t="str">
            <v>HR</v>
          </cell>
          <cell r="F1482">
            <v>2.3380000000000001</v>
          </cell>
          <cell r="G1482">
            <v>33348</v>
          </cell>
          <cell r="H1482">
            <v>77968</v>
          </cell>
        </row>
        <row r="1483">
          <cell r="A1483" t="str">
            <v>015.245</v>
          </cell>
          <cell r="B1483" t="str">
            <v>E12</v>
          </cell>
          <cell r="C1483" t="str">
            <v>EQUIPO DE TRANSPORTE</v>
          </cell>
          <cell r="D1483" t="str">
            <v>Equipos</v>
          </cell>
          <cell r="E1483" t="str">
            <v>DIA</v>
          </cell>
          <cell r="F1483">
            <v>1.6031999999999998E-2</v>
          </cell>
          <cell r="G1483">
            <v>131205</v>
          </cell>
          <cell r="H1483">
            <v>2103</v>
          </cell>
        </row>
        <row r="1484">
          <cell r="A1484" t="str">
            <v>015.245</v>
          </cell>
          <cell r="B1484" t="str">
            <v>H2</v>
          </cell>
          <cell r="C1484" t="str">
            <v>EQUIPO BASICO (HERRAMIENTA MENOR)</v>
          </cell>
          <cell r="D1484" t="str">
            <v>Herramienta</v>
          </cell>
          <cell r="E1484" t="str">
            <v>UND</v>
          </cell>
          <cell r="F1484">
            <v>0.83499999999999996</v>
          </cell>
          <cell r="G1484">
            <v>2536</v>
          </cell>
          <cell r="H1484">
            <v>2118</v>
          </cell>
        </row>
        <row r="1485">
          <cell r="A1485" t="str">
            <v>015.245</v>
          </cell>
          <cell r="B1485" t="str">
            <v>I1122</v>
          </cell>
          <cell r="C1485" t="str">
            <v>ACCESORIOS FIJACION TUBERIA IMC Ó RIDGID 3/4" (ABRAZADERA, PERNOS)</v>
          </cell>
          <cell r="D1485" t="str">
            <v>Insumo</v>
          </cell>
          <cell r="E1485" t="str">
            <v>UND</v>
          </cell>
          <cell r="F1485">
            <v>3</v>
          </cell>
          <cell r="G1485">
            <v>3585</v>
          </cell>
          <cell r="H1485">
            <v>10755</v>
          </cell>
        </row>
        <row r="1486">
          <cell r="A1486" t="str">
            <v>015.245</v>
          </cell>
          <cell r="B1486" t="str">
            <v>I1135</v>
          </cell>
          <cell r="C1486" t="str">
            <v>ACCESORIOS TUBERIA IMC Ó RIDGID 3/4" (UNION Y  CURVA)</v>
          </cell>
          <cell r="D1486" t="str">
            <v>Insumo</v>
          </cell>
          <cell r="E1486" t="str">
            <v>UND</v>
          </cell>
          <cell r="F1486">
            <v>3</v>
          </cell>
          <cell r="G1486">
            <v>8378</v>
          </cell>
          <cell r="H1486">
            <v>25134</v>
          </cell>
        </row>
        <row r="1487">
          <cell r="A1487" t="str">
            <v>015.245</v>
          </cell>
          <cell r="B1487" t="str">
            <v>I1733</v>
          </cell>
          <cell r="C1487" t="str">
            <v>SUMINISTRO DE CABLE  10 AWG HFFR LS 600V 75º CT</v>
          </cell>
          <cell r="D1487" t="str">
            <v>Insumos</v>
          </cell>
          <cell r="E1487" t="str">
            <v>ML</v>
          </cell>
          <cell r="F1487">
            <v>15</v>
          </cell>
          <cell r="G1487">
            <v>2298</v>
          </cell>
          <cell r="H1487">
            <v>34470</v>
          </cell>
        </row>
        <row r="1488">
          <cell r="A1488" t="str">
            <v>015.245</v>
          </cell>
          <cell r="B1488" t="str">
            <v>I1205</v>
          </cell>
          <cell r="C1488" t="str">
            <v xml:space="preserve">CAJA METALICA GALVANIZADA (REF: 2400) </v>
          </cell>
          <cell r="D1488" t="str">
            <v>Insumo</v>
          </cell>
          <cell r="E1488" t="str">
            <v>UND</v>
          </cell>
          <cell r="F1488">
            <v>1</v>
          </cell>
          <cell r="G1488">
            <v>2436</v>
          </cell>
          <cell r="H1488">
            <v>2436</v>
          </cell>
        </row>
        <row r="1489">
          <cell r="A1489" t="str">
            <v>015.245</v>
          </cell>
          <cell r="B1489" t="str">
            <v>I1409</v>
          </cell>
          <cell r="C1489" t="str">
            <v>TAPA CIEGA CON IMPACTO GALVANIZADA CUADRADA 4X4"</v>
          </cell>
          <cell r="D1489" t="str">
            <v>Insumo</v>
          </cell>
          <cell r="E1489" t="str">
            <v>UND</v>
          </cell>
          <cell r="F1489">
            <v>1</v>
          </cell>
          <cell r="G1489">
            <v>848</v>
          </cell>
          <cell r="H1489">
            <v>848</v>
          </cell>
        </row>
        <row r="1490">
          <cell r="A1490" t="str">
            <v>015.245</v>
          </cell>
          <cell r="B1490" t="str">
            <v>I1430</v>
          </cell>
          <cell r="C1490" t="str">
            <v>TOMA CORRIENTE DOBLE CON  PROTECCION FALLA A TIERRA GFCI</v>
          </cell>
          <cell r="D1490" t="str">
            <v>Insumo</v>
          </cell>
          <cell r="E1490" t="str">
            <v>UND</v>
          </cell>
          <cell r="F1490">
            <v>1</v>
          </cell>
          <cell r="G1490">
            <v>40380</v>
          </cell>
          <cell r="H1490">
            <v>40380</v>
          </cell>
        </row>
        <row r="1491">
          <cell r="A1491" t="str">
            <v>015.245</v>
          </cell>
          <cell r="B1491" t="str">
            <v>I1467</v>
          </cell>
          <cell r="C1491" t="str">
            <v>TUBO CONDUIT IMC 3/4"</v>
          </cell>
          <cell r="D1491" t="str">
            <v>Insumo</v>
          </cell>
          <cell r="E1491" t="str">
            <v>M</v>
          </cell>
          <cell r="F1491">
            <v>5</v>
          </cell>
          <cell r="G1491">
            <v>14200</v>
          </cell>
          <cell r="H1491">
            <v>71000</v>
          </cell>
        </row>
        <row r="1492">
          <cell r="A1492" t="str">
            <v>015.245</v>
          </cell>
          <cell r="B1492" t="str">
            <v>I1489</v>
          </cell>
          <cell r="C1492" t="str">
            <v>CINTA AISLANTE 3M</v>
          </cell>
          <cell r="D1492" t="str">
            <v>Insumo</v>
          </cell>
          <cell r="E1492" t="str">
            <v>ROLLO</v>
          </cell>
          <cell r="F1492">
            <v>0.33400000000000002</v>
          </cell>
          <cell r="G1492">
            <v>4158</v>
          </cell>
          <cell r="H1492">
            <v>1389</v>
          </cell>
        </row>
        <row r="1493">
          <cell r="A1493" t="str">
            <v>015.245</v>
          </cell>
          <cell r="B1493" t="str">
            <v>I1517</v>
          </cell>
          <cell r="C1493" t="str">
            <v xml:space="preserve">TAPA PLASTICA PARA TOMA CORRIENTE </v>
          </cell>
          <cell r="D1493" t="str">
            <v>Insumo</v>
          </cell>
          <cell r="E1493" t="str">
            <v>UND</v>
          </cell>
          <cell r="F1493">
            <v>1</v>
          </cell>
          <cell r="G1493">
            <v>14990</v>
          </cell>
          <cell r="H1493">
            <v>14990</v>
          </cell>
        </row>
        <row r="1494">
          <cell r="A1494" t="str">
            <v>015.245</v>
          </cell>
          <cell r="B1494" t="str">
            <v>I1565</v>
          </cell>
          <cell r="C1494" t="str">
            <v>ACARREO INTERNO</v>
          </cell>
          <cell r="D1494" t="str">
            <v>Insumo</v>
          </cell>
          <cell r="E1494" t="str">
            <v>UND</v>
          </cell>
          <cell r="F1494">
            <v>5.1769999999999996</v>
          </cell>
          <cell r="G1494">
            <v>1327</v>
          </cell>
          <cell r="H1494">
            <v>6870</v>
          </cell>
        </row>
        <row r="1496">
          <cell r="A1496" t="str">
            <v>015.246</v>
          </cell>
          <cell r="B1496" t="str">
            <v>-</v>
          </cell>
          <cell r="C1496" t="str">
            <v>SUMINISTRO, TRANSPORTE E INSTALACION SALIDA TOMACORRIENTE GFCI DOBLE EN TUBERIA CONDUIT PVC 3/4", ALAMBRE No 10 AWG  HFFR LS</v>
          </cell>
          <cell r="D1496" t="str">
            <v>Actividad</v>
          </cell>
          <cell r="E1496" t="str">
            <v>UND</v>
          </cell>
          <cell r="H1496">
            <v>189701</v>
          </cell>
        </row>
        <row r="1497">
          <cell r="A1497" t="str">
            <v>015.246</v>
          </cell>
          <cell r="B1497" t="str">
            <v>C13</v>
          </cell>
          <cell r="C1497" t="str">
            <v>CUADRILLA FF TIPO 2 (1 OFICIAL + 2 AYUDANTE) (Electricas)</v>
          </cell>
          <cell r="D1497" t="str">
            <v>Cuadrilla</v>
          </cell>
          <cell r="E1497" t="str">
            <v>HR</v>
          </cell>
          <cell r="F1497">
            <v>2.5049999999999999</v>
          </cell>
          <cell r="G1497">
            <v>33348</v>
          </cell>
          <cell r="H1497">
            <v>83537</v>
          </cell>
        </row>
        <row r="1498">
          <cell r="A1498" t="str">
            <v>015.246</v>
          </cell>
          <cell r="B1498" t="str">
            <v>E12</v>
          </cell>
          <cell r="C1498" t="str">
            <v>EQUIPO DE TRANSPORTE</v>
          </cell>
          <cell r="D1498" t="str">
            <v>Equipos</v>
          </cell>
          <cell r="E1498" t="str">
            <v>DIA</v>
          </cell>
          <cell r="F1498">
            <v>1.6031999999999998E-2</v>
          </cell>
          <cell r="G1498">
            <v>131205</v>
          </cell>
          <cell r="H1498">
            <v>2103</v>
          </cell>
        </row>
        <row r="1499">
          <cell r="A1499" t="str">
            <v>015.246</v>
          </cell>
          <cell r="B1499" t="str">
            <v>H2</v>
          </cell>
          <cell r="C1499" t="str">
            <v>EQUIPO BASICO (HERRAMIENTA MENOR)</v>
          </cell>
          <cell r="D1499" t="str">
            <v>Herramienta</v>
          </cell>
          <cell r="E1499" t="str">
            <v>UND</v>
          </cell>
          <cell r="F1499">
            <v>0.83499999999999996</v>
          </cell>
          <cell r="G1499">
            <v>2536</v>
          </cell>
          <cell r="H1499">
            <v>2118</v>
          </cell>
        </row>
        <row r="1500">
          <cell r="A1500" t="str">
            <v>015.246</v>
          </cell>
          <cell r="B1500" t="str">
            <v>I1110</v>
          </cell>
          <cell r="C1500" t="str">
            <v>ACCESORIOS DE FIJACION</v>
          </cell>
          <cell r="D1500" t="str">
            <v>Insumo</v>
          </cell>
          <cell r="E1500" t="str">
            <v>UND</v>
          </cell>
          <cell r="F1500">
            <v>5</v>
          </cell>
          <cell r="G1500">
            <v>1792</v>
          </cell>
          <cell r="H1500">
            <v>8960</v>
          </cell>
        </row>
        <row r="1501">
          <cell r="A1501" t="str">
            <v>015.246</v>
          </cell>
          <cell r="B1501" t="str">
            <v>I1137</v>
          </cell>
          <cell r="C1501" t="str">
            <v>ADAPTADOR TERMINAL PVC 3/4"</v>
          </cell>
          <cell r="D1501" t="str">
            <v>Insumo</v>
          </cell>
          <cell r="E1501" t="str">
            <v>UND</v>
          </cell>
          <cell r="F1501">
            <v>2</v>
          </cell>
          <cell r="G1501">
            <v>245</v>
          </cell>
          <cell r="H1501">
            <v>490</v>
          </cell>
        </row>
        <row r="1502">
          <cell r="A1502" t="str">
            <v>015.246</v>
          </cell>
          <cell r="B1502" t="str">
            <v>I1733</v>
          </cell>
          <cell r="C1502" t="str">
            <v>SUMINISTRO DE CABLE  10 AWG HFFR LS 600V 75º CT</v>
          </cell>
          <cell r="D1502" t="str">
            <v>Insumos</v>
          </cell>
          <cell r="E1502" t="str">
            <v>ML</v>
          </cell>
          <cell r="F1502">
            <v>15</v>
          </cell>
          <cell r="G1502">
            <v>2298</v>
          </cell>
          <cell r="H1502">
            <v>34470</v>
          </cell>
        </row>
        <row r="1503">
          <cell r="A1503" t="str">
            <v>015.246</v>
          </cell>
          <cell r="B1503" t="str">
            <v>I1205</v>
          </cell>
          <cell r="C1503" t="str">
            <v xml:space="preserve">CAJA METALICA GALVANIZADA (REF: 2400) </v>
          </cell>
          <cell r="D1503" t="str">
            <v>Insumo</v>
          </cell>
          <cell r="E1503" t="str">
            <v>UND</v>
          </cell>
          <cell r="F1503">
            <v>1</v>
          </cell>
          <cell r="G1503">
            <v>2436</v>
          </cell>
          <cell r="H1503">
            <v>2436</v>
          </cell>
        </row>
        <row r="1504">
          <cell r="A1504" t="str">
            <v>015.246</v>
          </cell>
          <cell r="B1504" t="str">
            <v>I1409</v>
          </cell>
          <cell r="C1504" t="str">
            <v>TAPA CIEGA CON IMPACTO GALVANIZADA CUADRADA 4X4"</v>
          </cell>
          <cell r="D1504" t="str">
            <v>Insumo</v>
          </cell>
          <cell r="E1504" t="str">
            <v>UND</v>
          </cell>
          <cell r="F1504">
            <v>1</v>
          </cell>
          <cell r="G1504">
            <v>848</v>
          </cell>
          <cell r="H1504">
            <v>848</v>
          </cell>
        </row>
        <row r="1505">
          <cell r="A1505" t="str">
            <v>015.246</v>
          </cell>
          <cell r="B1505" t="str">
            <v>I1430</v>
          </cell>
          <cell r="C1505" t="str">
            <v>TOMA CORRIENTE DOBLE CON  PROTECCION FALLA A TIERRA GFCI</v>
          </cell>
          <cell r="D1505" t="str">
            <v>Insumo</v>
          </cell>
          <cell r="E1505" t="str">
            <v>UND</v>
          </cell>
          <cell r="F1505">
            <v>1</v>
          </cell>
          <cell r="G1505">
            <v>40380</v>
          </cell>
          <cell r="H1505">
            <v>40380</v>
          </cell>
        </row>
        <row r="1506">
          <cell r="A1506" t="str">
            <v>015.246</v>
          </cell>
          <cell r="B1506" t="str">
            <v>I1473</v>
          </cell>
          <cell r="C1506" t="str">
            <v>TUBO CONDUIT PVC 3/4"</v>
          </cell>
          <cell r="D1506" t="str">
            <v>Insumo</v>
          </cell>
          <cell r="E1506" t="str">
            <v>M</v>
          </cell>
          <cell r="F1506">
            <v>5</v>
          </cell>
          <cell r="G1506">
            <v>1220</v>
          </cell>
          <cell r="H1506">
            <v>6100</v>
          </cell>
        </row>
        <row r="1507">
          <cell r="A1507" t="str">
            <v>015.246</v>
          </cell>
          <cell r="B1507" t="str">
            <v>I1489</v>
          </cell>
          <cell r="C1507" t="str">
            <v>CINTA AISLANTE 3M</v>
          </cell>
          <cell r="D1507" t="str">
            <v>Insumo</v>
          </cell>
          <cell r="E1507" t="str">
            <v>ROLLO</v>
          </cell>
          <cell r="F1507">
            <v>0.33400000000000002</v>
          </cell>
          <cell r="G1507">
            <v>4158</v>
          </cell>
          <cell r="H1507">
            <v>1389</v>
          </cell>
        </row>
        <row r="1508">
          <cell r="A1508" t="str">
            <v>015.246</v>
          </cell>
          <cell r="B1508" t="str">
            <v>I1565</v>
          </cell>
          <cell r="C1508" t="str">
            <v>ACARREO INTERNO</v>
          </cell>
          <cell r="D1508" t="str">
            <v>Insumo</v>
          </cell>
          <cell r="E1508" t="str">
            <v>UND</v>
          </cell>
          <cell r="F1508">
            <v>5.1769999999999996</v>
          </cell>
          <cell r="G1508">
            <v>1327</v>
          </cell>
          <cell r="H1508">
            <v>6870</v>
          </cell>
        </row>
        <row r="1510">
          <cell r="A1510" t="str">
            <v>015.248</v>
          </cell>
          <cell r="B1510" t="str">
            <v>-</v>
          </cell>
          <cell r="C1510" t="str">
            <v>SUMINISTRO, TRANSPORTE E INSTALACION SALIDA TOMACORRIENTE NORMAL DOBLE PT EN TUBERIA CONDUIT PVC 3/4", ALAMBRE No 10 AWG HFFR LS</v>
          </cell>
          <cell r="D1510" t="str">
            <v>Actividad</v>
          </cell>
          <cell r="E1510" t="str">
            <v>UND</v>
          </cell>
          <cell r="H1510">
            <v>159115</v>
          </cell>
        </row>
        <row r="1511">
          <cell r="A1511" t="str">
            <v>015.248</v>
          </cell>
          <cell r="B1511" t="str">
            <v>C13</v>
          </cell>
          <cell r="C1511" t="str">
            <v>CUADRILLA FF TIPO 2 (1 OFICIAL + 2 AYUDANTE) (Electricas)</v>
          </cell>
          <cell r="D1511" t="str">
            <v>Cuadrilla</v>
          </cell>
          <cell r="E1511" t="str">
            <v>HR</v>
          </cell>
          <cell r="F1511">
            <v>2.5049999999999999</v>
          </cell>
          <cell r="G1511">
            <v>33348</v>
          </cell>
          <cell r="H1511">
            <v>83537</v>
          </cell>
        </row>
        <row r="1512">
          <cell r="A1512" t="str">
            <v>015.248</v>
          </cell>
          <cell r="B1512" t="str">
            <v>E12</v>
          </cell>
          <cell r="C1512" t="str">
            <v>EQUIPO DE TRANSPORTE</v>
          </cell>
          <cell r="D1512" t="str">
            <v>Equipos</v>
          </cell>
          <cell r="E1512" t="str">
            <v>DIA</v>
          </cell>
          <cell r="F1512">
            <v>8.683999999999999E-3</v>
          </cell>
          <cell r="G1512">
            <v>131205</v>
          </cell>
          <cell r="H1512">
            <v>1139</v>
          </cell>
        </row>
        <row r="1513">
          <cell r="A1513" t="str">
            <v>015.248</v>
          </cell>
          <cell r="B1513" t="str">
            <v>H2</v>
          </cell>
          <cell r="C1513" t="str">
            <v>EQUIPO BASICO (HERRAMIENTA MENOR)</v>
          </cell>
          <cell r="D1513" t="str">
            <v>Herramienta</v>
          </cell>
          <cell r="E1513" t="str">
            <v>UND</v>
          </cell>
          <cell r="F1513">
            <v>0.83499999999999996</v>
          </cell>
          <cell r="G1513">
            <v>2536</v>
          </cell>
          <cell r="H1513">
            <v>2118</v>
          </cell>
        </row>
        <row r="1514">
          <cell r="A1514" t="str">
            <v>015.248</v>
          </cell>
          <cell r="B1514" t="str">
            <v>I1110</v>
          </cell>
          <cell r="C1514" t="str">
            <v>ACCESORIOS DE FIJACION</v>
          </cell>
          <cell r="D1514" t="str">
            <v>Insumo</v>
          </cell>
          <cell r="E1514" t="str">
            <v>UND</v>
          </cell>
          <cell r="F1514">
            <v>5</v>
          </cell>
          <cell r="G1514">
            <v>1792</v>
          </cell>
          <cell r="H1514">
            <v>8960</v>
          </cell>
        </row>
        <row r="1515">
          <cell r="A1515" t="str">
            <v>015.248</v>
          </cell>
          <cell r="B1515" t="str">
            <v>I1137</v>
          </cell>
          <cell r="C1515" t="str">
            <v>ADAPTADOR TERMINAL PVC 3/4"</v>
          </cell>
          <cell r="D1515" t="str">
            <v>Insumo</v>
          </cell>
          <cell r="E1515" t="str">
            <v>UND</v>
          </cell>
          <cell r="F1515">
            <v>2</v>
          </cell>
          <cell r="G1515">
            <v>245</v>
          </cell>
          <cell r="H1515">
            <v>490</v>
          </cell>
        </row>
        <row r="1516">
          <cell r="A1516" t="str">
            <v>015.248</v>
          </cell>
          <cell r="B1516" t="str">
            <v>I1733</v>
          </cell>
          <cell r="C1516" t="str">
            <v>SUMINISTRO DE CABLE  10 AWG HFFR LS 600V 75º CT</v>
          </cell>
          <cell r="D1516" t="str">
            <v>Insumos</v>
          </cell>
          <cell r="E1516" t="str">
            <v>ML</v>
          </cell>
          <cell r="F1516">
            <v>15</v>
          </cell>
          <cell r="G1516">
            <v>2298</v>
          </cell>
          <cell r="H1516">
            <v>34470</v>
          </cell>
        </row>
        <row r="1517">
          <cell r="A1517" t="str">
            <v>015.248</v>
          </cell>
          <cell r="B1517" t="str">
            <v>I1205</v>
          </cell>
          <cell r="C1517" t="str">
            <v xml:space="preserve">CAJA METALICA GALVANIZADA (REF: 2400) </v>
          </cell>
          <cell r="D1517" t="str">
            <v>Insumo</v>
          </cell>
          <cell r="E1517" t="str">
            <v>UND</v>
          </cell>
          <cell r="F1517">
            <v>1</v>
          </cell>
          <cell r="G1517">
            <v>2436</v>
          </cell>
          <cell r="H1517">
            <v>2436</v>
          </cell>
        </row>
        <row r="1518">
          <cell r="A1518" t="str">
            <v>015.248</v>
          </cell>
          <cell r="B1518" t="str">
            <v>I1409</v>
          </cell>
          <cell r="C1518" t="str">
            <v>TAPA CIEGA CON IMPACTO GALVANIZADA CUADRADA 4X4"</v>
          </cell>
          <cell r="D1518" t="str">
            <v>Insumo</v>
          </cell>
          <cell r="E1518" t="str">
            <v>UND</v>
          </cell>
          <cell r="F1518">
            <v>1</v>
          </cell>
          <cell r="G1518">
            <v>848</v>
          </cell>
          <cell r="H1518">
            <v>848</v>
          </cell>
        </row>
        <row r="1519">
          <cell r="A1519" t="str">
            <v>015.248</v>
          </cell>
          <cell r="B1519" t="str">
            <v>I1431</v>
          </cell>
          <cell r="C1519" t="str">
            <v xml:space="preserve">TOMA CORRIENTE DOBLE CON POLO A TIERRA  NEMA 5-15-R; </v>
          </cell>
          <cell r="D1519" t="str">
            <v>Insumo</v>
          </cell>
          <cell r="E1519" t="str">
            <v>UND</v>
          </cell>
          <cell r="F1519">
            <v>1</v>
          </cell>
          <cell r="G1519">
            <v>10758</v>
          </cell>
          <cell r="H1519">
            <v>10758</v>
          </cell>
        </row>
        <row r="1520">
          <cell r="A1520" t="str">
            <v>015.248</v>
          </cell>
          <cell r="B1520" t="str">
            <v>I1473</v>
          </cell>
          <cell r="C1520" t="str">
            <v>TUBO CONDUIT PVC 3/4"</v>
          </cell>
          <cell r="D1520" t="str">
            <v>Insumo</v>
          </cell>
          <cell r="E1520" t="str">
            <v>M</v>
          </cell>
          <cell r="F1520">
            <v>5</v>
          </cell>
          <cell r="G1520">
            <v>1220</v>
          </cell>
          <cell r="H1520">
            <v>6100</v>
          </cell>
        </row>
        <row r="1521">
          <cell r="A1521" t="str">
            <v>015.248</v>
          </cell>
          <cell r="B1521" t="str">
            <v>I1489</v>
          </cell>
          <cell r="C1521" t="str">
            <v>CINTA AISLANTE 3M</v>
          </cell>
          <cell r="D1521" t="str">
            <v>Insumo</v>
          </cell>
          <cell r="E1521" t="str">
            <v>ROLLO</v>
          </cell>
          <cell r="F1521">
            <v>0.33400000000000002</v>
          </cell>
          <cell r="G1521">
            <v>4158</v>
          </cell>
          <cell r="H1521">
            <v>1389</v>
          </cell>
        </row>
        <row r="1522">
          <cell r="A1522" t="str">
            <v>015.248</v>
          </cell>
          <cell r="B1522" t="str">
            <v>I1565</v>
          </cell>
          <cell r="C1522" t="str">
            <v>ACARREO INTERNO</v>
          </cell>
          <cell r="D1522" t="str">
            <v>Insumo</v>
          </cell>
          <cell r="E1522" t="str">
            <v>UND</v>
          </cell>
          <cell r="F1522">
            <v>5.1769999999999996</v>
          </cell>
          <cell r="G1522">
            <v>1327</v>
          </cell>
          <cell r="H1522">
            <v>6870</v>
          </cell>
        </row>
        <row r="1524">
          <cell r="A1524" t="str">
            <v>015.249</v>
          </cell>
          <cell r="B1524" t="str">
            <v>-</v>
          </cell>
          <cell r="C1524" t="str">
            <v>SUMINISTRO, TRANSPORTE E INSTALACION SALIDA TOMACORRIENTE GFCI DOBLE EN TUBERIA CONDUIT PVC 3/4", ALAMBRE No 10 AWG HFFR LS + incluye tapa tipo intemperie</v>
          </cell>
          <cell r="D1524" t="str">
            <v>Actividad</v>
          </cell>
          <cell r="E1524" t="str">
            <v>UND</v>
          </cell>
          <cell r="H1524">
            <v>199122</v>
          </cell>
        </row>
        <row r="1525">
          <cell r="A1525" t="str">
            <v>015.249</v>
          </cell>
          <cell r="B1525" t="str">
            <v>C13</v>
          </cell>
          <cell r="C1525" t="str">
            <v>CUADRILLA FF TIPO 2 (1 OFICIAL + 2 AYUDANTE) (Electricas)</v>
          </cell>
          <cell r="D1525" t="str">
            <v>Cuadrilla</v>
          </cell>
          <cell r="E1525" t="str">
            <v>HR</v>
          </cell>
          <cell r="F1525">
            <v>2.3380000000000001</v>
          </cell>
          <cell r="G1525">
            <v>33348</v>
          </cell>
          <cell r="H1525">
            <v>77968</v>
          </cell>
        </row>
        <row r="1526">
          <cell r="A1526" t="str">
            <v>015.249</v>
          </cell>
          <cell r="B1526" t="str">
            <v>E12</v>
          </cell>
          <cell r="C1526" t="str">
            <v>EQUIPO DE TRANSPORTE</v>
          </cell>
          <cell r="D1526" t="str">
            <v>Equipos</v>
          </cell>
          <cell r="E1526" t="str">
            <v>DIA</v>
          </cell>
          <cell r="F1526">
            <v>1.6031999999999998E-2</v>
          </cell>
          <cell r="G1526">
            <v>131205</v>
          </cell>
          <cell r="H1526">
            <v>2103</v>
          </cell>
        </row>
        <row r="1527">
          <cell r="A1527" t="str">
            <v>015.249</v>
          </cell>
          <cell r="B1527" t="str">
            <v>H2</v>
          </cell>
          <cell r="C1527" t="str">
            <v>EQUIPO BASICO (HERRAMIENTA MENOR)</v>
          </cell>
          <cell r="D1527" t="str">
            <v>Herramienta</v>
          </cell>
          <cell r="E1527" t="str">
            <v>UND</v>
          </cell>
          <cell r="F1527">
            <v>0.83499999999999996</v>
          </cell>
          <cell r="G1527">
            <v>2536</v>
          </cell>
          <cell r="H1527">
            <v>2118</v>
          </cell>
        </row>
        <row r="1528">
          <cell r="A1528" t="str">
            <v>015.249</v>
          </cell>
          <cell r="B1528" t="str">
            <v>I1110</v>
          </cell>
          <cell r="C1528" t="str">
            <v>ACCESORIOS DE FIJACION</v>
          </cell>
          <cell r="D1528" t="str">
            <v>Insumo</v>
          </cell>
          <cell r="E1528" t="str">
            <v>UND</v>
          </cell>
          <cell r="F1528">
            <v>5</v>
          </cell>
          <cell r="G1528">
            <v>1792</v>
          </cell>
          <cell r="H1528">
            <v>8960</v>
          </cell>
        </row>
        <row r="1529">
          <cell r="A1529" t="str">
            <v>015.249</v>
          </cell>
          <cell r="B1529" t="str">
            <v>I1137</v>
          </cell>
          <cell r="C1529" t="str">
            <v>ADAPTADOR TERMINAL PVC 3/4"</v>
          </cell>
          <cell r="D1529" t="str">
            <v>Insumo</v>
          </cell>
          <cell r="E1529" t="str">
            <v>UND</v>
          </cell>
          <cell r="F1529">
            <v>2</v>
          </cell>
          <cell r="G1529">
            <v>245</v>
          </cell>
          <cell r="H1529">
            <v>490</v>
          </cell>
        </row>
        <row r="1530">
          <cell r="A1530" t="str">
            <v>015.249</v>
          </cell>
          <cell r="B1530" t="str">
            <v>I1733</v>
          </cell>
          <cell r="C1530" t="str">
            <v>SUMINISTRO DE CABLE  10 AWG HFFR LS 600V 75º CT</v>
          </cell>
          <cell r="D1530" t="str">
            <v>Insumos</v>
          </cell>
          <cell r="E1530" t="str">
            <v>ML</v>
          </cell>
          <cell r="F1530">
            <v>15</v>
          </cell>
          <cell r="G1530">
            <v>2298</v>
          </cell>
          <cell r="H1530">
            <v>34470</v>
          </cell>
        </row>
        <row r="1531">
          <cell r="A1531" t="str">
            <v>015.249</v>
          </cell>
          <cell r="B1531" t="str">
            <v>I1205</v>
          </cell>
          <cell r="C1531" t="str">
            <v xml:space="preserve">CAJA METALICA GALVANIZADA (REF: 2400) </v>
          </cell>
          <cell r="D1531" t="str">
            <v>Insumo</v>
          </cell>
          <cell r="E1531" t="str">
            <v>UND</v>
          </cell>
          <cell r="F1531">
            <v>1</v>
          </cell>
          <cell r="G1531">
            <v>2436</v>
          </cell>
          <cell r="H1531">
            <v>2436</v>
          </cell>
        </row>
        <row r="1532">
          <cell r="A1532" t="str">
            <v>015.249</v>
          </cell>
          <cell r="B1532" t="str">
            <v>I1409</v>
          </cell>
          <cell r="C1532" t="str">
            <v>TAPA CIEGA CON IMPACTO GALVANIZADA CUADRADA 4X4"</v>
          </cell>
          <cell r="D1532" t="str">
            <v>Insumo</v>
          </cell>
          <cell r="E1532" t="str">
            <v>UND</v>
          </cell>
          <cell r="F1532">
            <v>1</v>
          </cell>
          <cell r="G1532">
            <v>848</v>
          </cell>
          <cell r="H1532">
            <v>848</v>
          </cell>
        </row>
        <row r="1533">
          <cell r="A1533" t="str">
            <v>015.249</v>
          </cell>
          <cell r="B1533" t="str">
            <v>I1430</v>
          </cell>
          <cell r="C1533" t="str">
            <v>TOMA CORRIENTE DOBLE CON  PROTECCION FALLA A TIERRA GFCI</v>
          </cell>
          <cell r="D1533" t="str">
            <v>Insumo</v>
          </cell>
          <cell r="E1533" t="str">
            <v>UND</v>
          </cell>
          <cell r="F1533">
            <v>1</v>
          </cell>
          <cell r="G1533">
            <v>40380</v>
          </cell>
          <cell r="H1533">
            <v>40380</v>
          </cell>
        </row>
        <row r="1534">
          <cell r="A1534" t="str">
            <v>015.249</v>
          </cell>
          <cell r="B1534" t="str">
            <v>I1473</v>
          </cell>
          <cell r="C1534" t="str">
            <v>TUBO CONDUIT PVC 3/4"</v>
          </cell>
          <cell r="D1534" t="str">
            <v>Insumo</v>
          </cell>
          <cell r="E1534" t="str">
            <v>M</v>
          </cell>
          <cell r="F1534">
            <v>5</v>
          </cell>
          <cell r="G1534">
            <v>1220</v>
          </cell>
          <cell r="H1534">
            <v>6100</v>
          </cell>
        </row>
        <row r="1535">
          <cell r="A1535" t="str">
            <v>015.249</v>
          </cell>
          <cell r="B1535" t="str">
            <v>I1489</v>
          </cell>
          <cell r="C1535" t="str">
            <v>CINTA AISLANTE 3M</v>
          </cell>
          <cell r="D1535" t="str">
            <v>Insumo</v>
          </cell>
          <cell r="E1535" t="str">
            <v>ROLLO</v>
          </cell>
          <cell r="F1535">
            <v>0.33400000000000002</v>
          </cell>
          <cell r="G1535">
            <v>4158</v>
          </cell>
          <cell r="H1535">
            <v>1389</v>
          </cell>
        </row>
        <row r="1536">
          <cell r="A1536" t="str">
            <v>015.249</v>
          </cell>
          <cell r="B1536" t="str">
            <v>I1517</v>
          </cell>
          <cell r="C1536" t="str">
            <v xml:space="preserve">TAPA PLASTICA PARA TOMA CORRIENTE </v>
          </cell>
          <cell r="D1536" t="str">
            <v>Insumo</v>
          </cell>
          <cell r="E1536" t="str">
            <v>UND</v>
          </cell>
          <cell r="F1536">
            <v>1</v>
          </cell>
          <cell r="G1536">
            <v>14990</v>
          </cell>
          <cell r="H1536">
            <v>14990</v>
          </cell>
        </row>
        <row r="1537">
          <cell r="A1537" t="str">
            <v>015.249</v>
          </cell>
          <cell r="B1537" t="str">
            <v>I1565</v>
          </cell>
          <cell r="C1537" t="str">
            <v>ACARREO INTERNO</v>
          </cell>
          <cell r="D1537" t="str">
            <v>Insumo</v>
          </cell>
          <cell r="E1537" t="str">
            <v>UND</v>
          </cell>
          <cell r="F1537">
            <v>5.1769999999999996</v>
          </cell>
          <cell r="G1537">
            <v>1327</v>
          </cell>
          <cell r="H1537">
            <v>6870</v>
          </cell>
        </row>
        <row r="1539">
          <cell r="A1539" t="str">
            <v>015.250</v>
          </cell>
          <cell r="B1539" t="str">
            <v>-</v>
          </cell>
          <cell r="C1539" t="str">
            <v>SUMINISTRO, TRANSPORTE E INSTALACION SALIDA TOMACORRIENTE DOBLE EN PISO EN TUBERIA CONDUIT PVC 3/4", CABLE No 10 AWG HFFR LS</v>
          </cell>
          <cell r="D1539" t="str">
            <v>Actividad</v>
          </cell>
          <cell r="E1539" t="str">
            <v>UND</v>
          </cell>
          <cell r="H1539">
            <v>383384</v>
          </cell>
        </row>
        <row r="1540">
          <cell r="A1540" t="str">
            <v>015.250</v>
          </cell>
          <cell r="B1540" t="str">
            <v>C13</v>
          </cell>
          <cell r="C1540" t="str">
            <v>CUADRILLA FF TIPO 2 (1 OFICIAL + 2 AYUDANTE) (Electricas)</v>
          </cell>
          <cell r="D1540" t="str">
            <v>Cuadrilla</v>
          </cell>
          <cell r="E1540" t="str">
            <v>HR</v>
          </cell>
          <cell r="F1540">
            <v>2.3380000000000001</v>
          </cell>
          <cell r="G1540">
            <v>33348</v>
          </cell>
          <cell r="H1540">
            <v>77968</v>
          </cell>
        </row>
        <row r="1541">
          <cell r="A1541" t="str">
            <v>015.250</v>
          </cell>
          <cell r="B1541" t="str">
            <v>E12</v>
          </cell>
          <cell r="C1541" t="str">
            <v>EQUIPO DE TRANSPORTE</v>
          </cell>
          <cell r="D1541" t="str">
            <v>Equipos</v>
          </cell>
          <cell r="E1541" t="str">
            <v>DIA</v>
          </cell>
          <cell r="F1541">
            <v>1.6031999999999998E-2</v>
          </cell>
          <cell r="G1541">
            <v>131205</v>
          </cell>
          <cell r="H1541">
            <v>2103</v>
          </cell>
        </row>
        <row r="1542">
          <cell r="A1542" t="str">
            <v>015.250</v>
          </cell>
          <cell r="B1542" t="str">
            <v>H2</v>
          </cell>
          <cell r="C1542" t="str">
            <v>EQUIPO BASICO (HERRAMIENTA MENOR)</v>
          </cell>
          <cell r="D1542" t="str">
            <v>Herramienta</v>
          </cell>
          <cell r="E1542" t="str">
            <v>UND</v>
          </cell>
          <cell r="F1542">
            <v>0.83499999999999996</v>
          </cell>
          <cell r="G1542">
            <v>2536</v>
          </cell>
          <cell r="H1542">
            <v>2118</v>
          </cell>
        </row>
        <row r="1543">
          <cell r="A1543" t="str">
            <v>015.250</v>
          </cell>
          <cell r="B1543" t="str">
            <v>I1110</v>
          </cell>
          <cell r="C1543" t="str">
            <v>ACCESORIOS DE FIJACION</v>
          </cell>
          <cell r="D1543" t="str">
            <v>Insumo</v>
          </cell>
          <cell r="E1543" t="str">
            <v>UND</v>
          </cell>
          <cell r="F1543">
            <v>5</v>
          </cell>
          <cell r="G1543">
            <v>1792</v>
          </cell>
          <cell r="H1543">
            <v>8960</v>
          </cell>
        </row>
        <row r="1544">
          <cell r="A1544" t="str">
            <v>015.250</v>
          </cell>
          <cell r="B1544" t="str">
            <v>I1137</v>
          </cell>
          <cell r="C1544" t="str">
            <v>ADAPTADOR TERMINAL PVC 3/4"</v>
          </cell>
          <cell r="D1544" t="str">
            <v>Insumo</v>
          </cell>
          <cell r="E1544" t="str">
            <v>UND</v>
          </cell>
          <cell r="F1544">
            <v>2</v>
          </cell>
          <cell r="G1544">
            <v>245</v>
          </cell>
          <cell r="H1544">
            <v>490</v>
          </cell>
        </row>
        <row r="1545">
          <cell r="A1545" t="str">
            <v>015.250</v>
          </cell>
          <cell r="B1545" t="str">
            <v>I1733</v>
          </cell>
          <cell r="C1545" t="str">
            <v>SUMINISTRO DE CABLE  10 AWG HFFR LS 600V 75º CT</v>
          </cell>
          <cell r="D1545" t="str">
            <v>Insumos</v>
          </cell>
          <cell r="E1545" t="str">
            <v>ML</v>
          </cell>
          <cell r="F1545">
            <v>15</v>
          </cell>
          <cell r="G1545">
            <v>2298</v>
          </cell>
          <cell r="H1545">
            <v>34470</v>
          </cell>
        </row>
        <row r="1546">
          <cell r="A1546" t="str">
            <v>015.250</v>
          </cell>
          <cell r="B1546" t="str">
            <v>I1430</v>
          </cell>
          <cell r="C1546" t="str">
            <v>TOMA CORRIENTE DOBLE CON CUBIERTA DE PISO PARA PROTECCION</v>
          </cell>
          <cell r="D1546" t="str">
            <v>Insumo</v>
          </cell>
          <cell r="E1546" t="str">
            <v>UND</v>
          </cell>
          <cell r="F1546">
            <v>1</v>
          </cell>
          <cell r="G1546">
            <v>242916</v>
          </cell>
          <cell r="H1546">
            <v>242916</v>
          </cell>
        </row>
        <row r="1547">
          <cell r="A1547" t="str">
            <v>015.250</v>
          </cell>
          <cell r="B1547" t="str">
            <v>I1473</v>
          </cell>
          <cell r="C1547" t="str">
            <v>TUBO CONDUIT PVC 3/4"</v>
          </cell>
          <cell r="D1547" t="str">
            <v>Insumo</v>
          </cell>
          <cell r="E1547" t="str">
            <v>M</v>
          </cell>
          <cell r="F1547">
            <v>5</v>
          </cell>
          <cell r="G1547">
            <v>1220</v>
          </cell>
          <cell r="H1547">
            <v>6100</v>
          </cell>
        </row>
        <row r="1548">
          <cell r="A1548" t="str">
            <v>015.250</v>
          </cell>
          <cell r="B1548" t="str">
            <v>I1489</v>
          </cell>
          <cell r="C1548" t="str">
            <v>CINTA AISLANTE 3M</v>
          </cell>
          <cell r="D1548" t="str">
            <v>Insumo</v>
          </cell>
          <cell r="E1548" t="str">
            <v>ROLLO</v>
          </cell>
          <cell r="F1548">
            <v>0.33400000000000002</v>
          </cell>
          <cell r="G1548">
            <v>4158</v>
          </cell>
          <cell r="H1548">
            <v>1389</v>
          </cell>
        </row>
        <row r="1549">
          <cell r="A1549" t="str">
            <v>015.250</v>
          </cell>
          <cell r="B1549" t="str">
            <v>I1565</v>
          </cell>
          <cell r="C1549" t="str">
            <v>ACARREO INTERNO</v>
          </cell>
          <cell r="D1549" t="str">
            <v>Insumo</v>
          </cell>
          <cell r="E1549" t="str">
            <v>UND</v>
          </cell>
          <cell r="F1549">
            <v>5.1769999999999996</v>
          </cell>
          <cell r="G1549">
            <v>1327</v>
          </cell>
          <cell r="H1549">
            <v>6870</v>
          </cell>
        </row>
        <row r="1551">
          <cell r="A1551" t="str">
            <v>015.251</v>
          </cell>
          <cell r="B1551" t="str">
            <v>-</v>
          </cell>
          <cell r="C1551" t="str">
            <v>SUMINISTRO, TRANSPORTE E INSTALACION SALIDA TOMACORRIENTE 3F5H EN TUBERIA CONDUIT EMT 3/4", ALAMBRE No 10 AWG HFFR LS. SIN APARATO</v>
          </cell>
          <cell r="D1551" t="str">
            <v>Actividad</v>
          </cell>
          <cell r="E1551" t="str">
            <v>UND</v>
          </cell>
          <cell r="H1551">
            <v>349729</v>
          </cell>
        </row>
        <row r="1552">
          <cell r="A1552" t="str">
            <v>015.251</v>
          </cell>
          <cell r="B1552" t="str">
            <v>C13</v>
          </cell>
          <cell r="C1552" t="str">
            <v>CUADRILLA FF TIPO 2 (1 OFICIAL + 2 AYUDANTE) (Electricas)</v>
          </cell>
          <cell r="D1552" t="str">
            <v>Cuadrilla</v>
          </cell>
          <cell r="E1552" t="str">
            <v>HR</v>
          </cell>
          <cell r="F1552">
            <v>1.5</v>
          </cell>
          <cell r="G1552">
            <v>33348</v>
          </cell>
          <cell r="H1552">
            <v>50022</v>
          </cell>
        </row>
        <row r="1553">
          <cell r="A1553" t="str">
            <v>015.251</v>
          </cell>
          <cell r="B1553" t="str">
            <v>E12</v>
          </cell>
          <cell r="C1553" t="str">
            <v>EQUIPO DE TRANSPORTE</v>
          </cell>
          <cell r="D1553" t="str">
            <v>Equipos</v>
          </cell>
          <cell r="E1553" t="str">
            <v>DIA</v>
          </cell>
          <cell r="F1553">
            <v>2.9850000000000002E-2</v>
          </cell>
          <cell r="G1553">
            <v>131205</v>
          </cell>
          <cell r="H1553">
            <v>3916</v>
          </cell>
        </row>
        <row r="1554">
          <cell r="A1554" t="str">
            <v>015.251</v>
          </cell>
          <cell r="B1554" t="str">
            <v>H2</v>
          </cell>
          <cell r="C1554" t="str">
            <v>EQUIPO BASICO (HERRAMIENTA MENOR)</v>
          </cell>
          <cell r="D1554" t="str">
            <v>Herramienta</v>
          </cell>
          <cell r="E1554" t="str">
            <v>UND</v>
          </cell>
          <cell r="F1554">
            <v>0.75</v>
          </cell>
          <cell r="G1554">
            <v>2536</v>
          </cell>
          <cell r="H1554">
            <v>1902</v>
          </cell>
        </row>
        <row r="1555">
          <cell r="A1555" t="str">
            <v>015.251</v>
          </cell>
          <cell r="B1555" t="str">
            <v>I1116</v>
          </cell>
          <cell r="C1555" t="str">
            <v>ACCESORIOS FIJACION TUBERIA EMT 3/4" (ABRAZADERA, ALAMBRE)</v>
          </cell>
          <cell r="D1555" t="str">
            <v>Insumo</v>
          </cell>
          <cell r="E1555" t="str">
            <v>UND</v>
          </cell>
          <cell r="F1555">
            <v>3</v>
          </cell>
          <cell r="G1555">
            <v>2152</v>
          </cell>
          <cell r="H1555">
            <v>6456</v>
          </cell>
        </row>
        <row r="1556">
          <cell r="A1556" t="str">
            <v>015.251</v>
          </cell>
          <cell r="B1556" t="str">
            <v>I1129</v>
          </cell>
          <cell r="C1556" t="str">
            <v>ACCESORIOS TUBERIA EMT 3/4" (UNION Y CURVA)</v>
          </cell>
          <cell r="D1556" t="str">
            <v>Insumo</v>
          </cell>
          <cell r="E1556" t="str">
            <v>UND</v>
          </cell>
          <cell r="F1556">
            <v>3</v>
          </cell>
          <cell r="G1556">
            <v>4524</v>
          </cell>
          <cell r="H1556">
            <v>13572</v>
          </cell>
        </row>
        <row r="1557">
          <cell r="A1557" t="str">
            <v>015.251</v>
          </cell>
          <cell r="B1557" t="str">
            <v>I1733</v>
          </cell>
          <cell r="C1557" t="str">
            <v>SUMINISTRO DE CABLE  10 AWG HFFR LS 600V 75º CT</v>
          </cell>
          <cell r="D1557" t="str">
            <v>Insumos</v>
          </cell>
          <cell r="E1557" t="str">
            <v>ML</v>
          </cell>
          <cell r="F1557">
            <v>75</v>
          </cell>
          <cell r="G1557">
            <v>2298</v>
          </cell>
          <cell r="H1557">
            <v>172350</v>
          </cell>
        </row>
        <row r="1558">
          <cell r="A1558" t="str">
            <v>015.251</v>
          </cell>
          <cell r="B1558" t="str">
            <v>I1206</v>
          </cell>
          <cell r="C1558" t="str">
            <v xml:space="preserve">CAJA METALICA GALVANIZADA (REF: 5800) </v>
          </cell>
          <cell r="D1558" t="str">
            <v>Insumo</v>
          </cell>
          <cell r="E1558" t="str">
            <v>UND</v>
          </cell>
          <cell r="F1558">
            <v>1</v>
          </cell>
          <cell r="G1558">
            <v>1871</v>
          </cell>
          <cell r="H1558">
            <v>1871</v>
          </cell>
        </row>
        <row r="1559">
          <cell r="A1559" t="str">
            <v>015.251</v>
          </cell>
          <cell r="B1559" t="str">
            <v>I1461</v>
          </cell>
          <cell r="C1559" t="str">
            <v xml:space="preserve">TUBO CONDUIT GALVANIZADA EMT 3/4" </v>
          </cell>
          <cell r="D1559" t="str">
            <v>Insumo</v>
          </cell>
          <cell r="E1559" t="str">
            <v>M</v>
          </cell>
          <cell r="F1559">
            <v>15</v>
          </cell>
          <cell r="G1559">
            <v>6364</v>
          </cell>
          <cell r="H1559">
            <v>95460</v>
          </cell>
        </row>
        <row r="1560">
          <cell r="A1560" t="str">
            <v>015.251</v>
          </cell>
          <cell r="B1560" t="str">
            <v>I1565</v>
          </cell>
          <cell r="C1560" t="str">
            <v>ACARREO INTERNO</v>
          </cell>
          <cell r="D1560" t="str">
            <v>Insumo</v>
          </cell>
          <cell r="E1560" t="str">
            <v>UND</v>
          </cell>
          <cell r="F1560">
            <v>3.1500000000000004</v>
          </cell>
          <cell r="G1560">
            <v>1327</v>
          </cell>
          <cell r="H1560">
            <v>4180</v>
          </cell>
        </row>
        <row r="1562">
          <cell r="A1562" t="str">
            <v>015.252</v>
          </cell>
          <cell r="B1562" t="str">
            <v>-</v>
          </cell>
          <cell r="C1562" t="str">
            <v>SUMINISTRO, TRANSPORTE E INSTALACION SALIDA TOMACORRIENTE NORMAL DOBLE PT  EN TUBERIA CONDUIT EMT 3/4", ALAMBRE No 12 AWG HFFR LS</v>
          </cell>
          <cell r="D1562" t="str">
            <v>Actividad</v>
          </cell>
          <cell r="E1562" t="str">
            <v>UND</v>
          </cell>
          <cell r="H1562">
            <v>154376</v>
          </cell>
        </row>
        <row r="1563">
          <cell r="A1563" t="str">
            <v>015.252</v>
          </cell>
          <cell r="B1563" t="str">
            <v>C13</v>
          </cell>
          <cell r="C1563" t="str">
            <v>CUADRILLA FF TIPO 2 (1 OFICIAL + 2 AYUDANTE) (Electricas)</v>
          </cell>
          <cell r="D1563" t="str">
            <v>Cuadrilla</v>
          </cell>
          <cell r="E1563" t="str">
            <v>HR</v>
          </cell>
          <cell r="F1563">
            <v>1.67</v>
          </cell>
          <cell r="G1563">
            <v>33348</v>
          </cell>
          <cell r="H1563">
            <v>55691</v>
          </cell>
        </row>
        <row r="1564">
          <cell r="A1564" t="str">
            <v>015.252</v>
          </cell>
          <cell r="B1564" t="str">
            <v>E12</v>
          </cell>
          <cell r="C1564" t="str">
            <v>EQUIPO DE TRANSPORTE</v>
          </cell>
          <cell r="D1564" t="str">
            <v>Equipos</v>
          </cell>
          <cell r="E1564" t="str">
            <v>DIA</v>
          </cell>
          <cell r="F1564">
            <v>1.8370000000000001E-2</v>
          </cell>
          <cell r="G1564">
            <v>131205</v>
          </cell>
          <cell r="H1564">
            <v>2410</v>
          </cell>
        </row>
        <row r="1565">
          <cell r="A1565" t="str">
            <v>015.252</v>
          </cell>
          <cell r="B1565" t="str">
            <v>H2</v>
          </cell>
          <cell r="C1565" t="str">
            <v>EQUIPO BASICO (HERRAMIENTA MENOR)</v>
          </cell>
          <cell r="D1565" t="str">
            <v>Herramienta</v>
          </cell>
          <cell r="E1565" t="str">
            <v>UND</v>
          </cell>
          <cell r="F1565">
            <v>0.83499999999999996</v>
          </cell>
          <cell r="G1565">
            <v>2536</v>
          </cell>
          <cell r="H1565">
            <v>2118</v>
          </cell>
        </row>
        <row r="1566">
          <cell r="A1566" t="str">
            <v>015.252</v>
          </cell>
          <cell r="B1566" t="str">
            <v>I1116</v>
          </cell>
          <cell r="C1566" t="str">
            <v>ACCESORIOS FIJACION TUBERIA EMT 3/4" (ABRAZADERA, ALAMBRE)</v>
          </cell>
          <cell r="D1566" t="str">
            <v>Insumo</v>
          </cell>
          <cell r="E1566" t="str">
            <v>UND</v>
          </cell>
          <cell r="F1566">
            <v>3</v>
          </cell>
          <cell r="G1566">
            <v>2152</v>
          </cell>
          <cell r="H1566">
            <v>6456</v>
          </cell>
        </row>
        <row r="1567">
          <cell r="A1567" t="str">
            <v>015.252</v>
          </cell>
          <cell r="B1567" t="str">
            <v>I1129</v>
          </cell>
          <cell r="C1567" t="str">
            <v>ACCESORIOS TUBERIA EMT 3/4" (UNION Y CURVA)</v>
          </cell>
          <cell r="D1567" t="str">
            <v>Insumo</v>
          </cell>
          <cell r="E1567" t="str">
            <v>UND</v>
          </cell>
          <cell r="F1567">
            <v>3</v>
          </cell>
          <cell r="G1567">
            <v>4524</v>
          </cell>
          <cell r="H1567">
            <v>13572</v>
          </cell>
        </row>
        <row r="1568">
          <cell r="A1568" t="str">
            <v>015.252</v>
          </cell>
          <cell r="B1568" t="str">
            <v>I1747</v>
          </cell>
          <cell r="C1568" t="str">
            <v>SUMINISTRO DE ALAMBRE  12AWG HFFR LS 600V 75º CT</v>
          </cell>
          <cell r="D1568" t="str">
            <v>Insumo</v>
          </cell>
          <cell r="E1568" t="str">
            <v>ML</v>
          </cell>
          <cell r="F1568">
            <v>15</v>
          </cell>
          <cell r="G1568">
            <v>1589</v>
          </cell>
          <cell r="H1568">
            <v>23835</v>
          </cell>
        </row>
        <row r="1569">
          <cell r="A1569" t="str">
            <v>015.252</v>
          </cell>
          <cell r="B1569" t="str">
            <v>I1205</v>
          </cell>
          <cell r="C1569" t="str">
            <v xml:space="preserve">CAJA METALICA GALVANIZADA (REF: 2400) </v>
          </cell>
          <cell r="D1569" t="str">
            <v>Insumo</v>
          </cell>
          <cell r="E1569" t="str">
            <v>UND</v>
          </cell>
          <cell r="F1569">
            <v>1</v>
          </cell>
          <cell r="G1569">
            <v>2436</v>
          </cell>
          <cell r="H1569">
            <v>2436</v>
          </cell>
        </row>
        <row r="1570">
          <cell r="A1570" t="str">
            <v>015.252</v>
          </cell>
          <cell r="B1570" t="str">
            <v>I1409</v>
          </cell>
          <cell r="C1570" t="str">
            <v>TAPA CIEGA CON IMPACTO GALVANIZADA CUADRADA 4X4"</v>
          </cell>
          <cell r="D1570" t="str">
            <v>Insumo</v>
          </cell>
          <cell r="E1570" t="str">
            <v>UND</v>
          </cell>
          <cell r="F1570">
            <v>1</v>
          </cell>
          <cell r="G1570">
            <v>848</v>
          </cell>
          <cell r="H1570">
            <v>848</v>
          </cell>
        </row>
        <row r="1571">
          <cell r="A1571" t="str">
            <v>015.252</v>
          </cell>
          <cell r="B1571" t="str">
            <v>I1431</v>
          </cell>
          <cell r="C1571" t="str">
            <v xml:space="preserve">TOMA CORRIENTE DOBLE CON POLO A TIERRA  NEMA 5-15-R; </v>
          </cell>
          <cell r="D1571" t="str">
            <v>Insumo</v>
          </cell>
          <cell r="E1571" t="str">
            <v>UND</v>
          </cell>
          <cell r="F1571">
            <v>1</v>
          </cell>
          <cell r="G1571">
            <v>10758</v>
          </cell>
          <cell r="H1571">
            <v>10758</v>
          </cell>
        </row>
        <row r="1572">
          <cell r="A1572" t="str">
            <v>015.252</v>
          </cell>
          <cell r="B1572" t="str">
            <v>I1461</v>
          </cell>
          <cell r="C1572" t="str">
            <v xml:space="preserve">TUBO CONDUIT GALVANIZADA EMT 3/4" </v>
          </cell>
          <cell r="D1572" t="str">
            <v>Insumo</v>
          </cell>
          <cell r="E1572" t="str">
            <v>M</v>
          </cell>
          <cell r="F1572">
            <v>5</v>
          </cell>
          <cell r="G1572">
            <v>6364</v>
          </cell>
          <cell r="H1572">
            <v>31820</v>
          </cell>
        </row>
        <row r="1573">
          <cell r="A1573" t="str">
            <v>015.252</v>
          </cell>
          <cell r="B1573" t="str">
            <v>I1565</v>
          </cell>
          <cell r="C1573" t="str">
            <v>ACARREO INTERNO</v>
          </cell>
          <cell r="D1573" t="str">
            <v>Insumo</v>
          </cell>
          <cell r="E1573" t="str">
            <v>UND</v>
          </cell>
          <cell r="F1573">
            <v>3.34</v>
          </cell>
          <cell r="G1573">
            <v>1327</v>
          </cell>
          <cell r="H1573">
            <v>4432</v>
          </cell>
        </row>
        <row r="1575">
          <cell r="A1575" t="str">
            <v>015.253</v>
          </cell>
          <cell r="B1575" t="str">
            <v>-</v>
          </cell>
          <cell r="C1575" t="str">
            <v>SUMINISTRO, TRANSPORTE E INSTALACION SALIDA TOMACORRIENTE 3F5H EN TUBERIA CONDUIT EMT 2", ALAMBRE No 2 AWG HFFR LS. SIN APARATO</v>
          </cell>
          <cell r="D1575" t="str">
            <v>Actividad</v>
          </cell>
          <cell r="E1575" t="str">
            <v>UND</v>
          </cell>
          <cell r="H1575">
            <v>1406971</v>
          </cell>
        </row>
        <row r="1576">
          <cell r="A1576" t="str">
            <v>015.253</v>
          </cell>
          <cell r="B1576" t="str">
            <v>C13</v>
          </cell>
          <cell r="C1576" t="str">
            <v>CUADRILLA FF TIPO 2 (1 OFICIAL + 2 AYUDANTE) (Electricas)</v>
          </cell>
          <cell r="D1576" t="str">
            <v>Cuadrilla</v>
          </cell>
          <cell r="E1576" t="str">
            <v>HR</v>
          </cell>
          <cell r="F1576">
            <v>1.5</v>
          </cell>
          <cell r="G1576">
            <v>33348</v>
          </cell>
          <cell r="H1576">
            <v>50022</v>
          </cell>
        </row>
        <row r="1577">
          <cell r="A1577" t="str">
            <v>015.253</v>
          </cell>
          <cell r="B1577" t="str">
            <v>E12</v>
          </cell>
          <cell r="C1577" t="str">
            <v>EQUIPO DE TRANSPORTE</v>
          </cell>
          <cell r="D1577" t="str">
            <v>Equipos</v>
          </cell>
          <cell r="E1577" t="str">
            <v>DIA</v>
          </cell>
          <cell r="F1577">
            <v>2.9850000000000002E-2</v>
          </cell>
          <cell r="G1577">
            <v>131205</v>
          </cell>
          <cell r="H1577">
            <v>3916</v>
          </cell>
        </row>
        <row r="1578">
          <cell r="A1578" t="str">
            <v>015.253</v>
          </cell>
          <cell r="B1578" t="str">
            <v>H2</v>
          </cell>
          <cell r="C1578" t="str">
            <v>EQUIPO BASICO (HERRAMIENTA MENOR)</v>
          </cell>
          <cell r="D1578" t="str">
            <v>Herramienta</v>
          </cell>
          <cell r="E1578" t="str">
            <v>UND</v>
          </cell>
          <cell r="F1578">
            <v>0.75</v>
          </cell>
          <cell r="G1578">
            <v>2536</v>
          </cell>
          <cell r="H1578">
            <v>1902</v>
          </cell>
        </row>
        <row r="1579">
          <cell r="A1579" t="str">
            <v>015.253</v>
          </cell>
          <cell r="B1579" t="str">
            <v>I1114</v>
          </cell>
          <cell r="C1579" t="str">
            <v>ACCESORIOS FIJACION TUBERIA EMT 2" (ABRAZADERA, ALAMBRE)</v>
          </cell>
          <cell r="D1579" t="str">
            <v>Insumos</v>
          </cell>
          <cell r="E1579" t="str">
            <v>UND</v>
          </cell>
          <cell r="F1579">
            <v>3</v>
          </cell>
          <cell r="G1579">
            <v>7170</v>
          </cell>
          <cell r="H1579">
            <v>21510</v>
          </cell>
        </row>
        <row r="1580">
          <cell r="A1580" t="str">
            <v>015.253</v>
          </cell>
          <cell r="B1580" t="str">
            <v>I1127</v>
          </cell>
          <cell r="C1580" t="str">
            <v>ACCESORIOS TUBERIA EMT 2" (UNION, ADAPTADOR, CURVA)</v>
          </cell>
          <cell r="D1580" t="str">
            <v>Insumos</v>
          </cell>
          <cell r="E1580" t="str">
            <v>UND</v>
          </cell>
          <cell r="F1580">
            <v>3</v>
          </cell>
          <cell r="G1580">
            <v>24125</v>
          </cell>
          <cell r="H1580">
            <v>72375</v>
          </cell>
        </row>
        <row r="1581">
          <cell r="A1581" t="str">
            <v>015.253</v>
          </cell>
          <cell r="B1581" t="str">
            <v>I1718</v>
          </cell>
          <cell r="C1581" t="str">
            <v>SUMINISTRO DE ALAMBRE 2 AWG HFFR LS 600V 75º CT</v>
          </cell>
          <cell r="D1581" t="str">
            <v>Insumos</v>
          </cell>
          <cell r="E1581" t="str">
            <v>ML</v>
          </cell>
          <cell r="F1581">
            <v>75</v>
          </cell>
          <cell r="G1581">
            <v>12593</v>
          </cell>
          <cell r="H1581">
            <v>944475</v>
          </cell>
        </row>
        <row r="1582">
          <cell r="A1582" t="str">
            <v>015.253</v>
          </cell>
          <cell r="B1582" t="str">
            <v>I1206</v>
          </cell>
          <cell r="C1582" t="str">
            <v xml:space="preserve">CAJA METALICA GALVANIZADA (REF: 5800) </v>
          </cell>
          <cell r="D1582" t="str">
            <v>Insumo</v>
          </cell>
          <cell r="E1582" t="str">
            <v>UND</v>
          </cell>
          <cell r="F1582">
            <v>1</v>
          </cell>
          <cell r="G1582">
            <v>1871</v>
          </cell>
          <cell r="H1582">
            <v>1871</v>
          </cell>
        </row>
        <row r="1583">
          <cell r="A1583" t="str">
            <v>015.253</v>
          </cell>
          <cell r="B1583" t="str">
            <v>I1459</v>
          </cell>
          <cell r="C1583" t="str">
            <v xml:space="preserve">TUBO CONDUIT GALVANIZADA EMT 2" </v>
          </cell>
          <cell r="D1583" t="str">
            <v>Insumos</v>
          </cell>
          <cell r="E1583" t="str">
            <v>M</v>
          </cell>
          <cell r="F1583">
            <v>15</v>
          </cell>
          <cell r="G1583">
            <v>20448</v>
          </cell>
          <cell r="H1583">
            <v>306720</v>
          </cell>
        </row>
        <row r="1584">
          <cell r="A1584" t="str">
            <v>015.253</v>
          </cell>
          <cell r="B1584" t="str">
            <v>I1565</v>
          </cell>
          <cell r="C1584" t="str">
            <v>ACARREO INTERNO</v>
          </cell>
          <cell r="D1584" t="str">
            <v>Insumo</v>
          </cell>
          <cell r="E1584" t="str">
            <v>UND</v>
          </cell>
          <cell r="F1584">
            <v>3.15</v>
          </cell>
          <cell r="G1584">
            <v>1327</v>
          </cell>
          <cell r="H1584">
            <v>4180</v>
          </cell>
        </row>
        <row r="1586">
          <cell r="A1586" t="str">
            <v>015.254</v>
          </cell>
          <cell r="B1586" t="str">
            <v>-</v>
          </cell>
          <cell r="C1586" t="str">
            <v>SUMINISTRO, TRANSPORTE E INSTALACION SALIDA TOMACORRIENTE 2F3H EN TUBERIA CONDUIT EMT 3/4", ALAMBRE No 10 AWG. HFFR LS SIN APARATO</v>
          </cell>
          <cell r="D1586" t="str">
            <v>Actividad</v>
          </cell>
          <cell r="E1586" t="str">
            <v>UND</v>
          </cell>
          <cell r="H1586">
            <v>278959</v>
          </cell>
        </row>
        <row r="1587">
          <cell r="A1587" t="str">
            <v>015.254</v>
          </cell>
          <cell r="B1587" t="str">
            <v>C13</v>
          </cell>
          <cell r="C1587" t="str">
            <v>CUADRILLA FF TIPO 2 (1 OFICIAL + 2 AYUDANTE) (Electricas)</v>
          </cell>
          <cell r="D1587" t="str">
            <v>Cuadrilla</v>
          </cell>
          <cell r="E1587" t="str">
            <v>HR</v>
          </cell>
          <cell r="F1587">
            <v>1.5</v>
          </cell>
          <cell r="G1587">
            <v>33348</v>
          </cell>
          <cell r="H1587">
            <v>50022</v>
          </cell>
        </row>
        <row r="1588">
          <cell r="A1588" t="str">
            <v>015.254</v>
          </cell>
          <cell r="B1588" t="str">
            <v>E12</v>
          </cell>
          <cell r="C1588" t="str">
            <v>EQUIPO DE TRANSPORTE</v>
          </cell>
          <cell r="D1588" t="str">
            <v>Equipos</v>
          </cell>
          <cell r="E1588" t="str">
            <v>DIA</v>
          </cell>
          <cell r="F1588">
            <v>1.5900000000000001E-2</v>
          </cell>
          <cell r="G1588">
            <v>131205</v>
          </cell>
          <cell r="H1588">
            <v>2086</v>
          </cell>
        </row>
        <row r="1589">
          <cell r="A1589" t="str">
            <v>015.254</v>
          </cell>
          <cell r="B1589" t="str">
            <v>H2</v>
          </cell>
          <cell r="C1589" t="str">
            <v>EQUIPO BASICO (HERRAMIENTA MENOR)</v>
          </cell>
          <cell r="D1589" t="str">
            <v>Herramienta</v>
          </cell>
          <cell r="E1589" t="str">
            <v>UND</v>
          </cell>
          <cell r="F1589">
            <v>0.75</v>
          </cell>
          <cell r="G1589">
            <v>2536</v>
          </cell>
          <cell r="H1589">
            <v>1902</v>
          </cell>
        </row>
        <row r="1590">
          <cell r="A1590" t="str">
            <v>015.254</v>
          </cell>
          <cell r="B1590" t="str">
            <v>I1116</v>
          </cell>
          <cell r="C1590" t="str">
            <v>ACCESORIOS FIJACION TUBERIA EMT 3/4" (ABRAZADERA, ALAMBRE)</v>
          </cell>
          <cell r="D1590" t="str">
            <v>Insumo</v>
          </cell>
          <cell r="E1590" t="str">
            <v>UND</v>
          </cell>
          <cell r="F1590">
            <v>3</v>
          </cell>
          <cell r="G1590">
            <v>2152</v>
          </cell>
          <cell r="H1590">
            <v>6456</v>
          </cell>
        </row>
        <row r="1591">
          <cell r="A1591" t="str">
            <v>015.254</v>
          </cell>
          <cell r="B1591" t="str">
            <v>I1129</v>
          </cell>
          <cell r="C1591" t="str">
            <v>ACCESORIOS TUBERIA EMT 3/4" (UNION Y CURVA)</v>
          </cell>
          <cell r="D1591" t="str">
            <v>Insumo</v>
          </cell>
          <cell r="E1591" t="str">
            <v>UND</v>
          </cell>
          <cell r="F1591">
            <v>3</v>
          </cell>
          <cell r="G1591">
            <v>4524</v>
          </cell>
          <cell r="H1591">
            <v>13572</v>
          </cell>
        </row>
        <row r="1592">
          <cell r="A1592" t="str">
            <v>015.254</v>
          </cell>
          <cell r="B1592" t="str">
            <v>I1733</v>
          </cell>
          <cell r="C1592" t="str">
            <v>SUMINISTRO DE CABLE  10 AWG HFFR LS 600V 75º CT</v>
          </cell>
          <cell r="D1592" t="str">
            <v>Insumos</v>
          </cell>
          <cell r="E1592" t="str">
            <v>ML</v>
          </cell>
          <cell r="F1592">
            <v>45</v>
          </cell>
          <cell r="G1592">
            <v>2298</v>
          </cell>
          <cell r="H1592">
            <v>103410</v>
          </cell>
        </row>
        <row r="1593">
          <cell r="A1593" t="str">
            <v>015.254</v>
          </cell>
          <cell r="B1593" t="str">
            <v>I1206</v>
          </cell>
          <cell r="C1593" t="str">
            <v xml:space="preserve">CAJA METALICA GALVANIZADA (REF: 5800) </v>
          </cell>
          <cell r="D1593" t="str">
            <v>Insumo</v>
          </cell>
          <cell r="E1593" t="str">
            <v>UND</v>
          </cell>
          <cell r="F1593">
            <v>1</v>
          </cell>
          <cell r="G1593">
            <v>1871</v>
          </cell>
          <cell r="H1593">
            <v>1871</v>
          </cell>
        </row>
        <row r="1594">
          <cell r="A1594" t="str">
            <v>015.254</v>
          </cell>
          <cell r="B1594" t="str">
            <v>I1461</v>
          </cell>
          <cell r="C1594" t="str">
            <v xml:space="preserve">TUBO CONDUIT GALVANIZADA EMT 3/4" </v>
          </cell>
          <cell r="D1594" t="str">
            <v>Insumo</v>
          </cell>
          <cell r="E1594" t="str">
            <v>M</v>
          </cell>
          <cell r="F1594">
            <v>15</v>
          </cell>
          <cell r="G1594">
            <v>6364</v>
          </cell>
          <cell r="H1594">
            <v>95460</v>
          </cell>
        </row>
        <row r="1595">
          <cell r="A1595" t="str">
            <v>015.254</v>
          </cell>
          <cell r="B1595" t="str">
            <v>I1565</v>
          </cell>
          <cell r="C1595" t="str">
            <v>ACARREO INTERNO</v>
          </cell>
          <cell r="D1595" t="str">
            <v>Insumo</v>
          </cell>
          <cell r="E1595" t="str">
            <v>UND</v>
          </cell>
          <cell r="F1595">
            <v>3.15</v>
          </cell>
          <cell r="G1595">
            <v>1327</v>
          </cell>
          <cell r="H1595">
            <v>4180</v>
          </cell>
        </row>
        <row r="1597">
          <cell r="A1597" t="str">
            <v>015.255</v>
          </cell>
          <cell r="B1597" t="str">
            <v>-</v>
          </cell>
          <cell r="C1597" t="str">
            <v>SUMINISTRO, TRANSPORTE E INSTALACION SALIDA TOMACORRIENTE GFCI DOBLE EN TUBERIA CONDUIT PVC 3/4", ALAMBRE No 12 AWG HFFR LS</v>
          </cell>
          <cell r="D1597" t="str">
            <v>Actividad</v>
          </cell>
          <cell r="E1597" t="str">
            <v>UND</v>
          </cell>
          <cell r="H1597">
            <v>179066</v>
          </cell>
        </row>
        <row r="1598">
          <cell r="A1598" t="str">
            <v>015.255</v>
          </cell>
          <cell r="B1598" t="str">
            <v>C13</v>
          </cell>
          <cell r="C1598" t="str">
            <v>CUADRILLA FF TIPO 2 (1 OFICIAL + 2 AYUDANTE) (Electricas)</v>
          </cell>
          <cell r="D1598" t="str">
            <v>Cuadrilla</v>
          </cell>
          <cell r="E1598" t="str">
            <v>HR</v>
          </cell>
          <cell r="F1598">
            <v>2.5049999999999999</v>
          </cell>
          <cell r="G1598">
            <v>33348</v>
          </cell>
          <cell r="H1598">
            <v>83537</v>
          </cell>
        </row>
        <row r="1599">
          <cell r="A1599" t="str">
            <v>015.255</v>
          </cell>
          <cell r="B1599" t="str">
            <v>E12</v>
          </cell>
          <cell r="C1599" t="str">
            <v>EQUIPO DE TRANSPORTE</v>
          </cell>
          <cell r="D1599" t="str">
            <v>Equipos</v>
          </cell>
          <cell r="E1599" t="str">
            <v>DIA</v>
          </cell>
          <cell r="F1599">
            <v>1.6031999999999998E-2</v>
          </cell>
          <cell r="G1599">
            <v>131205</v>
          </cell>
          <cell r="H1599">
            <v>2103</v>
          </cell>
        </row>
        <row r="1600">
          <cell r="A1600" t="str">
            <v>015.255</v>
          </cell>
          <cell r="B1600" t="str">
            <v>H2</v>
          </cell>
          <cell r="C1600" t="str">
            <v>EQUIPO BASICO (HERRAMIENTA MENOR)</v>
          </cell>
          <cell r="D1600" t="str">
            <v>Herramienta</v>
          </cell>
          <cell r="E1600" t="str">
            <v>UND</v>
          </cell>
          <cell r="F1600">
            <v>0.83499999999999996</v>
          </cell>
          <cell r="G1600">
            <v>2536</v>
          </cell>
          <cell r="H1600">
            <v>2118</v>
          </cell>
        </row>
        <row r="1601">
          <cell r="A1601" t="str">
            <v>015.255</v>
          </cell>
          <cell r="B1601" t="str">
            <v>I1110</v>
          </cell>
          <cell r="C1601" t="str">
            <v>ACCESORIOS DE FIJACION</v>
          </cell>
          <cell r="D1601" t="str">
            <v>Insumo</v>
          </cell>
          <cell r="E1601" t="str">
            <v>UND</v>
          </cell>
          <cell r="F1601">
            <v>5</v>
          </cell>
          <cell r="G1601">
            <v>1792</v>
          </cell>
          <cell r="H1601">
            <v>8960</v>
          </cell>
        </row>
        <row r="1602">
          <cell r="A1602" t="str">
            <v>015.255</v>
          </cell>
          <cell r="B1602" t="str">
            <v>I1137</v>
          </cell>
          <cell r="C1602" t="str">
            <v>ADAPTADOR TERMINAL PVC 3/4"</v>
          </cell>
          <cell r="D1602" t="str">
            <v>Insumo</v>
          </cell>
          <cell r="E1602" t="str">
            <v>UND</v>
          </cell>
          <cell r="F1602">
            <v>2</v>
          </cell>
          <cell r="G1602">
            <v>245</v>
          </cell>
          <cell r="H1602">
            <v>490</v>
          </cell>
        </row>
        <row r="1603">
          <cell r="A1603" t="str">
            <v>015.255</v>
          </cell>
          <cell r="B1603" t="str">
            <v>I1747</v>
          </cell>
          <cell r="C1603" t="str">
            <v>SUMINISTRO DE ALAMBRE  12AWG HFFR LS 600V 75º CT</v>
          </cell>
          <cell r="D1603" t="str">
            <v>Insumo</v>
          </cell>
          <cell r="E1603" t="str">
            <v>ML</v>
          </cell>
          <cell r="F1603">
            <v>15</v>
          </cell>
          <cell r="G1603">
            <v>1589</v>
          </cell>
          <cell r="H1603">
            <v>23835</v>
          </cell>
        </row>
        <row r="1604">
          <cell r="A1604" t="str">
            <v>015.255</v>
          </cell>
          <cell r="B1604" t="str">
            <v>I1205</v>
          </cell>
          <cell r="C1604" t="str">
            <v xml:space="preserve">CAJA METALICA GALVANIZADA (REF: 2400) </v>
          </cell>
          <cell r="D1604" t="str">
            <v>Insumo</v>
          </cell>
          <cell r="E1604" t="str">
            <v>UND</v>
          </cell>
          <cell r="F1604">
            <v>1</v>
          </cell>
          <cell r="G1604">
            <v>2436</v>
          </cell>
          <cell r="H1604">
            <v>2436</v>
          </cell>
        </row>
        <row r="1605">
          <cell r="A1605" t="str">
            <v>015.255</v>
          </cell>
          <cell r="B1605" t="str">
            <v>I1409</v>
          </cell>
          <cell r="C1605" t="str">
            <v>TAPA CIEGA CON IMPACTO GALVANIZADA CUADRADA 4X4"</v>
          </cell>
          <cell r="D1605" t="str">
            <v>Insumo</v>
          </cell>
          <cell r="E1605" t="str">
            <v>UND</v>
          </cell>
          <cell r="F1605">
            <v>1</v>
          </cell>
          <cell r="G1605">
            <v>848</v>
          </cell>
          <cell r="H1605">
            <v>848</v>
          </cell>
        </row>
        <row r="1606">
          <cell r="A1606" t="str">
            <v>015.255</v>
          </cell>
          <cell r="B1606" t="str">
            <v>I1430</v>
          </cell>
          <cell r="C1606" t="str">
            <v>TOMA CORRIENTE DOBLE CON  PROTECCION FALLA A TIERRA GFCI</v>
          </cell>
          <cell r="D1606" t="str">
            <v>Insumo</v>
          </cell>
          <cell r="E1606" t="str">
            <v>UND</v>
          </cell>
          <cell r="F1606">
            <v>1</v>
          </cell>
          <cell r="G1606">
            <v>40380</v>
          </cell>
          <cell r="H1606">
            <v>40380</v>
          </cell>
        </row>
        <row r="1607">
          <cell r="A1607" t="str">
            <v>015.255</v>
          </cell>
          <cell r="B1607" t="str">
            <v>I1473</v>
          </cell>
          <cell r="C1607" t="str">
            <v>TUBO CONDUIT PVC 3/4"</v>
          </cell>
          <cell r="D1607" t="str">
            <v>Insumo</v>
          </cell>
          <cell r="E1607" t="str">
            <v>M</v>
          </cell>
          <cell r="F1607">
            <v>5</v>
          </cell>
          <cell r="G1607">
            <v>1220</v>
          </cell>
          <cell r="H1607">
            <v>6100</v>
          </cell>
        </row>
        <row r="1608">
          <cell r="A1608" t="str">
            <v>015.255</v>
          </cell>
          <cell r="B1608" t="str">
            <v>I1489</v>
          </cell>
          <cell r="C1608" t="str">
            <v>CINTA AISLANTE 3M</v>
          </cell>
          <cell r="D1608" t="str">
            <v>Insumo</v>
          </cell>
          <cell r="E1608" t="str">
            <v>ROLLO</v>
          </cell>
          <cell r="F1608">
            <v>0.33400000000000002</v>
          </cell>
          <cell r="G1608">
            <v>4158</v>
          </cell>
          <cell r="H1608">
            <v>1389</v>
          </cell>
        </row>
        <row r="1609">
          <cell r="A1609" t="str">
            <v>015.255</v>
          </cell>
          <cell r="B1609" t="str">
            <v>I1565</v>
          </cell>
          <cell r="C1609" t="str">
            <v>ACARREO INTERNO</v>
          </cell>
          <cell r="D1609" t="str">
            <v>Insumo</v>
          </cell>
          <cell r="E1609" t="str">
            <v>UND</v>
          </cell>
          <cell r="F1609">
            <v>5.1769999999999996</v>
          </cell>
          <cell r="G1609">
            <v>1327</v>
          </cell>
          <cell r="H1609">
            <v>6870</v>
          </cell>
        </row>
        <row r="1611">
          <cell r="A1611" t="str">
            <v>015.256</v>
          </cell>
          <cell r="B1611" t="str">
            <v>-</v>
          </cell>
          <cell r="C1611" t="str">
            <v>SUMINISTRO, TRANSPORTE E INSTALACION SALIDA TOMACORRIENTE GFCI DOBLE EN TUBERIA CONDUIT PVC 3/4", ALAMBRE No 12 AWG HFFR LS + incluye tapa tipo intemperie</v>
          </cell>
          <cell r="D1611" t="str">
            <v>Actividad</v>
          </cell>
          <cell r="E1611" t="str">
            <v>UND</v>
          </cell>
          <cell r="H1611">
            <v>188487</v>
          </cell>
        </row>
        <row r="1612">
          <cell r="A1612" t="str">
            <v>015.256</v>
          </cell>
          <cell r="B1612" t="str">
            <v>C13</v>
          </cell>
          <cell r="C1612" t="str">
            <v>CUADRILLA FF TIPO 2 (1 OFICIAL + 2 AYUDANTE) (Electricas)</v>
          </cell>
          <cell r="D1612" t="str">
            <v>Cuadrilla</v>
          </cell>
          <cell r="E1612" t="str">
            <v>HR</v>
          </cell>
          <cell r="F1612">
            <v>2.3380000000000001</v>
          </cell>
          <cell r="G1612">
            <v>33348</v>
          </cell>
          <cell r="H1612">
            <v>77968</v>
          </cell>
        </row>
        <row r="1613">
          <cell r="A1613" t="str">
            <v>015.256</v>
          </cell>
          <cell r="B1613" t="str">
            <v>E12</v>
          </cell>
          <cell r="C1613" t="str">
            <v>EQUIPO DE TRANSPORTE</v>
          </cell>
          <cell r="D1613" t="str">
            <v>Equipos</v>
          </cell>
          <cell r="E1613" t="str">
            <v>DIA</v>
          </cell>
          <cell r="F1613">
            <v>1.6031999999999998E-2</v>
          </cell>
          <cell r="G1613">
            <v>131205</v>
          </cell>
          <cell r="H1613">
            <v>2103</v>
          </cell>
        </row>
        <row r="1614">
          <cell r="A1614" t="str">
            <v>015.256</v>
          </cell>
          <cell r="B1614" t="str">
            <v>H2</v>
          </cell>
          <cell r="C1614" t="str">
            <v>EQUIPO BASICO (HERRAMIENTA MENOR)</v>
          </cell>
          <cell r="D1614" t="str">
            <v>Herramienta</v>
          </cell>
          <cell r="E1614" t="str">
            <v>UND</v>
          </cell>
          <cell r="F1614">
            <v>0.83499999999999996</v>
          </cell>
          <cell r="G1614">
            <v>2536</v>
          </cell>
          <cell r="H1614">
            <v>2118</v>
          </cell>
        </row>
        <row r="1615">
          <cell r="A1615" t="str">
            <v>015.256</v>
          </cell>
          <cell r="B1615" t="str">
            <v>I1110</v>
          </cell>
          <cell r="C1615" t="str">
            <v>ACCESORIOS DE FIJACION</v>
          </cell>
          <cell r="D1615" t="str">
            <v>Insumo</v>
          </cell>
          <cell r="E1615" t="str">
            <v>UND</v>
          </cell>
          <cell r="F1615">
            <v>5</v>
          </cell>
          <cell r="G1615">
            <v>1792</v>
          </cell>
          <cell r="H1615">
            <v>8960</v>
          </cell>
        </row>
        <row r="1616">
          <cell r="A1616" t="str">
            <v>015.256</v>
          </cell>
          <cell r="B1616" t="str">
            <v>I1137</v>
          </cell>
          <cell r="C1616" t="str">
            <v>ADAPTADOR TERMINAL PVC 3/4"</v>
          </cell>
          <cell r="D1616" t="str">
            <v>Insumo</v>
          </cell>
          <cell r="E1616" t="str">
            <v>UND</v>
          </cell>
          <cell r="F1616">
            <v>2</v>
          </cell>
          <cell r="G1616">
            <v>245</v>
          </cell>
          <cell r="H1616">
            <v>490</v>
          </cell>
        </row>
        <row r="1617">
          <cell r="A1617" t="str">
            <v>015.256</v>
          </cell>
          <cell r="B1617" t="str">
            <v>I1747</v>
          </cell>
          <cell r="C1617" t="str">
            <v>SUMINISTRO DE ALAMBRE  12AWG HFFR LS 600V 75º CT</v>
          </cell>
          <cell r="D1617" t="str">
            <v>Insumo</v>
          </cell>
          <cell r="E1617" t="str">
            <v>ML</v>
          </cell>
          <cell r="F1617">
            <v>15</v>
          </cell>
          <cell r="G1617">
            <v>1589</v>
          </cell>
          <cell r="H1617">
            <v>23835</v>
          </cell>
        </row>
        <row r="1618">
          <cell r="A1618" t="str">
            <v>015.256</v>
          </cell>
          <cell r="B1618" t="str">
            <v>I1205</v>
          </cell>
          <cell r="C1618" t="str">
            <v xml:space="preserve">CAJA METALICA GALVANIZADA (REF: 2400) </v>
          </cell>
          <cell r="D1618" t="str">
            <v>Insumo</v>
          </cell>
          <cell r="E1618" t="str">
            <v>UND</v>
          </cell>
          <cell r="F1618">
            <v>1</v>
          </cell>
          <cell r="G1618">
            <v>2436</v>
          </cell>
          <cell r="H1618">
            <v>2436</v>
          </cell>
        </row>
        <row r="1619">
          <cell r="A1619" t="str">
            <v>015.256</v>
          </cell>
          <cell r="B1619" t="str">
            <v>I1409</v>
          </cell>
          <cell r="C1619" t="str">
            <v>TAPA CIEGA CON IMPACTO GALVANIZADA CUADRADA 4X4"</v>
          </cell>
          <cell r="D1619" t="str">
            <v>Insumo</v>
          </cell>
          <cell r="E1619" t="str">
            <v>UND</v>
          </cell>
          <cell r="F1619">
            <v>1</v>
          </cell>
          <cell r="G1619">
            <v>848</v>
          </cell>
          <cell r="H1619">
            <v>848</v>
          </cell>
        </row>
        <row r="1620">
          <cell r="A1620" t="str">
            <v>015.256</v>
          </cell>
          <cell r="B1620" t="str">
            <v>I1430</v>
          </cell>
          <cell r="C1620" t="str">
            <v>TOMA CORRIENTE DOBLE CON  PROTECCION FALLA A TIERRA GFCI</v>
          </cell>
          <cell r="D1620" t="str">
            <v>Insumo</v>
          </cell>
          <cell r="E1620" t="str">
            <v>UND</v>
          </cell>
          <cell r="F1620">
            <v>1</v>
          </cell>
          <cell r="G1620">
            <v>40380</v>
          </cell>
          <cell r="H1620">
            <v>40380</v>
          </cell>
        </row>
        <row r="1621">
          <cell r="A1621" t="str">
            <v>015.256</v>
          </cell>
          <cell r="B1621" t="str">
            <v>I1473</v>
          </cell>
          <cell r="C1621" t="str">
            <v>TUBO CONDUIT PVC 3/4"</v>
          </cell>
          <cell r="D1621" t="str">
            <v>Insumo</v>
          </cell>
          <cell r="E1621" t="str">
            <v>M</v>
          </cell>
          <cell r="F1621">
            <v>5</v>
          </cell>
          <cell r="G1621">
            <v>1220</v>
          </cell>
          <cell r="H1621">
            <v>6100</v>
          </cell>
        </row>
        <row r="1622">
          <cell r="A1622" t="str">
            <v>015.256</v>
          </cell>
          <cell r="B1622" t="str">
            <v>I1489</v>
          </cell>
          <cell r="C1622" t="str">
            <v>CINTA AISLANTE 3M</v>
          </cell>
          <cell r="D1622" t="str">
            <v>Insumo</v>
          </cell>
          <cell r="E1622" t="str">
            <v>ROLLO</v>
          </cell>
          <cell r="F1622">
            <v>0.33400000000000002</v>
          </cell>
          <cell r="G1622">
            <v>4158</v>
          </cell>
          <cell r="H1622">
            <v>1389</v>
          </cell>
        </row>
        <row r="1623">
          <cell r="A1623" t="str">
            <v>015.256</v>
          </cell>
          <cell r="B1623" t="str">
            <v>I1517</v>
          </cell>
          <cell r="C1623" t="str">
            <v xml:space="preserve">TAPA PLASTICA PARA TOMA CORRIENTE </v>
          </cell>
          <cell r="D1623" t="str">
            <v>Insumo</v>
          </cell>
          <cell r="E1623" t="str">
            <v>UND</v>
          </cell>
          <cell r="F1623">
            <v>1</v>
          </cell>
          <cell r="G1623">
            <v>14990</v>
          </cell>
          <cell r="H1623">
            <v>14990</v>
          </cell>
        </row>
        <row r="1624">
          <cell r="A1624" t="str">
            <v>015.256</v>
          </cell>
          <cell r="B1624" t="str">
            <v>I1565</v>
          </cell>
          <cell r="C1624" t="str">
            <v>ACARREO INTERNO</v>
          </cell>
          <cell r="D1624" t="str">
            <v>Insumo</v>
          </cell>
          <cell r="E1624" t="str">
            <v>UND</v>
          </cell>
          <cell r="F1624">
            <v>5.1769999999999996</v>
          </cell>
          <cell r="G1624">
            <v>1327</v>
          </cell>
          <cell r="H1624">
            <v>6870</v>
          </cell>
        </row>
        <row r="1626">
          <cell r="A1626" t="str">
            <v>015.257</v>
          </cell>
          <cell r="B1626" t="str">
            <v>-</v>
          </cell>
          <cell r="C1626" t="str">
            <v>SUMINISTRO, TRANSPORTE E INSTALACION SALIDA TOMACORRIENTE 3F5H EN TUBERIA CONDUIT PVC 2", ALAMBRE No 4 AWG HFFR LS. SIN APARATO</v>
          </cell>
          <cell r="D1626" t="str">
            <v>Actividad</v>
          </cell>
          <cell r="E1626" t="str">
            <v>UND</v>
          </cell>
          <cell r="H1626">
            <v>898748</v>
          </cell>
        </row>
        <row r="1627">
          <cell r="A1627" t="str">
            <v>015.257</v>
          </cell>
          <cell r="B1627" t="str">
            <v>C13</v>
          </cell>
          <cell r="C1627" t="str">
            <v>CUADRILLA FF TIPO 2 (1 OFICIAL + 2 AYUDANTE) (Electricas)</v>
          </cell>
          <cell r="D1627" t="str">
            <v>Cuadrilla</v>
          </cell>
          <cell r="E1627" t="str">
            <v>HR</v>
          </cell>
          <cell r="F1627">
            <v>2.25</v>
          </cell>
          <cell r="G1627">
            <v>33348</v>
          </cell>
          <cell r="H1627">
            <v>75033</v>
          </cell>
        </row>
        <row r="1628">
          <cell r="A1628" t="str">
            <v>015.257</v>
          </cell>
          <cell r="B1628" t="str">
            <v>E12</v>
          </cell>
          <cell r="C1628" t="str">
            <v>EQUIPO DE TRANSPORTE</v>
          </cell>
          <cell r="D1628" t="str">
            <v>Equipos</v>
          </cell>
          <cell r="E1628" t="str">
            <v>DIA</v>
          </cell>
          <cell r="F1628">
            <v>2.5049999999999999E-2</v>
          </cell>
          <cell r="G1628">
            <v>131205</v>
          </cell>
          <cell r="H1628">
            <v>3287</v>
          </cell>
        </row>
        <row r="1629">
          <cell r="A1629" t="str">
            <v>015.257</v>
          </cell>
          <cell r="B1629" t="str">
            <v>H2</v>
          </cell>
          <cell r="C1629" t="str">
            <v>EQUIPO BASICO (HERRAMIENTA MENOR)</v>
          </cell>
          <cell r="D1629" t="str">
            <v>Herramienta</v>
          </cell>
          <cell r="E1629" t="str">
            <v>UND</v>
          </cell>
          <cell r="F1629">
            <v>0.15</v>
          </cell>
          <cell r="G1629">
            <v>2536</v>
          </cell>
          <cell r="H1629">
            <v>380</v>
          </cell>
        </row>
        <row r="1630">
          <cell r="A1630" t="str">
            <v>015.257</v>
          </cell>
          <cell r="B1630" t="str">
            <v>I1110</v>
          </cell>
          <cell r="C1630" t="str">
            <v>ACCESORIOS DE FIJACION</v>
          </cell>
          <cell r="D1630" t="str">
            <v>Insumo</v>
          </cell>
          <cell r="E1630" t="str">
            <v>UND</v>
          </cell>
          <cell r="F1630">
            <v>3</v>
          </cell>
          <cell r="G1630">
            <v>1792</v>
          </cell>
          <cell r="H1630">
            <v>5376</v>
          </cell>
        </row>
        <row r="1631">
          <cell r="A1631" t="str">
            <v>015.257</v>
          </cell>
          <cell r="B1631" t="str">
            <v>I1424</v>
          </cell>
          <cell r="C1631" t="str">
            <v>TERMINAL CAMPANA PVC DUCTO 2"</v>
          </cell>
          <cell r="D1631" t="str">
            <v>Insumos</v>
          </cell>
          <cell r="E1631" t="str">
            <v>UND</v>
          </cell>
          <cell r="F1631">
            <v>3</v>
          </cell>
          <cell r="G1631">
            <v>3776</v>
          </cell>
          <cell r="H1631">
            <v>11328</v>
          </cell>
        </row>
        <row r="1632">
          <cell r="A1632" t="str">
            <v>015.257</v>
          </cell>
          <cell r="B1632" t="str">
            <v>I1718</v>
          </cell>
          <cell r="C1632" t="str">
            <v>SUMINISTRO DE ALAMBRE 4 AWG HFFR LS 600V 75º CT</v>
          </cell>
          <cell r="D1632" t="str">
            <v>Insumos</v>
          </cell>
          <cell r="E1632" t="str">
            <v>ML</v>
          </cell>
          <cell r="F1632">
            <v>75</v>
          </cell>
          <cell r="G1632">
            <v>9531</v>
          </cell>
          <cell r="H1632">
            <v>714825</v>
          </cell>
        </row>
        <row r="1633">
          <cell r="A1633" t="str">
            <v>015.257</v>
          </cell>
          <cell r="B1633" t="str">
            <v>I1206</v>
          </cell>
          <cell r="C1633" t="str">
            <v xml:space="preserve">CAJA METALICA GALVANIZADA (REF: 5800) </v>
          </cell>
          <cell r="D1633" t="str">
            <v>Insumo</v>
          </cell>
          <cell r="E1633" t="str">
            <v>UND</v>
          </cell>
          <cell r="F1633">
            <v>1</v>
          </cell>
          <cell r="G1633">
            <v>1871</v>
          </cell>
          <cell r="H1633">
            <v>1871</v>
          </cell>
        </row>
        <row r="1634">
          <cell r="A1634" t="str">
            <v>015.257</v>
          </cell>
          <cell r="B1634" t="str">
            <v>I1472</v>
          </cell>
          <cell r="C1634" t="str">
            <v>TUBO CONDUIT PVC 2"</v>
          </cell>
          <cell r="D1634" t="str">
            <v>Insumos</v>
          </cell>
          <cell r="E1634" t="str">
            <v>M</v>
          </cell>
          <cell r="F1634">
            <v>15</v>
          </cell>
          <cell r="G1634">
            <v>5282</v>
          </cell>
          <cell r="H1634">
            <v>79230</v>
          </cell>
        </row>
        <row r="1635">
          <cell r="A1635" t="str">
            <v>015.257</v>
          </cell>
          <cell r="B1635" t="str">
            <v>I1489</v>
          </cell>
          <cell r="C1635" t="str">
            <v>CINTA AISLANTE 3M</v>
          </cell>
          <cell r="D1635" t="str">
            <v>Insumo</v>
          </cell>
          <cell r="E1635" t="str">
            <v>ROLLO</v>
          </cell>
          <cell r="F1635">
            <v>0.3</v>
          </cell>
          <cell r="G1635">
            <v>4158</v>
          </cell>
          <cell r="H1635">
            <v>1247</v>
          </cell>
        </row>
        <row r="1636">
          <cell r="A1636" t="str">
            <v>015.257</v>
          </cell>
          <cell r="B1636" t="str">
            <v>I1565</v>
          </cell>
          <cell r="C1636" t="str">
            <v>ACARREO INTERNO</v>
          </cell>
          <cell r="D1636" t="str">
            <v>Insumo</v>
          </cell>
          <cell r="E1636" t="str">
            <v>UND</v>
          </cell>
          <cell r="F1636">
            <v>4.6500000000000004</v>
          </cell>
          <cell r="G1636">
            <v>1327</v>
          </cell>
          <cell r="H1636">
            <v>6171</v>
          </cell>
        </row>
        <row r="1638">
          <cell r="A1638" t="str">
            <v>015.258</v>
          </cell>
          <cell r="B1638" t="str">
            <v>-</v>
          </cell>
          <cell r="C1638" t="str">
            <v>SUMINISTRO, TRANSPORTE E INSTALACION SALIDA TOMACORRIENTE 2F3H EN TUBERIA CONDUIT PVC 3/4", CABLE No 10 AWG HFFR LS. SIN APARATO</v>
          </cell>
          <cell r="D1638" t="str">
            <v>Actividad</v>
          </cell>
          <cell r="E1638" t="str">
            <v>UND</v>
          </cell>
          <cell r="H1638">
            <v>218821</v>
          </cell>
        </row>
        <row r="1639">
          <cell r="A1639" t="str">
            <v>015.258</v>
          </cell>
          <cell r="B1639" t="str">
            <v>C13</v>
          </cell>
          <cell r="C1639" t="str">
            <v>CUADRILLA FF TIPO 2 (1 OFICIAL + 2 AYUDANTE) (Electricas)</v>
          </cell>
          <cell r="D1639" t="str">
            <v>Cuadrilla</v>
          </cell>
          <cell r="E1639" t="str">
            <v>HR</v>
          </cell>
          <cell r="F1639">
            <v>2.25</v>
          </cell>
          <cell r="G1639">
            <v>33348</v>
          </cell>
          <cell r="H1639">
            <v>75033</v>
          </cell>
        </row>
        <row r="1640">
          <cell r="A1640" t="str">
            <v>015.258</v>
          </cell>
          <cell r="B1640" t="str">
            <v>E12</v>
          </cell>
          <cell r="C1640" t="str">
            <v>EQUIPO DE TRANSPORTE</v>
          </cell>
          <cell r="D1640" t="str">
            <v>Equipos</v>
          </cell>
          <cell r="E1640" t="str">
            <v>DIA</v>
          </cell>
          <cell r="F1640">
            <v>1.095E-2</v>
          </cell>
          <cell r="G1640">
            <v>131205</v>
          </cell>
          <cell r="H1640">
            <v>1437</v>
          </cell>
        </row>
        <row r="1641">
          <cell r="A1641" t="str">
            <v>015.258</v>
          </cell>
          <cell r="B1641" t="str">
            <v>H2</v>
          </cell>
          <cell r="C1641" t="str">
            <v>EQUIPO BASICO (HERRAMIENTA MENOR)</v>
          </cell>
          <cell r="D1641" t="str">
            <v>Herramienta</v>
          </cell>
          <cell r="E1641" t="str">
            <v>UND</v>
          </cell>
          <cell r="F1641">
            <v>0.75</v>
          </cell>
          <cell r="G1641">
            <v>2536</v>
          </cell>
          <cell r="H1641">
            <v>1902</v>
          </cell>
        </row>
        <row r="1642">
          <cell r="A1642" t="str">
            <v>015.258</v>
          </cell>
          <cell r="B1642" t="str">
            <v>I1110</v>
          </cell>
          <cell r="C1642" t="str">
            <v>ACCESORIOS DE FIJACION</v>
          </cell>
          <cell r="D1642" t="str">
            <v>Insumo</v>
          </cell>
          <cell r="E1642" t="str">
            <v>UND</v>
          </cell>
          <cell r="F1642">
            <v>5</v>
          </cell>
          <cell r="G1642">
            <v>1792</v>
          </cell>
          <cell r="H1642">
            <v>8960</v>
          </cell>
        </row>
        <row r="1643">
          <cell r="A1643" t="str">
            <v>015.258</v>
          </cell>
          <cell r="B1643" t="str">
            <v>I1137</v>
          </cell>
          <cell r="C1643" t="str">
            <v>ADAPTADOR TERMINAL PVC 3/4"</v>
          </cell>
          <cell r="D1643" t="str">
            <v>Insumo</v>
          </cell>
          <cell r="E1643" t="str">
            <v>UND</v>
          </cell>
          <cell r="F1643">
            <v>2</v>
          </cell>
          <cell r="G1643">
            <v>245</v>
          </cell>
          <cell r="H1643">
            <v>490</v>
          </cell>
        </row>
        <row r="1644">
          <cell r="A1644" t="str">
            <v>015.258</v>
          </cell>
          <cell r="B1644" t="str">
            <v>I1733</v>
          </cell>
          <cell r="C1644" t="str">
            <v>SUMINISTRO DE CABLE  10 AWG HFFR LS 600V 75º CT</v>
          </cell>
          <cell r="D1644" t="str">
            <v>Insumos</v>
          </cell>
          <cell r="E1644" t="str">
            <v>ML</v>
          </cell>
          <cell r="F1644">
            <v>45</v>
          </cell>
          <cell r="G1644">
            <v>2298</v>
          </cell>
          <cell r="H1644">
            <v>103410</v>
          </cell>
        </row>
        <row r="1645">
          <cell r="A1645" t="str">
            <v>015.258</v>
          </cell>
          <cell r="B1645" t="str">
            <v>I1206</v>
          </cell>
          <cell r="C1645" t="str">
            <v xml:space="preserve">CAJA METALICA GALVANIZADA (REF: 5800) </v>
          </cell>
          <cell r="D1645" t="str">
            <v>Insumo</v>
          </cell>
          <cell r="E1645" t="str">
            <v>UND</v>
          </cell>
          <cell r="F1645">
            <v>1</v>
          </cell>
          <cell r="G1645">
            <v>1871</v>
          </cell>
          <cell r="H1645">
            <v>1871</v>
          </cell>
        </row>
        <row r="1646">
          <cell r="A1646" t="str">
            <v>015.258</v>
          </cell>
          <cell r="B1646" t="str">
            <v>I1473</v>
          </cell>
          <cell r="C1646" t="str">
            <v>TUBO CONDUIT PVC 3/4"</v>
          </cell>
          <cell r="D1646" t="str">
            <v>Insumo</v>
          </cell>
          <cell r="E1646" t="str">
            <v>M</v>
          </cell>
          <cell r="F1646">
            <v>15</v>
          </cell>
          <cell r="G1646">
            <v>1220</v>
          </cell>
          <cell r="H1646">
            <v>18300</v>
          </cell>
        </row>
        <row r="1647">
          <cell r="A1647" t="str">
            <v>015.258</v>
          </cell>
          <cell r="B1647" t="str">
            <v>I1489</v>
          </cell>
          <cell r="C1647" t="str">
            <v>CINTA AISLANTE 3M</v>
          </cell>
          <cell r="D1647" t="str">
            <v>Insumo</v>
          </cell>
          <cell r="E1647" t="str">
            <v>ROLLO</v>
          </cell>
          <cell r="F1647">
            <v>0.3</v>
          </cell>
          <cell r="G1647">
            <v>4158</v>
          </cell>
          <cell r="H1647">
            <v>1247</v>
          </cell>
        </row>
        <row r="1648">
          <cell r="A1648" t="str">
            <v>015.258</v>
          </cell>
          <cell r="B1648" t="str">
            <v>I1565</v>
          </cell>
          <cell r="C1648" t="str">
            <v>ACARREO INTERNO</v>
          </cell>
          <cell r="D1648" t="str">
            <v>Insumo</v>
          </cell>
          <cell r="E1648" t="str">
            <v>UND</v>
          </cell>
          <cell r="F1648">
            <v>4.6500000000000004</v>
          </cell>
          <cell r="G1648">
            <v>1327</v>
          </cell>
          <cell r="H1648">
            <v>6171</v>
          </cell>
        </row>
        <row r="1650">
          <cell r="A1650" t="str">
            <v>015.259</v>
          </cell>
          <cell r="B1650" t="str">
            <v>-</v>
          </cell>
          <cell r="C1650" t="str">
            <v>SUMINISTRO, TRANSPORTE E INSTALACION SALIDA TOMACORRIENTE 3F5H EN TUBERIA CONDUIT PVC 3/4", CABLE No 10 AWG HFFR LS. SIN APARATO</v>
          </cell>
          <cell r="D1650" t="str">
            <v>Actividad</v>
          </cell>
          <cell r="E1650" t="str">
            <v>UND</v>
          </cell>
          <cell r="H1650">
            <v>288089</v>
          </cell>
        </row>
        <row r="1651">
          <cell r="A1651" t="str">
            <v>015.259</v>
          </cell>
          <cell r="B1651" t="str">
            <v>C13</v>
          </cell>
          <cell r="C1651" t="str">
            <v>CUADRILLA FF TIPO 2 (1 OFICIAL + 2 AYUDANTE) (Electricas)</v>
          </cell>
          <cell r="D1651" t="str">
            <v>Cuadrilla</v>
          </cell>
          <cell r="E1651" t="str">
            <v>HR</v>
          </cell>
          <cell r="F1651">
            <v>2.25</v>
          </cell>
          <cell r="G1651">
            <v>33348</v>
          </cell>
          <cell r="H1651">
            <v>75033</v>
          </cell>
        </row>
        <row r="1652">
          <cell r="A1652" t="str">
            <v>015.259</v>
          </cell>
          <cell r="B1652" t="str">
            <v>E12</v>
          </cell>
          <cell r="C1652" t="str">
            <v>EQUIPO DE TRANSPORTE</v>
          </cell>
          <cell r="D1652" t="str">
            <v>Equipos</v>
          </cell>
          <cell r="E1652" t="str">
            <v>DIA</v>
          </cell>
          <cell r="F1652">
            <v>2.5049999999999999E-2</v>
          </cell>
          <cell r="G1652">
            <v>131205</v>
          </cell>
          <cell r="H1652">
            <v>3287</v>
          </cell>
        </row>
        <row r="1653">
          <cell r="A1653" t="str">
            <v>015.259</v>
          </cell>
          <cell r="B1653" t="str">
            <v>H2</v>
          </cell>
          <cell r="C1653" t="str">
            <v>EQUIPO BASICO (HERRAMIENTA MENOR)</v>
          </cell>
          <cell r="D1653" t="str">
            <v>Herramienta</v>
          </cell>
          <cell r="E1653" t="str">
            <v>UND</v>
          </cell>
          <cell r="F1653">
            <v>0.15</v>
          </cell>
          <cell r="G1653">
            <v>2536</v>
          </cell>
          <cell r="H1653">
            <v>380</v>
          </cell>
        </row>
        <row r="1654">
          <cell r="A1654" t="str">
            <v>015.259</v>
          </cell>
          <cell r="B1654" t="str">
            <v>I1110</v>
          </cell>
          <cell r="C1654" t="str">
            <v>ACCESORIOS DE FIJACION</v>
          </cell>
          <cell r="D1654" t="str">
            <v>Insumo</v>
          </cell>
          <cell r="E1654" t="str">
            <v>UND</v>
          </cell>
          <cell r="F1654">
            <v>5</v>
          </cell>
          <cell r="G1654">
            <v>1792</v>
          </cell>
          <cell r="H1654">
            <v>8960</v>
          </cell>
        </row>
        <row r="1655">
          <cell r="A1655" t="str">
            <v>015.259</v>
          </cell>
          <cell r="B1655" t="str">
            <v>I1137</v>
          </cell>
          <cell r="C1655" t="str">
            <v>ADAPTADOR TERMINAL PVC 3/4"</v>
          </cell>
          <cell r="D1655" t="str">
            <v>Insumo</v>
          </cell>
          <cell r="E1655" t="str">
            <v>UND</v>
          </cell>
          <cell r="F1655">
            <v>2</v>
          </cell>
          <cell r="G1655">
            <v>245</v>
          </cell>
          <cell r="H1655">
            <v>490</v>
          </cell>
        </row>
        <row r="1656">
          <cell r="A1656" t="str">
            <v>015.259</v>
          </cell>
          <cell r="B1656" t="str">
            <v>I1733</v>
          </cell>
          <cell r="C1656" t="str">
            <v>SUMINISTRO DE CABLE  10 AWG HFFR LS 600V 75º CT</v>
          </cell>
          <cell r="D1656" t="str">
            <v>Insumos</v>
          </cell>
          <cell r="E1656" t="str">
            <v>ML</v>
          </cell>
          <cell r="F1656">
            <v>75</v>
          </cell>
          <cell r="G1656">
            <v>2298</v>
          </cell>
          <cell r="H1656">
            <v>172350</v>
          </cell>
        </row>
        <row r="1657">
          <cell r="A1657" t="str">
            <v>015.259</v>
          </cell>
          <cell r="B1657" t="str">
            <v>I1206</v>
          </cell>
          <cell r="C1657" t="str">
            <v xml:space="preserve">CAJA METALICA GALVANIZADA (REF: 5800) </v>
          </cell>
          <cell r="D1657" t="str">
            <v>Insumo</v>
          </cell>
          <cell r="E1657" t="str">
            <v>UND</v>
          </cell>
          <cell r="F1657">
            <v>1</v>
          </cell>
          <cell r="G1657">
            <v>1871</v>
          </cell>
          <cell r="H1657">
            <v>1871</v>
          </cell>
        </row>
        <row r="1658">
          <cell r="A1658" t="str">
            <v>015.259</v>
          </cell>
          <cell r="B1658" t="str">
            <v>I1473</v>
          </cell>
          <cell r="C1658" t="str">
            <v>TUBO CONDUIT PVC 3/4"</v>
          </cell>
          <cell r="D1658" t="str">
            <v>Insumo</v>
          </cell>
          <cell r="E1658" t="str">
            <v>M</v>
          </cell>
          <cell r="F1658">
            <v>15</v>
          </cell>
          <cell r="G1658">
            <v>1220</v>
          </cell>
          <cell r="H1658">
            <v>18300</v>
          </cell>
        </row>
        <row r="1659">
          <cell r="A1659" t="str">
            <v>015.259</v>
          </cell>
          <cell r="B1659" t="str">
            <v>I1489</v>
          </cell>
          <cell r="C1659" t="str">
            <v>CINTA AISLANTE 3M</v>
          </cell>
          <cell r="D1659" t="str">
            <v>Insumo</v>
          </cell>
          <cell r="E1659" t="str">
            <v>ROLLO</v>
          </cell>
          <cell r="F1659">
            <v>0.3</v>
          </cell>
          <cell r="G1659">
            <v>4158</v>
          </cell>
          <cell r="H1659">
            <v>1247</v>
          </cell>
        </row>
        <row r="1660">
          <cell r="A1660" t="str">
            <v>015.259</v>
          </cell>
          <cell r="B1660" t="str">
            <v>I1565</v>
          </cell>
          <cell r="C1660" t="str">
            <v>ACARREO INTERNO</v>
          </cell>
          <cell r="D1660" t="str">
            <v>Insumo</v>
          </cell>
          <cell r="E1660" t="str">
            <v>UND</v>
          </cell>
          <cell r="F1660">
            <v>4.6500000000000004</v>
          </cell>
          <cell r="G1660">
            <v>1327</v>
          </cell>
          <cell r="H1660">
            <v>6171</v>
          </cell>
        </row>
        <row r="1662">
          <cell r="A1662" t="str">
            <v>015.260</v>
          </cell>
          <cell r="B1662" t="str">
            <v>-</v>
          </cell>
          <cell r="C1662" t="str">
            <v>SUMINISTRO E INSTALACION SALIDA  PUNTO TOMACORRIENTE DOBLE TIPO REGULADO COLOR NARANJA EN TUBERIA CONDUIT PVC 3/4", CABLE No 10 AWG HFFR LS + incluye tapa tipo intemperie</v>
          </cell>
          <cell r="D1662" t="str">
            <v>Actividad</v>
          </cell>
          <cell r="E1662" t="str">
            <v>UND</v>
          </cell>
          <cell r="H1662">
            <v>153808</v>
          </cell>
        </row>
        <row r="1663">
          <cell r="A1663" t="str">
            <v>015.260</v>
          </cell>
          <cell r="B1663" t="str">
            <v>C6</v>
          </cell>
          <cell r="C1663" t="str">
            <v>CUADRILLA FF TIPO 1 (1 OFICIAL + 1 AYUDANTE) (ELECTRICAS)</v>
          </cell>
          <cell r="D1663" t="str">
            <v>Cuadrilla</v>
          </cell>
          <cell r="E1663" t="str">
            <v>HR</v>
          </cell>
          <cell r="F1663">
            <v>0.75</v>
          </cell>
          <cell r="G1663">
            <v>23707</v>
          </cell>
          <cell r="H1663">
            <v>17780</v>
          </cell>
        </row>
        <row r="1664">
          <cell r="A1664" t="str">
            <v>015.260</v>
          </cell>
          <cell r="B1664" t="str">
            <v>E12</v>
          </cell>
          <cell r="C1664" t="str">
            <v>EQUIPO DE TRANSPORTE</v>
          </cell>
          <cell r="D1664" t="str">
            <v>Equipos</v>
          </cell>
          <cell r="E1664" t="str">
            <v>DIA</v>
          </cell>
          <cell r="F1664">
            <v>0.15</v>
          </cell>
          <cell r="G1664">
            <v>131205</v>
          </cell>
          <cell r="H1664">
            <v>19681</v>
          </cell>
        </row>
        <row r="1665">
          <cell r="A1665" t="str">
            <v>015.260</v>
          </cell>
          <cell r="B1665" t="str">
            <v>H2</v>
          </cell>
          <cell r="C1665" t="str">
            <v>EQUIPO BASICO (HERRAMIENTA MENOR)</v>
          </cell>
          <cell r="D1665" t="str">
            <v>Herramienta</v>
          </cell>
          <cell r="E1665" t="str">
            <v>UND</v>
          </cell>
          <cell r="F1665">
            <v>3</v>
          </cell>
          <cell r="G1665">
            <v>2536</v>
          </cell>
          <cell r="H1665">
            <v>7608</v>
          </cell>
        </row>
        <row r="1666">
          <cell r="A1666" t="str">
            <v>015.260</v>
          </cell>
          <cell r="B1666" t="str">
            <v>I1724</v>
          </cell>
          <cell r="C1666" t="str">
            <v>SUMINISTRO DE MARCADORES EN ACRILICO</v>
          </cell>
          <cell r="D1666" t="str">
            <v>Insumo</v>
          </cell>
          <cell r="E1666" t="str">
            <v>ML</v>
          </cell>
          <cell r="F1666">
            <v>1</v>
          </cell>
          <cell r="G1666">
            <v>2238</v>
          </cell>
          <cell r="H1666">
            <v>2238</v>
          </cell>
        </row>
        <row r="1667">
          <cell r="A1667" t="str">
            <v>015.260</v>
          </cell>
          <cell r="B1667" t="str">
            <v>I1733</v>
          </cell>
          <cell r="C1667" t="str">
            <v>SUMINISTRO DE CABLE  10 AWG HFFR LS 600V 75º CT</v>
          </cell>
          <cell r="D1667" t="str">
            <v>Insumos</v>
          </cell>
          <cell r="E1667" t="str">
            <v>ML</v>
          </cell>
          <cell r="F1667">
            <v>18</v>
          </cell>
          <cell r="G1667">
            <v>2298</v>
          </cell>
          <cell r="H1667">
            <v>41364</v>
          </cell>
        </row>
        <row r="1668">
          <cell r="A1668" t="str">
            <v>015.260</v>
          </cell>
          <cell r="B1668" t="str">
            <v>I1137</v>
          </cell>
          <cell r="C1668" t="str">
            <v>ADAPTADOR TERMINAL PVC 3/4"</v>
          </cell>
          <cell r="D1668" t="str">
            <v>Insumo</v>
          </cell>
          <cell r="E1668" t="str">
            <v>UND</v>
          </cell>
          <cell r="F1668">
            <v>2</v>
          </cell>
          <cell r="G1668">
            <v>245</v>
          </cell>
          <cell r="H1668">
            <v>490</v>
          </cell>
        </row>
        <row r="1669">
          <cell r="A1669" t="str">
            <v>015.260</v>
          </cell>
          <cell r="B1669" t="str">
            <v>I1110</v>
          </cell>
          <cell r="C1669" t="str">
            <v>ACCESORIOS DE FIJACION</v>
          </cell>
          <cell r="D1669" t="str">
            <v>Insumo</v>
          </cell>
          <cell r="E1669" t="str">
            <v>UND</v>
          </cell>
          <cell r="F1669">
            <v>3</v>
          </cell>
          <cell r="G1669">
            <v>1792</v>
          </cell>
          <cell r="H1669">
            <v>5376</v>
          </cell>
        </row>
        <row r="1670">
          <cell r="A1670" t="str">
            <v>015.260</v>
          </cell>
          <cell r="B1670" t="str">
            <v>I1473</v>
          </cell>
          <cell r="C1670" t="str">
            <v>TUBO CONDUIT PVC 3/4"</v>
          </cell>
          <cell r="D1670" t="str">
            <v>Insumo</v>
          </cell>
          <cell r="E1670" t="str">
            <v>M</v>
          </cell>
          <cell r="F1670">
            <v>6</v>
          </cell>
          <cell r="G1670">
            <v>1220</v>
          </cell>
          <cell r="H1670">
            <v>7320</v>
          </cell>
        </row>
        <row r="1671">
          <cell r="A1671" t="str">
            <v>015.260</v>
          </cell>
          <cell r="B1671" t="str">
            <v>I1759</v>
          </cell>
          <cell r="C1671" t="str">
            <v>SUMINISTRO DE CAJA 2X4" PLASTICA</v>
          </cell>
          <cell r="D1671" t="str">
            <v>Insumo</v>
          </cell>
          <cell r="E1671" t="str">
            <v>UND</v>
          </cell>
          <cell r="F1671">
            <v>1</v>
          </cell>
          <cell r="G1671">
            <v>775</v>
          </cell>
          <cell r="H1671">
            <v>775</v>
          </cell>
        </row>
        <row r="1672">
          <cell r="A1672" t="str">
            <v>015.260</v>
          </cell>
          <cell r="B1672" t="str">
            <v>I1766</v>
          </cell>
          <cell r="C1672" t="str">
            <v>SUMINISTRO DE TOMACORRIENTE TIPO  REGULADO COLOR NARANJA</v>
          </cell>
          <cell r="D1672" t="str">
            <v>Insumo</v>
          </cell>
          <cell r="E1672" t="str">
            <v>UND</v>
          </cell>
          <cell r="F1672">
            <v>1</v>
          </cell>
          <cell r="G1672">
            <v>36186</v>
          </cell>
          <cell r="H1672">
            <v>36186</v>
          </cell>
        </row>
        <row r="1673">
          <cell r="A1673" t="str">
            <v>015.260</v>
          </cell>
          <cell r="B1673" t="str">
            <v>I1517</v>
          </cell>
          <cell r="C1673" t="str">
            <v xml:space="preserve">TAPA PLASTICA PARA TOMA CORRIENTE </v>
          </cell>
          <cell r="D1673" t="str">
            <v>Insumo</v>
          </cell>
          <cell r="E1673" t="str">
            <v>UND</v>
          </cell>
          <cell r="F1673">
            <v>1</v>
          </cell>
          <cell r="G1673">
            <v>14990</v>
          </cell>
          <cell r="H1673">
            <v>14990</v>
          </cell>
        </row>
        <row r="1675">
          <cell r="A1675" t="str">
            <v>015.261</v>
          </cell>
          <cell r="B1675" t="str">
            <v>-</v>
          </cell>
          <cell r="C1675" t="str">
            <v>SUMINISTRO E INSTALACION SALIDA  PUNTO TOMACORRIENTE DOBLE TIPO REGULADO COLOR NARANJA EN PISO EN TUBERIA CONDUIT PVC 3/4", CABLE No 10 AWG HFFR LS</v>
          </cell>
          <cell r="D1675" t="str">
            <v>Actividad</v>
          </cell>
          <cell r="E1675" t="str">
            <v>UND</v>
          </cell>
          <cell r="H1675">
            <v>370201</v>
          </cell>
        </row>
        <row r="1676">
          <cell r="A1676" t="str">
            <v>015.261</v>
          </cell>
          <cell r="B1676" t="str">
            <v>C6</v>
          </cell>
          <cell r="C1676" t="str">
            <v>CUADRILLA FF TIPO 1 (1 OFICIAL + 1 AYUDANTE) (ELECTRICAS)</v>
          </cell>
          <cell r="D1676" t="str">
            <v>Cuadrilla</v>
          </cell>
          <cell r="E1676" t="str">
            <v>HR</v>
          </cell>
          <cell r="F1676">
            <v>0.75</v>
          </cell>
          <cell r="G1676">
            <v>23707</v>
          </cell>
          <cell r="H1676">
            <v>17780</v>
          </cell>
        </row>
        <row r="1677">
          <cell r="A1677" t="str">
            <v>015.261</v>
          </cell>
          <cell r="B1677" t="str">
            <v>E12</v>
          </cell>
          <cell r="C1677" t="str">
            <v>EQUIPO DE TRANSPORTE</v>
          </cell>
          <cell r="D1677" t="str">
            <v>Equipos</v>
          </cell>
          <cell r="E1677" t="str">
            <v>DIA</v>
          </cell>
          <cell r="F1677">
            <v>0.15</v>
          </cell>
          <cell r="G1677">
            <v>131205</v>
          </cell>
          <cell r="H1677">
            <v>19681</v>
          </cell>
        </row>
        <row r="1678">
          <cell r="A1678" t="str">
            <v>015.261</v>
          </cell>
          <cell r="B1678" t="str">
            <v>H2</v>
          </cell>
          <cell r="C1678" t="str">
            <v>EQUIPO BASICO (HERRAMIENTA MENOR)</v>
          </cell>
          <cell r="D1678" t="str">
            <v>Herramienta</v>
          </cell>
          <cell r="E1678" t="str">
            <v>UND</v>
          </cell>
          <cell r="F1678">
            <v>3</v>
          </cell>
          <cell r="G1678">
            <v>2536</v>
          </cell>
          <cell r="H1678">
            <v>7608</v>
          </cell>
        </row>
        <row r="1679">
          <cell r="A1679" t="str">
            <v>015.261</v>
          </cell>
          <cell r="B1679" t="str">
            <v>I1724</v>
          </cell>
          <cell r="C1679" t="str">
            <v>SUMINISTRO DE MARCADORES EN ACRILICO</v>
          </cell>
          <cell r="D1679" t="str">
            <v>Insumo</v>
          </cell>
          <cell r="E1679" t="str">
            <v>ML</v>
          </cell>
          <cell r="F1679">
            <v>1</v>
          </cell>
          <cell r="G1679">
            <v>2238</v>
          </cell>
          <cell r="H1679">
            <v>2238</v>
          </cell>
        </row>
        <row r="1680">
          <cell r="A1680" t="str">
            <v>015.261</v>
          </cell>
          <cell r="B1680" t="str">
            <v>I1733</v>
          </cell>
          <cell r="C1680" t="str">
            <v>SUMINISTRO DE CABLE  10 AWG HFFR LS 600V 75º CT</v>
          </cell>
          <cell r="D1680" t="str">
            <v>Insumos</v>
          </cell>
          <cell r="E1680" t="str">
            <v>ML</v>
          </cell>
          <cell r="F1680">
            <v>18</v>
          </cell>
          <cell r="G1680">
            <v>2298</v>
          </cell>
          <cell r="H1680">
            <v>41364</v>
          </cell>
        </row>
        <row r="1681">
          <cell r="A1681" t="str">
            <v>015.261</v>
          </cell>
          <cell r="B1681" t="str">
            <v>I1137</v>
          </cell>
          <cell r="C1681" t="str">
            <v>ADAPTADOR TERMINAL PVC 3/4"</v>
          </cell>
          <cell r="D1681" t="str">
            <v>Insumo</v>
          </cell>
          <cell r="E1681" t="str">
            <v>UND</v>
          </cell>
          <cell r="F1681">
            <v>2</v>
          </cell>
          <cell r="G1681">
            <v>245</v>
          </cell>
          <cell r="H1681">
            <v>490</v>
          </cell>
        </row>
        <row r="1682">
          <cell r="A1682" t="str">
            <v>015.261</v>
          </cell>
          <cell r="B1682" t="str">
            <v>I1110</v>
          </cell>
          <cell r="C1682" t="str">
            <v>ACCESORIOS DE FIJACION</v>
          </cell>
          <cell r="D1682" t="str">
            <v>Insumo</v>
          </cell>
          <cell r="E1682" t="str">
            <v>UND</v>
          </cell>
          <cell r="F1682">
            <v>3</v>
          </cell>
          <cell r="G1682">
            <v>1792</v>
          </cell>
          <cell r="H1682">
            <v>5376</v>
          </cell>
        </row>
        <row r="1683">
          <cell r="A1683" t="str">
            <v>015.261</v>
          </cell>
          <cell r="B1683" t="str">
            <v>I1473</v>
          </cell>
          <cell r="C1683" t="str">
            <v>TUBO CONDUIT PVC 3/4"</v>
          </cell>
          <cell r="D1683" t="str">
            <v>Insumo</v>
          </cell>
          <cell r="E1683" t="str">
            <v>M</v>
          </cell>
          <cell r="F1683">
            <v>6</v>
          </cell>
          <cell r="G1683">
            <v>1220</v>
          </cell>
          <cell r="H1683">
            <v>7320</v>
          </cell>
        </row>
        <row r="1684">
          <cell r="A1684" t="str">
            <v>015.261</v>
          </cell>
          <cell r="B1684" t="str">
            <v>I1766</v>
          </cell>
          <cell r="C1684" t="str">
            <v>TOMA CORRIENTE TIPO  REGULADO COLOR NARANJA CON CUBIERTA DE PISO PARA PROTECCION</v>
          </cell>
          <cell r="D1684" t="str">
            <v>Insumo</v>
          </cell>
          <cell r="E1684" t="str">
            <v>UND</v>
          </cell>
          <cell r="F1684">
            <v>1</v>
          </cell>
          <cell r="G1684">
            <v>268344</v>
          </cell>
          <cell r="H1684">
            <v>268344</v>
          </cell>
        </row>
        <row r="1686">
          <cell r="A1686" t="str">
            <v>015.262</v>
          </cell>
          <cell r="B1686" t="str">
            <v>-</v>
          </cell>
          <cell r="C1686" t="str">
            <v>SUMINISTRO E INSTALACION SALIDA  PUNTO TOMACORRIENTE DOBLE TIPO REGULADO COLOR NARANJA EN TUBERIA CONDUIT PVC 3/4", CABLE No 10 AWG HFFR LS</v>
          </cell>
          <cell r="D1686" t="str">
            <v>Actividad</v>
          </cell>
          <cell r="E1686" t="str">
            <v>UND</v>
          </cell>
          <cell r="H1686">
            <v>138818</v>
          </cell>
        </row>
        <row r="1687">
          <cell r="A1687" t="str">
            <v>015.262</v>
          </cell>
          <cell r="B1687" t="str">
            <v>C6</v>
          </cell>
          <cell r="C1687" t="str">
            <v>CUADRILLA FF TIPO 1 (1 OFICIAL + 1 AYUDANTE) (ELECTRICAS)</v>
          </cell>
          <cell r="D1687" t="str">
            <v>Cuadrilla</v>
          </cell>
          <cell r="E1687" t="str">
            <v>HR</v>
          </cell>
          <cell r="F1687">
            <v>0.75</v>
          </cell>
          <cell r="G1687">
            <v>23707</v>
          </cell>
          <cell r="H1687">
            <v>17780</v>
          </cell>
        </row>
        <row r="1688">
          <cell r="A1688" t="str">
            <v>015.262</v>
          </cell>
          <cell r="B1688" t="str">
            <v>E12</v>
          </cell>
          <cell r="C1688" t="str">
            <v>EQUIPO DE TRANSPORTE</v>
          </cell>
          <cell r="D1688" t="str">
            <v>Equipos</v>
          </cell>
          <cell r="E1688" t="str">
            <v>DIA</v>
          </cell>
          <cell r="F1688">
            <v>0.15</v>
          </cell>
          <cell r="G1688">
            <v>131205</v>
          </cell>
          <cell r="H1688">
            <v>19681</v>
          </cell>
        </row>
        <row r="1689">
          <cell r="A1689" t="str">
            <v>015.262</v>
          </cell>
          <cell r="B1689" t="str">
            <v>H2</v>
          </cell>
          <cell r="C1689" t="str">
            <v>EQUIPO BASICO (HERRAMIENTA MENOR)</v>
          </cell>
          <cell r="D1689" t="str">
            <v>Herramienta</v>
          </cell>
          <cell r="E1689" t="str">
            <v>UND</v>
          </cell>
          <cell r="F1689">
            <v>3</v>
          </cell>
          <cell r="G1689">
            <v>2536</v>
          </cell>
          <cell r="H1689">
            <v>7608</v>
          </cell>
        </row>
        <row r="1690">
          <cell r="A1690" t="str">
            <v>015.262</v>
          </cell>
          <cell r="B1690" t="str">
            <v>I1724</v>
          </cell>
          <cell r="C1690" t="str">
            <v>SUMINISTRO DE MARCADORES EN ACRILICO</v>
          </cell>
          <cell r="D1690" t="str">
            <v>Insumo</v>
          </cell>
          <cell r="E1690" t="str">
            <v>ML</v>
          </cell>
          <cell r="F1690">
            <v>1</v>
          </cell>
          <cell r="G1690">
            <v>2238</v>
          </cell>
          <cell r="H1690">
            <v>2238</v>
          </cell>
        </row>
        <row r="1691">
          <cell r="A1691" t="str">
            <v>015.262</v>
          </cell>
          <cell r="B1691" t="str">
            <v>I1733</v>
          </cell>
          <cell r="C1691" t="str">
            <v>SUMINISTRO DE CABLE  10 AWG HFFR LS 600V 75º CT</v>
          </cell>
          <cell r="D1691" t="str">
            <v>Insumos</v>
          </cell>
          <cell r="E1691" t="str">
            <v>ML</v>
          </cell>
          <cell r="F1691">
            <v>18</v>
          </cell>
          <cell r="G1691">
            <v>2298</v>
          </cell>
          <cell r="H1691">
            <v>41364</v>
          </cell>
        </row>
        <row r="1692">
          <cell r="A1692" t="str">
            <v>015.262</v>
          </cell>
          <cell r="B1692" t="str">
            <v>I1137</v>
          </cell>
          <cell r="C1692" t="str">
            <v>ADAPTADOR TERMINAL PVC 3/4"</v>
          </cell>
          <cell r="D1692" t="str">
            <v>Insumo</v>
          </cell>
          <cell r="E1692" t="str">
            <v>UND</v>
          </cell>
          <cell r="F1692">
            <v>2</v>
          </cell>
          <cell r="G1692">
            <v>245</v>
          </cell>
          <cell r="H1692">
            <v>490</v>
          </cell>
        </row>
        <row r="1693">
          <cell r="A1693" t="str">
            <v>015.262</v>
          </cell>
          <cell r="B1693" t="str">
            <v>I1110</v>
          </cell>
          <cell r="C1693" t="str">
            <v>ACCESORIOS DE FIJACION</v>
          </cell>
          <cell r="D1693" t="str">
            <v>Insumo</v>
          </cell>
          <cell r="E1693" t="str">
            <v>UND</v>
          </cell>
          <cell r="F1693">
            <v>3</v>
          </cell>
          <cell r="G1693">
            <v>1792</v>
          </cell>
          <cell r="H1693">
            <v>5376</v>
          </cell>
        </row>
        <row r="1694">
          <cell r="A1694" t="str">
            <v>015.262</v>
          </cell>
          <cell r="B1694" t="str">
            <v>I1473</v>
          </cell>
          <cell r="C1694" t="str">
            <v>TUBO CONDUIT PVC 3/4"</v>
          </cell>
          <cell r="D1694" t="str">
            <v>Insumo</v>
          </cell>
          <cell r="E1694" t="str">
            <v>M</v>
          </cell>
          <cell r="F1694">
            <v>6</v>
          </cell>
          <cell r="G1694">
            <v>1220</v>
          </cell>
          <cell r="H1694">
            <v>7320</v>
          </cell>
        </row>
        <row r="1695">
          <cell r="A1695" t="str">
            <v>015.262</v>
          </cell>
          <cell r="B1695" t="str">
            <v>I1759</v>
          </cell>
          <cell r="C1695" t="str">
            <v>SUMINISTRO DE CAJA 2X4" PLASTICA</v>
          </cell>
          <cell r="D1695" t="str">
            <v>Insumo</v>
          </cell>
          <cell r="E1695" t="str">
            <v>UND</v>
          </cell>
          <cell r="F1695">
            <v>1</v>
          </cell>
          <cell r="G1695">
            <v>775</v>
          </cell>
          <cell r="H1695">
            <v>775</v>
          </cell>
        </row>
        <row r="1696">
          <cell r="A1696" t="str">
            <v>015.262</v>
          </cell>
          <cell r="B1696" t="str">
            <v>I1766</v>
          </cell>
          <cell r="C1696" t="str">
            <v>SUMINISTRO DE TOMACORRIENTE TIPO  REGULADO COLOR NARANJA</v>
          </cell>
          <cell r="D1696" t="str">
            <v>Insumo</v>
          </cell>
          <cell r="E1696" t="str">
            <v>UND</v>
          </cell>
          <cell r="F1696">
            <v>1</v>
          </cell>
          <cell r="G1696">
            <v>36186</v>
          </cell>
          <cell r="H1696">
            <v>36186</v>
          </cell>
        </row>
        <row r="1698">
          <cell r="A1698" t="str">
            <v>015.263</v>
          </cell>
          <cell r="B1698" t="str">
            <v>-</v>
          </cell>
          <cell r="C1698" t="str">
            <v>SUMINISTRO E INSTALACION SALIDA  PUNTO TOMACORRIENTE DOBLE TIPO REGULADO COLOR NARANJA EN TUBERIA CONDUIT PVC 3/4"</v>
          </cell>
          <cell r="D1698" t="str">
            <v>Actividad</v>
          </cell>
          <cell r="E1698" t="str">
            <v>UND</v>
          </cell>
          <cell r="H1698">
            <v>126056</v>
          </cell>
        </row>
        <row r="1699">
          <cell r="A1699" t="str">
            <v>015.263</v>
          </cell>
          <cell r="B1699" t="str">
            <v>C6</v>
          </cell>
          <cell r="C1699" t="str">
            <v>CUADRILLA FF TIPO 1 (1 OFICIAL + 1 AYUDANTE) (ELECTRICAS)</v>
          </cell>
          <cell r="D1699" t="str">
            <v>Cuadrilla</v>
          </cell>
          <cell r="E1699" t="str">
            <v>HR</v>
          </cell>
          <cell r="F1699">
            <v>0.75</v>
          </cell>
          <cell r="G1699">
            <v>23707</v>
          </cell>
          <cell r="H1699">
            <v>17780</v>
          </cell>
        </row>
        <row r="1700">
          <cell r="A1700" t="str">
            <v>015.263</v>
          </cell>
          <cell r="B1700" t="str">
            <v>E12</v>
          </cell>
          <cell r="C1700" t="str">
            <v>EQUIPO DE TRANSPORTE</v>
          </cell>
          <cell r="D1700" t="str">
            <v>Equipos</v>
          </cell>
          <cell r="E1700" t="str">
            <v>DIA</v>
          </cell>
          <cell r="F1700">
            <v>0.15</v>
          </cell>
          <cell r="G1700">
            <v>131205</v>
          </cell>
          <cell r="H1700">
            <v>19681</v>
          </cell>
        </row>
        <row r="1701">
          <cell r="A1701" t="str">
            <v>015.263</v>
          </cell>
          <cell r="B1701" t="str">
            <v>H2</v>
          </cell>
          <cell r="C1701" t="str">
            <v>EQUIPO BASICO (HERRAMIENTA MENOR)</v>
          </cell>
          <cell r="D1701" t="str">
            <v>Herramienta</v>
          </cell>
          <cell r="E1701" t="str">
            <v>UND</v>
          </cell>
          <cell r="F1701">
            <v>3</v>
          </cell>
          <cell r="G1701">
            <v>2536</v>
          </cell>
          <cell r="H1701">
            <v>7608</v>
          </cell>
        </row>
        <row r="1702">
          <cell r="A1702" t="str">
            <v>015.263</v>
          </cell>
          <cell r="B1702" t="str">
            <v>I1724</v>
          </cell>
          <cell r="C1702" t="str">
            <v>SUMINISTRO DE MARCADORES EN ACRILICO</v>
          </cell>
          <cell r="D1702" t="str">
            <v>Insumo</v>
          </cell>
          <cell r="E1702" t="str">
            <v>ML</v>
          </cell>
          <cell r="F1702">
            <v>1</v>
          </cell>
          <cell r="G1702">
            <v>2238</v>
          </cell>
          <cell r="H1702">
            <v>2238</v>
          </cell>
        </row>
        <row r="1703">
          <cell r="A1703" t="str">
            <v>015.263</v>
          </cell>
          <cell r="B1703" t="str">
            <v>I1749</v>
          </cell>
          <cell r="C1703" t="str">
            <v>SUMINISTRO DE ALAMBRE 12 AWG HFFR LS 600V 75º CT</v>
          </cell>
          <cell r="D1703" t="str">
            <v>Insumo</v>
          </cell>
          <cell r="E1703" t="str">
            <v>ML</v>
          </cell>
          <cell r="F1703">
            <v>18</v>
          </cell>
          <cell r="G1703">
            <v>1589</v>
          </cell>
          <cell r="H1703">
            <v>28602</v>
          </cell>
        </row>
        <row r="1704">
          <cell r="A1704" t="str">
            <v>015.263</v>
          </cell>
          <cell r="B1704" t="str">
            <v>I1137</v>
          </cell>
          <cell r="C1704" t="str">
            <v>ADAPTADOR TERMINAL PVC 3/4"</v>
          </cell>
          <cell r="D1704" t="str">
            <v>Insumo</v>
          </cell>
          <cell r="E1704" t="str">
            <v>UND</v>
          </cell>
          <cell r="F1704">
            <v>2</v>
          </cell>
          <cell r="G1704">
            <v>245</v>
          </cell>
          <cell r="H1704">
            <v>490</v>
          </cell>
        </row>
        <row r="1705">
          <cell r="A1705" t="str">
            <v>015.263</v>
          </cell>
          <cell r="B1705" t="str">
            <v>I1110</v>
          </cell>
          <cell r="C1705" t="str">
            <v>ACCESORIOS DE FIJACION</v>
          </cell>
          <cell r="D1705" t="str">
            <v>Insumo</v>
          </cell>
          <cell r="E1705" t="str">
            <v>UND</v>
          </cell>
          <cell r="F1705">
            <v>3</v>
          </cell>
          <cell r="G1705">
            <v>1792</v>
          </cell>
          <cell r="H1705">
            <v>5376</v>
          </cell>
        </row>
        <row r="1706">
          <cell r="A1706" t="str">
            <v>015.263</v>
          </cell>
          <cell r="B1706" t="str">
            <v>I1473</v>
          </cell>
          <cell r="C1706" t="str">
            <v>TUBO CONDUIT PVC 3/4"</v>
          </cell>
          <cell r="D1706" t="str">
            <v>Insumo</v>
          </cell>
          <cell r="E1706" t="str">
            <v>M</v>
          </cell>
          <cell r="F1706">
            <v>6</v>
          </cell>
          <cell r="G1706">
            <v>1220</v>
          </cell>
          <cell r="H1706">
            <v>7320</v>
          </cell>
        </row>
        <row r="1707">
          <cell r="A1707" t="str">
            <v>015.263</v>
          </cell>
          <cell r="B1707" t="str">
            <v>I1759</v>
          </cell>
          <cell r="C1707" t="str">
            <v>SUMINISTRO DE CAJA 2X4" PLASTICA</v>
          </cell>
          <cell r="D1707" t="str">
            <v>Insumo</v>
          </cell>
          <cell r="E1707" t="str">
            <v>UND</v>
          </cell>
          <cell r="F1707">
            <v>1</v>
          </cell>
          <cell r="G1707">
            <v>775</v>
          </cell>
          <cell r="H1707">
            <v>775</v>
          </cell>
        </row>
        <row r="1708">
          <cell r="A1708" t="str">
            <v>015.263</v>
          </cell>
          <cell r="B1708" t="str">
            <v>I1766</v>
          </cell>
          <cell r="C1708" t="str">
            <v>SUMINISTRO DE TOMACORRIENTE TIPO  REGULADO COLOR NARANJA</v>
          </cell>
          <cell r="D1708" t="str">
            <v>Insumo</v>
          </cell>
          <cell r="E1708" t="str">
            <v>UND</v>
          </cell>
          <cell r="F1708">
            <v>1</v>
          </cell>
          <cell r="G1708">
            <v>36186</v>
          </cell>
          <cell r="H1708">
            <v>36186</v>
          </cell>
        </row>
        <row r="1710">
          <cell r="A1710" t="str">
            <v>015.264</v>
          </cell>
          <cell r="B1710" t="str">
            <v>-</v>
          </cell>
          <cell r="C1710" t="str">
            <v>SUMINISTRO E INSTALACION SALIDA  PUNTO TOMACORRIENTE DOBLE TIPO REGULADO COLOR NARANJA EN TECHO  EN TUBERIA CONDUIT EMT 3/4"</v>
          </cell>
          <cell r="D1710" t="str">
            <v>Actividad</v>
          </cell>
          <cell r="E1710" t="str">
            <v>UND</v>
          </cell>
          <cell r="H1710">
            <v>168219</v>
          </cell>
        </row>
        <row r="1711">
          <cell r="A1711" t="str">
            <v>015.264</v>
          </cell>
          <cell r="B1711" t="str">
            <v>C6</v>
          </cell>
          <cell r="C1711" t="str">
            <v>CUADRILLA FF TIPO 1 (1 OFICIAL + 1 AYUDANTE) (ELECTRICAS)</v>
          </cell>
          <cell r="D1711" t="str">
            <v>Cuadrilla</v>
          </cell>
          <cell r="E1711" t="str">
            <v>HR</v>
          </cell>
          <cell r="F1711">
            <v>0.75</v>
          </cell>
          <cell r="G1711">
            <v>23707</v>
          </cell>
          <cell r="H1711">
            <v>17780</v>
          </cell>
        </row>
        <row r="1712">
          <cell r="A1712" t="str">
            <v>015.264</v>
          </cell>
          <cell r="B1712" t="str">
            <v>E12</v>
          </cell>
          <cell r="C1712" t="str">
            <v>EQUIPO DE TRANSPORTE</v>
          </cell>
          <cell r="D1712" t="str">
            <v>Equipos</v>
          </cell>
          <cell r="E1712" t="str">
            <v>DIA</v>
          </cell>
          <cell r="F1712">
            <v>0.15</v>
          </cell>
          <cell r="G1712">
            <v>131205</v>
          </cell>
          <cell r="H1712">
            <v>19681</v>
          </cell>
        </row>
        <row r="1713">
          <cell r="A1713" t="str">
            <v>015.264</v>
          </cell>
          <cell r="B1713" t="str">
            <v>H2</v>
          </cell>
          <cell r="C1713" t="str">
            <v>EQUIPO BASICO (HERRAMIENTA MENOR)</v>
          </cell>
          <cell r="D1713" t="str">
            <v>Herramienta</v>
          </cell>
          <cell r="E1713" t="str">
            <v>UND</v>
          </cell>
          <cell r="F1713">
            <v>3</v>
          </cell>
          <cell r="G1713">
            <v>2536</v>
          </cell>
          <cell r="H1713">
            <v>7608</v>
          </cell>
        </row>
        <row r="1714">
          <cell r="A1714" t="str">
            <v>015.264</v>
          </cell>
          <cell r="B1714" t="str">
            <v>I1724</v>
          </cell>
          <cell r="C1714" t="str">
            <v>SUMINISTRO DE MARCADORES EN ACRILICO</v>
          </cell>
          <cell r="D1714" t="str">
            <v>Insumo</v>
          </cell>
          <cell r="E1714" t="str">
            <v>ML</v>
          </cell>
          <cell r="F1714">
            <v>1</v>
          </cell>
          <cell r="G1714">
            <v>2238</v>
          </cell>
          <cell r="H1714">
            <v>2238</v>
          </cell>
        </row>
        <row r="1715">
          <cell r="A1715" t="str">
            <v>015.264</v>
          </cell>
          <cell r="B1715" t="str">
            <v>I1749</v>
          </cell>
          <cell r="C1715" t="str">
            <v>SUMINISTRO DE ALAMBRE 12 AWG HFFR LS 600V 75º CT</v>
          </cell>
          <cell r="D1715" t="str">
            <v>Insumo</v>
          </cell>
          <cell r="E1715" t="str">
            <v>ML</v>
          </cell>
          <cell r="F1715">
            <v>18</v>
          </cell>
          <cell r="G1715">
            <v>1589</v>
          </cell>
          <cell r="H1715">
            <v>28602</v>
          </cell>
        </row>
        <row r="1716">
          <cell r="A1716" t="str">
            <v>015.264</v>
          </cell>
          <cell r="B1716" t="str">
            <v>I1116</v>
          </cell>
          <cell r="C1716" t="str">
            <v>ACCESORIOS FIJACION TUBERIA EMT 3/4" (ABRAZADERA, ALAMBRE)</v>
          </cell>
          <cell r="D1716" t="str">
            <v>Insumo</v>
          </cell>
          <cell r="E1716" t="str">
            <v>UND</v>
          </cell>
          <cell r="F1716">
            <v>3</v>
          </cell>
          <cell r="G1716">
            <v>2152</v>
          </cell>
          <cell r="H1716">
            <v>6456</v>
          </cell>
        </row>
        <row r="1717">
          <cell r="A1717" t="str">
            <v>015.264</v>
          </cell>
          <cell r="B1717" t="str">
            <v>I1129</v>
          </cell>
          <cell r="C1717" t="str">
            <v>ACCESORIOS TUBERIA EMT 3/4" (UNION Y CURVA)</v>
          </cell>
          <cell r="D1717" t="str">
            <v>Insumo</v>
          </cell>
          <cell r="E1717" t="str">
            <v>UND</v>
          </cell>
          <cell r="F1717">
            <v>2</v>
          </cell>
          <cell r="G1717">
            <v>4524</v>
          </cell>
          <cell r="H1717">
            <v>9048</v>
          </cell>
        </row>
        <row r="1718">
          <cell r="A1718" t="str">
            <v>015.264</v>
          </cell>
          <cell r="B1718" t="str">
            <v>I1461</v>
          </cell>
          <cell r="C1718" t="str">
            <v xml:space="preserve">TUBO CONDUIT GALVANIZADA EMT 3/4" </v>
          </cell>
          <cell r="D1718" t="str">
            <v>Insumo</v>
          </cell>
          <cell r="E1718" t="str">
            <v>M</v>
          </cell>
          <cell r="F1718">
            <v>6</v>
          </cell>
          <cell r="G1718">
            <v>6364</v>
          </cell>
          <cell r="H1718">
            <v>38184</v>
          </cell>
        </row>
        <row r="1719">
          <cell r="A1719" t="str">
            <v>015.264</v>
          </cell>
          <cell r="B1719" t="str">
            <v>I1205</v>
          </cell>
          <cell r="C1719" t="str">
            <v xml:space="preserve">CAJA METALICA GALVANIZADA (REF: 2400) </v>
          </cell>
          <cell r="D1719" t="str">
            <v>Insumos</v>
          </cell>
          <cell r="E1719" t="str">
            <v>UND</v>
          </cell>
          <cell r="F1719">
            <v>1</v>
          </cell>
          <cell r="G1719">
            <v>2436</v>
          </cell>
          <cell r="H1719">
            <v>2436</v>
          </cell>
        </row>
        <row r="1720">
          <cell r="A1720" t="str">
            <v>015.264</v>
          </cell>
          <cell r="B1720" t="str">
            <v>I1766</v>
          </cell>
          <cell r="C1720" t="str">
            <v>SUMINISTRO DE TOMACORRIENTE TIPO  REGULADO COLOR NARANJA</v>
          </cell>
          <cell r="D1720" t="str">
            <v>Insumo</v>
          </cell>
          <cell r="E1720" t="str">
            <v>UND</v>
          </cell>
          <cell r="F1720">
            <v>1</v>
          </cell>
          <cell r="G1720">
            <v>36186</v>
          </cell>
          <cell r="H1720">
            <v>36186</v>
          </cell>
        </row>
        <row r="1722">
          <cell r="A1722" t="str">
            <v>015.265</v>
          </cell>
          <cell r="B1722" t="str">
            <v>-</v>
          </cell>
          <cell r="C1722" t="str">
            <v>SUMINISTRO E INSTALACION SALIDA  PUNTO TOMACORRIENTE DOBLE TIPO REGULADO COLOR NARANJA EN TUBERIA CONDUIT PVC 3/4", ALAMBRE No 12 AWG HFFR LS + incluye tapa tipo intemperie</v>
          </cell>
          <cell r="D1722" t="str">
            <v>Actividad</v>
          </cell>
          <cell r="E1722" t="str">
            <v>UND</v>
          </cell>
          <cell r="H1722">
            <v>141046</v>
          </cell>
        </row>
        <row r="1723">
          <cell r="A1723" t="str">
            <v>015.265</v>
          </cell>
          <cell r="B1723" t="str">
            <v>C6</v>
          </cell>
          <cell r="C1723" t="str">
            <v>CUADRILLA FF TIPO 1 (1 OFICIAL + 1 AYUDANTE) (ELECTRICAS)</v>
          </cell>
          <cell r="D1723" t="str">
            <v>Cuadrilla</v>
          </cell>
          <cell r="E1723" t="str">
            <v>HR</v>
          </cell>
          <cell r="F1723">
            <v>0.75</v>
          </cell>
          <cell r="G1723">
            <v>23707</v>
          </cell>
          <cell r="H1723">
            <v>17780</v>
          </cell>
        </row>
        <row r="1724">
          <cell r="A1724" t="str">
            <v>015.265</v>
          </cell>
          <cell r="B1724" t="str">
            <v>E12</v>
          </cell>
          <cell r="C1724" t="str">
            <v>EQUIPO DE TRANSPORTE</v>
          </cell>
          <cell r="D1724" t="str">
            <v>Equipos</v>
          </cell>
          <cell r="E1724" t="str">
            <v>DIA</v>
          </cell>
          <cell r="F1724">
            <v>0.15</v>
          </cell>
          <cell r="G1724">
            <v>131205</v>
          </cell>
          <cell r="H1724">
            <v>19681</v>
          </cell>
        </row>
        <row r="1725">
          <cell r="A1725" t="str">
            <v>015.265</v>
          </cell>
          <cell r="B1725" t="str">
            <v>H2</v>
          </cell>
          <cell r="C1725" t="str">
            <v>EQUIPO BASICO (HERRAMIENTA MENOR)</v>
          </cell>
          <cell r="D1725" t="str">
            <v>Herramienta</v>
          </cell>
          <cell r="E1725" t="str">
            <v>UND</v>
          </cell>
          <cell r="F1725">
            <v>3</v>
          </cell>
          <cell r="G1725">
            <v>2536</v>
          </cell>
          <cell r="H1725">
            <v>7608</v>
          </cell>
        </row>
        <row r="1726">
          <cell r="A1726" t="str">
            <v>015.265</v>
          </cell>
          <cell r="B1726" t="str">
            <v>I1724</v>
          </cell>
          <cell r="C1726" t="str">
            <v>SUMINISTRO DE MARCADORES EN ACRILICO</v>
          </cell>
          <cell r="D1726" t="str">
            <v>Insumo</v>
          </cell>
          <cell r="E1726" t="str">
            <v>ML</v>
          </cell>
          <cell r="F1726">
            <v>1</v>
          </cell>
          <cell r="G1726">
            <v>2238</v>
          </cell>
          <cell r="H1726">
            <v>2238</v>
          </cell>
        </row>
        <row r="1727">
          <cell r="A1727" t="str">
            <v>015.265</v>
          </cell>
          <cell r="B1727" t="str">
            <v>I1749</v>
          </cell>
          <cell r="C1727" t="str">
            <v>SUMINISTRO DE ALAMBRE 12 AWG HFFR LS 600V 75º CT</v>
          </cell>
          <cell r="D1727" t="str">
            <v>Insumo</v>
          </cell>
          <cell r="E1727" t="str">
            <v>ML</v>
          </cell>
          <cell r="F1727">
            <v>18</v>
          </cell>
          <cell r="G1727">
            <v>1589</v>
          </cell>
          <cell r="H1727">
            <v>28602</v>
          </cell>
        </row>
        <row r="1728">
          <cell r="A1728" t="str">
            <v>015.265</v>
          </cell>
          <cell r="B1728" t="str">
            <v>I1137</v>
          </cell>
          <cell r="C1728" t="str">
            <v>ADAPTADOR TERMINAL PVC 3/4"</v>
          </cell>
          <cell r="D1728" t="str">
            <v>Insumo</v>
          </cell>
          <cell r="E1728" t="str">
            <v>UND</v>
          </cell>
          <cell r="F1728">
            <v>2</v>
          </cell>
          <cell r="G1728">
            <v>245</v>
          </cell>
          <cell r="H1728">
            <v>490</v>
          </cell>
        </row>
        <row r="1729">
          <cell r="A1729" t="str">
            <v>015.265</v>
          </cell>
          <cell r="B1729" t="str">
            <v>I1110</v>
          </cell>
          <cell r="C1729" t="str">
            <v>ACCESORIOS DE FIJACION</v>
          </cell>
          <cell r="D1729" t="str">
            <v>Insumo</v>
          </cell>
          <cell r="E1729" t="str">
            <v>UND</v>
          </cell>
          <cell r="F1729">
            <v>3</v>
          </cell>
          <cell r="G1729">
            <v>1792</v>
          </cell>
          <cell r="H1729">
            <v>5376</v>
          </cell>
        </row>
        <row r="1730">
          <cell r="A1730" t="str">
            <v>015.265</v>
          </cell>
          <cell r="B1730" t="str">
            <v>I1473</v>
          </cell>
          <cell r="C1730" t="str">
            <v>TUBO CONDUIT PVC 3/4"</v>
          </cell>
          <cell r="D1730" t="str">
            <v>Insumo</v>
          </cell>
          <cell r="E1730" t="str">
            <v>M</v>
          </cell>
          <cell r="F1730">
            <v>6</v>
          </cell>
          <cell r="G1730">
            <v>1220</v>
          </cell>
          <cell r="H1730">
            <v>7320</v>
          </cell>
        </row>
        <row r="1731">
          <cell r="A1731" t="str">
            <v>015.265</v>
          </cell>
          <cell r="B1731" t="str">
            <v>I1759</v>
          </cell>
          <cell r="C1731" t="str">
            <v>SUMINISTRO DE CAJA 2X4" PLASTICA</v>
          </cell>
          <cell r="D1731" t="str">
            <v>Insumo</v>
          </cell>
          <cell r="E1731" t="str">
            <v>UND</v>
          </cell>
          <cell r="F1731">
            <v>1</v>
          </cell>
          <cell r="G1731">
            <v>775</v>
          </cell>
          <cell r="H1731">
            <v>775</v>
          </cell>
        </row>
        <row r="1732">
          <cell r="A1732" t="str">
            <v>015.265</v>
          </cell>
          <cell r="B1732" t="str">
            <v>I1766</v>
          </cell>
          <cell r="C1732" t="str">
            <v>SUMINISTRO DE TOMACORRIENTE TIPO  REGULADO COLOR NARANJA</v>
          </cell>
          <cell r="D1732" t="str">
            <v>Insumo</v>
          </cell>
          <cell r="E1732" t="str">
            <v>UND</v>
          </cell>
          <cell r="F1732">
            <v>1</v>
          </cell>
          <cell r="G1732">
            <v>36186</v>
          </cell>
          <cell r="H1732">
            <v>36186</v>
          </cell>
        </row>
        <row r="1733">
          <cell r="A1733" t="str">
            <v>015.265</v>
          </cell>
          <cell r="B1733" t="str">
            <v>I1517</v>
          </cell>
          <cell r="C1733" t="str">
            <v xml:space="preserve">TAPA PLASTICA PARA TOMA CORRIENTE </v>
          </cell>
          <cell r="D1733" t="str">
            <v>Insumo</v>
          </cell>
          <cell r="E1733" t="str">
            <v>UND</v>
          </cell>
          <cell r="F1733">
            <v>1</v>
          </cell>
          <cell r="G1733">
            <v>14990</v>
          </cell>
          <cell r="H1733">
            <v>14990</v>
          </cell>
        </row>
        <row r="1735">
          <cell r="A1735" t="str">
            <v>015.266</v>
          </cell>
          <cell r="B1735" t="str">
            <v>-</v>
          </cell>
          <cell r="C1735" t="str">
            <v>SUMINISTRO, TRANSPORTE E INSTALACION ACOMETIDA 2F4H HFFR LS EN CABLE 2X6AWG + 6AWG (N) + 6AWG (T). NO INCLUYE CONDULINADO.</v>
          </cell>
          <cell r="D1735" t="str">
            <v>Actividad</v>
          </cell>
          <cell r="E1735" t="str">
            <v>ML</v>
          </cell>
          <cell r="H1735">
            <v>31050</v>
          </cell>
        </row>
        <row r="1736">
          <cell r="A1736" t="str">
            <v>015.266</v>
          </cell>
          <cell r="B1736" t="str">
            <v>C13</v>
          </cell>
          <cell r="C1736" t="str">
            <v>CUADRILLA FF TIPO 2 (1 OFICIAL + 2 AYUDANTE) (Electricas)</v>
          </cell>
          <cell r="D1736" t="str">
            <v>Cuadrilla</v>
          </cell>
          <cell r="E1736" t="str">
            <v>HR</v>
          </cell>
          <cell r="F1736">
            <v>0.12</v>
          </cell>
          <cell r="G1736">
            <v>33348</v>
          </cell>
          <cell r="H1736">
            <v>4002</v>
          </cell>
        </row>
        <row r="1737">
          <cell r="A1737" t="str">
            <v>015.266</v>
          </cell>
          <cell r="B1737" t="str">
            <v>E12</v>
          </cell>
          <cell r="C1737" t="str">
            <v>EQUIPO DE TRANSPORTE</v>
          </cell>
          <cell r="D1737" t="str">
            <v>Equipos</v>
          </cell>
          <cell r="E1737" t="str">
            <v>DIA</v>
          </cell>
          <cell r="F1737">
            <v>3.0999999999999999E-3</v>
          </cell>
          <cell r="G1737">
            <v>131205</v>
          </cell>
          <cell r="H1737">
            <v>407</v>
          </cell>
        </row>
        <row r="1738">
          <cell r="A1738" t="str">
            <v>015.266</v>
          </cell>
          <cell r="B1738" t="str">
            <v>H2</v>
          </cell>
          <cell r="C1738" t="str">
            <v>EQUIPO BASICO (HERRAMIENTA MENOR)</v>
          </cell>
          <cell r="D1738" t="str">
            <v>Herramienta</v>
          </cell>
          <cell r="E1738" t="str">
            <v>UND</v>
          </cell>
          <cell r="F1738">
            <v>0.1</v>
          </cell>
          <cell r="G1738">
            <v>2536</v>
          </cell>
          <cell r="H1738">
            <v>254</v>
          </cell>
        </row>
        <row r="1739">
          <cell r="A1739" t="str">
            <v>015.266</v>
          </cell>
          <cell r="B1739" t="str">
            <v>I1195</v>
          </cell>
          <cell r="C1739" t="str">
            <v>SUMINISTRO DE CABLE 6 AWG HFFR LS 600V 75º CT</v>
          </cell>
          <cell r="D1739" t="str">
            <v>Insumo</v>
          </cell>
          <cell r="E1739" t="str">
            <v>M</v>
          </cell>
          <cell r="F1739">
            <v>4.04</v>
          </cell>
          <cell r="G1739">
            <v>6469</v>
          </cell>
          <cell r="H1739">
            <v>26135</v>
          </cell>
        </row>
        <row r="1740">
          <cell r="A1740" t="str">
            <v>015.266</v>
          </cell>
          <cell r="B1740" t="str">
            <v>I1565</v>
          </cell>
          <cell r="C1740" t="str">
            <v>ACARREO INTERNO</v>
          </cell>
          <cell r="D1740" t="str">
            <v>Insumo</v>
          </cell>
          <cell r="E1740" t="str">
            <v>UND</v>
          </cell>
          <cell r="F1740">
            <v>0.19</v>
          </cell>
          <cell r="G1740">
            <v>1327</v>
          </cell>
          <cell r="H1740">
            <v>252</v>
          </cell>
        </row>
        <row r="1742">
          <cell r="A1742" t="str">
            <v>015.267</v>
          </cell>
          <cell r="B1742" t="str">
            <v>-</v>
          </cell>
          <cell r="C1742" t="str">
            <v xml:space="preserve">SUMINISTRO E INSTALACION DE TUBERIA CONDUIT EMT 1". </v>
          </cell>
          <cell r="D1742" t="str">
            <v>Actividad</v>
          </cell>
          <cell r="E1742" t="str">
            <v>ML</v>
          </cell>
          <cell r="H1742">
            <v>27399</v>
          </cell>
        </row>
        <row r="1743">
          <cell r="A1743" t="str">
            <v>015.267</v>
          </cell>
          <cell r="B1743" t="str">
            <v>C13</v>
          </cell>
          <cell r="C1743" t="str">
            <v>CUADRILLA FF TIPO 2 (1 OFICIAL + 2 AYUDANTE) (Electricas)</v>
          </cell>
          <cell r="D1743" t="str">
            <v>Cuadrilla</v>
          </cell>
          <cell r="E1743" t="str">
            <v>HR</v>
          </cell>
          <cell r="F1743">
            <v>0.2</v>
          </cell>
          <cell r="G1743">
            <v>33348</v>
          </cell>
          <cell r="H1743">
            <v>6670</v>
          </cell>
        </row>
        <row r="1744">
          <cell r="A1744" t="str">
            <v>015.267</v>
          </cell>
          <cell r="B1744" t="str">
            <v>E12</v>
          </cell>
          <cell r="C1744" t="str">
            <v>EQUIPO DE TRANSPORTE</v>
          </cell>
          <cell r="D1744" t="str">
            <v>Equipos</v>
          </cell>
          <cell r="E1744" t="str">
            <v>DIA</v>
          </cell>
          <cell r="F1744">
            <v>2.8999999999999998E-3</v>
          </cell>
          <cell r="G1744">
            <v>131205</v>
          </cell>
          <cell r="H1744">
            <v>380</v>
          </cell>
        </row>
        <row r="1745">
          <cell r="A1745" t="str">
            <v>015.267</v>
          </cell>
          <cell r="B1745" t="str">
            <v>H2</v>
          </cell>
          <cell r="C1745" t="str">
            <v>EQUIPO BASICO (HERRAMIENTA MENOR)</v>
          </cell>
          <cell r="D1745" t="str">
            <v>Herramienta</v>
          </cell>
          <cell r="E1745" t="str">
            <v>UND</v>
          </cell>
          <cell r="F1745">
            <v>0.2</v>
          </cell>
          <cell r="G1745">
            <v>2536</v>
          </cell>
          <cell r="H1745">
            <v>507</v>
          </cell>
        </row>
        <row r="1746">
          <cell r="A1746" t="str">
            <v>015.267</v>
          </cell>
          <cell r="B1746" t="str">
            <v>I1111</v>
          </cell>
          <cell r="C1746" t="str">
            <v>ACCESORIOS FIJACION TUBERIA EMT 1" (ABRAZADERA, ALAMBRE)</v>
          </cell>
          <cell r="D1746" t="str">
            <v>Insumo</v>
          </cell>
          <cell r="E1746" t="str">
            <v>UND</v>
          </cell>
          <cell r="F1746">
            <v>1</v>
          </cell>
          <cell r="G1746">
            <v>2869</v>
          </cell>
          <cell r="H1746">
            <v>2869</v>
          </cell>
        </row>
        <row r="1747">
          <cell r="A1747" t="str">
            <v>015.267</v>
          </cell>
          <cell r="B1747" t="str">
            <v>I1124</v>
          </cell>
          <cell r="C1747" t="str">
            <v>ACCESORIOS TUBERIA EMT 1" (UNION, ADAPTADOR, CURVA)</v>
          </cell>
          <cell r="D1747" t="str">
            <v>Insumo</v>
          </cell>
          <cell r="E1747" t="str">
            <v>UND</v>
          </cell>
          <cell r="F1747">
            <v>1</v>
          </cell>
          <cell r="G1747">
            <v>7238</v>
          </cell>
          <cell r="H1747">
            <v>7238</v>
          </cell>
        </row>
        <row r="1748">
          <cell r="A1748" t="str">
            <v>015.267</v>
          </cell>
          <cell r="B1748" t="str">
            <v>I1457</v>
          </cell>
          <cell r="C1748" t="str">
            <v>TUBO CONDUIT GALVANIZADA EMT 1"</v>
          </cell>
          <cell r="D1748" t="str">
            <v>Insumo</v>
          </cell>
          <cell r="E1748" t="str">
            <v>M</v>
          </cell>
          <cell r="F1748">
            <v>1</v>
          </cell>
          <cell r="G1748">
            <v>9337</v>
          </cell>
          <cell r="H1748">
            <v>9337</v>
          </cell>
        </row>
        <row r="1749">
          <cell r="A1749" t="str">
            <v>015.267</v>
          </cell>
          <cell r="B1749" t="str">
            <v>I1565</v>
          </cell>
          <cell r="C1749" t="str">
            <v>ACARREO INTERNO</v>
          </cell>
          <cell r="D1749" t="str">
            <v>Insumo</v>
          </cell>
          <cell r="E1749" t="str">
            <v>UND</v>
          </cell>
          <cell r="F1749">
            <v>0.3</v>
          </cell>
          <cell r="G1749">
            <v>1327</v>
          </cell>
          <cell r="H1749">
            <v>398</v>
          </cell>
        </row>
        <row r="1751">
          <cell r="A1751" t="str">
            <v>015.268</v>
          </cell>
          <cell r="B1751" t="str">
            <v>-</v>
          </cell>
          <cell r="C1751" t="str">
            <v>SUMINISTRO E INSTALACION DE TABLERO DE 8 CIRCUITOS 2F4H, CON PUERTA. BARRAJE PARA 200A BARRA NEUTRO Y BARRA TIERRA  Calidad Legrand, Siemens, SqareD o superior de marca reconocida y homologada por el CIDET</v>
          </cell>
          <cell r="D1751" t="str">
            <v>Actividad</v>
          </cell>
          <cell r="E1751" t="str">
            <v>UND</v>
          </cell>
          <cell r="H1751">
            <v>252604</v>
          </cell>
        </row>
        <row r="1752">
          <cell r="A1752" t="str">
            <v>015.268</v>
          </cell>
          <cell r="B1752" t="str">
            <v>C13</v>
          </cell>
          <cell r="C1752" t="str">
            <v>CUADRILLA FF TIPO 2 (1 OFICIAL + 2 AYUDANTE) (Electricas)</v>
          </cell>
          <cell r="D1752" t="str">
            <v>Cuadrilla</v>
          </cell>
          <cell r="E1752" t="str">
            <v>HR</v>
          </cell>
          <cell r="F1752">
            <v>3.5</v>
          </cell>
          <cell r="G1752">
            <v>33348</v>
          </cell>
          <cell r="H1752">
            <v>116718</v>
          </cell>
        </row>
        <row r="1753">
          <cell r="A1753" t="str">
            <v>015.268</v>
          </cell>
          <cell r="B1753" t="str">
            <v>E12</v>
          </cell>
          <cell r="C1753" t="str">
            <v>EQUIPO DE TRANSPORTE</v>
          </cell>
          <cell r="D1753" t="str">
            <v>Equipos</v>
          </cell>
          <cell r="E1753" t="str">
            <v>DIA</v>
          </cell>
          <cell r="F1753">
            <v>1.84E-2</v>
          </cell>
          <cell r="G1753">
            <v>131205</v>
          </cell>
          <cell r="H1753">
            <v>2414</v>
          </cell>
        </row>
        <row r="1754">
          <cell r="A1754" t="str">
            <v>015.268</v>
          </cell>
          <cell r="B1754" t="str">
            <v>H2</v>
          </cell>
          <cell r="C1754" t="str">
            <v>EQUIPO BASICO (HERRAMIENTA MENOR)</v>
          </cell>
          <cell r="D1754" t="str">
            <v>Herramienta</v>
          </cell>
          <cell r="E1754" t="str">
            <v>UND</v>
          </cell>
          <cell r="F1754">
            <v>0.5</v>
          </cell>
          <cell r="G1754">
            <v>2536</v>
          </cell>
          <cell r="H1754">
            <v>1268</v>
          </cell>
        </row>
        <row r="1755">
          <cell r="A1755" t="str">
            <v>015.268</v>
          </cell>
          <cell r="B1755" t="str">
            <v>I1406</v>
          </cell>
          <cell r="C1755" t="str">
            <v>TABLERO DE 8 CIRCUITOS 2F4H, CON PUERTA - CON BARRA NEUTRO Y BARRA TIERRA  CALIDAD LEGRAND, SIEMENS, SQARED O SUPERIOR DE MARCA RECONOCIDA Y HOMOLOGADA POR EL CIDET</v>
          </cell>
          <cell r="D1755" t="str">
            <v>Insumo</v>
          </cell>
          <cell r="E1755" t="str">
            <v>UND</v>
          </cell>
          <cell r="F1755">
            <v>1</v>
          </cell>
          <cell r="G1755">
            <v>124905</v>
          </cell>
          <cell r="H1755">
            <v>124905</v>
          </cell>
        </row>
        <row r="1756">
          <cell r="A1756" t="str">
            <v>015.268</v>
          </cell>
          <cell r="B1756" t="str">
            <v>I1565</v>
          </cell>
          <cell r="C1756" t="str">
            <v>ACARREO INTERNO</v>
          </cell>
          <cell r="D1756" t="str">
            <v>Insumo</v>
          </cell>
          <cell r="E1756" t="str">
            <v>UND</v>
          </cell>
          <cell r="F1756">
            <v>5.5</v>
          </cell>
          <cell r="G1756">
            <v>1327</v>
          </cell>
          <cell r="H1756">
            <v>7299</v>
          </cell>
        </row>
        <row r="1758">
          <cell r="A1758" t="str">
            <v>015.269</v>
          </cell>
          <cell r="B1758" t="str">
            <v>-</v>
          </cell>
          <cell r="C1758" t="str">
            <v>SUMINISTRO E INSTALACION DE INTERRUPTOR ENCHUFABLE 1X20A. Calidad Legrand, Siemens, SqareD o superior de marca reconocida y homologada por el CIDET</v>
          </cell>
          <cell r="D1758" t="str">
            <v>Actividad</v>
          </cell>
          <cell r="E1758" t="str">
            <v>UND</v>
          </cell>
          <cell r="H1758">
            <v>11781</v>
          </cell>
        </row>
        <row r="1759">
          <cell r="A1759" t="str">
            <v>015.269</v>
          </cell>
          <cell r="B1759" t="str">
            <v>C13</v>
          </cell>
          <cell r="C1759" t="str">
            <v>CUADRILLA FF TIPO 2 (1 OFICIAL + 2 AYUDANTE) (Electricas)</v>
          </cell>
          <cell r="D1759" t="str">
            <v>Cuadrilla</v>
          </cell>
          <cell r="E1759" t="str">
            <v>HR</v>
          </cell>
          <cell r="F1759">
            <v>0.1</v>
          </cell>
          <cell r="G1759">
            <v>33348</v>
          </cell>
          <cell r="H1759">
            <v>3335</v>
          </cell>
        </row>
        <row r="1760">
          <cell r="A1760" t="str">
            <v>015.269</v>
          </cell>
          <cell r="B1760" t="str">
            <v>E12</v>
          </cell>
          <cell r="C1760" t="str">
            <v>EQUIPO DE TRANSPORTE</v>
          </cell>
          <cell r="D1760" t="str">
            <v>Equipos</v>
          </cell>
          <cell r="E1760" t="str">
            <v>DIA</v>
          </cell>
          <cell r="F1760">
            <v>1.1999999999999999E-3</v>
          </cell>
          <cell r="G1760">
            <v>131205</v>
          </cell>
          <cell r="H1760">
            <v>157</v>
          </cell>
        </row>
        <row r="1761">
          <cell r="A1761" t="str">
            <v>015.269</v>
          </cell>
          <cell r="B1761" t="str">
            <v>H2</v>
          </cell>
          <cell r="C1761" t="str">
            <v>EQUIPO BASICO (HERRAMIENTA MENOR)</v>
          </cell>
          <cell r="D1761" t="str">
            <v>Herramienta</v>
          </cell>
          <cell r="E1761" t="str">
            <v>UND</v>
          </cell>
          <cell r="F1761">
            <v>0.1</v>
          </cell>
          <cell r="G1761">
            <v>2536</v>
          </cell>
          <cell r="H1761">
            <v>254</v>
          </cell>
        </row>
        <row r="1762">
          <cell r="A1762" t="str">
            <v>015.269</v>
          </cell>
          <cell r="B1762" t="str">
            <v>I1292</v>
          </cell>
          <cell r="C1762" t="str">
            <v>INTERRUPTOR ENCHUFABLE DE 1  X  20A - 240V - 10KA</v>
          </cell>
          <cell r="D1762" t="str">
            <v>Insumo</v>
          </cell>
          <cell r="E1762" t="str">
            <v>UND</v>
          </cell>
          <cell r="F1762">
            <v>1</v>
          </cell>
          <cell r="G1762">
            <v>7836</v>
          </cell>
          <cell r="H1762">
            <v>7836</v>
          </cell>
        </row>
        <row r="1763">
          <cell r="A1763" t="str">
            <v>015.269</v>
          </cell>
          <cell r="B1763" t="str">
            <v>I1565</v>
          </cell>
          <cell r="C1763" t="str">
            <v>ACARREO INTERNO</v>
          </cell>
          <cell r="D1763" t="str">
            <v>Insumo</v>
          </cell>
          <cell r="E1763" t="str">
            <v>UND</v>
          </cell>
          <cell r="F1763">
            <v>0.15</v>
          </cell>
          <cell r="G1763">
            <v>1327</v>
          </cell>
          <cell r="H1763">
            <v>199</v>
          </cell>
        </row>
        <row r="1765">
          <cell r="A1765" t="str">
            <v>015.270</v>
          </cell>
          <cell r="B1765" t="str">
            <v>-</v>
          </cell>
          <cell r="C1765" t="str">
            <v>SUMINISTRO, TRANSPORTE E INSTALACION ACOMETIDA 2F4H HFFR LS EN ALAMBRE 2X8AWG + 8AWG (N) + 8 AWG (T). NO INCLUYE CONDULINADO.</v>
          </cell>
          <cell r="D1765" t="str">
            <v>Actividad</v>
          </cell>
          <cell r="E1765" t="str">
            <v>ML</v>
          </cell>
          <cell r="H1765">
            <v>18574</v>
          </cell>
        </row>
        <row r="1766">
          <cell r="A1766" t="str">
            <v>015.270</v>
          </cell>
          <cell r="B1766" t="str">
            <v>C13</v>
          </cell>
          <cell r="C1766" t="str">
            <v>CUADRILLA FF TIPO 2 (1 OFICIAL + 2 AYUDANTE) (Electricas)</v>
          </cell>
          <cell r="D1766" t="str">
            <v>Cuadrilla</v>
          </cell>
          <cell r="E1766" t="str">
            <v>HR</v>
          </cell>
          <cell r="F1766">
            <v>0.12</v>
          </cell>
          <cell r="G1766">
            <v>33348</v>
          </cell>
          <cell r="H1766">
            <v>4002</v>
          </cell>
        </row>
        <row r="1767">
          <cell r="A1767" t="str">
            <v>015.270</v>
          </cell>
          <cell r="B1767" t="str">
            <v>E12</v>
          </cell>
          <cell r="C1767" t="str">
            <v>EQUIPO DE TRANSPORTE</v>
          </cell>
          <cell r="D1767" t="str">
            <v>Equipos</v>
          </cell>
          <cell r="E1767" t="str">
            <v>DIA</v>
          </cell>
          <cell r="F1767">
            <v>2.3E-3</v>
          </cell>
          <cell r="G1767">
            <v>131205</v>
          </cell>
          <cell r="H1767">
            <v>302</v>
          </cell>
        </row>
        <row r="1768">
          <cell r="A1768" t="str">
            <v>015.270</v>
          </cell>
          <cell r="B1768" t="str">
            <v>H2</v>
          </cell>
          <cell r="C1768" t="str">
            <v>EQUIPO BASICO (HERRAMIENTA MENOR)</v>
          </cell>
          <cell r="D1768" t="str">
            <v>Herramienta</v>
          </cell>
          <cell r="E1768" t="str">
            <v>UND</v>
          </cell>
          <cell r="F1768">
            <v>0.1</v>
          </cell>
          <cell r="G1768">
            <v>2536</v>
          </cell>
          <cell r="H1768">
            <v>254</v>
          </cell>
        </row>
        <row r="1769">
          <cell r="A1769" t="str">
            <v>015.270</v>
          </cell>
          <cell r="B1769" t="str">
            <v>I1717</v>
          </cell>
          <cell r="C1769" t="str">
            <v>SUMINISTRO DE ALAMBRE 8 AWG HFFR LS 600V 75ºCT</v>
          </cell>
          <cell r="D1769" t="str">
            <v>Insumos</v>
          </cell>
          <cell r="E1769" t="str">
            <v>ML</v>
          </cell>
          <cell r="F1769">
            <v>4.04</v>
          </cell>
          <cell r="G1769">
            <v>3407</v>
          </cell>
          <cell r="H1769">
            <v>13764</v>
          </cell>
        </row>
        <row r="1770">
          <cell r="A1770" t="str">
            <v>015.270</v>
          </cell>
          <cell r="B1770" t="str">
            <v>I1565</v>
          </cell>
          <cell r="C1770" t="str">
            <v>ACARREO INTERNO</v>
          </cell>
          <cell r="D1770" t="str">
            <v>Insumo</v>
          </cell>
          <cell r="E1770" t="str">
            <v>UND</v>
          </cell>
          <cell r="F1770">
            <v>0.19</v>
          </cell>
          <cell r="G1770">
            <v>1327</v>
          </cell>
          <cell r="H1770">
            <v>252</v>
          </cell>
        </row>
        <row r="1772">
          <cell r="A1772" t="str">
            <v>015.271</v>
          </cell>
          <cell r="B1772" t="str">
            <v>-</v>
          </cell>
          <cell r="C1772" t="str">
            <v>SUMINISTRO TRANSPORTE E INSTALACION DE TABLERO DE 6 CIRCUITOS 2F4H, CON PUERTA. BARRAJE PARA 200A BARRA NEUTRO Y BARRA TIERRA  Calidad Legrand, Siemens, SqareD o superior de marca reconocida y homologada por el CIDET</v>
          </cell>
          <cell r="D1772" t="str">
            <v>Actividad</v>
          </cell>
          <cell r="E1772" t="str">
            <v>UND</v>
          </cell>
          <cell r="H1772">
            <v>214747</v>
          </cell>
        </row>
        <row r="1773">
          <cell r="A1773" t="str">
            <v>015.271</v>
          </cell>
          <cell r="B1773" t="str">
            <v>C13</v>
          </cell>
          <cell r="C1773" t="str">
            <v>CUADRILLA FF TIPO 2 (1 OFICIAL + 2 AYUDANTE) (Electricas)</v>
          </cell>
          <cell r="D1773" t="str">
            <v>Cuadrilla</v>
          </cell>
          <cell r="E1773" t="str">
            <v>HR</v>
          </cell>
          <cell r="F1773">
            <v>3</v>
          </cell>
          <cell r="G1773">
            <v>33348</v>
          </cell>
          <cell r="H1773">
            <v>100044</v>
          </cell>
        </row>
        <row r="1774">
          <cell r="A1774" t="str">
            <v>015.271</v>
          </cell>
          <cell r="B1774" t="str">
            <v>E12</v>
          </cell>
          <cell r="C1774" t="str">
            <v>EQUIPO DE TRANSPORTE</v>
          </cell>
          <cell r="D1774" t="str">
            <v>Equipos</v>
          </cell>
          <cell r="E1774" t="str">
            <v>DIA</v>
          </cell>
          <cell r="F1774">
            <v>1.5299999999999999E-2</v>
          </cell>
          <cell r="G1774">
            <v>131205</v>
          </cell>
          <cell r="H1774">
            <v>2007</v>
          </cell>
        </row>
        <row r="1775">
          <cell r="A1775" t="str">
            <v>015.271</v>
          </cell>
          <cell r="B1775" t="str">
            <v>H2</v>
          </cell>
          <cell r="C1775" t="str">
            <v>EQUIPO BASICO (HERRAMIENTA MENOR)</v>
          </cell>
          <cell r="D1775" t="str">
            <v>Herramienta</v>
          </cell>
          <cell r="E1775" t="str">
            <v>UND</v>
          </cell>
          <cell r="F1775">
            <v>0.5</v>
          </cell>
          <cell r="G1775">
            <v>2536</v>
          </cell>
          <cell r="H1775">
            <v>1268</v>
          </cell>
        </row>
        <row r="1776">
          <cell r="A1776" t="str">
            <v>015.271</v>
          </cell>
          <cell r="B1776" t="str">
            <v>I1407</v>
          </cell>
          <cell r="C1776" t="str">
            <v>TABLERO DE 6 CIRCUITOS 2F4H, CON PUERTA - CON BARRA NEUTRO Y BARRA TIERRA  CALIDAD LEGRAND, SIEMENS, SQARED O SUPERIOR DE MARCA RECONOCIDA Y HOMOLOGADA POR EL CIDET</v>
          </cell>
          <cell r="D1776" t="str">
            <v>Insumo</v>
          </cell>
          <cell r="E1776" t="str">
            <v>UND</v>
          </cell>
          <cell r="F1776">
            <v>1</v>
          </cell>
          <cell r="G1776">
            <v>104129</v>
          </cell>
          <cell r="H1776">
            <v>104129</v>
          </cell>
        </row>
        <row r="1777">
          <cell r="A1777" t="str">
            <v>015.271</v>
          </cell>
          <cell r="B1777" t="str">
            <v>I1565</v>
          </cell>
          <cell r="C1777" t="str">
            <v>ACARREO INTERNO</v>
          </cell>
          <cell r="D1777" t="str">
            <v>Insumo</v>
          </cell>
          <cell r="E1777" t="str">
            <v>UND</v>
          </cell>
          <cell r="F1777">
            <v>5.5</v>
          </cell>
          <cell r="G1777">
            <v>1327</v>
          </cell>
          <cell r="H1777">
            <v>7299</v>
          </cell>
        </row>
        <row r="1779">
          <cell r="A1779" t="str">
            <v>015.272</v>
          </cell>
          <cell r="B1779" t="str">
            <v>-</v>
          </cell>
          <cell r="C1779" t="str">
            <v>SUMINISTRO E INSTALACION SALIDA VOZ O DATOS CAT 6A PVC 3/4"</v>
          </cell>
          <cell r="D1779" t="str">
            <v>Actividad</v>
          </cell>
          <cell r="E1779" t="str">
            <v>UND</v>
          </cell>
          <cell r="H1779">
            <v>189468</v>
          </cell>
        </row>
        <row r="1780">
          <cell r="A1780" t="str">
            <v>015.272</v>
          </cell>
          <cell r="B1780" t="str">
            <v>C6</v>
          </cell>
          <cell r="C1780" t="str">
            <v>CUADRILLA FF TIPO 1 (1 OFICIAL + 1 AYUDANTE) (ELECTRICAS)</v>
          </cell>
          <cell r="D1780" t="str">
            <v>Cuadrilla</v>
          </cell>
          <cell r="E1780" t="str">
            <v>HR</v>
          </cell>
          <cell r="F1780">
            <v>0.5</v>
          </cell>
          <cell r="G1780">
            <v>23707</v>
          </cell>
          <cell r="H1780">
            <v>11854</v>
          </cell>
        </row>
        <row r="1781">
          <cell r="A1781" t="str">
            <v>015.272</v>
          </cell>
          <cell r="B1781" t="str">
            <v>E12</v>
          </cell>
          <cell r="C1781" t="str">
            <v>EQUIPO DE TRANSPORTE</v>
          </cell>
          <cell r="D1781" t="str">
            <v>Equipos</v>
          </cell>
          <cell r="E1781" t="str">
            <v>DIA</v>
          </cell>
          <cell r="F1781">
            <v>0.1</v>
          </cell>
          <cell r="G1781">
            <v>131205</v>
          </cell>
          <cell r="H1781">
            <v>13121</v>
          </cell>
        </row>
        <row r="1782">
          <cell r="A1782" t="str">
            <v>015.272</v>
          </cell>
          <cell r="B1782" t="str">
            <v>H2</v>
          </cell>
          <cell r="C1782" t="str">
            <v>EQUIPO BASICO (HERRAMIENTA MENOR)</v>
          </cell>
          <cell r="D1782" t="str">
            <v>Herramienta</v>
          </cell>
          <cell r="E1782" t="str">
            <v>UND</v>
          </cell>
          <cell r="F1782">
            <v>2</v>
          </cell>
          <cell r="G1782">
            <v>2536</v>
          </cell>
          <cell r="H1782">
            <v>5072</v>
          </cell>
        </row>
        <row r="1783">
          <cell r="A1783" t="str">
            <v>015.272</v>
          </cell>
          <cell r="B1783" t="str">
            <v>I1769</v>
          </cell>
          <cell r="C1783" t="str">
            <v>SUMINISTRO DE CABLE UTP CATEGORIA 6A</v>
          </cell>
          <cell r="D1783" t="str">
            <v>Insumo</v>
          </cell>
          <cell r="E1783" t="str">
            <v>ML</v>
          </cell>
          <cell r="F1783">
            <v>30</v>
          </cell>
          <cell r="G1783">
            <v>3061</v>
          </cell>
          <cell r="H1783">
            <v>91830</v>
          </cell>
        </row>
        <row r="1784">
          <cell r="A1784" t="str">
            <v>015.272</v>
          </cell>
          <cell r="B1784" t="str">
            <v>I1110</v>
          </cell>
          <cell r="C1784" t="str">
            <v>ACCESORIOS DE FIJACION</v>
          </cell>
          <cell r="D1784" t="str">
            <v>Insumo</v>
          </cell>
          <cell r="E1784" t="str">
            <v>UND</v>
          </cell>
          <cell r="F1784">
            <v>10</v>
          </cell>
          <cell r="G1784">
            <v>1792</v>
          </cell>
          <cell r="H1784">
            <v>17920</v>
          </cell>
        </row>
        <row r="1785">
          <cell r="A1785" t="str">
            <v>015.272</v>
          </cell>
          <cell r="B1785" t="str">
            <v>I1137</v>
          </cell>
          <cell r="C1785" t="str">
            <v>ADAPTADOR TERMINAL PVC 3/4"</v>
          </cell>
          <cell r="D1785" t="str">
            <v>Insumo</v>
          </cell>
          <cell r="E1785" t="str">
            <v>UND</v>
          </cell>
          <cell r="F1785">
            <v>2</v>
          </cell>
          <cell r="G1785">
            <v>245</v>
          </cell>
          <cell r="H1785">
            <v>490</v>
          </cell>
        </row>
        <row r="1786">
          <cell r="A1786" t="str">
            <v>015.272</v>
          </cell>
          <cell r="B1786" t="str">
            <v>I1206</v>
          </cell>
          <cell r="C1786" t="str">
            <v xml:space="preserve">CAJA METALICA GALVANIZADA (REF: 5800) </v>
          </cell>
          <cell r="D1786" t="str">
            <v>Insumo</v>
          </cell>
          <cell r="E1786" t="str">
            <v>UND</v>
          </cell>
          <cell r="F1786">
            <v>1</v>
          </cell>
          <cell r="G1786">
            <v>1871</v>
          </cell>
          <cell r="H1786">
            <v>1871</v>
          </cell>
        </row>
        <row r="1787">
          <cell r="A1787" t="str">
            <v>015.272</v>
          </cell>
          <cell r="B1787" t="str">
            <v>I1409</v>
          </cell>
          <cell r="C1787" t="str">
            <v>TAPA CIEGA CON IMPACTO GALVANIZADA CUADRADA 4X4"</v>
          </cell>
          <cell r="D1787" t="str">
            <v>Insumo</v>
          </cell>
          <cell r="E1787" t="str">
            <v>UND</v>
          </cell>
          <cell r="F1787">
            <v>1</v>
          </cell>
          <cell r="G1787">
            <v>848</v>
          </cell>
          <cell r="H1787">
            <v>848</v>
          </cell>
        </row>
        <row r="1788">
          <cell r="A1788" t="str">
            <v>015.272</v>
          </cell>
          <cell r="B1788" t="str">
            <v>I1473</v>
          </cell>
          <cell r="C1788" t="str">
            <v>TUBO CONDUIT PVC 3/4"</v>
          </cell>
          <cell r="D1788" t="str">
            <v>Insumo</v>
          </cell>
          <cell r="E1788" t="str">
            <v>M</v>
          </cell>
          <cell r="F1788">
            <v>30</v>
          </cell>
          <cell r="G1788">
            <v>1220</v>
          </cell>
          <cell r="H1788">
            <v>36600</v>
          </cell>
        </row>
        <row r="1789">
          <cell r="A1789" t="str">
            <v>015.272</v>
          </cell>
          <cell r="B1789" t="str">
            <v>I1774</v>
          </cell>
          <cell r="C1789" t="str">
            <v>SUMINISTRO FACEPLACE</v>
          </cell>
          <cell r="D1789" t="str">
            <v>Insumo</v>
          </cell>
          <cell r="E1789" t="str">
            <v>UND</v>
          </cell>
          <cell r="F1789">
            <v>1</v>
          </cell>
          <cell r="G1789">
            <v>9862</v>
          </cell>
          <cell r="H1789">
            <v>9862</v>
          </cell>
        </row>
        <row r="1791">
          <cell r="A1791" t="str">
            <v>015.273</v>
          </cell>
          <cell r="B1791" t="str">
            <v>-</v>
          </cell>
          <cell r="C1791" t="str">
            <v>SUMINISTRO E INSTALACION SALIDA VOZ O DATOS TIPO INTEMPERIE CAT 6A PVC 1"</v>
          </cell>
          <cell r="D1791" t="str">
            <v>Actividad</v>
          </cell>
          <cell r="E1791" t="str">
            <v>UND</v>
          </cell>
          <cell r="H1791">
            <v>226601</v>
          </cell>
        </row>
        <row r="1792">
          <cell r="A1792" t="str">
            <v>015.273</v>
          </cell>
          <cell r="B1792" t="str">
            <v>C6</v>
          </cell>
          <cell r="C1792" t="str">
            <v>CUADRILLA FF TIPO 1 (1 OFICIAL + 1 AYUDANTE) (ELECTRICAS)</v>
          </cell>
          <cell r="D1792" t="str">
            <v>Cuadrilla</v>
          </cell>
          <cell r="E1792" t="str">
            <v>HR</v>
          </cell>
          <cell r="F1792">
            <v>0.625</v>
          </cell>
          <cell r="G1792">
            <v>23707</v>
          </cell>
          <cell r="H1792">
            <v>14817</v>
          </cell>
        </row>
        <row r="1793">
          <cell r="A1793" t="str">
            <v>015.273</v>
          </cell>
          <cell r="B1793" t="str">
            <v>E12</v>
          </cell>
          <cell r="C1793" t="str">
            <v>EQUIPO DE TRANSPORTE</v>
          </cell>
          <cell r="D1793" t="str">
            <v>Equipos</v>
          </cell>
          <cell r="E1793" t="str">
            <v>DIA</v>
          </cell>
          <cell r="F1793">
            <v>0.125</v>
          </cell>
          <cell r="G1793">
            <v>131205</v>
          </cell>
          <cell r="H1793">
            <v>16401</v>
          </cell>
        </row>
        <row r="1794">
          <cell r="A1794" t="str">
            <v>015.273</v>
          </cell>
          <cell r="B1794" t="str">
            <v>H2</v>
          </cell>
          <cell r="C1794" t="str">
            <v>EQUIPO BASICO (HERRAMIENTA MENOR)</v>
          </cell>
          <cell r="D1794" t="str">
            <v>Herramienta</v>
          </cell>
          <cell r="E1794" t="str">
            <v>UND</v>
          </cell>
          <cell r="F1794">
            <v>2.5</v>
          </cell>
          <cell r="G1794">
            <v>2536</v>
          </cell>
          <cell r="H1794">
            <v>6340</v>
          </cell>
        </row>
        <row r="1795">
          <cell r="A1795" t="str">
            <v>015.273</v>
          </cell>
          <cell r="B1795" t="str">
            <v>I1769</v>
          </cell>
          <cell r="C1795" t="str">
            <v>SUMINISTRO DE CABLE UTP CATEGORIA 6A</v>
          </cell>
          <cell r="D1795" t="str">
            <v>Insumo</v>
          </cell>
          <cell r="E1795" t="str">
            <v>ML</v>
          </cell>
          <cell r="F1795">
            <v>30</v>
          </cell>
          <cell r="G1795">
            <v>3061</v>
          </cell>
          <cell r="H1795">
            <v>91830</v>
          </cell>
        </row>
        <row r="1796">
          <cell r="A1796" t="str">
            <v>015.273</v>
          </cell>
          <cell r="B1796" t="str">
            <v>I1110</v>
          </cell>
          <cell r="C1796" t="str">
            <v>ACCESORIOS DE FIJACION</v>
          </cell>
          <cell r="D1796" t="str">
            <v>Insumo</v>
          </cell>
          <cell r="E1796" t="str">
            <v>UND</v>
          </cell>
          <cell r="F1796">
            <v>10</v>
          </cell>
          <cell r="G1796">
            <v>1792</v>
          </cell>
          <cell r="H1796">
            <v>17920</v>
          </cell>
        </row>
        <row r="1797">
          <cell r="A1797" t="str">
            <v>015.273</v>
          </cell>
          <cell r="B1797" t="str">
            <v>I1427</v>
          </cell>
          <cell r="C1797" t="str">
            <v>TERMINAL PVC CONDUIT  1"</v>
          </cell>
          <cell r="D1797" t="str">
            <v>Insumos</v>
          </cell>
          <cell r="E1797" t="str">
            <v>UND</v>
          </cell>
          <cell r="F1797">
            <v>2</v>
          </cell>
          <cell r="G1797">
            <v>481</v>
          </cell>
          <cell r="H1797">
            <v>962</v>
          </cell>
        </row>
        <row r="1798">
          <cell r="A1798" t="str">
            <v>015.273</v>
          </cell>
          <cell r="B1798" t="str">
            <v>I1206</v>
          </cell>
          <cell r="C1798" t="str">
            <v xml:space="preserve">CAJA METALICA GALVANIZADA (REF: 5800) </v>
          </cell>
          <cell r="D1798" t="str">
            <v>Insumo</v>
          </cell>
          <cell r="E1798" t="str">
            <v>UND</v>
          </cell>
          <cell r="F1798">
            <v>1</v>
          </cell>
          <cell r="G1798">
            <v>1871</v>
          </cell>
          <cell r="H1798">
            <v>1871</v>
          </cell>
        </row>
        <row r="1799">
          <cell r="A1799" t="str">
            <v>015.273</v>
          </cell>
          <cell r="B1799" t="str">
            <v>I1409</v>
          </cell>
          <cell r="C1799" t="str">
            <v>TAPA CIEGA CON IMPACTO GALVANIZADA CUADRADA 4X4"</v>
          </cell>
          <cell r="D1799" t="str">
            <v>Insumo</v>
          </cell>
          <cell r="E1799" t="str">
            <v>UND</v>
          </cell>
          <cell r="F1799">
            <v>1</v>
          </cell>
          <cell r="G1799">
            <v>848</v>
          </cell>
          <cell r="H1799">
            <v>848</v>
          </cell>
        </row>
        <row r="1800">
          <cell r="A1800" t="str">
            <v>015.273</v>
          </cell>
          <cell r="B1800" t="str">
            <v>I1470</v>
          </cell>
          <cell r="C1800" t="str">
            <v>TUBO CONDUIT PVC 1"</v>
          </cell>
          <cell r="D1800" t="str">
            <v>Insumos</v>
          </cell>
          <cell r="E1800" t="str">
            <v>M</v>
          </cell>
          <cell r="F1800">
            <v>30</v>
          </cell>
          <cell r="G1800">
            <v>1692</v>
          </cell>
          <cell r="H1800">
            <v>50760</v>
          </cell>
        </row>
        <row r="1801">
          <cell r="A1801" t="str">
            <v>015.273</v>
          </cell>
          <cell r="B1801" t="str">
            <v>I1774</v>
          </cell>
          <cell r="C1801" t="str">
            <v>SUMINISTRO FACEPLACE</v>
          </cell>
          <cell r="D1801" t="str">
            <v>Insumo</v>
          </cell>
          <cell r="E1801" t="str">
            <v>UND</v>
          </cell>
          <cell r="F1801">
            <v>1</v>
          </cell>
          <cell r="G1801">
            <v>9862</v>
          </cell>
          <cell r="H1801">
            <v>9862</v>
          </cell>
        </row>
        <row r="1802">
          <cell r="A1802" t="str">
            <v>015.273</v>
          </cell>
          <cell r="B1802" t="str">
            <v>I1517</v>
          </cell>
          <cell r="C1802" t="str">
            <v>TAPA PLASTICA PARA PROTECCION A LA INTEMPERIE</v>
          </cell>
          <cell r="D1802" t="str">
            <v>Insumo</v>
          </cell>
          <cell r="E1802" t="str">
            <v>UND</v>
          </cell>
          <cell r="F1802">
            <v>1</v>
          </cell>
          <cell r="G1802">
            <v>14990</v>
          </cell>
          <cell r="H1802">
            <v>14990</v>
          </cell>
        </row>
        <row r="1804">
          <cell r="A1804" t="str">
            <v>015.274</v>
          </cell>
          <cell r="B1804" t="str">
            <v>-</v>
          </cell>
          <cell r="C1804" t="str">
            <v>SUMINISTRO E INSTALACION SALIDA VOZ O DATOS CAT 6A PVC 1"</v>
          </cell>
          <cell r="D1804" t="str">
            <v>Actividad</v>
          </cell>
          <cell r="E1804" t="str">
            <v>UND</v>
          </cell>
          <cell r="H1804">
            <v>211611</v>
          </cell>
        </row>
        <row r="1805">
          <cell r="A1805" t="str">
            <v>015.274</v>
          </cell>
          <cell r="B1805" t="str">
            <v>C6</v>
          </cell>
          <cell r="C1805" t="str">
            <v>CUADRILLA FF TIPO 1 (1 OFICIAL + 1 AYUDANTE) (ELECTRICAS)</v>
          </cell>
          <cell r="D1805" t="str">
            <v>Cuadrilla</v>
          </cell>
          <cell r="E1805" t="str">
            <v>HR</v>
          </cell>
          <cell r="F1805">
            <v>0.625</v>
          </cell>
          <cell r="G1805">
            <v>23707</v>
          </cell>
          <cell r="H1805">
            <v>14817</v>
          </cell>
        </row>
        <row r="1806">
          <cell r="A1806" t="str">
            <v>015.274</v>
          </cell>
          <cell r="B1806" t="str">
            <v>E12</v>
          </cell>
          <cell r="C1806" t="str">
            <v>EQUIPO DE TRANSPORTE</v>
          </cell>
          <cell r="D1806" t="str">
            <v>Equipos</v>
          </cell>
          <cell r="E1806" t="str">
            <v>DIA</v>
          </cell>
          <cell r="F1806">
            <v>0.125</v>
          </cell>
          <cell r="G1806">
            <v>131205</v>
          </cell>
          <cell r="H1806">
            <v>16401</v>
          </cell>
        </row>
        <row r="1807">
          <cell r="A1807" t="str">
            <v>015.274</v>
          </cell>
          <cell r="B1807" t="str">
            <v>H2</v>
          </cell>
          <cell r="C1807" t="str">
            <v>EQUIPO BASICO (HERRAMIENTA MENOR)</v>
          </cell>
          <cell r="D1807" t="str">
            <v>Herramienta</v>
          </cell>
          <cell r="E1807" t="str">
            <v>UND</v>
          </cell>
          <cell r="F1807">
            <v>2.5</v>
          </cell>
          <cell r="G1807">
            <v>2536</v>
          </cell>
          <cell r="H1807">
            <v>6340</v>
          </cell>
        </row>
        <row r="1808">
          <cell r="A1808" t="str">
            <v>015.274</v>
          </cell>
          <cell r="B1808" t="str">
            <v>I1769</v>
          </cell>
          <cell r="C1808" t="str">
            <v>SUMINISTRO DE CABLE UTP CATEGORIA 6A</v>
          </cell>
          <cell r="D1808" t="str">
            <v>Insumo</v>
          </cell>
          <cell r="E1808" t="str">
            <v>ML</v>
          </cell>
          <cell r="F1808">
            <v>30</v>
          </cell>
          <cell r="G1808">
            <v>3061</v>
          </cell>
          <cell r="H1808">
            <v>91830</v>
          </cell>
        </row>
        <row r="1809">
          <cell r="A1809" t="str">
            <v>015.274</v>
          </cell>
          <cell r="B1809" t="str">
            <v>I1110</v>
          </cell>
          <cell r="C1809" t="str">
            <v>ACCESORIOS DE FIJACION</v>
          </cell>
          <cell r="D1809" t="str">
            <v>Insumo</v>
          </cell>
          <cell r="E1809" t="str">
            <v>UND</v>
          </cell>
          <cell r="F1809">
            <v>10</v>
          </cell>
          <cell r="G1809">
            <v>1792</v>
          </cell>
          <cell r="H1809">
            <v>17920</v>
          </cell>
        </row>
        <row r="1810">
          <cell r="A1810" t="str">
            <v>015.274</v>
          </cell>
          <cell r="B1810" t="str">
            <v>I1427</v>
          </cell>
          <cell r="C1810" t="str">
            <v>TERMINAL PVC CONDUIT  1"</v>
          </cell>
          <cell r="D1810" t="str">
            <v>Insumos</v>
          </cell>
          <cell r="E1810" t="str">
            <v>UND</v>
          </cell>
          <cell r="F1810">
            <v>2</v>
          </cell>
          <cell r="G1810">
            <v>481</v>
          </cell>
          <cell r="H1810">
            <v>962</v>
          </cell>
        </row>
        <row r="1811">
          <cell r="A1811" t="str">
            <v>015.274</v>
          </cell>
          <cell r="B1811" t="str">
            <v>I1206</v>
          </cell>
          <cell r="C1811" t="str">
            <v xml:space="preserve">CAJA METALICA GALVANIZADA (REF: 5800) </v>
          </cell>
          <cell r="D1811" t="str">
            <v>Insumo</v>
          </cell>
          <cell r="E1811" t="str">
            <v>UND</v>
          </cell>
          <cell r="F1811">
            <v>1</v>
          </cell>
          <cell r="G1811">
            <v>1871</v>
          </cell>
          <cell r="H1811">
            <v>1871</v>
          </cell>
        </row>
        <row r="1812">
          <cell r="A1812" t="str">
            <v>015.274</v>
          </cell>
          <cell r="B1812" t="str">
            <v>I1409</v>
          </cell>
          <cell r="C1812" t="str">
            <v>TAPA CIEGA CON IMPACTO GALVANIZADA CUADRADA 4X4"</v>
          </cell>
          <cell r="D1812" t="str">
            <v>Insumo</v>
          </cell>
          <cell r="E1812" t="str">
            <v>UND</v>
          </cell>
          <cell r="F1812">
            <v>1</v>
          </cell>
          <cell r="G1812">
            <v>848</v>
          </cell>
          <cell r="H1812">
            <v>848</v>
          </cell>
        </row>
        <row r="1813">
          <cell r="A1813" t="str">
            <v>015.274</v>
          </cell>
          <cell r="B1813" t="str">
            <v>I1470</v>
          </cell>
          <cell r="C1813" t="str">
            <v>TUBO CONDUIT PVC 1"</v>
          </cell>
          <cell r="D1813" t="str">
            <v>Insumos</v>
          </cell>
          <cell r="E1813" t="str">
            <v>M</v>
          </cell>
          <cell r="F1813">
            <v>30</v>
          </cell>
          <cell r="G1813">
            <v>1692</v>
          </cell>
          <cell r="H1813">
            <v>50760</v>
          </cell>
        </row>
        <row r="1814">
          <cell r="A1814" t="str">
            <v>015.274</v>
          </cell>
          <cell r="B1814" t="str">
            <v>I1774</v>
          </cell>
          <cell r="C1814" t="str">
            <v>SUMINISTRO FACEPLACE</v>
          </cell>
          <cell r="D1814" t="str">
            <v>Insumo</v>
          </cell>
          <cell r="E1814" t="str">
            <v>UND</v>
          </cell>
          <cell r="F1814">
            <v>1</v>
          </cell>
          <cell r="G1814">
            <v>9862</v>
          </cell>
          <cell r="H1814">
            <v>9862</v>
          </cell>
        </row>
        <row r="1816">
          <cell r="A1816" t="str">
            <v>015.275</v>
          </cell>
          <cell r="B1816" t="str">
            <v>-</v>
          </cell>
          <cell r="C1816" t="str">
            <v>SUMINISTRO, TRANSPORTE E INSTALACION CAJA DE PASO METALICA 25X25X10cm</v>
          </cell>
          <cell r="D1816" t="str">
            <v>Actividad</v>
          </cell>
          <cell r="E1816" t="str">
            <v>UND</v>
          </cell>
          <cell r="H1816">
            <v>95757</v>
          </cell>
        </row>
        <row r="1817">
          <cell r="A1817" t="str">
            <v>015.275</v>
          </cell>
          <cell r="B1817" t="str">
            <v>C13</v>
          </cell>
          <cell r="C1817" t="str">
            <v>CUADRILLA FF TIPO 2 (1 OFICIAL + 2 AYUDANTE) (Electricas)</v>
          </cell>
          <cell r="D1817" t="str">
            <v>Cuadrilla</v>
          </cell>
          <cell r="E1817" t="str">
            <v>HR</v>
          </cell>
          <cell r="F1817">
            <v>1.125</v>
          </cell>
          <cell r="G1817">
            <v>33348</v>
          </cell>
          <cell r="H1817">
            <v>37517</v>
          </cell>
        </row>
        <row r="1818">
          <cell r="A1818" t="str">
            <v>015.275</v>
          </cell>
          <cell r="B1818" t="str">
            <v>E12</v>
          </cell>
          <cell r="C1818" t="str">
            <v>EQUIPO DE TRANSPORTE</v>
          </cell>
          <cell r="D1818" t="str">
            <v>Equipos</v>
          </cell>
          <cell r="E1818" t="str">
            <v>DIA</v>
          </cell>
          <cell r="F1818">
            <v>2.1000000000000001E-2</v>
          </cell>
          <cell r="G1818">
            <v>131205</v>
          </cell>
          <cell r="H1818">
            <v>2755</v>
          </cell>
        </row>
        <row r="1819">
          <cell r="A1819" t="str">
            <v>015.275</v>
          </cell>
          <cell r="B1819" t="str">
            <v>H2</v>
          </cell>
          <cell r="C1819" t="str">
            <v>EQUIPO BASICO (HERRAMIENTA MENOR)</v>
          </cell>
          <cell r="D1819" t="str">
            <v>Herramienta</v>
          </cell>
          <cell r="E1819" t="str">
            <v>UND</v>
          </cell>
          <cell r="F1819">
            <v>0.125</v>
          </cell>
          <cell r="G1819">
            <v>2536</v>
          </cell>
          <cell r="H1819">
            <v>317</v>
          </cell>
        </row>
        <row r="1820">
          <cell r="A1820" t="str">
            <v>015.275</v>
          </cell>
          <cell r="B1820" t="str">
            <v>I1504</v>
          </cell>
          <cell r="C1820" t="str">
            <v>CAJA DE PASO METALICA 25X25X10cm</v>
          </cell>
          <cell r="D1820" t="str">
            <v>Insumo</v>
          </cell>
          <cell r="E1820" t="str">
            <v>UND</v>
          </cell>
          <cell r="F1820">
            <v>1</v>
          </cell>
          <cell r="G1820">
            <v>52680</v>
          </cell>
          <cell r="H1820">
            <v>52680</v>
          </cell>
        </row>
        <row r="1821">
          <cell r="A1821" t="str">
            <v>015.275</v>
          </cell>
          <cell r="B1821" t="str">
            <v>I1565</v>
          </cell>
          <cell r="C1821" t="str">
            <v>ACARREO INTERNO</v>
          </cell>
          <cell r="D1821" t="str">
            <v>Insumo</v>
          </cell>
          <cell r="E1821" t="str">
            <v>UND</v>
          </cell>
          <cell r="F1821">
            <v>1.875</v>
          </cell>
          <cell r="G1821">
            <v>1327</v>
          </cell>
          <cell r="H1821">
            <v>2488</v>
          </cell>
        </row>
        <row r="1823">
          <cell r="A1823" t="str">
            <v>015.276</v>
          </cell>
          <cell r="B1823" t="str">
            <v>-</v>
          </cell>
          <cell r="C1823" t="str">
            <v xml:space="preserve">SUMINISTRO E INSTALACION DE TUBERIA CONDUIT EMT 1_1/2". </v>
          </cell>
          <cell r="D1823" t="str">
            <v>Actividad</v>
          </cell>
          <cell r="E1823" t="str">
            <v>ML</v>
          </cell>
          <cell r="H1823">
            <v>43852</v>
          </cell>
        </row>
        <row r="1824">
          <cell r="A1824" t="str">
            <v>015.276</v>
          </cell>
          <cell r="B1824" t="str">
            <v>C13</v>
          </cell>
          <cell r="C1824" t="str">
            <v>CUADRILLA FF TIPO 2 (1 OFICIAL + 2 AYUDANTE) (Electricas)</v>
          </cell>
          <cell r="D1824" t="str">
            <v>Cuadrilla</v>
          </cell>
          <cell r="E1824" t="str">
            <v>HR</v>
          </cell>
          <cell r="F1824">
            <v>0.2</v>
          </cell>
          <cell r="G1824">
            <v>33348</v>
          </cell>
          <cell r="H1824">
            <v>6670</v>
          </cell>
        </row>
        <row r="1825">
          <cell r="A1825" t="str">
            <v>015.276</v>
          </cell>
          <cell r="B1825" t="str">
            <v>E12</v>
          </cell>
          <cell r="C1825" t="str">
            <v>EQUIPO DE TRANSPORTE</v>
          </cell>
          <cell r="D1825" t="str">
            <v>Equipos</v>
          </cell>
          <cell r="E1825" t="str">
            <v>DIA</v>
          </cell>
          <cell r="F1825">
            <v>5.1999999999999998E-3</v>
          </cell>
          <cell r="G1825">
            <v>131205</v>
          </cell>
          <cell r="H1825">
            <v>682</v>
          </cell>
        </row>
        <row r="1826">
          <cell r="A1826" t="str">
            <v>015.276</v>
          </cell>
          <cell r="B1826" t="str">
            <v>H2</v>
          </cell>
          <cell r="C1826" t="str">
            <v>EQUIPO BASICO (HERRAMIENTA MENOR)</v>
          </cell>
          <cell r="D1826" t="str">
            <v>Herramienta</v>
          </cell>
          <cell r="E1826" t="str">
            <v>UND</v>
          </cell>
          <cell r="F1826">
            <v>0.2</v>
          </cell>
          <cell r="G1826">
            <v>2536</v>
          </cell>
          <cell r="H1826">
            <v>507</v>
          </cell>
        </row>
        <row r="1827">
          <cell r="A1827" t="str">
            <v>015.276</v>
          </cell>
          <cell r="B1827" t="str">
            <v>I1113</v>
          </cell>
          <cell r="C1827" t="str">
            <v>ACCESORIOS FIJACION TUBERIA EMT 1_1/2" (ABRAZADERA, ALAMBRE)</v>
          </cell>
          <cell r="D1827" t="str">
            <v>Insumo</v>
          </cell>
          <cell r="E1827" t="str">
            <v>UND</v>
          </cell>
          <cell r="F1827">
            <v>1</v>
          </cell>
          <cell r="G1827">
            <v>3585</v>
          </cell>
          <cell r="H1827">
            <v>3585</v>
          </cell>
        </row>
        <row r="1828">
          <cell r="A1828" t="str">
            <v>015.276</v>
          </cell>
          <cell r="B1828" t="str">
            <v>I1126</v>
          </cell>
          <cell r="C1828" t="str">
            <v>ACCESORIOS TUBERIA EMT 1_1/2" (UNION, ADAPTADOR, CURVA)</v>
          </cell>
          <cell r="D1828" t="str">
            <v>Insumo</v>
          </cell>
          <cell r="E1828" t="str">
            <v>UND</v>
          </cell>
          <cell r="F1828">
            <v>1</v>
          </cell>
          <cell r="G1828">
            <v>15919</v>
          </cell>
          <cell r="H1828">
            <v>15919</v>
          </cell>
        </row>
        <row r="1829">
          <cell r="A1829" t="str">
            <v>015.276</v>
          </cell>
          <cell r="B1829" t="str">
            <v>I1456</v>
          </cell>
          <cell r="C1829" t="str">
            <v>TUBO CONDUIT GALVANIZADA EMT 1 1/2"</v>
          </cell>
          <cell r="D1829" t="str">
            <v>Insumo</v>
          </cell>
          <cell r="E1829" t="str">
            <v>M</v>
          </cell>
          <cell r="F1829">
            <v>1</v>
          </cell>
          <cell r="G1829">
            <v>16091</v>
          </cell>
          <cell r="H1829">
            <v>16091</v>
          </cell>
        </row>
        <row r="1830">
          <cell r="A1830" t="str">
            <v>015.276</v>
          </cell>
          <cell r="B1830" t="str">
            <v>I1565</v>
          </cell>
          <cell r="C1830" t="str">
            <v>ACARREO INTERNO</v>
          </cell>
          <cell r="D1830" t="str">
            <v>Insumo</v>
          </cell>
          <cell r="E1830" t="str">
            <v>UND</v>
          </cell>
          <cell r="F1830">
            <v>0.3</v>
          </cell>
          <cell r="G1830">
            <v>1327</v>
          </cell>
          <cell r="H1830">
            <v>398</v>
          </cell>
        </row>
        <row r="1832">
          <cell r="A1832" t="str">
            <v>015.277</v>
          </cell>
          <cell r="B1832" t="str">
            <v>-</v>
          </cell>
          <cell r="C1832" t="str">
            <v>SUMINISTRO E INSTALACION SALIDA VOZ O DATOS EN PISO CAT 6A PVC 1"</v>
          </cell>
          <cell r="D1832" t="str">
            <v>Actividad</v>
          </cell>
          <cell r="E1832" t="str">
            <v>UND</v>
          </cell>
          <cell r="H1832">
            <v>451808</v>
          </cell>
        </row>
        <row r="1833">
          <cell r="A1833" t="str">
            <v>015.277</v>
          </cell>
          <cell r="B1833" t="str">
            <v>C6</v>
          </cell>
          <cell r="C1833" t="str">
            <v>CUADRILLA FF TIPO 1 (1 OFICIAL + 1 AYUDANTE) (ELECTRICAS)</v>
          </cell>
          <cell r="D1833" t="str">
            <v>Cuadrilla</v>
          </cell>
          <cell r="E1833" t="str">
            <v>HR</v>
          </cell>
          <cell r="F1833">
            <v>0.625</v>
          </cell>
          <cell r="G1833">
            <v>23707</v>
          </cell>
          <cell r="H1833">
            <v>14817</v>
          </cell>
        </row>
        <row r="1834">
          <cell r="A1834" t="str">
            <v>015.277</v>
          </cell>
          <cell r="B1834" t="str">
            <v>E12</v>
          </cell>
          <cell r="C1834" t="str">
            <v>EQUIPO DE TRANSPORTE</v>
          </cell>
          <cell r="D1834" t="str">
            <v>Equipos</v>
          </cell>
          <cell r="E1834" t="str">
            <v>DIA</v>
          </cell>
          <cell r="F1834">
            <v>0.125</v>
          </cell>
          <cell r="G1834">
            <v>131205</v>
          </cell>
          <cell r="H1834">
            <v>16401</v>
          </cell>
        </row>
        <row r="1835">
          <cell r="A1835" t="str">
            <v>015.277</v>
          </cell>
          <cell r="B1835" t="str">
            <v>H2</v>
          </cell>
          <cell r="C1835" t="str">
            <v>EQUIPO BASICO (HERRAMIENTA MENOR)</v>
          </cell>
          <cell r="D1835" t="str">
            <v>Herramienta</v>
          </cell>
          <cell r="E1835" t="str">
            <v>UND</v>
          </cell>
          <cell r="F1835">
            <v>2.5</v>
          </cell>
          <cell r="G1835">
            <v>2536</v>
          </cell>
          <cell r="H1835">
            <v>6340</v>
          </cell>
        </row>
        <row r="1836">
          <cell r="A1836" t="str">
            <v>015.277</v>
          </cell>
          <cell r="B1836" t="str">
            <v>I1769</v>
          </cell>
          <cell r="C1836" t="str">
            <v>SUMINISTRO DE CABLE UTP CATEGORIA 6A</v>
          </cell>
          <cell r="D1836" t="str">
            <v>Insumo</v>
          </cell>
          <cell r="E1836" t="str">
            <v>ML</v>
          </cell>
          <cell r="F1836">
            <v>30</v>
          </cell>
          <cell r="G1836">
            <v>3061</v>
          </cell>
          <cell r="H1836">
            <v>91830</v>
          </cell>
        </row>
        <row r="1837">
          <cell r="A1837" t="str">
            <v>015.277</v>
          </cell>
          <cell r="B1837" t="str">
            <v>I1110</v>
          </cell>
          <cell r="C1837" t="str">
            <v>ACCESORIOS DE FIJACION</v>
          </cell>
          <cell r="D1837" t="str">
            <v>Insumo</v>
          </cell>
          <cell r="E1837" t="str">
            <v>UND</v>
          </cell>
          <cell r="F1837">
            <v>10</v>
          </cell>
          <cell r="G1837">
            <v>1792</v>
          </cell>
          <cell r="H1837">
            <v>17920</v>
          </cell>
        </row>
        <row r="1838">
          <cell r="A1838" t="str">
            <v>015.277</v>
          </cell>
          <cell r="B1838" t="str">
            <v>I1427</v>
          </cell>
          <cell r="C1838" t="str">
            <v>TERMINAL PVC CONDUIT  1"</v>
          </cell>
          <cell r="D1838" t="str">
            <v>Insumos</v>
          </cell>
          <cell r="E1838" t="str">
            <v>UND</v>
          </cell>
          <cell r="F1838">
            <v>2</v>
          </cell>
          <cell r="G1838">
            <v>481</v>
          </cell>
          <cell r="H1838">
            <v>962</v>
          </cell>
        </row>
        <row r="1839">
          <cell r="A1839" t="str">
            <v>015.277</v>
          </cell>
          <cell r="B1839" t="str">
            <v>I1470</v>
          </cell>
          <cell r="C1839" t="str">
            <v>TUBO CONDUIT PVC 1"</v>
          </cell>
          <cell r="D1839" t="str">
            <v>Insumos</v>
          </cell>
          <cell r="E1839" t="str">
            <v>M</v>
          </cell>
          <cell r="F1839">
            <v>30</v>
          </cell>
          <cell r="G1839">
            <v>1692</v>
          </cell>
          <cell r="H1839">
            <v>50760</v>
          </cell>
        </row>
        <row r="1840">
          <cell r="A1840" t="str">
            <v>015.277</v>
          </cell>
          <cell r="B1840" t="str">
            <v>I1774</v>
          </cell>
          <cell r="C1840" t="str">
            <v>SUMINISTRO FACEPLACE</v>
          </cell>
          <cell r="D1840" t="str">
            <v>Insumo</v>
          </cell>
          <cell r="E1840" t="str">
            <v>UND</v>
          </cell>
          <cell r="F1840">
            <v>1</v>
          </cell>
          <cell r="G1840">
            <v>9862</v>
          </cell>
          <cell r="H1840">
            <v>9862</v>
          </cell>
        </row>
        <row r="1841">
          <cell r="A1841" t="str">
            <v>015.277</v>
          </cell>
          <cell r="B1841" t="str">
            <v>I1766</v>
          </cell>
          <cell r="C1841" t="str">
            <v>CUBIERTA DE PISO PARA PROTECCION CON SALIDA DE VOZ O DATOS</v>
          </cell>
          <cell r="D1841" t="str">
            <v>Insumo</v>
          </cell>
          <cell r="E1841" t="str">
            <v>UND</v>
          </cell>
          <cell r="F1841">
            <v>1</v>
          </cell>
          <cell r="G1841">
            <v>242916</v>
          </cell>
          <cell r="H1841">
            <v>242916</v>
          </cell>
        </row>
        <row r="1843">
          <cell r="A1843" t="str">
            <v>015.278</v>
          </cell>
          <cell r="B1843" t="str">
            <v>-</v>
          </cell>
          <cell r="C1843" t="str">
            <v>SUMINISTRO E INSTALACION SALIDA VOZ O DATOS EN PISO CAT 6A PVC 3/4"</v>
          </cell>
          <cell r="D1843" t="str">
            <v>Actividad</v>
          </cell>
          <cell r="E1843" t="str">
            <v>UND</v>
          </cell>
          <cell r="H1843">
            <v>429665</v>
          </cell>
        </row>
        <row r="1844">
          <cell r="A1844" t="str">
            <v>015.278</v>
          </cell>
          <cell r="B1844" t="str">
            <v>C6</v>
          </cell>
          <cell r="C1844" t="str">
            <v>CUADRILLA FF TIPO 1 (1 OFICIAL + 1 AYUDANTE) (ELECTRICAS)</v>
          </cell>
          <cell r="D1844" t="str">
            <v>Cuadrilla</v>
          </cell>
          <cell r="E1844" t="str">
            <v>HR</v>
          </cell>
          <cell r="F1844">
            <v>0.5</v>
          </cell>
          <cell r="G1844">
            <v>23707</v>
          </cell>
          <cell r="H1844">
            <v>11854</v>
          </cell>
        </row>
        <row r="1845">
          <cell r="A1845" t="str">
            <v>015.278</v>
          </cell>
          <cell r="B1845" t="str">
            <v>E12</v>
          </cell>
          <cell r="C1845" t="str">
            <v>EQUIPO DE TRANSPORTE</v>
          </cell>
          <cell r="D1845" t="str">
            <v>Equipos</v>
          </cell>
          <cell r="E1845" t="str">
            <v>DIA</v>
          </cell>
          <cell r="F1845">
            <v>0.1</v>
          </cell>
          <cell r="G1845">
            <v>131205</v>
          </cell>
          <cell r="H1845">
            <v>13121</v>
          </cell>
        </row>
        <row r="1846">
          <cell r="A1846" t="str">
            <v>015.278</v>
          </cell>
          <cell r="B1846" t="str">
            <v>H2</v>
          </cell>
          <cell r="C1846" t="str">
            <v>EQUIPO BASICO (HERRAMIENTA MENOR)</v>
          </cell>
          <cell r="D1846" t="str">
            <v>Herramienta</v>
          </cell>
          <cell r="E1846" t="str">
            <v>UND</v>
          </cell>
          <cell r="F1846">
            <v>2</v>
          </cell>
          <cell r="G1846">
            <v>2536</v>
          </cell>
          <cell r="H1846">
            <v>5072</v>
          </cell>
        </row>
        <row r="1847">
          <cell r="A1847" t="str">
            <v>015.278</v>
          </cell>
          <cell r="B1847" t="str">
            <v>I1769</v>
          </cell>
          <cell r="C1847" t="str">
            <v>SUMINISTRO DE CABLE UTP CATEGORIA 6A</v>
          </cell>
          <cell r="D1847" t="str">
            <v>Insumo</v>
          </cell>
          <cell r="E1847" t="str">
            <v>ML</v>
          </cell>
          <cell r="F1847">
            <v>30</v>
          </cell>
          <cell r="G1847">
            <v>3061</v>
          </cell>
          <cell r="H1847">
            <v>91830</v>
          </cell>
        </row>
        <row r="1848">
          <cell r="A1848" t="str">
            <v>015.278</v>
          </cell>
          <cell r="B1848" t="str">
            <v>I1110</v>
          </cell>
          <cell r="C1848" t="str">
            <v>ACCESORIOS DE FIJACION</v>
          </cell>
          <cell r="D1848" t="str">
            <v>Insumo</v>
          </cell>
          <cell r="E1848" t="str">
            <v>UND</v>
          </cell>
          <cell r="F1848">
            <v>10</v>
          </cell>
          <cell r="G1848">
            <v>1792</v>
          </cell>
          <cell r="H1848">
            <v>17920</v>
          </cell>
        </row>
        <row r="1849">
          <cell r="A1849" t="str">
            <v>015.278</v>
          </cell>
          <cell r="B1849" t="str">
            <v>I1137</v>
          </cell>
          <cell r="C1849" t="str">
            <v>ADAPTADOR TERMINAL PVC 3/4"</v>
          </cell>
          <cell r="D1849" t="str">
            <v>Insumo</v>
          </cell>
          <cell r="E1849" t="str">
            <v>UND</v>
          </cell>
          <cell r="F1849">
            <v>2</v>
          </cell>
          <cell r="G1849">
            <v>245</v>
          </cell>
          <cell r="H1849">
            <v>490</v>
          </cell>
        </row>
        <row r="1850">
          <cell r="A1850" t="str">
            <v>015.278</v>
          </cell>
          <cell r="B1850" t="str">
            <v>I1473</v>
          </cell>
          <cell r="C1850" t="str">
            <v>TUBO CONDUIT PVC 3/4"</v>
          </cell>
          <cell r="D1850" t="str">
            <v>Insumo</v>
          </cell>
          <cell r="E1850" t="str">
            <v>M</v>
          </cell>
          <cell r="F1850">
            <v>30</v>
          </cell>
          <cell r="G1850">
            <v>1220</v>
          </cell>
          <cell r="H1850">
            <v>36600</v>
          </cell>
        </row>
        <row r="1851">
          <cell r="A1851" t="str">
            <v>015.278</v>
          </cell>
          <cell r="B1851" t="str">
            <v>I1774</v>
          </cell>
          <cell r="C1851" t="str">
            <v>SUMINISTRO FACEPLACE</v>
          </cell>
          <cell r="D1851" t="str">
            <v>Insumo</v>
          </cell>
          <cell r="E1851" t="str">
            <v>UND</v>
          </cell>
          <cell r="F1851">
            <v>1</v>
          </cell>
          <cell r="G1851">
            <v>9862</v>
          </cell>
          <cell r="H1851">
            <v>9862</v>
          </cell>
        </row>
        <row r="1852">
          <cell r="A1852" t="str">
            <v>015.278</v>
          </cell>
          <cell r="B1852" t="str">
            <v>I1766</v>
          </cell>
          <cell r="C1852" t="str">
            <v>CUBIERTA DE PISO PARA PROTECCION CON SALIDA DE VOZ O DATOS</v>
          </cell>
          <cell r="D1852" t="str">
            <v>Insumo</v>
          </cell>
          <cell r="E1852" t="str">
            <v>UND</v>
          </cell>
          <cell r="F1852">
            <v>1</v>
          </cell>
          <cell r="G1852">
            <v>242916</v>
          </cell>
          <cell r="H1852">
            <v>242916</v>
          </cell>
        </row>
        <row r="1854">
          <cell r="A1854" t="str">
            <v>015.279</v>
          </cell>
          <cell r="B1854" t="str">
            <v>-</v>
          </cell>
          <cell r="C1854" t="str">
            <v>SUMINISTRO E INSTALACION SALIDA VOZ O DATOS TIPO INTEMPERIE CAT 6A PVC 3/4"</v>
          </cell>
          <cell r="D1854" t="str">
            <v>Actividad</v>
          </cell>
          <cell r="E1854" t="str">
            <v>UND</v>
          </cell>
          <cell r="H1854">
            <v>204458</v>
          </cell>
        </row>
        <row r="1855">
          <cell r="A1855" t="str">
            <v>015.279</v>
          </cell>
          <cell r="B1855" t="str">
            <v>C6</v>
          </cell>
          <cell r="C1855" t="str">
            <v>CUADRILLA FF TIPO 1 (1 OFICIAL + 1 AYUDANTE) (ELECTRICAS)</v>
          </cell>
          <cell r="D1855" t="str">
            <v>Cuadrilla</v>
          </cell>
          <cell r="E1855" t="str">
            <v>HR</v>
          </cell>
          <cell r="F1855">
            <v>0.5</v>
          </cell>
          <cell r="G1855">
            <v>23707</v>
          </cell>
          <cell r="H1855">
            <v>11854</v>
          </cell>
        </row>
        <row r="1856">
          <cell r="A1856" t="str">
            <v>015.279</v>
          </cell>
          <cell r="B1856" t="str">
            <v>E12</v>
          </cell>
          <cell r="C1856" t="str">
            <v>EQUIPO DE TRANSPORTE</v>
          </cell>
          <cell r="D1856" t="str">
            <v>Equipos</v>
          </cell>
          <cell r="E1856" t="str">
            <v>DIA</v>
          </cell>
          <cell r="F1856">
            <v>0.1</v>
          </cell>
          <cell r="G1856">
            <v>131205</v>
          </cell>
          <cell r="H1856">
            <v>13121</v>
          </cell>
        </row>
        <row r="1857">
          <cell r="A1857" t="str">
            <v>015.279</v>
          </cell>
          <cell r="B1857" t="str">
            <v>H2</v>
          </cell>
          <cell r="C1857" t="str">
            <v>EQUIPO BASICO (HERRAMIENTA MENOR)</v>
          </cell>
          <cell r="D1857" t="str">
            <v>Herramienta</v>
          </cell>
          <cell r="E1857" t="str">
            <v>UND</v>
          </cell>
          <cell r="F1857">
            <v>2</v>
          </cell>
          <cell r="G1857">
            <v>2536</v>
          </cell>
          <cell r="H1857">
            <v>5072</v>
          </cell>
        </row>
        <row r="1858">
          <cell r="A1858" t="str">
            <v>015.279</v>
          </cell>
          <cell r="B1858" t="str">
            <v>I1769</v>
          </cell>
          <cell r="C1858" t="str">
            <v>SUMINISTRO DE CABLE UTP CATEGORIA 6A</v>
          </cell>
          <cell r="D1858" t="str">
            <v>Insumo</v>
          </cell>
          <cell r="E1858" t="str">
            <v>ML</v>
          </cell>
          <cell r="F1858">
            <v>30</v>
          </cell>
          <cell r="G1858">
            <v>3061</v>
          </cell>
          <cell r="H1858">
            <v>91830</v>
          </cell>
        </row>
        <row r="1859">
          <cell r="A1859" t="str">
            <v>015.279</v>
          </cell>
          <cell r="B1859" t="str">
            <v>I1110</v>
          </cell>
          <cell r="C1859" t="str">
            <v>ACCESORIOS DE FIJACION</v>
          </cell>
          <cell r="D1859" t="str">
            <v>Insumo</v>
          </cell>
          <cell r="E1859" t="str">
            <v>UND</v>
          </cell>
          <cell r="F1859">
            <v>10</v>
          </cell>
          <cell r="G1859">
            <v>1792</v>
          </cell>
          <cell r="H1859">
            <v>17920</v>
          </cell>
        </row>
        <row r="1860">
          <cell r="A1860" t="str">
            <v>015.279</v>
          </cell>
          <cell r="B1860" t="str">
            <v>I1137</v>
          </cell>
          <cell r="C1860" t="str">
            <v>ADAPTADOR TERMINAL PVC 3/4"</v>
          </cell>
          <cell r="D1860" t="str">
            <v>Insumo</v>
          </cell>
          <cell r="E1860" t="str">
            <v>UND</v>
          </cell>
          <cell r="F1860">
            <v>2</v>
          </cell>
          <cell r="G1860">
            <v>245</v>
          </cell>
          <cell r="H1860">
            <v>490</v>
          </cell>
        </row>
        <row r="1861">
          <cell r="A1861" t="str">
            <v>015.279</v>
          </cell>
          <cell r="B1861" t="str">
            <v>I1206</v>
          </cell>
          <cell r="C1861" t="str">
            <v xml:space="preserve">CAJA METALICA GALVANIZADA (REF: 5800) </v>
          </cell>
          <cell r="D1861" t="str">
            <v>Insumo</v>
          </cell>
          <cell r="E1861" t="str">
            <v>UND</v>
          </cell>
          <cell r="F1861">
            <v>1</v>
          </cell>
          <cell r="G1861">
            <v>1871</v>
          </cell>
          <cell r="H1861">
            <v>1871</v>
          </cell>
        </row>
        <row r="1862">
          <cell r="A1862" t="str">
            <v>015.279</v>
          </cell>
          <cell r="B1862" t="str">
            <v>I1409</v>
          </cell>
          <cell r="C1862" t="str">
            <v>TAPA CIEGA CON IMPACTO GALVANIZADA CUADRADA 4X4"</v>
          </cell>
          <cell r="D1862" t="str">
            <v>Insumo</v>
          </cell>
          <cell r="E1862" t="str">
            <v>UND</v>
          </cell>
          <cell r="F1862">
            <v>1</v>
          </cell>
          <cell r="G1862">
            <v>848</v>
          </cell>
          <cell r="H1862">
            <v>848</v>
          </cell>
        </row>
        <row r="1863">
          <cell r="A1863" t="str">
            <v>015.279</v>
          </cell>
          <cell r="B1863" t="str">
            <v>I1473</v>
          </cell>
          <cell r="C1863" t="str">
            <v>TUBO CONDUIT PVC 3/4"</v>
          </cell>
          <cell r="D1863" t="str">
            <v>Insumo</v>
          </cell>
          <cell r="E1863" t="str">
            <v>M</v>
          </cell>
          <cell r="F1863">
            <v>30</v>
          </cell>
          <cell r="G1863">
            <v>1220</v>
          </cell>
          <cell r="H1863">
            <v>36600</v>
          </cell>
        </row>
        <row r="1864">
          <cell r="A1864" t="str">
            <v>015.279</v>
          </cell>
          <cell r="B1864" t="str">
            <v>I1774</v>
          </cell>
          <cell r="C1864" t="str">
            <v>SUMINISTRO FACEPLACE</v>
          </cell>
          <cell r="D1864" t="str">
            <v>Insumo</v>
          </cell>
          <cell r="E1864" t="str">
            <v>UND</v>
          </cell>
          <cell r="F1864">
            <v>1</v>
          </cell>
          <cell r="G1864">
            <v>9862</v>
          </cell>
          <cell r="H1864">
            <v>9862</v>
          </cell>
        </row>
        <row r="1865">
          <cell r="A1865" t="str">
            <v>015.279</v>
          </cell>
          <cell r="B1865" t="str">
            <v>I1517</v>
          </cell>
          <cell r="C1865" t="str">
            <v>TAPA PLASTICA PARA PROTECCION A LA INTEMPERIE</v>
          </cell>
          <cell r="D1865" t="str">
            <v>Insumo</v>
          </cell>
          <cell r="E1865" t="str">
            <v>UND</v>
          </cell>
          <cell r="F1865">
            <v>1</v>
          </cell>
          <cell r="G1865">
            <v>14990</v>
          </cell>
          <cell r="H1865">
            <v>14990</v>
          </cell>
        </row>
        <row r="1867">
          <cell r="A1867" t="str">
            <v>015.280</v>
          </cell>
          <cell r="B1867" t="str">
            <v>-</v>
          </cell>
          <cell r="C1867" t="str">
            <v>SUMINISTRO, TRANSPORTE E INSTALACION RACK CERRADO 2,1x0,6x0,6M</v>
          </cell>
          <cell r="D1867" t="str">
            <v>Actividad</v>
          </cell>
          <cell r="E1867" t="str">
            <v>UND</v>
          </cell>
          <cell r="H1867">
            <v>4484683</v>
          </cell>
        </row>
        <row r="1868">
          <cell r="A1868" t="str">
            <v>015.280</v>
          </cell>
          <cell r="B1868" t="str">
            <v>AB1</v>
          </cell>
          <cell r="C1868" t="str">
            <v>ACERO 60.000 PSI (INCLUYE ALAMBRE NEGRO Y FIGURACIÓN )</v>
          </cell>
          <cell r="D1868" t="str">
            <v>Analisis</v>
          </cell>
          <cell r="E1868" t="str">
            <v>KG</v>
          </cell>
          <cell r="F1868">
            <v>65</v>
          </cell>
          <cell r="G1868">
            <v>5274</v>
          </cell>
          <cell r="H1868">
            <v>342810</v>
          </cell>
        </row>
        <row r="1869">
          <cell r="A1869" t="str">
            <v>015.280</v>
          </cell>
          <cell r="B1869" t="str">
            <v>AB5</v>
          </cell>
          <cell r="C1869" t="str">
            <v>CONCRETO 3000 psi - 21 Mpa</v>
          </cell>
          <cell r="D1869" t="str">
            <v>Analisis</v>
          </cell>
          <cell r="E1869" t="str">
            <v>M3</v>
          </cell>
          <cell r="F1869">
            <v>1</v>
          </cell>
          <cell r="G1869">
            <v>421155</v>
          </cell>
          <cell r="H1869">
            <v>421155</v>
          </cell>
        </row>
        <row r="1870">
          <cell r="A1870" t="str">
            <v>015.280</v>
          </cell>
          <cell r="B1870" t="str">
            <v>C22</v>
          </cell>
          <cell r="C1870" t="str">
            <v>CUADRILLA AA TIPO 4 (1 OFICIAL + 4 AYUDANTE) (Albañileria)</v>
          </cell>
          <cell r="D1870" t="str">
            <v>Cuadrilla</v>
          </cell>
          <cell r="E1870" t="str">
            <v>HR</v>
          </cell>
          <cell r="F1870">
            <v>10</v>
          </cell>
          <cell r="G1870">
            <v>35996</v>
          </cell>
          <cell r="H1870">
            <v>359960</v>
          </cell>
        </row>
        <row r="1871">
          <cell r="A1871" t="str">
            <v>015.280</v>
          </cell>
          <cell r="B1871" t="str">
            <v>E104</v>
          </cell>
          <cell r="C1871" t="str">
            <v>FORMALETA SARDINEL DESDE 0.20 HASTA 0.60 M. DE ALTURA POR 2.00 M. DE LONGITUD</v>
          </cell>
          <cell r="D1871" t="str">
            <v>Equipos</v>
          </cell>
          <cell r="E1871" t="str">
            <v>DIA</v>
          </cell>
          <cell r="F1871">
            <v>12</v>
          </cell>
          <cell r="G1871">
            <v>353</v>
          </cell>
          <cell r="H1871">
            <v>4236</v>
          </cell>
        </row>
        <row r="1872">
          <cell r="A1872" t="str">
            <v>015.280</v>
          </cell>
          <cell r="B1872" t="str">
            <v>E12</v>
          </cell>
          <cell r="C1872" t="str">
            <v>EQUIPO DE TRANSPORTE</v>
          </cell>
          <cell r="D1872" t="str">
            <v>Equipos</v>
          </cell>
          <cell r="E1872" t="str">
            <v>DIA</v>
          </cell>
          <cell r="F1872">
            <v>0.58609999999999995</v>
          </cell>
          <cell r="G1872">
            <v>131205</v>
          </cell>
          <cell r="H1872">
            <v>76899</v>
          </cell>
        </row>
        <row r="1873">
          <cell r="A1873" t="str">
            <v>015.280</v>
          </cell>
          <cell r="B1873" t="str">
            <v>H2</v>
          </cell>
          <cell r="C1873" t="str">
            <v>EQUIPO BASICO (HERRAMIENTA MENOR)</v>
          </cell>
          <cell r="D1873" t="str">
            <v>Herramienta</v>
          </cell>
          <cell r="E1873" t="str">
            <v>UND</v>
          </cell>
          <cell r="F1873">
            <v>10</v>
          </cell>
          <cell r="G1873">
            <v>2536</v>
          </cell>
          <cell r="H1873">
            <v>25360</v>
          </cell>
        </row>
        <row r="1874">
          <cell r="A1874" t="str">
            <v>015.280</v>
          </cell>
          <cell r="B1874" t="str">
            <v>I1532</v>
          </cell>
          <cell r="C1874" t="str">
            <v>GABINETE METALICO 2,1x0,6x0,6m</v>
          </cell>
          <cell r="D1874" t="str">
            <v>Insumo</v>
          </cell>
          <cell r="E1874" t="str">
            <v>UND</v>
          </cell>
          <cell r="F1874">
            <v>1</v>
          </cell>
          <cell r="G1874">
            <v>2682101</v>
          </cell>
          <cell r="H1874">
            <v>2682101</v>
          </cell>
        </row>
        <row r="1875">
          <cell r="A1875" t="str">
            <v>015.280</v>
          </cell>
          <cell r="B1875" t="str">
            <v>I1533</v>
          </cell>
          <cell r="C1875" t="str">
            <v>TAPA DE GABINETE METALICO 2,1x0,6x0,6m</v>
          </cell>
          <cell r="D1875" t="str">
            <v>Insumo</v>
          </cell>
          <cell r="E1875" t="str">
            <v>UND</v>
          </cell>
          <cell r="F1875">
            <v>1</v>
          </cell>
          <cell r="G1875">
            <v>536419</v>
          </cell>
          <cell r="H1875">
            <v>536419</v>
          </cell>
        </row>
        <row r="1876">
          <cell r="A1876" t="str">
            <v>015.280</v>
          </cell>
          <cell r="B1876" t="str">
            <v>I1565</v>
          </cell>
          <cell r="C1876" t="str">
            <v>ACARREO INTERNO</v>
          </cell>
          <cell r="D1876" t="str">
            <v>Insumo</v>
          </cell>
          <cell r="E1876" t="str">
            <v>UND</v>
          </cell>
          <cell r="F1876">
            <v>20.420000000000002</v>
          </cell>
          <cell r="G1876">
            <v>1327</v>
          </cell>
          <cell r="H1876">
            <v>27097</v>
          </cell>
        </row>
        <row r="1877">
          <cell r="A1877" t="str">
            <v>015.280</v>
          </cell>
          <cell r="B1877" t="str">
            <v>I3</v>
          </cell>
          <cell r="C1877" t="str">
            <v>ALAMBRE NEGRO NO. 18</v>
          </cell>
          <cell r="D1877" t="str">
            <v>Insumo</v>
          </cell>
          <cell r="E1877" t="str">
            <v>KG</v>
          </cell>
          <cell r="F1877">
            <v>2</v>
          </cell>
          <cell r="G1877">
            <v>4323</v>
          </cell>
          <cell r="H1877">
            <v>8646</v>
          </cell>
        </row>
        <row r="1879">
          <cell r="A1879" t="str">
            <v>015.281</v>
          </cell>
          <cell r="B1879" t="str">
            <v>-</v>
          </cell>
          <cell r="C1879" t="str">
            <v>SUMINISTRO, TRANSPORTE E INSTALACION SALIDA TOMA TV (COAXIAL). INCLUYE CONDULINADO Y TUBERIA PVC 3/4" , APARATO. NO INCLUYE CABLEADO.PROM 16 MTS</v>
          </cell>
          <cell r="D1879" t="str">
            <v>Actividad</v>
          </cell>
          <cell r="E1879" t="str">
            <v>UND</v>
          </cell>
          <cell r="H1879">
            <v>83591</v>
          </cell>
        </row>
        <row r="1880">
          <cell r="A1880" t="str">
            <v>015.281</v>
          </cell>
          <cell r="B1880" t="str">
            <v>C13</v>
          </cell>
          <cell r="C1880" t="str">
            <v>CUADRILLA FF TIPO 2 (1 OFICIAL + 2 AYUDANTE) (Electricas)</v>
          </cell>
          <cell r="D1880" t="str">
            <v>Cuadrilla</v>
          </cell>
          <cell r="E1880" t="str">
            <v>HR</v>
          </cell>
          <cell r="F1880">
            <v>1.1000000000000001</v>
          </cell>
          <cell r="G1880">
            <v>33348</v>
          </cell>
          <cell r="H1880">
            <v>36683</v>
          </cell>
        </row>
        <row r="1881">
          <cell r="A1881" t="str">
            <v>015.281</v>
          </cell>
          <cell r="B1881" t="str">
            <v>E12</v>
          </cell>
          <cell r="C1881" t="str">
            <v>EQUIPO DE TRANSPORTE</v>
          </cell>
          <cell r="D1881" t="str">
            <v>Equipos</v>
          </cell>
          <cell r="E1881" t="str">
            <v>DIA</v>
          </cell>
          <cell r="F1881">
            <v>4.4999999999999997E-3</v>
          </cell>
          <cell r="G1881">
            <v>131205</v>
          </cell>
          <cell r="H1881">
            <v>590</v>
          </cell>
        </row>
        <row r="1882">
          <cell r="A1882" t="str">
            <v>015.281</v>
          </cell>
          <cell r="B1882" t="str">
            <v>H2</v>
          </cell>
          <cell r="C1882" t="str">
            <v>EQUIPO BASICO (HERRAMIENTA MENOR)</v>
          </cell>
          <cell r="D1882" t="str">
            <v>Herramienta</v>
          </cell>
          <cell r="E1882" t="str">
            <v>UND</v>
          </cell>
          <cell r="F1882">
            <v>0.1</v>
          </cell>
          <cell r="G1882">
            <v>2536</v>
          </cell>
          <cell r="H1882">
            <v>254</v>
          </cell>
        </row>
        <row r="1883">
          <cell r="A1883" t="str">
            <v>015.281</v>
          </cell>
          <cell r="B1883" t="str">
            <v>I1110</v>
          </cell>
          <cell r="C1883" t="str">
            <v>ACCESORIOS DE FIJACION</v>
          </cell>
          <cell r="D1883" t="str">
            <v>Insumo</v>
          </cell>
          <cell r="E1883" t="str">
            <v>UND</v>
          </cell>
          <cell r="F1883">
            <v>5</v>
          </cell>
          <cell r="G1883">
            <v>1792</v>
          </cell>
          <cell r="H1883">
            <v>8960</v>
          </cell>
        </row>
        <row r="1884">
          <cell r="A1884" t="str">
            <v>015.281</v>
          </cell>
          <cell r="B1884" t="str">
            <v>I1137</v>
          </cell>
          <cell r="C1884" t="str">
            <v>ADAPTADOR TERMINAL PVC 3/4"</v>
          </cell>
          <cell r="D1884" t="str">
            <v>Insumo</v>
          </cell>
          <cell r="E1884" t="str">
            <v>UND</v>
          </cell>
          <cell r="F1884">
            <v>2</v>
          </cell>
          <cell r="G1884">
            <v>245</v>
          </cell>
          <cell r="H1884">
            <v>490</v>
          </cell>
        </row>
        <row r="1885">
          <cell r="A1885" t="str">
            <v>015.281</v>
          </cell>
          <cell r="B1885" t="str">
            <v>I1205</v>
          </cell>
          <cell r="C1885" t="str">
            <v xml:space="preserve">CAJA METALICA GALVANIZADA (REF: 2400) </v>
          </cell>
          <cell r="D1885" t="str">
            <v>Insumo</v>
          </cell>
          <cell r="E1885" t="str">
            <v>UND</v>
          </cell>
          <cell r="F1885">
            <v>1</v>
          </cell>
          <cell r="G1885">
            <v>2436</v>
          </cell>
          <cell r="H1885">
            <v>2436</v>
          </cell>
        </row>
        <row r="1886">
          <cell r="A1886" t="str">
            <v>015.281</v>
          </cell>
          <cell r="B1886" t="str">
            <v>I1409</v>
          </cell>
          <cell r="C1886" t="str">
            <v>TAPA CIEGA CON IMPACTO GALVANIZADA CUADRADA 4X4"</v>
          </cell>
          <cell r="D1886" t="str">
            <v>Insumo</v>
          </cell>
          <cell r="E1886" t="str">
            <v>UND</v>
          </cell>
          <cell r="F1886">
            <v>1</v>
          </cell>
          <cell r="G1886">
            <v>848</v>
          </cell>
          <cell r="H1886">
            <v>848</v>
          </cell>
        </row>
        <row r="1887">
          <cell r="A1887" t="str">
            <v>015.281</v>
          </cell>
          <cell r="B1887" t="str">
            <v>I1473</v>
          </cell>
          <cell r="C1887" t="str">
            <v>TUBO CONDUIT PVC 3/4"</v>
          </cell>
          <cell r="D1887" t="str">
            <v>Insumo</v>
          </cell>
          <cell r="E1887" t="str">
            <v>M</v>
          </cell>
          <cell r="F1887">
            <v>16</v>
          </cell>
          <cell r="G1887">
            <v>1220</v>
          </cell>
          <cell r="H1887">
            <v>19520</v>
          </cell>
        </row>
        <row r="1888">
          <cell r="A1888" t="str">
            <v>015.281</v>
          </cell>
          <cell r="B1888" t="str">
            <v>I1494</v>
          </cell>
          <cell r="C1888" t="str">
            <v xml:space="preserve">TOMA TV TERMINAL COAXIAL </v>
          </cell>
          <cell r="D1888" t="str">
            <v>Insumo</v>
          </cell>
          <cell r="E1888" t="str">
            <v>UND</v>
          </cell>
          <cell r="F1888">
            <v>1</v>
          </cell>
          <cell r="G1888">
            <v>10758</v>
          </cell>
          <cell r="H1888">
            <v>10758</v>
          </cell>
        </row>
        <row r="1889">
          <cell r="A1889" t="str">
            <v>015.281</v>
          </cell>
          <cell r="B1889" t="str">
            <v>I1565</v>
          </cell>
          <cell r="C1889" t="str">
            <v>ACARREO INTERNO</v>
          </cell>
          <cell r="D1889" t="str">
            <v>Insumo</v>
          </cell>
          <cell r="E1889" t="str">
            <v>UND</v>
          </cell>
          <cell r="F1889">
            <v>2.2999999999999998</v>
          </cell>
          <cell r="G1889">
            <v>1327</v>
          </cell>
          <cell r="H1889">
            <v>3052</v>
          </cell>
        </row>
        <row r="1891">
          <cell r="A1891" t="str">
            <v>015.282</v>
          </cell>
          <cell r="B1891" t="str">
            <v>-</v>
          </cell>
          <cell r="C1891" t="str">
            <v xml:space="preserve">SUMINISTRO E INSTALACION DE TUBERIA CONDUIT EMT 3/4". </v>
          </cell>
          <cell r="D1891" t="str">
            <v>Actividad</v>
          </cell>
          <cell r="E1891" t="str">
            <v>ML</v>
          </cell>
          <cell r="H1891">
            <v>20864</v>
          </cell>
        </row>
        <row r="1892">
          <cell r="A1892" t="str">
            <v>015.282</v>
          </cell>
          <cell r="B1892" t="str">
            <v>C13</v>
          </cell>
          <cell r="C1892" t="str">
            <v>CUADRILLA FF TIPO 2 (1 OFICIAL + 2 AYUDANTE) (Electricas)</v>
          </cell>
          <cell r="D1892" t="str">
            <v>Cuadrilla</v>
          </cell>
          <cell r="E1892" t="str">
            <v>HR</v>
          </cell>
          <cell r="F1892">
            <v>0.2</v>
          </cell>
          <cell r="G1892">
            <v>33348</v>
          </cell>
          <cell r="H1892">
            <v>6670</v>
          </cell>
        </row>
        <row r="1893">
          <cell r="A1893" t="str">
            <v>015.282</v>
          </cell>
          <cell r="B1893" t="str">
            <v>E12</v>
          </cell>
          <cell r="C1893" t="str">
            <v>EQUIPO DE TRANSPORTE</v>
          </cell>
          <cell r="D1893" t="str">
            <v>Equipos</v>
          </cell>
          <cell r="E1893" t="str">
            <v>DIA</v>
          </cell>
          <cell r="F1893">
            <v>1.9E-3</v>
          </cell>
          <cell r="G1893">
            <v>131205</v>
          </cell>
          <cell r="H1893">
            <v>249</v>
          </cell>
        </row>
        <row r="1894">
          <cell r="A1894" t="str">
            <v>015.282</v>
          </cell>
          <cell r="B1894" t="str">
            <v>H2</v>
          </cell>
          <cell r="C1894" t="str">
            <v>EQUIPO BASICO (HERRAMIENTA MENOR)</v>
          </cell>
          <cell r="D1894" t="str">
            <v>Herramienta</v>
          </cell>
          <cell r="E1894" t="str">
            <v>UND</v>
          </cell>
          <cell r="F1894">
            <v>0.2</v>
          </cell>
          <cell r="G1894">
            <v>2536</v>
          </cell>
          <cell r="H1894">
            <v>507</v>
          </cell>
        </row>
        <row r="1895">
          <cell r="A1895" t="str">
            <v>015.282</v>
          </cell>
          <cell r="B1895" t="str">
            <v>I1116</v>
          </cell>
          <cell r="C1895" t="str">
            <v>ACCESORIOS FIJACION TUBERIA EMT 3/4" (ABRAZADERA, ALAMBRE)</v>
          </cell>
          <cell r="D1895" t="str">
            <v>Insumo</v>
          </cell>
          <cell r="E1895" t="str">
            <v>UND</v>
          </cell>
          <cell r="F1895">
            <v>1</v>
          </cell>
          <cell r="G1895">
            <v>2152</v>
          </cell>
          <cell r="H1895">
            <v>2152</v>
          </cell>
        </row>
        <row r="1896">
          <cell r="A1896" t="str">
            <v>015.282</v>
          </cell>
          <cell r="B1896" t="str">
            <v>I1129</v>
          </cell>
          <cell r="C1896" t="str">
            <v>ACCESORIOS TUBERIA EMT 3/4" (UNION Y CURVA)</v>
          </cell>
          <cell r="D1896" t="str">
            <v>Insumo</v>
          </cell>
          <cell r="E1896" t="str">
            <v>UND</v>
          </cell>
          <cell r="F1896">
            <v>1</v>
          </cell>
          <cell r="G1896">
            <v>4524</v>
          </cell>
          <cell r="H1896">
            <v>4524</v>
          </cell>
        </row>
        <row r="1897">
          <cell r="A1897" t="str">
            <v>015.282</v>
          </cell>
          <cell r="B1897" t="str">
            <v>I1461</v>
          </cell>
          <cell r="C1897" t="str">
            <v xml:space="preserve">TUBO CONDUIT GALVANIZADA EMT 3/4" </v>
          </cell>
          <cell r="D1897" t="str">
            <v>Insumo</v>
          </cell>
          <cell r="E1897" t="str">
            <v>M</v>
          </cell>
          <cell r="F1897">
            <v>1</v>
          </cell>
          <cell r="G1897">
            <v>6364</v>
          </cell>
          <cell r="H1897">
            <v>6364</v>
          </cell>
        </row>
        <row r="1898">
          <cell r="A1898" t="str">
            <v>015.282</v>
          </cell>
          <cell r="B1898" t="str">
            <v>I1565</v>
          </cell>
          <cell r="C1898" t="str">
            <v>ACARREO INTERNO</v>
          </cell>
          <cell r="D1898" t="str">
            <v>Insumo</v>
          </cell>
          <cell r="E1898" t="str">
            <v>UND</v>
          </cell>
          <cell r="F1898">
            <v>0.3</v>
          </cell>
          <cell r="G1898">
            <v>1327</v>
          </cell>
          <cell r="H1898">
            <v>398</v>
          </cell>
        </row>
        <row r="1900">
          <cell r="A1900" t="str">
            <v>015.283</v>
          </cell>
          <cell r="B1900" t="str">
            <v>-</v>
          </cell>
          <cell r="C1900" t="str">
            <v>SUMINISTRO, TRANSPORTE E INSTALACION SISTEMA DE CAPTACION DE DESCARGAS ATMOSFERICAS</v>
          </cell>
          <cell r="D1900" t="str">
            <v>Actividad</v>
          </cell>
          <cell r="E1900" t="str">
            <v>UND</v>
          </cell>
          <cell r="H1900">
            <v>4080289</v>
          </cell>
        </row>
        <row r="1901">
          <cell r="A1901" t="str">
            <v>015.283</v>
          </cell>
          <cell r="B1901" t="str">
            <v>C35</v>
          </cell>
          <cell r="C1901" t="str">
            <v>CUADRILLA GG TIPO 5 (1 OFICIAL + 5 AYUDANTE) (Alumbrado Publico)</v>
          </cell>
          <cell r="D1901" t="str">
            <v>Cuadrilla</v>
          </cell>
          <cell r="E1901" t="str">
            <v>HR</v>
          </cell>
          <cell r="F1901">
            <v>16.75</v>
          </cell>
          <cell r="G1901">
            <v>87719</v>
          </cell>
          <cell r="H1901">
            <v>1469293</v>
          </cell>
        </row>
        <row r="1902">
          <cell r="A1902" t="str">
            <v>015.283</v>
          </cell>
          <cell r="B1902" t="str">
            <v>E12</v>
          </cell>
          <cell r="C1902" t="str">
            <v>EQUIPO DE TRANSPORTE</v>
          </cell>
          <cell r="D1902" t="str">
            <v>Equipos</v>
          </cell>
          <cell r="E1902" t="str">
            <v>DIA</v>
          </cell>
          <cell r="F1902">
            <v>0.30525000000000002</v>
          </cell>
          <cell r="G1902">
            <v>131205</v>
          </cell>
          <cell r="H1902">
            <v>40050</v>
          </cell>
        </row>
        <row r="1903">
          <cell r="A1903" t="str">
            <v>015.283</v>
          </cell>
          <cell r="B1903" t="str">
            <v>H2</v>
          </cell>
          <cell r="C1903" t="str">
            <v>EQUIPO BASICO (HERRAMIENTA MENOR)</v>
          </cell>
          <cell r="D1903" t="str">
            <v>Herramienta</v>
          </cell>
          <cell r="E1903" t="str">
            <v>UND</v>
          </cell>
          <cell r="F1903">
            <v>15</v>
          </cell>
          <cell r="G1903">
            <v>2536</v>
          </cell>
          <cell r="H1903">
            <v>38040</v>
          </cell>
        </row>
        <row r="1904">
          <cell r="A1904" t="str">
            <v>015.283</v>
          </cell>
          <cell r="B1904" t="str">
            <v>I1122</v>
          </cell>
          <cell r="C1904" t="str">
            <v>ACCESORIOS FIJACION TUBERIA IMC Ó RIDGID 3/4" (ABRAZADERA, PERNOS)</v>
          </cell>
          <cell r="D1904" t="str">
            <v>Insumos</v>
          </cell>
          <cell r="E1904" t="str">
            <v>UND</v>
          </cell>
          <cell r="F1904">
            <v>6</v>
          </cell>
          <cell r="G1904">
            <v>3585</v>
          </cell>
          <cell r="H1904">
            <v>21510</v>
          </cell>
        </row>
        <row r="1905">
          <cell r="A1905" t="str">
            <v>015.283</v>
          </cell>
          <cell r="B1905" t="str">
            <v>I1135</v>
          </cell>
          <cell r="C1905" t="str">
            <v>ACCESORIOS TUBERIA IMC Ó RIDGID 3/4" (UNION Y  CURVA)</v>
          </cell>
          <cell r="D1905" t="str">
            <v>Insumos</v>
          </cell>
          <cell r="E1905" t="str">
            <v>UND</v>
          </cell>
          <cell r="F1905">
            <v>5</v>
          </cell>
          <cell r="G1905">
            <v>8378</v>
          </cell>
          <cell r="H1905">
            <v>41890</v>
          </cell>
        </row>
        <row r="1906">
          <cell r="A1906" t="str">
            <v>015.283</v>
          </cell>
          <cell r="B1906" t="str">
            <v>I1381</v>
          </cell>
          <cell r="C1906" t="str">
            <v>SOLDADURA EXOTERMICA TIPO CADWELD  DE 115 GRAMOS O SIMILAR</v>
          </cell>
          <cell r="D1906" t="str">
            <v>Insumo</v>
          </cell>
          <cell r="E1906" t="str">
            <v>UND</v>
          </cell>
          <cell r="F1906">
            <v>12</v>
          </cell>
          <cell r="G1906">
            <v>16887</v>
          </cell>
          <cell r="H1906">
            <v>202644</v>
          </cell>
        </row>
        <row r="1907">
          <cell r="A1907" t="str">
            <v>015.283</v>
          </cell>
          <cell r="B1907" t="str">
            <v>I1381</v>
          </cell>
          <cell r="C1907" t="str">
            <v>CONECTOR BIMETALICO</v>
          </cell>
          <cell r="D1907" t="str">
            <v>Insumo</v>
          </cell>
          <cell r="E1907" t="str">
            <v>UND</v>
          </cell>
          <cell r="F1907">
            <v>4</v>
          </cell>
          <cell r="G1907">
            <v>20305</v>
          </cell>
          <cell r="H1907">
            <v>81220</v>
          </cell>
        </row>
        <row r="1908">
          <cell r="A1908" t="str">
            <v>015.283</v>
          </cell>
          <cell r="B1908" t="str">
            <v>I1467</v>
          </cell>
          <cell r="C1908" t="str">
            <v>TUBO CONDUIT IMC 3/4"</v>
          </cell>
          <cell r="D1908" t="str">
            <v>Insumos</v>
          </cell>
          <cell r="E1908" t="str">
            <v>M</v>
          </cell>
          <cell r="F1908">
            <v>32</v>
          </cell>
          <cell r="G1908">
            <v>14200</v>
          </cell>
          <cell r="H1908">
            <v>454400</v>
          </cell>
        </row>
        <row r="1909">
          <cell r="A1909" t="str">
            <v>015.283</v>
          </cell>
          <cell r="B1909" t="str">
            <v>I1512</v>
          </cell>
          <cell r="C1909" t="str">
            <v>PUNTA DE CAPTACION TIPO FRANKLIN</v>
          </cell>
          <cell r="D1909" t="str">
            <v>Insumo</v>
          </cell>
          <cell r="E1909" t="str">
            <v>UND</v>
          </cell>
          <cell r="F1909">
            <v>6</v>
          </cell>
          <cell r="G1909">
            <v>81607</v>
          </cell>
          <cell r="H1909">
            <v>489642</v>
          </cell>
        </row>
        <row r="1910">
          <cell r="A1910" t="str">
            <v>015.283</v>
          </cell>
          <cell r="B1910" t="str">
            <v>I1513</v>
          </cell>
          <cell r="C1910" t="str">
            <v>ALAMBRON EN ALUMINIO DE 8MM PARA APANTALLAMIENTO</v>
          </cell>
          <cell r="D1910" t="str">
            <v>Insumo</v>
          </cell>
          <cell r="E1910" t="str">
            <v>M</v>
          </cell>
          <cell r="F1910">
            <v>152</v>
          </cell>
          <cell r="G1910">
            <v>3720</v>
          </cell>
          <cell r="H1910">
            <v>565440</v>
          </cell>
        </row>
        <row r="1911">
          <cell r="A1911" t="str">
            <v>015.283</v>
          </cell>
          <cell r="B1911" t="str">
            <v>I1565</v>
          </cell>
          <cell r="C1911" t="str">
            <v>ACARREO INTERNO</v>
          </cell>
          <cell r="D1911" t="str">
            <v>Insumo</v>
          </cell>
          <cell r="E1911" t="str">
            <v>UND</v>
          </cell>
          <cell r="F1911">
            <v>164.5</v>
          </cell>
          <cell r="G1911">
            <v>1327</v>
          </cell>
          <cell r="H1911">
            <v>218292</v>
          </cell>
        </row>
        <row r="1912">
          <cell r="A1912" t="str">
            <v>015.283</v>
          </cell>
          <cell r="B1912" t="str">
            <v>I1504</v>
          </cell>
          <cell r="C1912" t="str">
            <v>CAJA DE PASO TIPO PLEXO LEGRAND 180X140X86MM</v>
          </cell>
          <cell r="D1912" t="str">
            <v>Insumos</v>
          </cell>
          <cell r="E1912" t="str">
            <v>UND</v>
          </cell>
          <cell r="F1912">
            <v>4</v>
          </cell>
          <cell r="G1912">
            <v>114467</v>
          </cell>
          <cell r="H1912">
            <v>457868</v>
          </cell>
        </row>
        <row r="1914">
          <cell r="A1914" t="str">
            <v>015.284</v>
          </cell>
          <cell r="B1914" t="str">
            <v>-</v>
          </cell>
          <cell r="C1914" t="str">
            <v>SUMINISTRO, TRANSPORTE E INSTALACION CABLE DE COBRE DESNUDO No. 2/0 AWG. NO INCLUYE CONDULINADO.</v>
          </cell>
          <cell r="D1914" t="str">
            <v>Actividad</v>
          </cell>
          <cell r="E1914" t="str">
            <v>ML</v>
          </cell>
          <cell r="H1914">
            <v>32315</v>
          </cell>
        </row>
        <row r="1915">
          <cell r="A1915" t="str">
            <v>015.284</v>
          </cell>
          <cell r="B1915" t="str">
            <v>C13</v>
          </cell>
          <cell r="C1915" t="str">
            <v>CUADRILLA FF TIPO 2 (1 OFICIAL + 2 AYUDANTE) (Electricas)</v>
          </cell>
          <cell r="D1915" t="str">
            <v>Cuadrilla</v>
          </cell>
          <cell r="E1915" t="str">
            <v>HR</v>
          </cell>
          <cell r="F1915">
            <v>7.0000000000000007E-2</v>
          </cell>
          <cell r="G1915">
            <v>33348</v>
          </cell>
          <cell r="H1915">
            <v>2334</v>
          </cell>
        </row>
        <row r="1916">
          <cell r="A1916" t="str">
            <v>015.284</v>
          </cell>
          <cell r="B1916" t="str">
            <v>E12</v>
          </cell>
          <cell r="C1916" t="str">
            <v>EQUIPO DE TRANSPORTE</v>
          </cell>
          <cell r="D1916" t="str">
            <v>Equipos</v>
          </cell>
          <cell r="E1916" t="str">
            <v>DIA</v>
          </cell>
          <cell r="F1916">
            <v>5.5999999999999999E-3</v>
          </cell>
          <cell r="G1916">
            <v>131205</v>
          </cell>
          <cell r="H1916">
            <v>735</v>
          </cell>
        </row>
        <row r="1917">
          <cell r="A1917" t="str">
            <v>015.284</v>
          </cell>
          <cell r="B1917" t="str">
            <v>H2</v>
          </cell>
          <cell r="C1917" t="str">
            <v>EQUIPO BASICO (HERRAMIENTA MENOR)</v>
          </cell>
          <cell r="D1917" t="str">
            <v>Herramienta</v>
          </cell>
          <cell r="E1917" t="str">
            <v>UND</v>
          </cell>
          <cell r="F1917">
            <v>0.05</v>
          </cell>
          <cell r="G1917">
            <v>2536</v>
          </cell>
          <cell r="H1917">
            <v>127</v>
          </cell>
        </row>
        <row r="1918">
          <cell r="A1918" t="str">
            <v>015.284</v>
          </cell>
          <cell r="B1918" t="str">
            <v>I1181</v>
          </cell>
          <cell r="C1918" t="str">
            <v>CABLE DE COBRE DESNUDO Nº 2/0  AWG</v>
          </cell>
          <cell r="D1918" t="str">
            <v>Insumo</v>
          </cell>
          <cell r="E1918" t="str">
            <v>M</v>
          </cell>
          <cell r="F1918">
            <v>1.01</v>
          </cell>
          <cell r="G1918">
            <v>28683</v>
          </cell>
          <cell r="H1918">
            <v>28970</v>
          </cell>
        </row>
        <row r="1919">
          <cell r="A1919" t="str">
            <v>015.284</v>
          </cell>
          <cell r="B1919" t="str">
            <v>I1565</v>
          </cell>
          <cell r="C1919" t="str">
            <v>ACARREO INTERNO</v>
          </cell>
          <cell r="D1919" t="str">
            <v>Insumo</v>
          </cell>
          <cell r="E1919" t="str">
            <v>UND</v>
          </cell>
          <cell r="F1919">
            <v>0.112</v>
          </cell>
          <cell r="G1919">
            <v>1327</v>
          </cell>
          <cell r="H1919">
            <v>149</v>
          </cell>
        </row>
        <row r="1921">
          <cell r="A1921" t="str">
            <v>015.285</v>
          </cell>
          <cell r="B1921" t="str">
            <v>-</v>
          </cell>
          <cell r="C1921" t="str">
            <v xml:space="preserve">SUMINISTRO, TRANSPORTE E INSTALACION SISTEMA DE PUESTA A TIERRA GENERAL CON UNA VARILA DE COBRE 5/8X2,4M, CABLE No.2/0AWG (SPAT-1V). </v>
          </cell>
          <cell r="D1921" t="str">
            <v>Actividad</v>
          </cell>
          <cell r="E1921" t="str">
            <v>UND</v>
          </cell>
          <cell r="H1921">
            <v>838984</v>
          </cell>
        </row>
        <row r="1922">
          <cell r="A1922" t="str">
            <v>015.285</v>
          </cell>
          <cell r="B1922" t="str">
            <v>C35</v>
          </cell>
          <cell r="C1922" t="str">
            <v>CUADRILLA GG TIPO 5 (1 OFICIAL + 5 AYUDANTE) (Alumbrado Publico)</v>
          </cell>
          <cell r="D1922" t="str">
            <v>Cuadrilla</v>
          </cell>
          <cell r="E1922" t="str">
            <v>HR</v>
          </cell>
          <cell r="F1922">
            <v>2</v>
          </cell>
          <cell r="G1922">
            <v>87719</v>
          </cell>
          <cell r="H1922">
            <v>175438</v>
          </cell>
        </row>
        <row r="1923">
          <cell r="A1923" t="str">
            <v>015.285</v>
          </cell>
          <cell r="B1923" t="str">
            <v>E12</v>
          </cell>
          <cell r="C1923" t="str">
            <v>EQUIPO DE TRANSPORTE</v>
          </cell>
          <cell r="D1923" t="str">
            <v>Equipos</v>
          </cell>
          <cell r="E1923" t="str">
            <v>DIA</v>
          </cell>
          <cell r="F1923">
            <v>8.2100000000000006E-2</v>
          </cell>
          <cell r="G1923">
            <v>131205</v>
          </cell>
          <cell r="H1923">
            <v>10772</v>
          </cell>
        </row>
        <row r="1924">
          <cell r="A1924" t="str">
            <v>015.285</v>
          </cell>
          <cell r="B1924" t="str">
            <v>H2</v>
          </cell>
          <cell r="C1924" t="str">
            <v>EQUIPO BASICO (HERRAMIENTA MENOR)</v>
          </cell>
          <cell r="D1924" t="str">
            <v>Herramienta</v>
          </cell>
          <cell r="E1924" t="str">
            <v>UND</v>
          </cell>
          <cell r="F1924">
            <v>1</v>
          </cell>
          <cell r="G1924">
            <v>2536</v>
          </cell>
          <cell r="H1924">
            <v>2536</v>
          </cell>
        </row>
        <row r="1925">
          <cell r="A1925" t="str">
            <v>015.285</v>
          </cell>
          <cell r="B1925" t="str">
            <v>I1170</v>
          </cell>
          <cell r="C1925" t="str">
            <v>BORNA TERMINAL PONCHAR MARCA 3M Ó PANDUIT BARRIL LARGO PARA CABLE NO.2/0AWG</v>
          </cell>
          <cell r="D1925" t="str">
            <v>Insumos</v>
          </cell>
          <cell r="E1925" t="str">
            <v>UND</v>
          </cell>
          <cell r="F1925">
            <v>1</v>
          </cell>
          <cell r="G1925">
            <v>4734</v>
          </cell>
          <cell r="H1925">
            <v>4734</v>
          </cell>
        </row>
        <row r="1926">
          <cell r="A1926" t="str">
            <v>015.285</v>
          </cell>
          <cell r="B1926" t="str">
            <v>I1181</v>
          </cell>
          <cell r="C1926" t="str">
            <v>CABLE DE COBRE DESNUDO Nº 2/0  AWG</v>
          </cell>
          <cell r="D1926" t="str">
            <v>Insumo</v>
          </cell>
          <cell r="E1926" t="str">
            <v>M</v>
          </cell>
          <cell r="F1926">
            <v>5</v>
          </cell>
          <cell r="G1926">
            <v>28683</v>
          </cell>
          <cell r="H1926">
            <v>143415</v>
          </cell>
        </row>
        <row r="1927">
          <cell r="A1927" t="str">
            <v>015.285</v>
          </cell>
          <cell r="B1927" t="str">
            <v>I1381</v>
          </cell>
          <cell r="C1927" t="str">
            <v>SOLDADURA EXOTERMICA TIPO CADWELD  DE 115 GRAMOS O SIMILAR</v>
          </cell>
          <cell r="D1927" t="str">
            <v>Insumo</v>
          </cell>
          <cell r="E1927" t="str">
            <v>UND</v>
          </cell>
          <cell r="F1927">
            <v>1</v>
          </cell>
          <cell r="G1927">
            <v>16887</v>
          </cell>
          <cell r="H1927">
            <v>16887</v>
          </cell>
        </row>
        <row r="1928">
          <cell r="A1928" t="str">
            <v>015.285</v>
          </cell>
          <cell r="B1928" t="str">
            <v>I1382</v>
          </cell>
          <cell r="C1928" t="str">
            <v>SUELO ARTIFICIAL CEMENTO CONDUCTOR CELEC</v>
          </cell>
          <cell r="D1928" t="str">
            <v>Insumo</v>
          </cell>
          <cell r="E1928" t="str">
            <v>KG</v>
          </cell>
          <cell r="F1928">
            <v>40</v>
          </cell>
          <cell r="G1928">
            <v>8319</v>
          </cell>
          <cell r="H1928">
            <v>332760</v>
          </cell>
        </row>
        <row r="1929">
          <cell r="A1929" t="str">
            <v>015.285</v>
          </cell>
          <cell r="B1929" t="str">
            <v>I1484</v>
          </cell>
          <cell r="C1929" t="str">
            <v>VARILLA COPPERWELD DE  5/8 X 2,40</v>
          </cell>
          <cell r="D1929" t="str">
            <v>Insumo</v>
          </cell>
          <cell r="E1929" t="str">
            <v>UND</v>
          </cell>
          <cell r="F1929">
            <v>1</v>
          </cell>
          <cell r="G1929">
            <v>140632</v>
          </cell>
          <cell r="H1929">
            <v>140632</v>
          </cell>
        </row>
        <row r="1930">
          <cell r="A1930" t="str">
            <v>015.285</v>
          </cell>
          <cell r="B1930" t="str">
            <v>I1565</v>
          </cell>
          <cell r="C1930" t="str">
            <v>ACARREO INTERNO</v>
          </cell>
          <cell r="D1930" t="str">
            <v>Insumo</v>
          </cell>
          <cell r="E1930" t="str">
            <v>UND</v>
          </cell>
          <cell r="F1930">
            <v>8.9</v>
          </cell>
          <cell r="G1930">
            <v>1327</v>
          </cell>
          <cell r="H1930">
            <v>11810</v>
          </cell>
        </row>
        <row r="1932">
          <cell r="A1932" t="str">
            <v>015.286</v>
          </cell>
          <cell r="B1932" t="str">
            <v>-</v>
          </cell>
          <cell r="C1932" t="str">
            <v>SUMINISTRO, TRANSPORTE E INSTALACION ACOMETIDA 3F5H HFFR LS EN CABLE 3X4AWG + 4AWG (N) + 4AWG (T). NO INCLUYE CONDULINADO.</v>
          </cell>
          <cell r="D1932" t="str">
            <v>Actividad</v>
          </cell>
          <cell r="E1932" t="str">
            <v>ML</v>
          </cell>
          <cell r="H1932">
            <v>54815</v>
          </cell>
        </row>
        <row r="1933">
          <cell r="A1933" t="str">
            <v>015.286</v>
          </cell>
          <cell r="B1933" t="str">
            <v>C13</v>
          </cell>
          <cell r="C1933" t="str">
            <v>CUADRILLA FF TIPO 2 (1 OFICIAL + 2 AYUDANTE) (Electricas)</v>
          </cell>
          <cell r="D1933" t="str">
            <v>Cuadrilla</v>
          </cell>
          <cell r="E1933" t="str">
            <v>HR</v>
          </cell>
          <cell r="F1933">
            <v>0.16</v>
          </cell>
          <cell r="G1933">
            <v>33348</v>
          </cell>
          <cell r="H1933">
            <v>5336</v>
          </cell>
        </row>
        <row r="1934">
          <cell r="A1934" t="str">
            <v>015.286</v>
          </cell>
          <cell r="B1934" t="str">
            <v>E12</v>
          </cell>
          <cell r="C1934" t="str">
            <v>EQUIPO DE TRANSPORTE</v>
          </cell>
          <cell r="D1934" t="str">
            <v>Equipos</v>
          </cell>
          <cell r="E1934" t="str">
            <v>DIA</v>
          </cell>
          <cell r="F1934">
            <v>5.7999999999999996E-3</v>
          </cell>
          <cell r="G1934">
            <v>131205</v>
          </cell>
          <cell r="H1934">
            <v>761</v>
          </cell>
        </row>
        <row r="1935">
          <cell r="A1935" t="str">
            <v>015.286</v>
          </cell>
          <cell r="B1935" t="str">
            <v>H2</v>
          </cell>
          <cell r="C1935" t="str">
            <v>EQUIPO BASICO (HERRAMIENTA MENOR)</v>
          </cell>
          <cell r="D1935" t="str">
            <v>Herramienta</v>
          </cell>
          <cell r="E1935" t="str">
            <v>UND</v>
          </cell>
          <cell r="F1935">
            <v>0.1</v>
          </cell>
          <cell r="G1935">
            <v>2536</v>
          </cell>
          <cell r="H1935">
            <v>254</v>
          </cell>
        </row>
        <row r="1936">
          <cell r="A1936" t="str">
            <v>015.286</v>
          </cell>
          <cell r="B1936" t="str">
            <v>I1718</v>
          </cell>
          <cell r="C1936" t="str">
            <v>SUMINISTRO DE CABLE 4 AWG HFFR LS 600V 75º CT</v>
          </cell>
          <cell r="D1936" t="str">
            <v>Insumos</v>
          </cell>
          <cell r="E1936" t="str">
            <v>ML</v>
          </cell>
          <cell r="F1936">
            <v>5.05</v>
          </cell>
          <cell r="G1936">
            <v>9531</v>
          </cell>
          <cell r="H1936">
            <v>48132</v>
          </cell>
        </row>
        <row r="1937">
          <cell r="A1937" t="str">
            <v>015.286</v>
          </cell>
          <cell r="B1937" t="str">
            <v>I1565</v>
          </cell>
          <cell r="C1937" t="str">
            <v>ACARREO INTERNO</v>
          </cell>
          <cell r="D1937" t="str">
            <v>Insumo</v>
          </cell>
          <cell r="E1937" t="str">
            <v>UND</v>
          </cell>
          <cell r="F1937">
            <v>0.25</v>
          </cell>
          <cell r="G1937">
            <v>1327</v>
          </cell>
          <cell r="H1937">
            <v>332</v>
          </cell>
        </row>
        <row r="1939">
          <cell r="A1939" t="str">
            <v>015.287</v>
          </cell>
          <cell r="B1939" t="str">
            <v>-</v>
          </cell>
          <cell r="C1939" t="str">
            <v>SUMINISTRO E INSTALACION DE TABLERO DE 18 CIRCUITOS 3F5H, CON PUERTA. BARRAJE PARA 200A BARRA NEUTRO Y BARRA TIERRA  Calidad Legrand, Siemens, SqareD o superior de marca reconocida y homologada por el CIDET</v>
          </cell>
          <cell r="D1939" t="str">
            <v>Actividad</v>
          </cell>
          <cell r="E1939" t="str">
            <v>UND</v>
          </cell>
          <cell r="H1939">
            <v>378354</v>
          </cell>
        </row>
        <row r="1940">
          <cell r="A1940" t="str">
            <v>015.287</v>
          </cell>
          <cell r="B1940" t="str">
            <v>C13</v>
          </cell>
          <cell r="C1940" t="str">
            <v>CUADRILLA FF TIPO 2 (1 OFICIAL + 2 AYUDANTE) (Electricas)</v>
          </cell>
          <cell r="D1940" t="str">
            <v>Cuadrilla</v>
          </cell>
          <cell r="E1940" t="str">
            <v>HR</v>
          </cell>
          <cell r="F1940">
            <v>3.5</v>
          </cell>
          <cell r="G1940">
            <v>33348</v>
          </cell>
          <cell r="H1940">
            <v>116718</v>
          </cell>
        </row>
        <row r="1941">
          <cell r="A1941" t="str">
            <v>015.287</v>
          </cell>
          <cell r="B1941" t="str">
            <v>E12</v>
          </cell>
          <cell r="C1941" t="str">
            <v>EQUIPO DE TRANSPORTE</v>
          </cell>
          <cell r="D1941" t="str">
            <v>Equipos</v>
          </cell>
          <cell r="E1941" t="str">
            <v>DIA</v>
          </cell>
          <cell r="F1941">
            <v>3.6499999999999998E-2</v>
          </cell>
          <cell r="G1941">
            <v>131205</v>
          </cell>
          <cell r="H1941">
            <v>4789</v>
          </cell>
        </row>
        <row r="1942">
          <cell r="A1942" t="str">
            <v>015.287</v>
          </cell>
          <cell r="B1942" t="str">
            <v>H2</v>
          </cell>
          <cell r="C1942" t="str">
            <v>EQUIPO BASICO (HERRAMIENTA MENOR)</v>
          </cell>
          <cell r="D1942" t="str">
            <v>Herramienta</v>
          </cell>
          <cell r="E1942" t="str">
            <v>UND</v>
          </cell>
          <cell r="F1942">
            <v>0.5</v>
          </cell>
          <cell r="G1942">
            <v>2536</v>
          </cell>
          <cell r="H1942">
            <v>1268</v>
          </cell>
        </row>
        <row r="1943">
          <cell r="A1943" t="str">
            <v>015.287</v>
          </cell>
          <cell r="B1943" t="str">
            <v>I1393</v>
          </cell>
          <cell r="C1943" t="str">
            <v>TABLERO DE 18 CIRCUITOS 3F5H, CON PUERTA - CON BARRAJE, BARRA NEUTRO Y BARRA TIERRA  CALIDAD LEGRAND, SIEMENS, SQARED O SUPERIOR DE MARCA RECONOCIDA Y HOMOLOGADA POR EL CIDET</v>
          </cell>
          <cell r="D1943" t="str">
            <v>Insumo</v>
          </cell>
          <cell r="E1943" t="str">
            <v>UND</v>
          </cell>
          <cell r="F1943">
            <v>1</v>
          </cell>
          <cell r="G1943">
            <v>248280</v>
          </cell>
          <cell r="H1943">
            <v>248280</v>
          </cell>
        </row>
        <row r="1944">
          <cell r="A1944" t="str">
            <v>015.287</v>
          </cell>
          <cell r="B1944" t="str">
            <v>I1565</v>
          </cell>
          <cell r="C1944" t="str">
            <v>ACARREO INTERNO</v>
          </cell>
          <cell r="D1944" t="str">
            <v>Insumo</v>
          </cell>
          <cell r="E1944" t="str">
            <v>UND</v>
          </cell>
          <cell r="F1944">
            <v>5.5</v>
          </cell>
          <cell r="G1944">
            <v>1327</v>
          </cell>
          <cell r="H1944">
            <v>7299</v>
          </cell>
        </row>
        <row r="1946">
          <cell r="A1946" t="str">
            <v>015.288</v>
          </cell>
          <cell r="B1946" t="str">
            <v>-</v>
          </cell>
          <cell r="C1946" t="str">
            <v>SUMINISTRO E INSTALACION DE INTERRUPTOR ENCHUFABLE 1X30A. Calidad Legrand, Siemens, SqareD o superior de marca reconocida y homologada por el CIDET</v>
          </cell>
          <cell r="D1946" t="str">
            <v>Actividad</v>
          </cell>
          <cell r="E1946" t="str">
            <v>UND</v>
          </cell>
          <cell r="H1946">
            <v>11781</v>
          </cell>
        </row>
        <row r="1947">
          <cell r="A1947" t="str">
            <v>015.288</v>
          </cell>
          <cell r="B1947" t="str">
            <v>C13</v>
          </cell>
          <cell r="C1947" t="str">
            <v>CUADRILLA FF TIPO 2 (1 OFICIAL + 2 AYUDANTE) (Electricas)</v>
          </cell>
          <cell r="D1947" t="str">
            <v>Cuadrilla</v>
          </cell>
          <cell r="E1947" t="str">
            <v>HR</v>
          </cell>
          <cell r="F1947">
            <v>0.1</v>
          </cell>
          <cell r="G1947">
            <v>33348</v>
          </cell>
          <cell r="H1947">
            <v>3335</v>
          </cell>
        </row>
        <row r="1948">
          <cell r="A1948" t="str">
            <v>015.288</v>
          </cell>
          <cell r="B1948" t="str">
            <v>E12</v>
          </cell>
          <cell r="C1948" t="str">
            <v>EQUIPO DE TRANSPORTE</v>
          </cell>
          <cell r="D1948" t="str">
            <v>Equipos</v>
          </cell>
          <cell r="E1948" t="str">
            <v>DIA</v>
          </cell>
          <cell r="F1948">
            <v>1.1999999999999999E-3</v>
          </cell>
          <cell r="G1948">
            <v>131205</v>
          </cell>
          <cell r="H1948">
            <v>157</v>
          </cell>
        </row>
        <row r="1949">
          <cell r="A1949" t="str">
            <v>015.288</v>
          </cell>
          <cell r="B1949" t="str">
            <v>H2</v>
          </cell>
          <cell r="C1949" t="str">
            <v>EQUIPO BASICO (HERRAMIENTA MENOR)</v>
          </cell>
          <cell r="D1949" t="str">
            <v>Herramienta</v>
          </cell>
          <cell r="E1949" t="str">
            <v>UND</v>
          </cell>
          <cell r="F1949">
            <v>0.1</v>
          </cell>
          <cell r="G1949">
            <v>2536</v>
          </cell>
          <cell r="H1949">
            <v>254</v>
          </cell>
        </row>
        <row r="1950">
          <cell r="A1950" t="str">
            <v>015.288</v>
          </cell>
          <cell r="B1950" t="str">
            <v>I1293</v>
          </cell>
          <cell r="C1950" t="str">
            <v>INTERRUPTOR ENCHUFABLE DE 1 X 30A - 240V - 10KA</v>
          </cell>
          <cell r="D1950" t="str">
            <v>Insumo</v>
          </cell>
          <cell r="E1950" t="str">
            <v>UND</v>
          </cell>
          <cell r="F1950">
            <v>1</v>
          </cell>
          <cell r="G1950">
            <v>7836</v>
          </cell>
          <cell r="H1950">
            <v>7836</v>
          </cell>
        </row>
        <row r="1951">
          <cell r="A1951" t="str">
            <v>015.288</v>
          </cell>
          <cell r="B1951" t="str">
            <v>I1565</v>
          </cell>
          <cell r="C1951" t="str">
            <v>ACARREO INTERNO</v>
          </cell>
          <cell r="D1951" t="str">
            <v>Insumo</v>
          </cell>
          <cell r="E1951" t="str">
            <v>UND</v>
          </cell>
          <cell r="F1951">
            <v>0.15</v>
          </cell>
          <cell r="G1951">
            <v>1327</v>
          </cell>
          <cell r="H1951">
            <v>199</v>
          </cell>
        </row>
        <row r="1953">
          <cell r="A1953" t="str">
            <v>015.289</v>
          </cell>
          <cell r="B1953" t="str">
            <v>-</v>
          </cell>
          <cell r="C1953" t="str">
            <v>SUMINISTRO, TRANSPORTE E INSTALACION ACOMETIDA 3F5H HFFR LS EN CABLE 3X8AWG + 8AWG (N) + 8AWG (T). NO INCLUYE CONDULINADO.</v>
          </cell>
          <cell r="D1953" t="str">
            <v>Actividad</v>
          </cell>
          <cell r="E1953" t="str">
            <v>ML</v>
          </cell>
          <cell r="H1953">
            <v>22107</v>
          </cell>
        </row>
        <row r="1954">
          <cell r="A1954" t="str">
            <v>015.289</v>
          </cell>
          <cell r="B1954" t="str">
            <v>C13</v>
          </cell>
          <cell r="C1954" t="str">
            <v>CUADRILLA FF TIPO 2 (1 OFICIAL + 2 AYUDANTE) (Electricas)</v>
          </cell>
          <cell r="D1954" t="str">
            <v>Cuadrilla</v>
          </cell>
          <cell r="E1954" t="str">
            <v>HR</v>
          </cell>
          <cell r="F1954">
            <v>0.12</v>
          </cell>
          <cell r="G1954">
            <v>33348</v>
          </cell>
          <cell r="H1954">
            <v>4002</v>
          </cell>
        </row>
        <row r="1955">
          <cell r="A1955" t="str">
            <v>015.289</v>
          </cell>
          <cell r="B1955" t="str">
            <v>E12</v>
          </cell>
          <cell r="C1955" t="str">
            <v>EQUIPO DE TRANSPORTE</v>
          </cell>
          <cell r="D1955" t="str">
            <v>Equipos</v>
          </cell>
          <cell r="E1955" t="str">
            <v>DIA</v>
          </cell>
          <cell r="F1955">
            <v>3.0000000000000001E-3</v>
          </cell>
          <cell r="G1955">
            <v>131205</v>
          </cell>
          <cell r="H1955">
            <v>394</v>
          </cell>
        </row>
        <row r="1956">
          <cell r="A1956" t="str">
            <v>015.289</v>
          </cell>
          <cell r="B1956" t="str">
            <v>H2</v>
          </cell>
          <cell r="C1956" t="str">
            <v>EQUIPO BASICO (HERRAMIENTA MENOR)</v>
          </cell>
          <cell r="D1956" t="str">
            <v>Herramienta</v>
          </cell>
          <cell r="E1956" t="str">
            <v>UND</v>
          </cell>
          <cell r="F1956">
            <v>0.1</v>
          </cell>
          <cell r="G1956">
            <v>2536</v>
          </cell>
          <cell r="H1956">
            <v>254</v>
          </cell>
        </row>
        <row r="1957">
          <cell r="A1957" t="str">
            <v>015.289</v>
          </cell>
          <cell r="B1957" t="str">
            <v>I1732</v>
          </cell>
          <cell r="C1957" t="str">
            <v>SUMINISTRO DE CABLE 8 AWG HFFR LS 600V 75º CT</v>
          </cell>
          <cell r="D1957" t="str">
            <v>Insumos</v>
          </cell>
          <cell r="E1957" t="str">
            <v>ML</v>
          </cell>
          <cell r="F1957">
            <v>5.05</v>
          </cell>
          <cell r="G1957">
            <v>3407</v>
          </cell>
          <cell r="H1957">
            <v>17205</v>
          </cell>
        </row>
        <row r="1958">
          <cell r="A1958" t="str">
            <v>015.289</v>
          </cell>
          <cell r="B1958" t="str">
            <v>I1565</v>
          </cell>
          <cell r="C1958" t="str">
            <v>ACARREO INTERNO</v>
          </cell>
          <cell r="D1958" t="str">
            <v>Insumo</v>
          </cell>
          <cell r="E1958" t="str">
            <v>UND</v>
          </cell>
          <cell r="F1958">
            <v>0.19</v>
          </cell>
          <cell r="G1958">
            <v>1327</v>
          </cell>
          <cell r="H1958">
            <v>252</v>
          </cell>
        </row>
        <row r="1960">
          <cell r="A1960" t="str">
            <v>015.290</v>
          </cell>
          <cell r="B1960" t="str">
            <v>-</v>
          </cell>
          <cell r="C1960" t="str">
            <v>SUMINISTRO E INSTALACION DE TABLERO DE 12 CIRCUITOS 3F5H, CON PUERTA. BARRAJE PARA 200A BARRA NEUTRO Y BARRA TIERRA  Calidad Legrand, Siemens, SqareD o superior de marca reconocida y homologada por el CIDET</v>
          </cell>
          <cell r="D1960" t="str">
            <v>Actividad</v>
          </cell>
          <cell r="E1960" t="str">
            <v>UND</v>
          </cell>
          <cell r="H1960">
            <v>307118</v>
          </cell>
        </row>
        <row r="1961">
          <cell r="A1961" t="str">
            <v>015.290</v>
          </cell>
          <cell r="B1961" t="str">
            <v>C13</v>
          </cell>
          <cell r="C1961" t="str">
            <v>CUADRILLA FF TIPO 2 (1 OFICIAL + 2 AYUDANTE) (Electricas)</v>
          </cell>
          <cell r="D1961" t="str">
            <v>Cuadrilla</v>
          </cell>
          <cell r="E1961" t="str">
            <v>HR</v>
          </cell>
          <cell r="F1961">
            <v>4</v>
          </cell>
          <cell r="G1961">
            <v>33348</v>
          </cell>
          <cell r="H1961">
            <v>133392</v>
          </cell>
        </row>
        <row r="1962">
          <cell r="A1962" t="str">
            <v>015.290</v>
          </cell>
          <cell r="B1962" t="str">
            <v>E12</v>
          </cell>
          <cell r="C1962" t="str">
            <v>EQUIPO DE TRANSPORTE</v>
          </cell>
          <cell r="D1962" t="str">
            <v>Equipos</v>
          </cell>
          <cell r="E1962" t="str">
            <v>DIA</v>
          </cell>
          <cell r="F1962">
            <v>2.3699999999999999E-2</v>
          </cell>
          <cell r="G1962">
            <v>131205</v>
          </cell>
          <cell r="H1962">
            <v>3110</v>
          </cell>
        </row>
        <row r="1963">
          <cell r="A1963" t="str">
            <v>015.290</v>
          </cell>
          <cell r="B1963" t="str">
            <v>H2</v>
          </cell>
          <cell r="C1963" t="str">
            <v>EQUIPO BASICO (HERRAMIENTA MENOR)</v>
          </cell>
          <cell r="D1963" t="str">
            <v>Herramienta</v>
          </cell>
          <cell r="E1963" t="str">
            <v>UND</v>
          </cell>
          <cell r="F1963">
            <v>0.5</v>
          </cell>
          <cell r="G1963">
            <v>2536</v>
          </cell>
          <cell r="H1963">
            <v>1268</v>
          </cell>
        </row>
        <row r="1964">
          <cell r="A1964" t="str">
            <v>015.290</v>
          </cell>
          <cell r="B1964" t="str">
            <v>I1391</v>
          </cell>
          <cell r="C1964" t="str">
            <v>TABLERO DE 12 CIRCUITOS 3F5H, CON PUERTA, BARRAJE, BARRA NEUTRO Y BARRA TIERRA  CALIDAD LEGRAND, SIEMENS, SQARED O SUPERIOR DE MARCA RECONOCIDA Y HOMOLOGADA POR EL CIDET</v>
          </cell>
          <cell r="D1964" t="str">
            <v>Insumo</v>
          </cell>
          <cell r="E1964" t="str">
            <v>UND</v>
          </cell>
          <cell r="F1964">
            <v>1</v>
          </cell>
          <cell r="G1964">
            <v>160988</v>
          </cell>
          <cell r="H1964">
            <v>160988</v>
          </cell>
        </row>
        <row r="1965">
          <cell r="A1965" t="str">
            <v>015.290</v>
          </cell>
          <cell r="B1965" t="str">
            <v>I1565</v>
          </cell>
          <cell r="C1965" t="str">
            <v>ACARREO INTERNO</v>
          </cell>
          <cell r="D1965" t="str">
            <v>Insumo</v>
          </cell>
          <cell r="E1965" t="str">
            <v>UND</v>
          </cell>
          <cell r="F1965">
            <v>6.3</v>
          </cell>
          <cell r="G1965">
            <v>1327</v>
          </cell>
          <cell r="H1965">
            <v>8360</v>
          </cell>
        </row>
        <row r="1967">
          <cell r="A1967" t="str">
            <v>015.291</v>
          </cell>
          <cell r="B1967" t="str">
            <v>-</v>
          </cell>
          <cell r="C1967" t="str">
            <v>SUMINISTRO E INSTALACION DE INTERRUPTOR ENCHUFABLE 3X30A. Calidad Legrand, Siemens, SqareD o superior de marca reconocida y homologada por el CIDET</v>
          </cell>
          <cell r="D1967" t="str">
            <v>Actividad</v>
          </cell>
          <cell r="E1967" t="str">
            <v>UND</v>
          </cell>
          <cell r="H1967">
            <v>58913</v>
          </cell>
        </row>
        <row r="1968">
          <cell r="A1968" t="str">
            <v>015.291</v>
          </cell>
          <cell r="B1968" t="str">
            <v>C13</v>
          </cell>
          <cell r="C1968" t="str">
            <v>CUADRILLA FF TIPO 2 (1 OFICIAL + 2 AYUDANTE) (Electricas)</v>
          </cell>
          <cell r="D1968" t="str">
            <v>Cuadrilla</v>
          </cell>
          <cell r="E1968" t="str">
            <v>HR</v>
          </cell>
          <cell r="F1968">
            <v>0.1</v>
          </cell>
          <cell r="G1968">
            <v>33348</v>
          </cell>
          <cell r="H1968">
            <v>3335</v>
          </cell>
        </row>
        <row r="1969">
          <cell r="A1969" t="str">
            <v>015.291</v>
          </cell>
          <cell r="B1969" t="str">
            <v>E12</v>
          </cell>
          <cell r="C1969" t="str">
            <v>EQUIPO DE TRANSPORTE</v>
          </cell>
          <cell r="D1969" t="str">
            <v>Equipos</v>
          </cell>
          <cell r="E1969" t="str">
            <v>DIA</v>
          </cell>
          <cell r="F1969">
            <v>7.9000000000000008E-3</v>
          </cell>
          <cell r="G1969">
            <v>131205</v>
          </cell>
          <cell r="H1969">
            <v>1037</v>
          </cell>
        </row>
        <row r="1970">
          <cell r="A1970" t="str">
            <v>015.291</v>
          </cell>
          <cell r="B1970" t="str">
            <v>H2</v>
          </cell>
          <cell r="C1970" t="str">
            <v>EQUIPO BASICO (HERRAMIENTA MENOR)</v>
          </cell>
          <cell r="D1970" t="str">
            <v>Herramienta</v>
          </cell>
          <cell r="E1970" t="str">
            <v>UND</v>
          </cell>
          <cell r="F1970">
            <v>0.1</v>
          </cell>
          <cell r="G1970">
            <v>2536</v>
          </cell>
          <cell r="H1970">
            <v>254</v>
          </cell>
        </row>
        <row r="1971">
          <cell r="A1971" t="str">
            <v>015.291</v>
          </cell>
          <cell r="B1971" t="str">
            <v>I1303</v>
          </cell>
          <cell r="C1971" t="str">
            <v>INTERRUPTOR ENCHUFABLE DE 3 X 30A - 240V - 10KA</v>
          </cell>
          <cell r="D1971" t="str">
            <v>Insumo</v>
          </cell>
          <cell r="E1971" t="str">
            <v>UND</v>
          </cell>
          <cell r="F1971">
            <v>1</v>
          </cell>
          <cell r="G1971">
            <v>54061</v>
          </cell>
          <cell r="H1971">
            <v>54061</v>
          </cell>
        </row>
        <row r="1972">
          <cell r="A1972" t="str">
            <v>015.291</v>
          </cell>
          <cell r="B1972" t="str">
            <v>I1565</v>
          </cell>
          <cell r="C1972" t="str">
            <v>ACARREO INTERNO</v>
          </cell>
          <cell r="D1972" t="str">
            <v>Insumo</v>
          </cell>
          <cell r="E1972" t="str">
            <v>UND</v>
          </cell>
          <cell r="F1972">
            <v>0.17</v>
          </cell>
          <cell r="G1972">
            <v>1327</v>
          </cell>
          <cell r="H1972">
            <v>226</v>
          </cell>
        </row>
        <row r="1974">
          <cell r="A1974" t="str">
            <v>015.292</v>
          </cell>
          <cell r="B1974" t="str">
            <v>-</v>
          </cell>
          <cell r="C1974" t="str">
            <v>SUMINISTRO E INSTALACION DE INTERRUPTOR ENCHUFABLE 2X30A. Calidad Legrand, Siemens, SqareD o superior de marca reconocida y homologada por el CIDET</v>
          </cell>
          <cell r="D1974" t="str">
            <v>Actividad</v>
          </cell>
          <cell r="E1974" t="str">
            <v>UND</v>
          </cell>
          <cell r="H1974">
            <v>25266</v>
          </cell>
        </row>
        <row r="1975">
          <cell r="A1975" t="str">
            <v>015.292</v>
          </cell>
          <cell r="B1975" t="str">
            <v>C13</v>
          </cell>
          <cell r="C1975" t="str">
            <v>CUADRILLA FF TIPO 2 (1 OFICIAL + 2 AYUDANTE) (Electricas)</v>
          </cell>
          <cell r="D1975" t="str">
            <v>Cuadrilla</v>
          </cell>
          <cell r="E1975" t="str">
            <v>HR</v>
          </cell>
          <cell r="F1975">
            <v>0.1</v>
          </cell>
          <cell r="G1975">
            <v>33348</v>
          </cell>
          <cell r="H1975">
            <v>3335</v>
          </cell>
        </row>
        <row r="1976">
          <cell r="A1976" t="str">
            <v>015.292</v>
          </cell>
          <cell r="B1976" t="str">
            <v>E12</v>
          </cell>
          <cell r="C1976" t="str">
            <v>EQUIPO DE TRANSPORTE</v>
          </cell>
          <cell r="D1976" t="str">
            <v>Equipos</v>
          </cell>
          <cell r="E1976" t="str">
            <v>DIA</v>
          </cell>
          <cell r="F1976">
            <v>3.0999999999999999E-3</v>
          </cell>
          <cell r="G1976">
            <v>131205</v>
          </cell>
          <cell r="H1976">
            <v>407</v>
          </cell>
        </row>
        <row r="1977">
          <cell r="A1977" t="str">
            <v>015.292</v>
          </cell>
          <cell r="B1977" t="str">
            <v>H2</v>
          </cell>
          <cell r="C1977" t="str">
            <v>EQUIPO BASICO (HERRAMIENTA MENOR)</v>
          </cell>
          <cell r="D1977" t="str">
            <v>Herramienta</v>
          </cell>
          <cell r="E1977" t="str">
            <v>UND</v>
          </cell>
          <cell r="F1977">
            <v>0.1</v>
          </cell>
          <cell r="G1977">
            <v>2536</v>
          </cell>
          <cell r="H1977">
            <v>254</v>
          </cell>
        </row>
        <row r="1978">
          <cell r="A1978" t="str">
            <v>015.292</v>
          </cell>
          <cell r="B1978" t="str">
            <v>I1298</v>
          </cell>
          <cell r="C1978" t="str">
            <v>INTERRUPTOR ENCHUFABLE DE 2 X 30A - 240V - 10KA</v>
          </cell>
          <cell r="D1978" t="str">
            <v>Insumo</v>
          </cell>
          <cell r="E1978" t="str">
            <v>UND</v>
          </cell>
          <cell r="F1978">
            <v>1</v>
          </cell>
          <cell r="G1978">
            <v>21071</v>
          </cell>
          <cell r="H1978">
            <v>21071</v>
          </cell>
        </row>
        <row r="1979">
          <cell r="A1979" t="str">
            <v>015.292</v>
          </cell>
          <cell r="B1979" t="str">
            <v>I1565</v>
          </cell>
          <cell r="C1979" t="str">
            <v>ACARREO INTERNO</v>
          </cell>
          <cell r="D1979" t="str">
            <v>Insumo</v>
          </cell>
          <cell r="E1979" t="str">
            <v>UND</v>
          </cell>
          <cell r="F1979">
            <v>0.15</v>
          </cell>
          <cell r="G1979">
            <v>1327</v>
          </cell>
          <cell r="H1979">
            <v>199</v>
          </cell>
        </row>
        <row r="1981">
          <cell r="A1981" t="str">
            <v>015.293</v>
          </cell>
          <cell r="B1981" t="str">
            <v>-</v>
          </cell>
          <cell r="C1981" t="str">
            <v>SUMINISTRO, TRANSPORTE E INSTALACION ACOMETIDA 3F5H HFFR LS EN CABLE 3X1/0AWG + 1/0 AWG (N) + 1/0 AWG (T). NO INCLUYE CONDULINADO.</v>
          </cell>
          <cell r="D1981" t="str">
            <v>Actividad</v>
          </cell>
          <cell r="E1981" t="str">
            <v>ML</v>
          </cell>
          <cell r="H1981">
            <v>104228</v>
          </cell>
        </row>
        <row r="1982">
          <cell r="A1982" t="str">
            <v>015.293</v>
          </cell>
          <cell r="B1982" t="str">
            <v>C13</v>
          </cell>
          <cell r="C1982" t="str">
            <v>CUADRILLA FF TIPO 2 (1 OFICIAL + 2 AYUDANTE) (Electricas)</v>
          </cell>
          <cell r="D1982" t="str">
            <v>Cuadrilla</v>
          </cell>
          <cell r="E1982" t="str">
            <v>HR</v>
          </cell>
          <cell r="F1982">
            <v>0.18</v>
          </cell>
          <cell r="G1982">
            <v>33348</v>
          </cell>
          <cell r="H1982">
            <v>6003</v>
          </cell>
        </row>
        <row r="1983">
          <cell r="A1983" t="str">
            <v>015.293</v>
          </cell>
          <cell r="B1983" t="str">
            <v>E12</v>
          </cell>
          <cell r="C1983" t="str">
            <v>EQUIPO DE TRANSPORTE</v>
          </cell>
          <cell r="D1983" t="str">
            <v>Equipos</v>
          </cell>
          <cell r="E1983" t="str">
            <v>DIA</v>
          </cell>
          <cell r="F1983">
            <v>1.66E-2</v>
          </cell>
          <cell r="G1983">
            <v>131205</v>
          </cell>
          <cell r="H1983">
            <v>2178</v>
          </cell>
        </row>
        <row r="1984">
          <cell r="A1984" t="str">
            <v>015.293</v>
          </cell>
          <cell r="B1984" t="str">
            <v>H2</v>
          </cell>
          <cell r="C1984" t="str">
            <v>EQUIPO BASICO (HERRAMIENTA MENOR)</v>
          </cell>
          <cell r="D1984" t="str">
            <v>Herramienta</v>
          </cell>
          <cell r="E1984" t="str">
            <v>UND</v>
          </cell>
          <cell r="F1984">
            <v>0.1</v>
          </cell>
          <cell r="G1984">
            <v>2536</v>
          </cell>
          <cell r="H1984">
            <v>254</v>
          </cell>
        </row>
        <row r="1985">
          <cell r="A1985" t="str">
            <v>015.293</v>
          </cell>
          <cell r="B1985" t="str">
            <v>I1696</v>
          </cell>
          <cell r="C1985" t="str">
            <v>CABLE 1/0 AWG HFFR LS 600V 75º CT</v>
          </cell>
          <cell r="D1985" t="str">
            <v>Insumos</v>
          </cell>
          <cell r="E1985" t="str">
            <v>ML</v>
          </cell>
          <cell r="F1985">
            <v>5.05</v>
          </cell>
          <cell r="G1985">
            <v>18890</v>
          </cell>
          <cell r="H1985">
            <v>95395</v>
          </cell>
        </row>
        <row r="1986">
          <cell r="A1986" t="str">
            <v>015.293</v>
          </cell>
          <cell r="B1986" t="str">
            <v>I1565</v>
          </cell>
          <cell r="C1986" t="str">
            <v>ACARREO INTERNO</v>
          </cell>
          <cell r="D1986" t="str">
            <v>Insumo</v>
          </cell>
          <cell r="E1986" t="str">
            <v>UND</v>
          </cell>
          <cell r="F1986">
            <v>0.3</v>
          </cell>
          <cell r="G1986">
            <v>1327</v>
          </cell>
          <cell r="H1986">
            <v>398</v>
          </cell>
        </row>
        <row r="1988">
          <cell r="A1988" t="str">
            <v>015.294</v>
          </cell>
          <cell r="B1988" t="str">
            <v>-</v>
          </cell>
          <cell r="C1988" t="str">
            <v xml:space="preserve">SUMINISTRO E INSTALACION DE TUBERIA CONDUIT EMT 2". </v>
          </cell>
          <cell r="D1988" t="str">
            <v>Actividad</v>
          </cell>
          <cell r="E1988" t="str">
            <v>ML</v>
          </cell>
          <cell r="H1988">
            <v>61982</v>
          </cell>
        </row>
        <row r="1989">
          <cell r="A1989" t="str">
            <v>015.294</v>
          </cell>
          <cell r="B1989" t="str">
            <v>C13</v>
          </cell>
          <cell r="C1989" t="str">
            <v>CUADRILLA FF TIPO 2 (1 OFICIAL + 2 AYUDANTE) (Electricas)</v>
          </cell>
          <cell r="D1989" t="str">
            <v>Cuadrilla</v>
          </cell>
          <cell r="E1989" t="str">
            <v>HR</v>
          </cell>
          <cell r="F1989">
            <v>0.25</v>
          </cell>
          <cell r="G1989">
            <v>33348</v>
          </cell>
          <cell r="H1989">
            <v>8337</v>
          </cell>
        </row>
        <row r="1990">
          <cell r="A1990" t="str">
            <v>015.294</v>
          </cell>
          <cell r="B1990" t="str">
            <v>E12</v>
          </cell>
          <cell r="C1990" t="str">
            <v>EQUIPO DE TRANSPORTE</v>
          </cell>
          <cell r="D1990" t="str">
            <v>Equipos</v>
          </cell>
          <cell r="E1990" t="str">
            <v>DIA</v>
          </cell>
          <cell r="F1990">
            <v>7.6E-3</v>
          </cell>
          <cell r="G1990">
            <v>131205</v>
          </cell>
          <cell r="H1990">
            <v>997</v>
          </cell>
        </row>
        <row r="1991">
          <cell r="A1991" t="str">
            <v>015.294</v>
          </cell>
          <cell r="B1991" t="str">
            <v>H2</v>
          </cell>
          <cell r="C1991" t="str">
            <v>EQUIPO BASICO (HERRAMIENTA MENOR)</v>
          </cell>
          <cell r="D1991" t="str">
            <v>Herramienta</v>
          </cell>
          <cell r="E1991" t="str">
            <v>UND</v>
          </cell>
          <cell r="F1991">
            <v>0.2</v>
          </cell>
          <cell r="G1991">
            <v>2536</v>
          </cell>
          <cell r="H1991">
            <v>507</v>
          </cell>
        </row>
        <row r="1992">
          <cell r="A1992" t="str">
            <v>015.294</v>
          </cell>
          <cell r="B1992" t="str">
            <v>I1114</v>
          </cell>
          <cell r="C1992" t="str">
            <v>ACCESORIOS FIJACION TUBERIA EMT 2" (ABRAZADERA, ALAMBRE)</v>
          </cell>
          <cell r="D1992" t="str">
            <v>Insumo</v>
          </cell>
          <cell r="E1992" t="str">
            <v>UND</v>
          </cell>
          <cell r="F1992">
            <v>1</v>
          </cell>
          <cell r="G1992">
            <v>7170</v>
          </cell>
          <cell r="H1992">
            <v>7170</v>
          </cell>
        </row>
        <row r="1993">
          <cell r="A1993" t="str">
            <v>015.294</v>
          </cell>
          <cell r="B1993" t="str">
            <v>I1127</v>
          </cell>
          <cell r="C1993" t="str">
            <v>ACCESORIOS TUBERIA EMT 2" (UNION, ADAPTADOR, CURVA)</v>
          </cell>
          <cell r="D1993" t="str">
            <v>Insumo</v>
          </cell>
          <cell r="E1993" t="str">
            <v>UND</v>
          </cell>
          <cell r="F1993">
            <v>1</v>
          </cell>
          <cell r="G1993">
            <v>24125</v>
          </cell>
          <cell r="H1993">
            <v>24125</v>
          </cell>
        </row>
        <row r="1994">
          <cell r="A1994" t="str">
            <v>015.294</v>
          </cell>
          <cell r="B1994" t="str">
            <v>I1459</v>
          </cell>
          <cell r="C1994" t="str">
            <v xml:space="preserve">TUBO CONDUIT GALVANIZADA EMT 2" </v>
          </cell>
          <cell r="D1994" t="str">
            <v>Insumo</v>
          </cell>
          <cell r="E1994" t="str">
            <v>M</v>
          </cell>
          <cell r="F1994">
            <v>1</v>
          </cell>
          <cell r="G1994">
            <v>20448</v>
          </cell>
          <cell r="H1994">
            <v>20448</v>
          </cell>
        </row>
        <row r="1995">
          <cell r="A1995" t="str">
            <v>015.294</v>
          </cell>
          <cell r="B1995" t="str">
            <v>I1565</v>
          </cell>
          <cell r="C1995" t="str">
            <v>ACARREO INTERNO</v>
          </cell>
          <cell r="D1995" t="str">
            <v>Insumo</v>
          </cell>
          <cell r="E1995" t="str">
            <v>UND</v>
          </cell>
          <cell r="F1995">
            <v>0.3</v>
          </cell>
          <cell r="G1995">
            <v>1327</v>
          </cell>
          <cell r="H1995">
            <v>398</v>
          </cell>
        </row>
        <row r="1997">
          <cell r="A1997" t="str">
            <v>015.295</v>
          </cell>
          <cell r="B1997" t="str">
            <v>-</v>
          </cell>
          <cell r="C1997" t="str">
            <v>SUMINISTRO E INSTALACION DE TABLERO DE 24 CIRCUITOS 3F5H, CON PUERTA. BARRAJE PARA 200A BARRA NEUTRO Y BARRA TIERRA  Calidad Legrand, Siemens, SqareD o superior de marca reconocida y homologada por el CIDET</v>
          </cell>
          <cell r="D1997" t="str">
            <v>Actividad</v>
          </cell>
          <cell r="E1997" t="str">
            <v>UND</v>
          </cell>
          <cell r="H1997">
            <v>477988</v>
          </cell>
        </row>
        <row r="1998">
          <cell r="A1998" t="str">
            <v>015.295</v>
          </cell>
          <cell r="B1998" t="str">
            <v>C13</v>
          </cell>
          <cell r="C1998" t="str">
            <v>CUADRILLA FF TIPO 2 (1 OFICIAL + 2 AYUDANTE) (Electricas)</v>
          </cell>
          <cell r="D1998" t="str">
            <v>Cuadrilla</v>
          </cell>
          <cell r="E1998" t="str">
            <v>HR</v>
          </cell>
          <cell r="F1998">
            <v>5</v>
          </cell>
          <cell r="G1998">
            <v>33348</v>
          </cell>
          <cell r="H1998">
            <v>166740</v>
          </cell>
        </row>
        <row r="1999">
          <cell r="A1999" t="str">
            <v>015.295</v>
          </cell>
          <cell r="B1999" t="str">
            <v>E12</v>
          </cell>
          <cell r="C1999" t="str">
            <v>EQUIPO DE TRANSPORTE</v>
          </cell>
          <cell r="D1999" t="str">
            <v>Equipos</v>
          </cell>
          <cell r="E1999" t="str">
            <v>DIA</v>
          </cell>
          <cell r="F1999">
            <v>4.3200000000000002E-2</v>
          </cell>
          <cell r="G1999">
            <v>131205</v>
          </cell>
          <cell r="H1999">
            <v>5668</v>
          </cell>
        </row>
        <row r="2000">
          <cell r="A2000" t="str">
            <v>015.295</v>
          </cell>
          <cell r="B2000" t="str">
            <v>H2</v>
          </cell>
          <cell r="C2000" t="str">
            <v>EQUIPO BASICO (HERRAMIENTA MENOR)</v>
          </cell>
          <cell r="D2000" t="str">
            <v>Herramienta</v>
          </cell>
          <cell r="E2000" t="str">
            <v>UND</v>
          </cell>
          <cell r="F2000">
            <v>0.5</v>
          </cell>
          <cell r="G2000">
            <v>2536</v>
          </cell>
          <cell r="H2000">
            <v>1268</v>
          </cell>
        </row>
        <row r="2001">
          <cell r="A2001" t="str">
            <v>015.295</v>
          </cell>
          <cell r="B2001" t="str">
            <v>I1396</v>
          </cell>
          <cell r="C2001" t="str">
            <v>TABLERO DE 24 CIRCUITOS 3F5H, CON PUERTA,BARRAJE , BARRA NEUTRO Y BARRA TIERRA  CALIDAD LEGRAND, SIEMENS, SQARED O SUPERIOR DE MARCA RECONOCIDA Y HOMOLOGADA POR EL CIDET</v>
          </cell>
          <cell r="D2001" t="str">
            <v>Insumo</v>
          </cell>
          <cell r="E2001" t="str">
            <v>UND</v>
          </cell>
          <cell r="F2001">
            <v>1</v>
          </cell>
          <cell r="G2001">
            <v>293829</v>
          </cell>
          <cell r="H2001">
            <v>293829</v>
          </cell>
        </row>
        <row r="2002">
          <cell r="A2002" t="str">
            <v>015.295</v>
          </cell>
          <cell r="B2002" t="str">
            <v>I1565</v>
          </cell>
          <cell r="C2002" t="str">
            <v>ACARREO INTERNO</v>
          </cell>
          <cell r="D2002" t="str">
            <v>Insumo</v>
          </cell>
          <cell r="E2002" t="str">
            <v>UND</v>
          </cell>
          <cell r="F2002">
            <v>7.9</v>
          </cell>
          <cell r="G2002">
            <v>1327</v>
          </cell>
          <cell r="H2002">
            <v>10483</v>
          </cell>
        </row>
        <row r="2004">
          <cell r="A2004" t="str">
            <v>015.296</v>
          </cell>
          <cell r="B2004" t="str">
            <v>-</v>
          </cell>
          <cell r="C2004" t="str">
            <v>SUMINISTRO E INSTALACION DE INTERRUPTOR ENCHUFABLE 2X20A. Calidad Legrand, Siemens, SqareD o superior de marca reconocida y homologada por el CIDET</v>
          </cell>
          <cell r="D2004" t="str">
            <v>Actividad</v>
          </cell>
          <cell r="E2004" t="str">
            <v>UND</v>
          </cell>
          <cell r="H2004">
            <v>25246</v>
          </cell>
        </row>
        <row r="2005">
          <cell r="A2005" t="str">
            <v>015.296</v>
          </cell>
          <cell r="B2005" t="str">
            <v>C13</v>
          </cell>
          <cell r="C2005" t="str">
            <v>CUADRILLA FF TIPO 2 (1 OFICIAL + 2 AYUDANTE) (Electricas)</v>
          </cell>
          <cell r="D2005" t="str">
            <v>Cuadrilla</v>
          </cell>
          <cell r="E2005" t="str">
            <v>HR</v>
          </cell>
          <cell r="F2005">
            <v>0.1</v>
          </cell>
          <cell r="G2005">
            <v>33348</v>
          </cell>
          <cell r="H2005">
            <v>3335</v>
          </cell>
        </row>
        <row r="2006">
          <cell r="A2006" t="str">
            <v>015.296</v>
          </cell>
          <cell r="B2006" t="str">
            <v>E12</v>
          </cell>
          <cell r="C2006" t="str">
            <v>EQUIPO DE TRANSPORTE</v>
          </cell>
          <cell r="D2006" t="str">
            <v>Equipos</v>
          </cell>
          <cell r="E2006" t="str">
            <v>DIA</v>
          </cell>
          <cell r="F2006">
            <v>3.0999999999999999E-3</v>
          </cell>
          <cell r="G2006">
            <v>131205</v>
          </cell>
          <cell r="H2006">
            <v>407</v>
          </cell>
        </row>
        <row r="2007">
          <cell r="A2007" t="str">
            <v>015.296</v>
          </cell>
          <cell r="B2007" t="str">
            <v>H2</v>
          </cell>
          <cell r="C2007" t="str">
            <v>EQUIPO BASICO (HERRAMIENTA MENOR)</v>
          </cell>
          <cell r="D2007" t="str">
            <v>Herramienta</v>
          </cell>
          <cell r="E2007" t="str">
            <v>UND</v>
          </cell>
          <cell r="F2007">
            <v>0.1</v>
          </cell>
          <cell r="G2007">
            <v>2536</v>
          </cell>
          <cell r="H2007">
            <v>254</v>
          </cell>
        </row>
        <row r="2008">
          <cell r="A2008" t="str">
            <v>015.296</v>
          </cell>
          <cell r="B2008" t="str">
            <v>I1297</v>
          </cell>
          <cell r="C2008" t="str">
            <v>INTERRUPTOR ENCHUFABLE DE 2 X 20A - 240V - 10KA</v>
          </cell>
          <cell r="D2008" t="str">
            <v>Insumo</v>
          </cell>
          <cell r="E2008" t="str">
            <v>UND</v>
          </cell>
          <cell r="F2008">
            <v>1</v>
          </cell>
          <cell r="G2008">
            <v>21051</v>
          </cell>
          <cell r="H2008">
            <v>21051</v>
          </cell>
        </row>
        <row r="2009">
          <cell r="A2009" t="str">
            <v>015.296</v>
          </cell>
          <cell r="B2009" t="str">
            <v>I1565</v>
          </cell>
          <cell r="C2009" t="str">
            <v>ACARREO INTERNO</v>
          </cell>
          <cell r="D2009" t="str">
            <v>Insumo</v>
          </cell>
          <cell r="E2009" t="str">
            <v>UND</v>
          </cell>
          <cell r="F2009">
            <v>0.15</v>
          </cell>
          <cell r="G2009">
            <v>1327</v>
          </cell>
          <cell r="H2009">
            <v>199</v>
          </cell>
        </row>
        <row r="2011">
          <cell r="A2011" t="str">
            <v>015.297</v>
          </cell>
          <cell r="B2011" t="str">
            <v>-</v>
          </cell>
          <cell r="C2011" t="str">
            <v>SUMINISTRO E INSTALACION DE INTERRUPTOR ENCHUFABLE 3X60A. Calidad Legrand, Siemens, SqareD o superior de marca reconocida y homologada por el CIDET</v>
          </cell>
          <cell r="D2011" t="str">
            <v>Actividad</v>
          </cell>
          <cell r="E2011" t="str">
            <v>UND</v>
          </cell>
          <cell r="H2011">
            <v>69953</v>
          </cell>
        </row>
        <row r="2012">
          <cell r="A2012" t="str">
            <v>015.297</v>
          </cell>
          <cell r="B2012" t="str">
            <v>C13</v>
          </cell>
          <cell r="C2012" t="str">
            <v>CUADRILLA FF TIPO 2 (1 OFICIAL + 2 AYUDANTE) (Electricas)</v>
          </cell>
          <cell r="D2012" t="str">
            <v>Cuadrilla</v>
          </cell>
          <cell r="E2012" t="str">
            <v>HR</v>
          </cell>
          <cell r="F2012">
            <v>0.1</v>
          </cell>
          <cell r="G2012">
            <v>33348</v>
          </cell>
          <cell r="H2012">
            <v>3335</v>
          </cell>
        </row>
        <row r="2013">
          <cell r="A2013" t="str">
            <v>015.297</v>
          </cell>
          <cell r="B2013" t="str">
            <v>E12</v>
          </cell>
          <cell r="C2013" t="str">
            <v>EQUIPO DE TRANSPORTE</v>
          </cell>
          <cell r="D2013" t="str">
            <v>Equipos</v>
          </cell>
          <cell r="E2013" t="str">
            <v>DIA</v>
          </cell>
          <cell r="F2013">
            <v>9.4999999999999998E-3</v>
          </cell>
          <cell r="G2013">
            <v>131205</v>
          </cell>
          <cell r="H2013">
            <v>1246</v>
          </cell>
        </row>
        <row r="2014">
          <cell r="A2014" t="str">
            <v>015.297</v>
          </cell>
          <cell r="B2014" t="str">
            <v>H2</v>
          </cell>
          <cell r="C2014" t="str">
            <v>EQUIPO BASICO (HERRAMIENTA MENOR)</v>
          </cell>
          <cell r="D2014" t="str">
            <v>Herramienta</v>
          </cell>
          <cell r="E2014" t="str">
            <v>UND</v>
          </cell>
          <cell r="F2014">
            <v>0.1</v>
          </cell>
          <cell r="G2014">
            <v>2536</v>
          </cell>
          <cell r="H2014">
            <v>254</v>
          </cell>
        </row>
        <row r="2015">
          <cell r="A2015" t="str">
            <v>015.297</v>
          </cell>
          <cell r="B2015" t="str">
            <v>I1306</v>
          </cell>
          <cell r="C2015" t="str">
            <v>INTERRUPTOR ENCHUFABLE DE 3 X 60A - 240V - 10KA</v>
          </cell>
          <cell r="D2015" t="str">
            <v>Insumo</v>
          </cell>
          <cell r="E2015" t="str">
            <v>UND</v>
          </cell>
          <cell r="F2015">
            <v>1</v>
          </cell>
          <cell r="G2015">
            <v>64892</v>
          </cell>
          <cell r="H2015">
            <v>64892</v>
          </cell>
        </row>
        <row r="2016">
          <cell r="A2016" t="str">
            <v>015.297</v>
          </cell>
          <cell r="B2016" t="str">
            <v>I1565</v>
          </cell>
          <cell r="C2016" t="str">
            <v>ACARREO INTERNO</v>
          </cell>
          <cell r="D2016" t="str">
            <v>Insumo</v>
          </cell>
          <cell r="E2016" t="str">
            <v>UND</v>
          </cell>
          <cell r="F2016">
            <v>0.17</v>
          </cell>
          <cell r="G2016">
            <v>1327</v>
          </cell>
          <cell r="H2016">
            <v>226</v>
          </cell>
        </row>
        <row r="2018">
          <cell r="A2018" t="str">
            <v>015.298</v>
          </cell>
          <cell r="B2018" t="str">
            <v>-</v>
          </cell>
          <cell r="C2018" t="str">
            <v>SUMINISTRO, TRANSPORTE E INSTALACION ACOMETIDA 3F5H HFFR LS EN CABLE 3X6AWG + 6AWG (N) + 6AWG (T). NO INCLUYE CONDULINADO.</v>
          </cell>
          <cell r="D2018" t="str">
            <v>Actividad</v>
          </cell>
          <cell r="E2018" t="str">
            <v>ML</v>
          </cell>
          <cell r="H2018">
            <v>38514</v>
          </cell>
        </row>
        <row r="2019">
          <cell r="A2019" t="str">
            <v>015.298</v>
          </cell>
          <cell r="B2019" t="str">
            <v>C13</v>
          </cell>
          <cell r="C2019" t="str">
            <v>CUADRILLA FF TIPO 2 (1 OFICIAL + 2 AYUDANTE) (Electricas)</v>
          </cell>
          <cell r="D2019" t="str">
            <v>Cuadrilla</v>
          </cell>
          <cell r="E2019" t="str">
            <v>HR</v>
          </cell>
          <cell r="F2019">
            <v>0.14000000000000001</v>
          </cell>
          <cell r="G2019">
            <v>33348</v>
          </cell>
          <cell r="H2019">
            <v>4669</v>
          </cell>
        </row>
        <row r="2020">
          <cell r="A2020" t="str">
            <v>015.298</v>
          </cell>
          <cell r="B2020" t="str">
            <v>E12</v>
          </cell>
          <cell r="C2020" t="str">
            <v>EQUIPO DE TRANSPORTE</v>
          </cell>
          <cell r="D2020" t="str">
            <v>Equipos</v>
          </cell>
          <cell r="E2020" t="str">
            <v>DIA</v>
          </cell>
          <cell r="F2020">
            <v>4.0000000000000001E-3</v>
          </cell>
          <cell r="G2020">
            <v>131205</v>
          </cell>
          <cell r="H2020">
            <v>525</v>
          </cell>
        </row>
        <row r="2021">
          <cell r="A2021" t="str">
            <v>015.298</v>
          </cell>
          <cell r="B2021" t="str">
            <v>H2</v>
          </cell>
          <cell r="C2021" t="str">
            <v>EQUIPO BASICO (HERRAMIENTA MENOR)</v>
          </cell>
          <cell r="D2021" t="str">
            <v>Herramienta</v>
          </cell>
          <cell r="E2021" t="str">
            <v>UND</v>
          </cell>
          <cell r="F2021">
            <v>0.1</v>
          </cell>
          <cell r="G2021">
            <v>2536</v>
          </cell>
          <cell r="H2021">
            <v>254</v>
          </cell>
        </row>
        <row r="2022">
          <cell r="A2022" t="str">
            <v>015.298</v>
          </cell>
          <cell r="B2022" t="str">
            <v>I1195</v>
          </cell>
          <cell r="C2022" t="str">
            <v>SUMINISTRO DE CABLE 6 AWG HFFR LS 600V 75º CT</v>
          </cell>
          <cell r="D2022" t="str">
            <v>Insumo</v>
          </cell>
          <cell r="E2022" t="str">
            <v>M</v>
          </cell>
          <cell r="F2022">
            <v>5.05</v>
          </cell>
          <cell r="G2022">
            <v>6469</v>
          </cell>
          <cell r="H2022">
            <v>32668</v>
          </cell>
        </row>
        <row r="2023">
          <cell r="A2023" t="str">
            <v>015.298</v>
          </cell>
          <cell r="B2023" t="str">
            <v>I1565</v>
          </cell>
          <cell r="C2023" t="str">
            <v>ACARREO INTERNO</v>
          </cell>
          <cell r="D2023" t="str">
            <v>Insumo</v>
          </cell>
          <cell r="E2023" t="str">
            <v>UND</v>
          </cell>
          <cell r="F2023">
            <v>0.3</v>
          </cell>
          <cell r="G2023">
            <v>1327</v>
          </cell>
          <cell r="H2023">
            <v>398</v>
          </cell>
        </row>
        <row r="2025">
          <cell r="A2025" t="str">
            <v>015.299</v>
          </cell>
          <cell r="B2025" t="str">
            <v>-</v>
          </cell>
          <cell r="C2025" t="str">
            <v xml:space="preserve">SUMINISTRO E INSTALACION DE TUBERIA CONDUIT EMT 3". </v>
          </cell>
          <cell r="D2025" t="str">
            <v>Actividad</v>
          </cell>
          <cell r="E2025" t="str">
            <v>ML</v>
          </cell>
          <cell r="H2025">
            <v>189243</v>
          </cell>
        </row>
        <row r="2026">
          <cell r="A2026" t="str">
            <v>015.299</v>
          </cell>
          <cell r="B2026" t="str">
            <v>C13</v>
          </cell>
          <cell r="C2026" t="str">
            <v>CUADRILLA FF TIPO 2 (1 OFICIAL + 2 AYUDANTE) (Electricas)</v>
          </cell>
          <cell r="D2026" t="str">
            <v>Cuadrilla</v>
          </cell>
          <cell r="E2026" t="str">
            <v>HR</v>
          </cell>
          <cell r="F2026">
            <v>0.3</v>
          </cell>
          <cell r="G2026">
            <v>33348</v>
          </cell>
          <cell r="H2026">
            <v>10004</v>
          </cell>
        </row>
        <row r="2027">
          <cell r="A2027" t="str">
            <v>015.299</v>
          </cell>
          <cell r="B2027" t="str">
            <v>E12</v>
          </cell>
          <cell r="C2027" t="str">
            <v>EQUIPO DE TRANSPORTE</v>
          </cell>
          <cell r="D2027" t="str">
            <v>Equipos</v>
          </cell>
          <cell r="E2027" t="str">
            <v>DIA</v>
          </cell>
          <cell r="F2027">
            <v>2.5700000000000001E-2</v>
          </cell>
          <cell r="G2027">
            <v>131205</v>
          </cell>
          <cell r="H2027">
            <v>3372</v>
          </cell>
        </row>
        <row r="2028">
          <cell r="A2028" t="str">
            <v>015.299</v>
          </cell>
          <cell r="B2028" t="str">
            <v>H2</v>
          </cell>
          <cell r="C2028" t="str">
            <v>EQUIPO BASICO (HERRAMIENTA MENOR)</v>
          </cell>
          <cell r="D2028" t="str">
            <v>Herramienta</v>
          </cell>
          <cell r="E2028" t="str">
            <v>UND</v>
          </cell>
          <cell r="F2028">
            <v>0.2</v>
          </cell>
          <cell r="G2028">
            <v>2536</v>
          </cell>
          <cell r="H2028">
            <v>507</v>
          </cell>
        </row>
        <row r="2029">
          <cell r="A2029" t="str">
            <v>015.299</v>
          </cell>
          <cell r="B2029" t="str">
            <v>I1115</v>
          </cell>
          <cell r="C2029" t="str">
            <v>ACCESORIOS FIJACION TUBERIA EMT 3" (ABRAZADERA, ALAMBRE)</v>
          </cell>
          <cell r="D2029" t="str">
            <v>Insumo</v>
          </cell>
          <cell r="E2029" t="str">
            <v>UND</v>
          </cell>
          <cell r="F2029">
            <v>1</v>
          </cell>
          <cell r="G2029">
            <v>14343</v>
          </cell>
          <cell r="H2029">
            <v>14343</v>
          </cell>
        </row>
        <row r="2030">
          <cell r="A2030" t="str">
            <v>015.299</v>
          </cell>
          <cell r="B2030" t="str">
            <v>I1128</v>
          </cell>
          <cell r="C2030" t="str">
            <v>ACCESORIOS TUBERIA EMT 3" (UNION, ADAPTADOR, CURVA)</v>
          </cell>
          <cell r="D2030" t="str">
            <v>Insumo</v>
          </cell>
          <cell r="E2030" t="str">
            <v>UND</v>
          </cell>
          <cell r="F2030">
            <v>1</v>
          </cell>
          <cell r="G2030">
            <v>120045</v>
          </cell>
          <cell r="H2030">
            <v>120045</v>
          </cell>
        </row>
        <row r="2031">
          <cell r="A2031" t="str">
            <v>015.299</v>
          </cell>
          <cell r="B2031" t="str">
            <v>I1460</v>
          </cell>
          <cell r="C2031" t="str">
            <v xml:space="preserve">TUBO CONDUIT GALVANIZADA EMT 3" </v>
          </cell>
          <cell r="D2031" t="str">
            <v>Insumo</v>
          </cell>
          <cell r="E2031" t="str">
            <v>M</v>
          </cell>
          <cell r="F2031">
            <v>1</v>
          </cell>
          <cell r="G2031">
            <v>40574</v>
          </cell>
          <cell r="H2031">
            <v>40574</v>
          </cell>
        </row>
        <row r="2032">
          <cell r="A2032" t="str">
            <v>015.299</v>
          </cell>
          <cell r="B2032" t="str">
            <v>I1565</v>
          </cell>
          <cell r="C2032" t="str">
            <v>ACARREO INTERNO</v>
          </cell>
          <cell r="D2032" t="str">
            <v>Insumo</v>
          </cell>
          <cell r="E2032" t="str">
            <v>UND</v>
          </cell>
          <cell r="F2032">
            <v>0.3</v>
          </cell>
          <cell r="G2032">
            <v>1327</v>
          </cell>
          <cell r="H2032">
            <v>398</v>
          </cell>
        </row>
        <row r="2034">
          <cell r="A2034" t="str">
            <v>015.300</v>
          </cell>
          <cell r="B2034" t="str">
            <v>-</v>
          </cell>
          <cell r="C2034" t="str">
            <v xml:space="preserve"> SUMINISTRO E INSTALACION DE TUBERIA CONDUIT PVC DB 3"</v>
          </cell>
          <cell r="D2034" t="str">
            <v>Actividad</v>
          </cell>
          <cell r="E2034" t="str">
            <v>ML</v>
          </cell>
          <cell r="H2034">
            <v>14705</v>
          </cell>
        </row>
        <row r="2035">
          <cell r="A2035" t="str">
            <v>015.300</v>
          </cell>
          <cell r="B2035" t="str">
            <v>C13</v>
          </cell>
          <cell r="C2035" t="str">
            <v>CUADRILLA FF TIPO 2 (1 OFICIAL + 2 AYUDANTE) (Electricas)</v>
          </cell>
          <cell r="D2035" t="str">
            <v>Cuadrilla</v>
          </cell>
          <cell r="E2035" t="str">
            <v>HR</v>
          </cell>
          <cell r="F2035">
            <v>0.13</v>
          </cell>
          <cell r="G2035">
            <v>33348</v>
          </cell>
          <cell r="H2035">
            <v>4335</v>
          </cell>
        </row>
        <row r="2036">
          <cell r="A2036" t="str">
            <v>015.300</v>
          </cell>
          <cell r="B2036" t="str">
            <v>E12</v>
          </cell>
          <cell r="C2036" t="str">
            <v>EQUIPO DE TRANSPORTE</v>
          </cell>
          <cell r="D2036" t="str">
            <v>Equipos</v>
          </cell>
          <cell r="E2036" t="str">
            <v>DIA</v>
          </cell>
          <cell r="F2036">
            <v>1.4E-3</v>
          </cell>
          <cell r="G2036">
            <v>131205</v>
          </cell>
          <cell r="H2036">
            <v>184</v>
          </cell>
        </row>
        <row r="2037">
          <cell r="A2037" t="str">
            <v>015.300</v>
          </cell>
          <cell r="B2037" t="str">
            <v>H2</v>
          </cell>
          <cell r="C2037" t="str">
            <v>EQUIPO BASICO (HERRAMIENTA MENOR)</v>
          </cell>
          <cell r="D2037" t="str">
            <v>Herramienta</v>
          </cell>
          <cell r="E2037" t="str">
            <v>UND</v>
          </cell>
          <cell r="F2037">
            <v>0.2</v>
          </cell>
          <cell r="G2037">
            <v>2536</v>
          </cell>
          <cell r="H2037">
            <v>507</v>
          </cell>
        </row>
        <row r="2038">
          <cell r="A2038" t="str">
            <v>015.300</v>
          </cell>
          <cell r="B2038" t="str">
            <v>I1477</v>
          </cell>
          <cell r="C2038" t="str">
            <v>TUBO PVC PESADO DB 3"</v>
          </cell>
          <cell r="D2038" t="str">
            <v>Insumo</v>
          </cell>
          <cell r="E2038" t="str">
            <v>M</v>
          </cell>
          <cell r="F2038">
            <v>1.03</v>
          </cell>
          <cell r="G2038">
            <v>9152</v>
          </cell>
          <cell r="H2038">
            <v>9427</v>
          </cell>
        </row>
        <row r="2039">
          <cell r="A2039" t="str">
            <v>015.300</v>
          </cell>
          <cell r="B2039" t="str">
            <v>I1565</v>
          </cell>
          <cell r="C2039" t="str">
            <v>ACARREO INTERNO</v>
          </cell>
          <cell r="D2039" t="str">
            <v>Insumo</v>
          </cell>
          <cell r="E2039" t="str">
            <v>UND</v>
          </cell>
          <cell r="F2039">
            <v>0.19</v>
          </cell>
          <cell r="G2039">
            <v>1327</v>
          </cell>
          <cell r="H2039">
            <v>252</v>
          </cell>
        </row>
        <row r="2041">
          <cell r="A2041" t="str">
            <v>015.301</v>
          </cell>
          <cell r="B2041" t="str">
            <v>-</v>
          </cell>
          <cell r="C2041" t="str">
            <v>SUMINISTRO, TRANSPORTE E INSTALACION ACOMETIDA 3F5H Cu THHN/THWN EN CABLE 2X(3X2/0AWG + 2/0 AWG (N) + 2/0 AWG (T)). NO INCLUYE CONDULINADO.</v>
          </cell>
          <cell r="D2041" t="str">
            <v>Actividad</v>
          </cell>
          <cell r="E2041" t="str">
            <v>ML</v>
          </cell>
          <cell r="H2041">
            <v>307941</v>
          </cell>
        </row>
        <row r="2042">
          <cell r="A2042" t="str">
            <v>015.301</v>
          </cell>
          <cell r="B2042" t="str">
            <v>C13</v>
          </cell>
          <cell r="C2042" t="str">
            <v>CUADRILLA FF TIPO 2 (1 OFICIAL + 2 AYUDANTE) (Electricas)</v>
          </cell>
          <cell r="D2042" t="str">
            <v>Cuadrilla</v>
          </cell>
          <cell r="E2042" t="str">
            <v>HR</v>
          </cell>
          <cell r="F2042">
            <v>0.4</v>
          </cell>
          <cell r="G2042">
            <v>33348</v>
          </cell>
          <cell r="H2042">
            <v>13339</v>
          </cell>
        </row>
        <row r="2043">
          <cell r="A2043" t="str">
            <v>015.301</v>
          </cell>
          <cell r="B2043" t="str">
            <v>E12</v>
          </cell>
          <cell r="C2043" t="str">
            <v>EQUIPO DE TRANSPORTE</v>
          </cell>
          <cell r="D2043" t="str">
            <v>Equipos</v>
          </cell>
          <cell r="E2043" t="str">
            <v>DIA</v>
          </cell>
          <cell r="F2043">
            <v>4.2000000000000003E-2</v>
          </cell>
          <cell r="G2043">
            <v>131205</v>
          </cell>
          <cell r="H2043">
            <v>5511</v>
          </cell>
        </row>
        <row r="2044">
          <cell r="A2044" t="str">
            <v>015.301</v>
          </cell>
          <cell r="B2044" t="str">
            <v>H2</v>
          </cell>
          <cell r="C2044" t="str">
            <v>EQUIPO BASICO (HERRAMIENTA MENOR)</v>
          </cell>
          <cell r="D2044" t="str">
            <v>Herramienta</v>
          </cell>
          <cell r="E2044" t="str">
            <v>UND</v>
          </cell>
          <cell r="F2044">
            <v>0.25</v>
          </cell>
          <cell r="G2044">
            <v>2536</v>
          </cell>
          <cell r="H2044">
            <v>634</v>
          </cell>
        </row>
        <row r="2045">
          <cell r="A2045" t="str">
            <v>015.301</v>
          </cell>
          <cell r="B2045" t="str">
            <v>I1191</v>
          </cell>
          <cell r="C2045" t="str">
            <v>CABLE DE COBRE Nº 2/0 THHN  AWG</v>
          </cell>
          <cell r="D2045" t="str">
            <v>Insumo</v>
          </cell>
          <cell r="E2045" t="str">
            <v>M</v>
          </cell>
          <cell r="F2045">
            <v>10.1</v>
          </cell>
          <cell r="G2045">
            <v>28478</v>
          </cell>
          <cell r="H2045">
            <v>287628</v>
          </cell>
        </row>
        <row r="2046">
          <cell r="A2046" t="str">
            <v>015.301</v>
          </cell>
          <cell r="B2046" t="str">
            <v>I1565</v>
          </cell>
          <cell r="C2046" t="str">
            <v>ACARREO INTERNO</v>
          </cell>
          <cell r="D2046" t="str">
            <v>Insumo</v>
          </cell>
          <cell r="E2046" t="str">
            <v>UND</v>
          </cell>
          <cell r="F2046">
            <v>0.625</v>
          </cell>
          <cell r="G2046">
            <v>1327</v>
          </cell>
          <cell r="H2046">
            <v>829</v>
          </cell>
        </row>
        <row r="2048">
          <cell r="A2048" t="str">
            <v>015.302</v>
          </cell>
          <cell r="B2048" t="str">
            <v>-</v>
          </cell>
          <cell r="C2048" t="str">
            <v>SUMINISTRO, TRANSPORTE E INSTALACION ACOMETIDA 3F5H Cu THHN/THWN EN CABLE 3X4AWG + 4AWG (N) + 4AWG (T). NO INCLUYE CONDULINADO.</v>
          </cell>
          <cell r="D2048" t="str">
            <v>Actividad</v>
          </cell>
          <cell r="E2048" t="str">
            <v>ML</v>
          </cell>
          <cell r="H2048">
            <v>48744</v>
          </cell>
        </row>
        <row r="2049">
          <cell r="A2049" t="str">
            <v>015.302</v>
          </cell>
          <cell r="B2049" t="str">
            <v>C13</v>
          </cell>
          <cell r="C2049" t="str">
            <v>CUADRILLA FF TIPO 2 (1 OFICIAL + 2 AYUDANTE) (Electricas)</v>
          </cell>
          <cell r="D2049" t="str">
            <v>Cuadrilla</v>
          </cell>
          <cell r="E2049" t="str">
            <v>HR</v>
          </cell>
          <cell r="F2049">
            <v>0.16</v>
          </cell>
          <cell r="G2049">
            <v>33348</v>
          </cell>
          <cell r="H2049">
            <v>5336</v>
          </cell>
        </row>
        <row r="2050">
          <cell r="A2050" t="str">
            <v>015.302</v>
          </cell>
          <cell r="B2050" t="str">
            <v>E12</v>
          </cell>
          <cell r="C2050" t="str">
            <v>EQUIPO DE TRANSPORTE</v>
          </cell>
          <cell r="D2050" t="str">
            <v>Equipos</v>
          </cell>
          <cell r="E2050" t="str">
            <v>DIA</v>
          </cell>
          <cell r="F2050">
            <v>5.7999999999999996E-3</v>
          </cell>
          <cell r="G2050">
            <v>131205</v>
          </cell>
          <cell r="H2050">
            <v>761</v>
          </cell>
        </row>
        <row r="2051">
          <cell r="A2051" t="str">
            <v>015.302</v>
          </cell>
          <cell r="B2051" t="str">
            <v>H2</v>
          </cell>
          <cell r="C2051" t="str">
            <v>EQUIPO BASICO (HERRAMIENTA MENOR)</v>
          </cell>
          <cell r="D2051" t="str">
            <v>Herramienta</v>
          </cell>
          <cell r="E2051" t="str">
            <v>UND</v>
          </cell>
          <cell r="F2051">
            <v>0.1</v>
          </cell>
          <cell r="G2051">
            <v>2536</v>
          </cell>
          <cell r="H2051">
            <v>254</v>
          </cell>
        </row>
        <row r="2052">
          <cell r="A2052" t="str">
            <v>015.302</v>
          </cell>
          <cell r="B2052" t="str">
            <v>I1193</v>
          </cell>
          <cell r="C2052" t="str">
            <v xml:space="preserve">CABLE DE COBRE Nº 4 THHN AWG </v>
          </cell>
          <cell r="D2052" t="str">
            <v>Insumo</v>
          </cell>
          <cell r="E2052" t="str">
            <v>M</v>
          </cell>
          <cell r="F2052">
            <v>5.05</v>
          </cell>
          <cell r="G2052">
            <v>8329</v>
          </cell>
          <cell r="H2052">
            <v>42061</v>
          </cell>
        </row>
        <row r="2053">
          <cell r="A2053" t="str">
            <v>015.302</v>
          </cell>
          <cell r="B2053" t="str">
            <v>I1565</v>
          </cell>
          <cell r="C2053" t="str">
            <v>ACARREO INTERNO</v>
          </cell>
          <cell r="D2053" t="str">
            <v>Insumo</v>
          </cell>
          <cell r="E2053" t="str">
            <v>UND</v>
          </cell>
          <cell r="F2053">
            <v>0.25</v>
          </cell>
          <cell r="G2053">
            <v>1327</v>
          </cell>
          <cell r="H2053">
            <v>332</v>
          </cell>
        </row>
        <row r="2055">
          <cell r="A2055" t="str">
            <v>015.303</v>
          </cell>
          <cell r="B2055" t="str">
            <v>-</v>
          </cell>
          <cell r="C2055" t="str">
            <v>SUMINISTRO E INSTALACION DE INTERRUPTOR ENCHUFABLE 3X20A. Calidad Legrand, Siemens, SqareD o superior de marca reconocida y homologada por el CIDET</v>
          </cell>
          <cell r="D2055" t="str">
            <v>Actividad</v>
          </cell>
          <cell r="E2055" t="str">
            <v>UND</v>
          </cell>
          <cell r="H2055">
            <v>58882</v>
          </cell>
        </row>
        <row r="2056">
          <cell r="A2056" t="str">
            <v>015.303</v>
          </cell>
          <cell r="B2056" t="str">
            <v>C13</v>
          </cell>
          <cell r="C2056" t="str">
            <v>CUADRILLA FF TIPO 2 (1 OFICIAL + 2 AYUDANTE) (Electricas)</v>
          </cell>
          <cell r="D2056" t="str">
            <v>Cuadrilla</v>
          </cell>
          <cell r="E2056" t="str">
            <v>HR</v>
          </cell>
          <cell r="F2056">
            <v>0.1</v>
          </cell>
          <cell r="G2056">
            <v>33348</v>
          </cell>
          <cell r="H2056">
            <v>3335</v>
          </cell>
        </row>
        <row r="2057">
          <cell r="A2057" t="str">
            <v>015.303</v>
          </cell>
          <cell r="B2057" t="str">
            <v>E12</v>
          </cell>
          <cell r="C2057" t="str">
            <v>EQUIPO DE TRANSPORTE</v>
          </cell>
          <cell r="D2057" t="str">
            <v>Equipos</v>
          </cell>
          <cell r="E2057" t="str">
            <v>DIA</v>
          </cell>
          <cell r="F2057">
            <v>7.9000000000000008E-3</v>
          </cell>
          <cell r="G2057">
            <v>131205</v>
          </cell>
          <cell r="H2057">
            <v>1037</v>
          </cell>
        </row>
        <row r="2058">
          <cell r="A2058" t="str">
            <v>015.303</v>
          </cell>
          <cell r="B2058" t="str">
            <v>H2</v>
          </cell>
          <cell r="C2058" t="str">
            <v>EQUIPO BASICO (HERRAMIENTA MENOR)</v>
          </cell>
          <cell r="D2058" t="str">
            <v>Herramienta</v>
          </cell>
          <cell r="E2058" t="str">
            <v>UND</v>
          </cell>
          <cell r="F2058">
            <v>0.1</v>
          </cell>
          <cell r="G2058">
            <v>2536</v>
          </cell>
          <cell r="H2058">
            <v>254</v>
          </cell>
        </row>
        <row r="2059">
          <cell r="A2059" t="str">
            <v>015.303</v>
          </cell>
          <cell r="B2059" t="str">
            <v>I1302</v>
          </cell>
          <cell r="C2059" t="str">
            <v>INTERRUPTOR ENCHUFABLE DE 3 X 20A - 240V - 10KA</v>
          </cell>
          <cell r="D2059" t="str">
            <v>Insumo</v>
          </cell>
          <cell r="E2059" t="str">
            <v>UND</v>
          </cell>
          <cell r="F2059">
            <v>1</v>
          </cell>
          <cell r="G2059">
            <v>54030</v>
          </cell>
          <cell r="H2059">
            <v>54030</v>
          </cell>
        </row>
        <row r="2060">
          <cell r="A2060" t="str">
            <v>015.303</v>
          </cell>
          <cell r="B2060" t="str">
            <v>I1565</v>
          </cell>
          <cell r="C2060" t="str">
            <v>ACARREO INTERNO</v>
          </cell>
          <cell r="D2060" t="str">
            <v>Insumo</v>
          </cell>
          <cell r="E2060" t="str">
            <v>UND</v>
          </cell>
          <cell r="F2060">
            <v>0.17</v>
          </cell>
          <cell r="G2060">
            <v>1327</v>
          </cell>
          <cell r="H2060">
            <v>226</v>
          </cell>
        </row>
        <row r="2062">
          <cell r="A2062" t="str">
            <v>015.304</v>
          </cell>
          <cell r="B2062" t="str">
            <v>-</v>
          </cell>
          <cell r="C2062" t="str">
            <v>SUMINISTRO E INSTALACION DE INTERRUPTOR ENCHUFABLE 2X40A. Calidad Legrand, Siemens, SqareD o superior de marca reconocida y homologada por el CIDET</v>
          </cell>
          <cell r="D2062" t="str">
            <v>Actividad</v>
          </cell>
          <cell r="E2062" t="str">
            <v>UND</v>
          </cell>
          <cell r="H2062">
            <v>29124</v>
          </cell>
        </row>
        <row r="2063">
          <cell r="A2063" t="str">
            <v>015.304</v>
          </cell>
          <cell r="B2063" t="str">
            <v>C13</v>
          </cell>
          <cell r="C2063" t="str">
            <v>CUADRILLA FF TIPO 2 (1 OFICIAL + 2 AYUDANTE) (Electricas)</v>
          </cell>
          <cell r="D2063" t="str">
            <v>Cuadrilla</v>
          </cell>
          <cell r="E2063" t="str">
            <v>HR</v>
          </cell>
          <cell r="F2063">
            <v>0.1</v>
          </cell>
          <cell r="G2063">
            <v>33348</v>
          </cell>
          <cell r="H2063">
            <v>3335</v>
          </cell>
        </row>
        <row r="2064">
          <cell r="A2064" t="str">
            <v>015.304</v>
          </cell>
          <cell r="B2064" t="str">
            <v>E12</v>
          </cell>
          <cell r="C2064" t="str">
            <v>EQUIPO DE TRANSPORTE</v>
          </cell>
          <cell r="D2064" t="str">
            <v>Equipos</v>
          </cell>
          <cell r="E2064" t="str">
            <v>DIA</v>
          </cell>
          <cell r="F2064">
            <v>3.7000000000000002E-3</v>
          </cell>
          <cell r="G2064">
            <v>131205</v>
          </cell>
          <cell r="H2064">
            <v>485</v>
          </cell>
        </row>
        <row r="2065">
          <cell r="A2065" t="str">
            <v>015.304</v>
          </cell>
          <cell r="B2065" t="str">
            <v>H2</v>
          </cell>
          <cell r="C2065" t="str">
            <v>EQUIPO BASICO (HERRAMIENTA MENOR)</v>
          </cell>
          <cell r="D2065" t="str">
            <v>Herramienta</v>
          </cell>
          <cell r="E2065" t="str">
            <v>UND</v>
          </cell>
          <cell r="F2065">
            <v>0.1</v>
          </cell>
          <cell r="G2065">
            <v>2536</v>
          </cell>
          <cell r="H2065">
            <v>254</v>
          </cell>
        </row>
        <row r="2066">
          <cell r="A2066" t="str">
            <v>015.304</v>
          </cell>
          <cell r="B2066" t="str">
            <v>I1299</v>
          </cell>
          <cell r="C2066" t="str">
            <v>INTERRUPTOR ENCHUFABLE DE 2 X 40A - 240V - 10KA</v>
          </cell>
          <cell r="D2066" t="str">
            <v>Insumo</v>
          </cell>
          <cell r="E2066" t="str">
            <v>UND</v>
          </cell>
          <cell r="F2066">
            <v>1</v>
          </cell>
          <cell r="G2066">
            <v>24851</v>
          </cell>
          <cell r="H2066">
            <v>24851</v>
          </cell>
        </row>
        <row r="2067">
          <cell r="A2067" t="str">
            <v>015.304</v>
          </cell>
          <cell r="B2067" t="str">
            <v>I1565</v>
          </cell>
          <cell r="C2067" t="str">
            <v>ACARREO INTERNO</v>
          </cell>
          <cell r="D2067" t="str">
            <v>Insumo</v>
          </cell>
          <cell r="E2067" t="str">
            <v>UND</v>
          </cell>
          <cell r="F2067">
            <v>0.15</v>
          </cell>
          <cell r="G2067">
            <v>1327</v>
          </cell>
          <cell r="H2067">
            <v>199</v>
          </cell>
        </row>
        <row r="2069">
          <cell r="A2069" t="str">
            <v>015.305</v>
          </cell>
          <cell r="B2069" t="str">
            <v>-</v>
          </cell>
          <cell r="C2069" t="str">
            <v xml:space="preserve"> SUMINISTRO E INSTALACION DE TUBERIA CONDUIT PVC DB 4".</v>
          </cell>
          <cell r="D2069" t="str">
            <v>Actividad</v>
          </cell>
          <cell r="E2069" t="str">
            <v>ML</v>
          </cell>
          <cell r="H2069">
            <v>35345</v>
          </cell>
        </row>
        <row r="2070">
          <cell r="A2070" t="str">
            <v>015.305</v>
          </cell>
          <cell r="B2070" t="str">
            <v>C13</v>
          </cell>
          <cell r="C2070" t="str">
            <v>CUADRILLA FF TIPO 2 (1 OFICIAL + 2 AYUDANTE) (Electricas)</v>
          </cell>
          <cell r="D2070" t="str">
            <v>Cuadrilla</v>
          </cell>
          <cell r="E2070" t="str">
            <v>HR</v>
          </cell>
          <cell r="F2070">
            <v>0.16250000000000001</v>
          </cell>
          <cell r="G2070">
            <v>33348</v>
          </cell>
          <cell r="H2070">
            <v>5419</v>
          </cell>
        </row>
        <row r="2071">
          <cell r="A2071" t="str">
            <v>015.305</v>
          </cell>
          <cell r="B2071" t="str">
            <v>E12</v>
          </cell>
          <cell r="C2071" t="str">
            <v>EQUIPO DE TRANSPORTE</v>
          </cell>
          <cell r="D2071" t="str">
            <v>Equipos</v>
          </cell>
          <cell r="E2071" t="str">
            <v>DIA</v>
          </cell>
          <cell r="F2071">
            <v>1.75E-3</v>
          </cell>
          <cell r="G2071">
            <v>131205</v>
          </cell>
          <cell r="H2071">
            <v>230</v>
          </cell>
        </row>
        <row r="2072">
          <cell r="A2072" t="str">
            <v>015.305</v>
          </cell>
          <cell r="B2072" t="str">
            <v>H2</v>
          </cell>
          <cell r="C2072" t="str">
            <v>EQUIPO BASICO (HERRAMIENTA MENOR)</v>
          </cell>
          <cell r="D2072" t="str">
            <v>Herramienta</v>
          </cell>
          <cell r="E2072" t="str">
            <v>UND</v>
          </cell>
          <cell r="F2072">
            <v>0.25</v>
          </cell>
          <cell r="G2072">
            <v>2536</v>
          </cell>
          <cell r="H2072">
            <v>634</v>
          </cell>
        </row>
        <row r="2073">
          <cell r="A2073" t="str">
            <v>015.305</v>
          </cell>
          <cell r="B2073" t="str">
            <v>I1477</v>
          </cell>
          <cell r="C2073" t="str">
            <v>TUBO PVC PESADO DB 4"</v>
          </cell>
          <cell r="D2073" t="str">
            <v>Insumo</v>
          </cell>
          <cell r="E2073" t="str">
            <v>M</v>
          </cell>
          <cell r="F2073">
            <v>1.03</v>
          </cell>
          <cell r="G2073">
            <v>27910</v>
          </cell>
          <cell r="H2073">
            <v>28747</v>
          </cell>
        </row>
        <row r="2074">
          <cell r="A2074" t="str">
            <v>015.305</v>
          </cell>
          <cell r="B2074" t="str">
            <v>I1565</v>
          </cell>
          <cell r="C2074" t="str">
            <v>ACARREO INTERNO</v>
          </cell>
          <cell r="D2074" t="str">
            <v>Insumo</v>
          </cell>
          <cell r="E2074" t="str">
            <v>UND</v>
          </cell>
          <cell r="F2074">
            <v>0.23749999999999999</v>
          </cell>
          <cell r="G2074">
            <v>1327</v>
          </cell>
          <cell r="H2074">
            <v>315</v>
          </cell>
        </row>
        <row r="2076">
          <cell r="A2076" t="str">
            <v>015.306</v>
          </cell>
          <cell r="B2076" t="str">
            <v>-</v>
          </cell>
          <cell r="C2076" t="str">
            <v xml:space="preserve">SUMINISTRO E INSTALACION DE TUBERIA CONDUIT EMT 4". </v>
          </cell>
          <cell r="D2076" t="str">
            <v>Actividad</v>
          </cell>
          <cell r="E2076" t="str">
            <v>ML</v>
          </cell>
          <cell r="H2076">
            <v>324109</v>
          </cell>
        </row>
        <row r="2077">
          <cell r="A2077" t="str">
            <v>015.306</v>
          </cell>
          <cell r="B2077" t="str">
            <v>C13</v>
          </cell>
          <cell r="C2077" t="str">
            <v>CUADRILLA FF TIPO 2 (1 OFICIAL + 2 AYUDANTE) (Electricas)</v>
          </cell>
          <cell r="D2077" t="str">
            <v>Cuadrilla</v>
          </cell>
          <cell r="E2077" t="str">
            <v>HR</v>
          </cell>
          <cell r="F2077">
            <v>0.375</v>
          </cell>
          <cell r="G2077">
            <v>33348</v>
          </cell>
          <cell r="H2077">
            <v>12506</v>
          </cell>
        </row>
        <row r="2078">
          <cell r="A2078" t="str">
            <v>015.306</v>
          </cell>
          <cell r="B2078" t="str">
            <v>E12</v>
          </cell>
          <cell r="C2078" t="str">
            <v>EQUIPO DE TRANSPORTE</v>
          </cell>
          <cell r="D2078" t="str">
            <v>Equipos</v>
          </cell>
          <cell r="E2078" t="str">
            <v>DIA</v>
          </cell>
          <cell r="F2078">
            <v>3.2125000000000001E-2</v>
          </cell>
          <cell r="G2078">
            <v>131205</v>
          </cell>
          <cell r="H2078">
            <v>4215</v>
          </cell>
        </row>
        <row r="2079">
          <cell r="A2079" t="str">
            <v>015.306</v>
          </cell>
          <cell r="B2079" t="str">
            <v>H2</v>
          </cell>
          <cell r="C2079" t="str">
            <v>EQUIPO BASICO (HERRAMIENTA MENOR)</v>
          </cell>
          <cell r="D2079" t="str">
            <v>Herramienta</v>
          </cell>
          <cell r="E2079" t="str">
            <v>UND</v>
          </cell>
          <cell r="F2079">
            <v>0.25</v>
          </cell>
          <cell r="G2079">
            <v>2536</v>
          </cell>
          <cell r="H2079">
            <v>634</v>
          </cell>
        </row>
        <row r="2080">
          <cell r="A2080" t="str">
            <v>015.306</v>
          </cell>
          <cell r="B2080" t="str">
            <v>I1115</v>
          </cell>
          <cell r="C2080" t="str">
            <v>ACCESORIOS FIJACION TUBERIA EMT 4" (ABRAZADERA, ALAMBRE)</v>
          </cell>
          <cell r="D2080" t="str">
            <v>Insumo</v>
          </cell>
          <cell r="E2080" t="str">
            <v>UND</v>
          </cell>
          <cell r="F2080">
            <v>1</v>
          </cell>
          <cell r="G2080">
            <v>21515</v>
          </cell>
          <cell r="H2080">
            <v>21515</v>
          </cell>
        </row>
        <row r="2081">
          <cell r="A2081" t="str">
            <v>015.306</v>
          </cell>
          <cell r="B2081" t="str">
            <v>I1128</v>
          </cell>
          <cell r="C2081" t="str">
            <v>ACCESORIOS TUBERIA EMT 4" (UNION, ADAPTADOR, CURVA)</v>
          </cell>
          <cell r="D2081" t="str">
            <v>Insumo</v>
          </cell>
          <cell r="E2081" t="str">
            <v>UND</v>
          </cell>
          <cell r="F2081">
            <v>1</v>
          </cell>
          <cell r="G2081">
            <v>180068</v>
          </cell>
          <cell r="H2081">
            <v>180068</v>
          </cell>
        </row>
        <row r="2082">
          <cell r="A2082" t="str">
            <v>015.306</v>
          </cell>
          <cell r="B2082" t="str">
            <v>I1460</v>
          </cell>
          <cell r="C2082" t="str">
            <v xml:space="preserve">TUBO CONDUIT GALVANIZADA EMT 4" </v>
          </cell>
          <cell r="D2082" t="str">
            <v>Insumo</v>
          </cell>
          <cell r="E2082" t="str">
            <v>M</v>
          </cell>
          <cell r="F2082">
            <v>1</v>
          </cell>
          <cell r="G2082">
            <v>104673</v>
          </cell>
          <cell r="H2082">
            <v>104673</v>
          </cell>
        </row>
        <row r="2083">
          <cell r="A2083" t="str">
            <v>015.306</v>
          </cell>
          <cell r="B2083" t="str">
            <v>I1565</v>
          </cell>
          <cell r="C2083" t="str">
            <v>ACARREO INTERNO</v>
          </cell>
          <cell r="D2083" t="str">
            <v>Insumo</v>
          </cell>
          <cell r="E2083" t="str">
            <v>UND</v>
          </cell>
          <cell r="F2083">
            <v>0.375</v>
          </cell>
          <cell r="G2083">
            <v>1327</v>
          </cell>
          <cell r="H2083">
            <v>498</v>
          </cell>
        </row>
        <row r="2085">
          <cell r="A2085" t="str">
            <v>015.307</v>
          </cell>
          <cell r="B2085" t="str">
            <v>-</v>
          </cell>
          <cell r="C2085" t="str">
            <v xml:space="preserve">SUMINISTRO E INSTALACION DE TUBERIA CONDUIT IMC ó RIDGID 4". </v>
          </cell>
          <cell r="D2085" t="str">
            <v>Actividad</v>
          </cell>
          <cell r="E2085" t="str">
            <v>ML</v>
          </cell>
          <cell r="H2085">
            <v>416534</v>
          </cell>
        </row>
        <row r="2086">
          <cell r="A2086" t="str">
            <v>015.307</v>
          </cell>
          <cell r="B2086" t="str">
            <v>C13</v>
          </cell>
          <cell r="C2086" t="str">
            <v>CUADRILLA FF TIPO 2 (1 OFICIAL + 2 AYUDANTE) (Electricas)</v>
          </cell>
          <cell r="D2086" t="str">
            <v>Cuadrilla</v>
          </cell>
          <cell r="E2086" t="str">
            <v>HR</v>
          </cell>
          <cell r="F2086">
            <v>0.55000000000000004</v>
          </cell>
          <cell r="G2086">
            <v>33348</v>
          </cell>
          <cell r="H2086">
            <v>18341</v>
          </cell>
        </row>
        <row r="2087">
          <cell r="A2087" t="str">
            <v>015.307</v>
          </cell>
          <cell r="B2087" t="str">
            <v>E12</v>
          </cell>
          <cell r="C2087" t="str">
            <v>EQUIPO DE TRANSPORTE</v>
          </cell>
          <cell r="D2087" t="str">
            <v>Equipos</v>
          </cell>
          <cell r="E2087" t="str">
            <v>DIA</v>
          </cell>
          <cell r="F2087">
            <v>3.8800000000000001E-2</v>
          </cell>
          <cell r="G2087">
            <v>131205</v>
          </cell>
          <cell r="H2087">
            <v>5091</v>
          </cell>
        </row>
        <row r="2088">
          <cell r="A2088" t="str">
            <v>015.307</v>
          </cell>
          <cell r="B2088" t="str">
            <v>H2</v>
          </cell>
          <cell r="C2088" t="str">
            <v>EQUIPO BASICO (HERRAMIENTA MENOR)</v>
          </cell>
          <cell r="D2088" t="str">
            <v>Herramienta</v>
          </cell>
          <cell r="E2088" t="str">
            <v>UND</v>
          </cell>
          <cell r="F2088">
            <v>0.2</v>
          </cell>
          <cell r="G2088">
            <v>2536</v>
          </cell>
          <cell r="H2088">
            <v>507</v>
          </cell>
        </row>
        <row r="2089">
          <cell r="A2089" t="str">
            <v>015.307</v>
          </cell>
          <cell r="B2089" t="str">
            <v>I1123</v>
          </cell>
          <cell r="C2089" t="str">
            <v>ACCESORIOS FIJACION TUBERIA IMC Ó RIDGID 4" (ABRAZADERA, PERNOS)</v>
          </cell>
          <cell r="D2089" t="str">
            <v>Insumo</v>
          </cell>
          <cell r="E2089" t="str">
            <v>UND</v>
          </cell>
          <cell r="F2089">
            <v>1</v>
          </cell>
          <cell r="G2089">
            <v>35859</v>
          </cell>
          <cell r="H2089">
            <v>35859</v>
          </cell>
        </row>
        <row r="2090">
          <cell r="A2090" t="str">
            <v>015.307</v>
          </cell>
          <cell r="B2090" t="str">
            <v>I1136</v>
          </cell>
          <cell r="C2090" t="str">
            <v>ACCESORIOS TUBERIA IMC Ó RIDGID 4" (UNION Y  CURVA)</v>
          </cell>
          <cell r="D2090" t="str">
            <v>Insumo</v>
          </cell>
          <cell r="E2090" t="str">
            <v>UND</v>
          </cell>
          <cell r="F2090">
            <v>1</v>
          </cell>
          <cell r="G2090">
            <v>227661</v>
          </cell>
          <cell r="H2090">
            <v>227661</v>
          </cell>
        </row>
        <row r="2091">
          <cell r="A2091" t="str">
            <v>015.307</v>
          </cell>
          <cell r="B2091" t="str">
            <v>I1468</v>
          </cell>
          <cell r="C2091" t="str">
            <v xml:space="preserve">TUBO CONDUIT IMC 4" </v>
          </cell>
          <cell r="D2091" t="str">
            <v>Insumo</v>
          </cell>
          <cell r="E2091" t="str">
            <v>M</v>
          </cell>
          <cell r="F2091">
            <v>1</v>
          </cell>
          <cell r="G2091">
            <v>127921</v>
          </cell>
          <cell r="H2091">
            <v>127921</v>
          </cell>
        </row>
        <row r="2092">
          <cell r="A2092" t="str">
            <v>015.307</v>
          </cell>
          <cell r="B2092" t="str">
            <v>I1565</v>
          </cell>
          <cell r="C2092" t="str">
            <v>ACARREO INTERNO</v>
          </cell>
          <cell r="D2092" t="str">
            <v>Insumo</v>
          </cell>
          <cell r="E2092" t="str">
            <v>UND</v>
          </cell>
          <cell r="F2092">
            <v>0.87</v>
          </cell>
          <cell r="G2092">
            <v>1327</v>
          </cell>
          <cell r="H2092">
            <v>1154</v>
          </cell>
        </row>
        <row r="2094">
          <cell r="A2094" t="str">
            <v>015.308</v>
          </cell>
          <cell r="B2094" t="str">
            <v>-</v>
          </cell>
          <cell r="C2094" t="str">
            <v>SUMINISTRO, TRANSPORTE E INSTALACION AFLORAMIENTO Y ELEMENTOS PARA CAMBIO DE CIRCUITO AEREO A SUBTERRANEO TUBO IMC DE  4"</v>
          </cell>
          <cell r="D2094" t="str">
            <v>Actividad</v>
          </cell>
          <cell r="E2094" t="str">
            <v>UND</v>
          </cell>
          <cell r="H2094">
            <v>286181</v>
          </cell>
        </row>
        <row r="2095">
          <cell r="A2095" t="str">
            <v>015.308</v>
          </cell>
          <cell r="B2095" t="str">
            <v>C35</v>
          </cell>
          <cell r="C2095" t="str">
            <v>CUADRILLA GG TIPO 5 (1 OFICIAL + 5 AYUDANTE) (Alumbrado Publico)</v>
          </cell>
          <cell r="D2095" t="str">
            <v>Cuadrilla</v>
          </cell>
          <cell r="E2095" t="str">
            <v>HR</v>
          </cell>
          <cell r="F2095">
            <v>0.55000000000000004</v>
          </cell>
          <cell r="G2095">
            <v>87719</v>
          </cell>
          <cell r="H2095">
            <v>48245</v>
          </cell>
        </row>
        <row r="2096">
          <cell r="A2096" t="str">
            <v>015.308</v>
          </cell>
          <cell r="B2096" t="str">
            <v>E12</v>
          </cell>
          <cell r="C2096" t="str">
            <v>EQUIPO DE TRANSPORTE</v>
          </cell>
          <cell r="D2096" t="str">
            <v>Equipos</v>
          </cell>
          <cell r="E2096" t="str">
            <v>DIA</v>
          </cell>
          <cell r="F2096">
            <v>0.85850000000000004</v>
          </cell>
          <cell r="G2096">
            <v>131205</v>
          </cell>
          <cell r="H2096">
            <v>112639</v>
          </cell>
        </row>
        <row r="2097">
          <cell r="A2097" t="str">
            <v>015.308</v>
          </cell>
          <cell r="B2097" t="str">
            <v>H2</v>
          </cell>
          <cell r="C2097" t="str">
            <v>EQUIPO BASICO (HERRAMIENTA MENOR)</v>
          </cell>
          <cell r="D2097" t="str">
            <v>Herramienta</v>
          </cell>
          <cell r="E2097" t="str">
            <v>UND</v>
          </cell>
          <cell r="F2097">
            <v>0.05</v>
          </cell>
          <cell r="G2097">
            <v>2536</v>
          </cell>
          <cell r="H2097">
            <v>127</v>
          </cell>
        </row>
        <row r="2098">
          <cell r="A2098" t="str">
            <v>015.308</v>
          </cell>
          <cell r="B2098" t="str">
            <v>I1212</v>
          </cell>
          <cell r="C2098" t="str">
            <v xml:space="preserve">CAPACETE ROSCADO EN ALUMINIO PARA TUBERIA IMC GALVANIZADA DE 4" </v>
          </cell>
          <cell r="D2098" t="str">
            <v>Insumo</v>
          </cell>
          <cell r="E2098" t="str">
            <v>UND</v>
          </cell>
          <cell r="F2098">
            <v>1</v>
          </cell>
          <cell r="G2098">
            <v>23498</v>
          </cell>
          <cell r="H2098">
            <v>23498</v>
          </cell>
        </row>
        <row r="2099">
          <cell r="A2099" t="str">
            <v>015.308</v>
          </cell>
          <cell r="B2099" t="str">
            <v>I1214</v>
          </cell>
          <cell r="C2099" t="str">
            <v>CINTA EN ACERO INOXIDABLE 1/2"</v>
          </cell>
          <cell r="D2099" t="str">
            <v>Insumo</v>
          </cell>
          <cell r="E2099" t="str">
            <v>M</v>
          </cell>
          <cell r="F2099">
            <v>3</v>
          </cell>
          <cell r="G2099">
            <v>3787</v>
          </cell>
          <cell r="H2099">
            <v>11361</v>
          </cell>
        </row>
        <row r="2100">
          <cell r="A2100" t="str">
            <v>015.308</v>
          </cell>
          <cell r="B2100" t="str">
            <v>I1246</v>
          </cell>
          <cell r="C2100" t="str">
            <v>CURVA GRAN RADIO 90° PVC DUCTO  4"</v>
          </cell>
          <cell r="D2100" t="str">
            <v>Insumo</v>
          </cell>
          <cell r="E2100" t="str">
            <v>UND</v>
          </cell>
          <cell r="F2100">
            <v>1</v>
          </cell>
          <cell r="G2100">
            <v>54982</v>
          </cell>
          <cell r="H2100">
            <v>54982</v>
          </cell>
        </row>
        <row r="2101">
          <cell r="A2101" t="str">
            <v>015.308</v>
          </cell>
          <cell r="B2101" t="str">
            <v>I1272</v>
          </cell>
          <cell r="C2101" t="str">
            <v>HEBILLA DE ACERO INOXIDABLE 1/2"</v>
          </cell>
          <cell r="D2101" t="str">
            <v>Insumo</v>
          </cell>
          <cell r="E2101" t="str">
            <v>UND</v>
          </cell>
          <cell r="F2101">
            <v>3</v>
          </cell>
          <cell r="G2101">
            <v>835</v>
          </cell>
          <cell r="H2101">
            <v>2505</v>
          </cell>
        </row>
        <row r="2102">
          <cell r="A2102" t="str">
            <v>015.308</v>
          </cell>
          <cell r="B2102" t="str">
            <v>I1426</v>
          </cell>
          <cell r="C2102" t="str">
            <v>TERMINAL CAMPANA PVC DUCTO 4"</v>
          </cell>
          <cell r="D2102" t="str">
            <v>Insumo</v>
          </cell>
          <cell r="E2102" t="str">
            <v>UND</v>
          </cell>
          <cell r="F2102">
            <v>1</v>
          </cell>
          <cell r="G2102">
            <v>7113</v>
          </cell>
          <cell r="H2102">
            <v>7113</v>
          </cell>
        </row>
        <row r="2103">
          <cell r="A2103" t="str">
            <v>015.308</v>
          </cell>
          <cell r="B2103" t="str">
            <v>I1483</v>
          </cell>
          <cell r="C2103" t="str">
            <v>UNION PVC DUCTO 4"</v>
          </cell>
          <cell r="D2103" t="str">
            <v>Insumo</v>
          </cell>
          <cell r="E2103" t="str">
            <v>UND</v>
          </cell>
          <cell r="F2103">
            <v>1</v>
          </cell>
          <cell r="G2103">
            <v>8198</v>
          </cell>
          <cell r="H2103">
            <v>8198</v>
          </cell>
        </row>
        <row r="2104">
          <cell r="A2104" t="str">
            <v>015.308</v>
          </cell>
          <cell r="B2104" t="str">
            <v>I1565</v>
          </cell>
          <cell r="C2104" t="str">
            <v>ACARREO INTERNO</v>
          </cell>
          <cell r="D2104" t="str">
            <v>Insumo</v>
          </cell>
          <cell r="E2104" t="str">
            <v>UND</v>
          </cell>
          <cell r="F2104">
            <v>6.15</v>
          </cell>
          <cell r="G2104">
            <v>1327</v>
          </cell>
          <cell r="H2104">
            <v>8161</v>
          </cell>
        </row>
        <row r="2105">
          <cell r="A2105" t="str">
            <v>015.308</v>
          </cell>
          <cell r="B2105" t="str">
            <v>I614</v>
          </cell>
          <cell r="C2105" t="str">
            <v>LIMPIADOR REM PVC 760 GRMS. (1/4)</v>
          </cell>
          <cell r="D2105" t="str">
            <v>Insumo</v>
          </cell>
          <cell r="E2105" t="str">
            <v>UND</v>
          </cell>
          <cell r="F2105">
            <v>6.7000000000000004E-2</v>
          </cell>
          <cell r="G2105">
            <v>45425</v>
          </cell>
          <cell r="H2105">
            <v>3043</v>
          </cell>
        </row>
        <row r="2106">
          <cell r="A2106" t="str">
            <v>015.308</v>
          </cell>
          <cell r="B2106" t="str">
            <v>I647</v>
          </cell>
          <cell r="C2106" t="str">
            <v>SOLDADURA PVC LIQUIDA 1/4</v>
          </cell>
          <cell r="D2106" t="str">
            <v>Insumo</v>
          </cell>
          <cell r="E2106" t="str">
            <v>UND</v>
          </cell>
          <cell r="F2106">
            <v>6.7000000000000004E-2</v>
          </cell>
          <cell r="G2106">
            <v>94162</v>
          </cell>
          <cell r="H2106">
            <v>6309</v>
          </cell>
        </row>
        <row r="2108">
          <cell r="A2108" t="str">
            <v>015.309</v>
          </cell>
          <cell r="B2108" t="str">
            <v>-</v>
          </cell>
          <cell r="C2108" t="str">
            <v>SUMINISTRO E INSTALACION DE UNIDAD DE MEDIDA SEMIDIRECTA INCLUYE GABINETE, TOTALIZADOR, CABLE DE CONTROL Y TRANSFORMADORES DE CORRIENTE</v>
          </cell>
          <cell r="D2108" t="str">
            <v>Actividad</v>
          </cell>
          <cell r="E2108" t="str">
            <v>UND</v>
          </cell>
          <cell r="H2108">
            <v>4293234</v>
          </cell>
        </row>
        <row r="2109">
          <cell r="A2109" t="str">
            <v>015.309</v>
          </cell>
          <cell r="B2109" t="str">
            <v>C6</v>
          </cell>
          <cell r="C2109" t="str">
            <v>CUADRILLA FF TIPO 1 (1 OFICIAL + 1 AYUDANTE) (ELECTRICAS)</v>
          </cell>
          <cell r="D2109" t="str">
            <v>Cuadrilla</v>
          </cell>
          <cell r="E2109" t="str">
            <v>HR</v>
          </cell>
          <cell r="F2109">
            <v>60</v>
          </cell>
          <cell r="G2109">
            <v>23707</v>
          </cell>
          <cell r="H2109">
            <v>1422420</v>
          </cell>
        </row>
        <row r="2110">
          <cell r="A2110" t="str">
            <v>015.309</v>
          </cell>
          <cell r="B2110" t="str">
            <v>E12</v>
          </cell>
          <cell r="C2110" t="str">
            <v>EQUIPO DE TRANSPORTE</v>
          </cell>
          <cell r="D2110" t="str">
            <v>Equipos</v>
          </cell>
          <cell r="E2110" t="str">
            <v>DIA</v>
          </cell>
          <cell r="F2110">
            <v>1.875</v>
          </cell>
          <cell r="G2110">
            <v>131205</v>
          </cell>
          <cell r="H2110">
            <v>246009</v>
          </cell>
        </row>
        <row r="2111">
          <cell r="A2111" t="str">
            <v>015.309</v>
          </cell>
          <cell r="B2111" t="str">
            <v>H2</v>
          </cell>
          <cell r="C2111" t="str">
            <v>EQUIPO BASICO (HERRAMIENTA MENOR)</v>
          </cell>
          <cell r="D2111" t="str">
            <v>Herramienta</v>
          </cell>
          <cell r="E2111" t="str">
            <v>UND</v>
          </cell>
          <cell r="F2111">
            <v>30</v>
          </cell>
          <cell r="G2111">
            <v>2536</v>
          </cell>
          <cell r="H2111">
            <v>76080</v>
          </cell>
        </row>
        <row r="2112">
          <cell r="A2112" t="str">
            <v>015.309</v>
          </cell>
          <cell r="B2112" t="str">
            <v>I1691</v>
          </cell>
          <cell r="C2112" t="str">
            <v>MEDIDOR DE MEDIDA SEMIDIRECTA INCLUYE GABINETE, TOTALIZADOR, CABLE DE CONTROL Y TRANSFORMADORES DE CORRIENTE</v>
          </cell>
          <cell r="D2112" t="str">
            <v>Insumo</v>
          </cell>
          <cell r="E2112" t="str">
            <v>UND</v>
          </cell>
          <cell r="F2112">
            <v>1</v>
          </cell>
          <cell r="G2112">
            <v>2520000</v>
          </cell>
          <cell r="H2112">
            <v>2520000</v>
          </cell>
        </row>
        <row r="2113">
          <cell r="A2113" t="str">
            <v>015.309</v>
          </cell>
          <cell r="B2113" t="str">
            <v>I1694</v>
          </cell>
          <cell r="C2113" t="str">
            <v>CINTA BAND - IT, 5/8"</v>
          </cell>
          <cell r="D2113" t="str">
            <v>Insumo</v>
          </cell>
          <cell r="E2113" t="str">
            <v>ML</v>
          </cell>
          <cell r="F2113">
            <v>5</v>
          </cell>
          <cell r="G2113">
            <v>4624</v>
          </cell>
          <cell r="H2113">
            <v>23120</v>
          </cell>
        </row>
        <row r="2114">
          <cell r="A2114" t="str">
            <v>015.309</v>
          </cell>
          <cell r="B2114" t="str">
            <v>I1695</v>
          </cell>
          <cell r="C2114" t="str">
            <v>GRAPA BAND - IT 5/8"</v>
          </cell>
          <cell r="D2114" t="str">
            <v>Insumo</v>
          </cell>
          <cell r="E2114" t="str">
            <v>UND</v>
          </cell>
          <cell r="F2114">
            <v>5</v>
          </cell>
          <cell r="G2114">
            <v>1121</v>
          </cell>
          <cell r="H2114">
            <v>5605</v>
          </cell>
        </row>
        <row r="2116">
          <cell r="A2116" t="str">
            <v>015.310</v>
          </cell>
          <cell r="B2116" t="str">
            <v>-</v>
          </cell>
          <cell r="C2116" t="str">
            <v>SUMINISTRO, TRANSPORTE E INSTALACION ACOMETIDA 3F4H Cu THHN/THWN EN CABLE 2X(3X350MCM + 350MCM (N)). NO INCLUYE CONDULINADO.</v>
          </cell>
          <cell r="D2116" t="str">
            <v>Actividad</v>
          </cell>
          <cell r="E2116" t="str">
            <v>ML</v>
          </cell>
          <cell r="H2116">
            <v>652333</v>
          </cell>
        </row>
        <row r="2117">
          <cell r="A2117" t="str">
            <v>015.310</v>
          </cell>
          <cell r="B2117" t="str">
            <v>C13</v>
          </cell>
          <cell r="C2117" t="str">
            <v>CUADRILLA FF TIPO 2 (1 OFICIAL + 2 AYUDANTE) (Electricas)</v>
          </cell>
          <cell r="D2117" t="str">
            <v>Cuadrilla</v>
          </cell>
          <cell r="E2117" t="str">
            <v>HR</v>
          </cell>
          <cell r="F2117">
            <v>0.4</v>
          </cell>
          <cell r="G2117">
            <v>33348</v>
          </cell>
          <cell r="H2117">
            <v>13339</v>
          </cell>
        </row>
        <row r="2118">
          <cell r="A2118" t="str">
            <v>015.310</v>
          </cell>
          <cell r="B2118" t="str">
            <v>E12</v>
          </cell>
          <cell r="C2118" t="str">
            <v>EQUIPO DE TRANSPORTE</v>
          </cell>
          <cell r="D2118" t="str">
            <v>Equipos</v>
          </cell>
          <cell r="E2118" t="str">
            <v>DIA</v>
          </cell>
          <cell r="F2118">
            <v>9.1399999999999995E-2</v>
          </cell>
          <cell r="G2118">
            <v>131205</v>
          </cell>
          <cell r="H2118">
            <v>11992</v>
          </cell>
        </row>
        <row r="2119">
          <cell r="A2119" t="str">
            <v>015.310</v>
          </cell>
          <cell r="B2119" t="str">
            <v>H2</v>
          </cell>
          <cell r="C2119" t="str">
            <v>EQUIPO BASICO (HERRAMIENTA MENOR)</v>
          </cell>
          <cell r="D2119" t="str">
            <v>Herramienta</v>
          </cell>
          <cell r="E2119" t="str">
            <v>UND</v>
          </cell>
          <cell r="F2119">
            <v>0.2</v>
          </cell>
          <cell r="G2119">
            <v>2536</v>
          </cell>
          <cell r="H2119">
            <v>507</v>
          </cell>
        </row>
        <row r="2120">
          <cell r="A2120" t="str">
            <v>015.310</v>
          </cell>
          <cell r="B2120" t="str">
            <v>I1192</v>
          </cell>
          <cell r="C2120" t="str">
            <v>CABLE DE COBRE Nº 350 THHN MCM</v>
          </cell>
          <cell r="D2120" t="str">
            <v>Insumo</v>
          </cell>
          <cell r="E2120" t="str">
            <v>M</v>
          </cell>
          <cell r="F2120">
            <v>8.08</v>
          </cell>
          <cell r="G2120">
            <v>77438</v>
          </cell>
          <cell r="H2120">
            <v>625699</v>
          </cell>
        </row>
        <row r="2121">
          <cell r="A2121" t="str">
            <v>015.310</v>
          </cell>
          <cell r="B2121" t="str">
            <v>I1565</v>
          </cell>
          <cell r="C2121" t="str">
            <v>ACARREO INTERNO</v>
          </cell>
          <cell r="D2121" t="str">
            <v>Insumo</v>
          </cell>
          <cell r="E2121" t="str">
            <v>UND</v>
          </cell>
          <cell r="F2121">
            <v>0.6</v>
          </cell>
          <cell r="G2121">
            <v>1327</v>
          </cell>
          <cell r="H2121">
            <v>796</v>
          </cell>
        </row>
        <row r="2123">
          <cell r="A2123" t="str">
            <v>015.311</v>
          </cell>
          <cell r="B2123" t="str">
            <v>-</v>
          </cell>
          <cell r="C2123" t="str">
            <v xml:space="preserve">SUMINISTRO, TRANSPORTE E INSTALACION SISTEMA DE PUESTA A TIERRA GENERAL CON CUATRO VARILAS DE COBRE 5/8X2,4M, CABLE No.2/0AWG (SPAT-4V). </v>
          </cell>
          <cell r="D2123" t="str">
            <v>Actividad</v>
          </cell>
          <cell r="E2123" t="str">
            <v>UND</v>
          </cell>
          <cell r="H2123">
            <v>2994511</v>
          </cell>
        </row>
        <row r="2124">
          <cell r="A2124" t="str">
            <v>015.311</v>
          </cell>
          <cell r="B2124" t="str">
            <v>C35</v>
          </cell>
          <cell r="C2124" t="str">
            <v>CUADRILLA GG TIPO 5 (1 OFICIAL + 5 AYUDANTE) (Alumbrado Publico)</v>
          </cell>
          <cell r="D2124" t="str">
            <v>Cuadrilla</v>
          </cell>
          <cell r="E2124" t="str">
            <v>HR</v>
          </cell>
          <cell r="F2124">
            <v>2.5499999999999998</v>
          </cell>
          <cell r="G2124">
            <v>87719</v>
          </cell>
          <cell r="H2124">
            <v>223683</v>
          </cell>
        </row>
        <row r="2125">
          <cell r="A2125" t="str">
            <v>015.311</v>
          </cell>
          <cell r="B2125" t="str">
            <v>E12</v>
          </cell>
          <cell r="C2125" t="str">
            <v>EQUIPO DE TRANSPORTE</v>
          </cell>
          <cell r="D2125" t="str">
            <v>Equipos</v>
          </cell>
          <cell r="E2125" t="str">
            <v>DIA</v>
          </cell>
          <cell r="F2125">
            <v>0.35665999999999998</v>
          </cell>
          <cell r="G2125">
            <v>131205</v>
          </cell>
          <cell r="H2125">
            <v>46796</v>
          </cell>
        </row>
        <row r="2126">
          <cell r="A2126" t="str">
            <v>015.311</v>
          </cell>
          <cell r="B2126" t="str">
            <v>H2</v>
          </cell>
          <cell r="C2126" t="str">
            <v>EQUIPO BASICO (HERRAMIENTA MENOR)</v>
          </cell>
          <cell r="D2126" t="str">
            <v>Herramienta</v>
          </cell>
          <cell r="E2126" t="str">
            <v>UND</v>
          </cell>
          <cell r="F2126">
            <v>3.4</v>
          </cell>
          <cell r="G2126">
            <v>2536</v>
          </cell>
          <cell r="H2126">
            <v>8622</v>
          </cell>
        </row>
        <row r="2127">
          <cell r="A2127" t="str">
            <v>015.311</v>
          </cell>
          <cell r="B2127" t="str">
            <v>I1170</v>
          </cell>
          <cell r="C2127" t="str">
            <v>BORNA TERMINAL PONCHAR MARCA 3M Ó PANDUIT BARRIL LARGO PARA CABLE NO.2/0AWG</v>
          </cell>
          <cell r="D2127" t="str">
            <v>Insumo</v>
          </cell>
          <cell r="E2127" t="str">
            <v>UND</v>
          </cell>
          <cell r="F2127">
            <v>1</v>
          </cell>
          <cell r="G2127">
            <v>4734</v>
          </cell>
          <cell r="H2127">
            <v>4734</v>
          </cell>
        </row>
        <row r="2128">
          <cell r="A2128" t="str">
            <v>015.311</v>
          </cell>
          <cell r="B2128" t="str">
            <v>I1181</v>
          </cell>
          <cell r="C2128" t="str">
            <v>CABLE DE COBRE DESNUDO Nº 2/0  AWG</v>
          </cell>
          <cell r="D2128" t="str">
            <v>Insumo</v>
          </cell>
          <cell r="E2128" t="str">
            <v>M</v>
          </cell>
          <cell r="F2128">
            <v>25</v>
          </cell>
          <cell r="G2128">
            <v>28683</v>
          </cell>
          <cell r="H2128">
            <v>717075</v>
          </cell>
        </row>
        <row r="2129">
          <cell r="A2129" t="str">
            <v>015.311</v>
          </cell>
          <cell r="B2129" t="str">
            <v>I1381</v>
          </cell>
          <cell r="C2129" t="str">
            <v>SOLDADURA EXOTERMICA TIPO CADWELD  DE 115 GRAMOS O SIMILAR</v>
          </cell>
          <cell r="D2129" t="str">
            <v>Insumo</v>
          </cell>
          <cell r="E2129" t="str">
            <v>UND</v>
          </cell>
          <cell r="F2129">
            <v>4</v>
          </cell>
          <cell r="G2129">
            <v>16887</v>
          </cell>
          <cell r="H2129">
            <v>67548</v>
          </cell>
        </row>
        <row r="2130">
          <cell r="A2130" t="str">
            <v>015.311</v>
          </cell>
          <cell r="B2130" t="str">
            <v>I1382</v>
          </cell>
          <cell r="C2130" t="str">
            <v>SUELO ARTIFICIAL CEMENTO CONDUCTOR CELEC</v>
          </cell>
          <cell r="D2130" t="str">
            <v>Insumo</v>
          </cell>
          <cell r="E2130" t="str">
            <v>KG</v>
          </cell>
          <cell r="F2130">
            <v>160</v>
          </cell>
          <cell r="G2130">
            <v>8319</v>
          </cell>
          <cell r="H2130">
            <v>1331040</v>
          </cell>
        </row>
        <row r="2131">
          <cell r="A2131" t="str">
            <v>015.311</v>
          </cell>
          <cell r="B2131" t="str">
            <v>I1484</v>
          </cell>
          <cell r="C2131" t="str">
            <v>VARILLA COPPERWELD DE  5/8 X 2,40</v>
          </cell>
          <cell r="D2131" t="str">
            <v>Insumo</v>
          </cell>
          <cell r="E2131" t="str">
            <v>UND</v>
          </cell>
          <cell r="F2131">
            <v>4</v>
          </cell>
          <cell r="G2131">
            <v>140632</v>
          </cell>
          <cell r="H2131">
            <v>562528</v>
          </cell>
        </row>
        <row r="2132">
          <cell r="A2132" t="str">
            <v>015.311</v>
          </cell>
          <cell r="B2132" t="str">
            <v>I1565</v>
          </cell>
          <cell r="C2132" t="str">
            <v>ACARREO INTERNO</v>
          </cell>
          <cell r="D2132" t="str">
            <v>Insumo</v>
          </cell>
          <cell r="E2132" t="str">
            <v>UND</v>
          </cell>
          <cell r="F2132">
            <v>24.48</v>
          </cell>
          <cell r="G2132">
            <v>1327</v>
          </cell>
          <cell r="H2132">
            <v>32485</v>
          </cell>
        </row>
        <row r="2134">
          <cell r="A2134" t="str">
            <v>015.312</v>
          </cell>
          <cell r="B2134" t="str">
            <v>-</v>
          </cell>
          <cell r="C2134" t="str">
            <v>SUMINISTRO, TRANSPORTE E INSTALACION AFLORAMIENTO Y ELEMENTOS PARA CAMBIO DE CIRCUITO AEREO A SUBTERRANEO TUBO IMC DE  2"</v>
          </cell>
          <cell r="D2134" t="str">
            <v>Actividad</v>
          </cell>
          <cell r="E2134" t="str">
            <v>UND</v>
          </cell>
          <cell r="H2134">
            <v>113542</v>
          </cell>
        </row>
        <row r="2135">
          <cell r="A2135" t="str">
            <v>015.312</v>
          </cell>
          <cell r="B2135" t="str">
            <v>C35</v>
          </cell>
          <cell r="C2135" t="str">
            <v>CUADRILLA GG TIPO 5 (1 OFICIAL + 5 AYUDANTE) (Alumbrado Publico)</v>
          </cell>
          <cell r="D2135" t="str">
            <v>Cuadrilla</v>
          </cell>
          <cell r="E2135" t="str">
            <v>HR</v>
          </cell>
          <cell r="F2135">
            <v>0.55000000000000004</v>
          </cell>
          <cell r="G2135">
            <v>87719</v>
          </cell>
          <cell r="H2135">
            <v>48245</v>
          </cell>
        </row>
        <row r="2136">
          <cell r="A2136" t="str">
            <v>015.312</v>
          </cell>
          <cell r="B2136" t="str">
            <v>E12</v>
          </cell>
          <cell r="C2136" t="str">
            <v>EQUIPO DE TRANSPORTE</v>
          </cell>
          <cell r="D2136" t="str">
            <v>Equipos</v>
          </cell>
          <cell r="E2136" t="str">
            <v>DIA</v>
          </cell>
          <cell r="F2136">
            <v>3.7150000000000002E-2</v>
          </cell>
          <cell r="G2136">
            <v>131205</v>
          </cell>
          <cell r="H2136">
            <v>4874</v>
          </cell>
        </row>
        <row r="2137">
          <cell r="A2137" t="str">
            <v>015.312</v>
          </cell>
          <cell r="B2137" t="str">
            <v>H2</v>
          </cell>
          <cell r="C2137" t="str">
            <v>EQUIPO BASICO (HERRAMIENTA MENOR)</v>
          </cell>
          <cell r="D2137" t="str">
            <v>Herramienta</v>
          </cell>
          <cell r="E2137" t="str">
            <v>UND</v>
          </cell>
          <cell r="F2137">
            <v>0.05</v>
          </cell>
          <cell r="G2137">
            <v>2536</v>
          </cell>
          <cell r="H2137">
            <v>127</v>
          </cell>
        </row>
        <row r="2138">
          <cell r="A2138" t="str">
            <v>015.312</v>
          </cell>
          <cell r="B2138" t="str">
            <v>I1210</v>
          </cell>
          <cell r="C2138" t="str">
            <v xml:space="preserve">CAPACETE ROSCADO EN ALUMINIO PARA TUBERIA IMC GALVANIZADA DE 2" </v>
          </cell>
          <cell r="D2138" t="str">
            <v>Insumo</v>
          </cell>
          <cell r="E2138" t="str">
            <v>UND</v>
          </cell>
          <cell r="F2138">
            <v>1</v>
          </cell>
          <cell r="G2138">
            <v>15807</v>
          </cell>
          <cell r="H2138">
            <v>15807</v>
          </cell>
        </row>
        <row r="2139">
          <cell r="A2139" t="str">
            <v>015.312</v>
          </cell>
          <cell r="B2139" t="str">
            <v>I1214</v>
          </cell>
          <cell r="C2139" t="str">
            <v>CINTA EN ACERO INOXIDABLE 1/2"</v>
          </cell>
          <cell r="D2139" t="str">
            <v>Insumo</v>
          </cell>
          <cell r="E2139" t="str">
            <v>M</v>
          </cell>
          <cell r="F2139">
            <v>3</v>
          </cell>
          <cell r="G2139">
            <v>3787</v>
          </cell>
          <cell r="H2139">
            <v>11361</v>
          </cell>
        </row>
        <row r="2140">
          <cell r="A2140" t="str">
            <v>015.312</v>
          </cell>
          <cell r="B2140" t="str">
            <v>I1244</v>
          </cell>
          <cell r="C2140" t="str">
            <v>CURVA GRAN RADIO 90° PVC DUCTO  2"</v>
          </cell>
          <cell r="D2140" t="str">
            <v>Insumo</v>
          </cell>
          <cell r="E2140" t="str">
            <v>UND</v>
          </cell>
          <cell r="F2140">
            <v>1</v>
          </cell>
          <cell r="G2140">
            <v>12474</v>
          </cell>
          <cell r="H2140">
            <v>12474</v>
          </cell>
        </row>
        <row r="2141">
          <cell r="A2141" t="str">
            <v>015.312</v>
          </cell>
          <cell r="B2141" t="str">
            <v>I1272</v>
          </cell>
          <cell r="C2141" t="str">
            <v>HEBILLA DE ACERO INOXIDABLE 1/2"</v>
          </cell>
          <cell r="D2141" t="str">
            <v>Insumo</v>
          </cell>
          <cell r="E2141" t="str">
            <v>UND</v>
          </cell>
          <cell r="F2141">
            <v>3</v>
          </cell>
          <cell r="G2141">
            <v>835</v>
          </cell>
          <cell r="H2141">
            <v>2505</v>
          </cell>
        </row>
        <row r="2142">
          <cell r="A2142" t="str">
            <v>015.312</v>
          </cell>
          <cell r="B2142" t="str">
            <v>I1424</v>
          </cell>
          <cell r="C2142" t="str">
            <v>TERMINAL CAMPANA PVC DUCTO 2"</v>
          </cell>
          <cell r="D2142" t="str">
            <v>Insumo</v>
          </cell>
          <cell r="E2142" t="str">
            <v>UND</v>
          </cell>
          <cell r="F2142">
            <v>1</v>
          </cell>
          <cell r="G2142">
            <v>3776</v>
          </cell>
          <cell r="H2142">
            <v>3776</v>
          </cell>
        </row>
        <row r="2143">
          <cell r="A2143" t="str">
            <v>015.312</v>
          </cell>
          <cell r="B2143" t="str">
            <v>I1481</v>
          </cell>
          <cell r="C2143" t="str">
            <v>UNION PVC DUCTO 2"</v>
          </cell>
          <cell r="D2143" t="str">
            <v>Insumo</v>
          </cell>
          <cell r="E2143" t="str">
            <v>UND</v>
          </cell>
          <cell r="F2143">
            <v>1</v>
          </cell>
          <cell r="G2143">
            <v>2999</v>
          </cell>
          <cell r="H2143">
            <v>2999</v>
          </cell>
        </row>
        <row r="2144">
          <cell r="A2144" t="str">
            <v>015.312</v>
          </cell>
          <cell r="B2144" t="str">
            <v>I1565</v>
          </cell>
          <cell r="C2144" t="str">
            <v>ACARREO INTERNO</v>
          </cell>
          <cell r="D2144" t="str">
            <v>Insumo</v>
          </cell>
          <cell r="E2144" t="str">
            <v>UND</v>
          </cell>
          <cell r="F2144">
            <v>5.0999999999999996</v>
          </cell>
          <cell r="G2144">
            <v>1327</v>
          </cell>
          <cell r="H2144">
            <v>6768</v>
          </cell>
        </row>
        <row r="2145">
          <cell r="A2145" t="str">
            <v>015.312</v>
          </cell>
          <cell r="B2145" t="str">
            <v>I614</v>
          </cell>
          <cell r="C2145" t="str">
            <v>LIMPIADOR REM PVC 760 GRMS. (1/4)</v>
          </cell>
          <cell r="D2145" t="str">
            <v>Insumo</v>
          </cell>
          <cell r="E2145" t="str">
            <v>UND</v>
          </cell>
          <cell r="F2145">
            <v>3.3000000000000002E-2</v>
          </cell>
          <cell r="G2145">
            <v>45425</v>
          </cell>
          <cell r="H2145">
            <v>1499</v>
          </cell>
        </row>
        <row r="2146">
          <cell r="A2146" t="str">
            <v>015.312</v>
          </cell>
          <cell r="B2146" t="str">
            <v>I647</v>
          </cell>
          <cell r="C2146" t="str">
            <v>SOLDADURA PVC LIQUIDA 1/4</v>
          </cell>
          <cell r="D2146" t="str">
            <v>Insumo</v>
          </cell>
          <cell r="E2146" t="str">
            <v>UND</v>
          </cell>
          <cell r="F2146">
            <v>3.3000000000000002E-2</v>
          </cell>
          <cell r="G2146">
            <v>94162</v>
          </cell>
          <cell r="H2146">
            <v>3107</v>
          </cell>
        </row>
        <row r="2148">
          <cell r="A2148" t="str">
            <v>015.313</v>
          </cell>
          <cell r="B2148" t="str">
            <v>-</v>
          </cell>
          <cell r="C2148" t="str">
            <v>SUMINISTRO, TRANSPORTE E INSTALACION ACOMETIDA 3F4H Cu THHN/THWN EN CABLE 3X1/0AWG + 1/0 AWG (N). NO INCLUYE CONDULINADO.</v>
          </cell>
          <cell r="D2148" t="str">
            <v>Actividad</v>
          </cell>
          <cell r="E2148" t="str">
            <v>ML</v>
          </cell>
          <cell r="H2148">
            <v>108570</v>
          </cell>
        </row>
        <row r="2149">
          <cell r="A2149" t="str">
            <v>015.313</v>
          </cell>
          <cell r="B2149" t="str">
            <v>C13</v>
          </cell>
          <cell r="C2149" t="str">
            <v>CUADRILLA FF TIPO 2 (1 OFICIAL + 2 AYUDANTE) (Electricas)</v>
          </cell>
          <cell r="D2149" t="str">
            <v>Cuadrilla</v>
          </cell>
          <cell r="E2149" t="str">
            <v>HR</v>
          </cell>
          <cell r="F2149">
            <v>0.16</v>
          </cell>
          <cell r="G2149">
            <v>33348</v>
          </cell>
          <cell r="H2149">
            <v>5336</v>
          </cell>
        </row>
        <row r="2150">
          <cell r="A2150" t="str">
            <v>015.313</v>
          </cell>
          <cell r="B2150" t="str">
            <v>E12</v>
          </cell>
          <cell r="C2150" t="str">
            <v>EQUIPO DE TRANSPORTE</v>
          </cell>
          <cell r="D2150" t="str">
            <v>Equipos</v>
          </cell>
          <cell r="E2150" t="str">
            <v>DIA</v>
          </cell>
          <cell r="F2150">
            <v>1.4800000000000001E-2</v>
          </cell>
          <cell r="G2150">
            <v>131205</v>
          </cell>
          <cell r="H2150">
            <v>1942</v>
          </cell>
        </row>
        <row r="2151">
          <cell r="A2151" t="str">
            <v>015.313</v>
          </cell>
          <cell r="B2151" t="str">
            <v>H2</v>
          </cell>
          <cell r="C2151" t="str">
            <v>EQUIPO BASICO (HERRAMIENTA MENOR)</v>
          </cell>
          <cell r="D2151" t="str">
            <v>Herramienta</v>
          </cell>
          <cell r="E2151" t="str">
            <v>UND</v>
          </cell>
          <cell r="F2151">
            <v>0.1</v>
          </cell>
          <cell r="G2151">
            <v>2536</v>
          </cell>
          <cell r="H2151">
            <v>254</v>
          </cell>
        </row>
        <row r="2152">
          <cell r="A2152" t="str">
            <v>015.313</v>
          </cell>
          <cell r="B2152" t="str">
            <v>I1188</v>
          </cell>
          <cell r="C2152" t="str">
            <v>CABLE DE COBRE Nº 1/0 THHN  AWG</v>
          </cell>
          <cell r="D2152" t="str">
            <v>Insumo</v>
          </cell>
          <cell r="E2152" t="str">
            <v>M</v>
          </cell>
          <cell r="F2152">
            <v>4.04</v>
          </cell>
          <cell r="G2152">
            <v>24911</v>
          </cell>
          <cell r="H2152">
            <v>100640</v>
          </cell>
        </row>
        <row r="2153">
          <cell r="A2153" t="str">
            <v>015.313</v>
          </cell>
          <cell r="B2153" t="str">
            <v>I1565</v>
          </cell>
          <cell r="C2153" t="str">
            <v>ACARREO INTERNO</v>
          </cell>
          <cell r="D2153" t="str">
            <v>Insumo</v>
          </cell>
          <cell r="E2153" t="str">
            <v>UND</v>
          </cell>
          <cell r="F2153">
            <v>0.3</v>
          </cell>
          <cell r="G2153">
            <v>1327</v>
          </cell>
          <cell r="H2153">
            <v>398</v>
          </cell>
        </row>
        <row r="2155">
          <cell r="A2155" t="str">
            <v>015.314</v>
          </cell>
          <cell r="B2155" t="str">
            <v>-</v>
          </cell>
          <cell r="C2155" t="str">
            <v>SUMINISTRO, TRANSPORTE E INSTALACION  POSTE DE CONCRETO de 12 m.  1050 kg.  HOMOLOGADO - (Incluye pintura acrilica y grua).</v>
          </cell>
          <cell r="D2155" t="str">
            <v>Actividad</v>
          </cell>
          <cell r="E2155" t="str">
            <v>UND</v>
          </cell>
          <cell r="H2155">
            <v>1538568</v>
          </cell>
        </row>
        <row r="2156">
          <cell r="A2156" t="str">
            <v>015.314</v>
          </cell>
          <cell r="B2156" t="str">
            <v>C35</v>
          </cell>
          <cell r="C2156" t="str">
            <v>CUADRILLA GG TIPO 5 (1 OFICIAL + 5 AYUDANTE) (Alumbrado Publico)</v>
          </cell>
          <cell r="D2156" t="str">
            <v>Cuadrilla</v>
          </cell>
          <cell r="E2156" t="str">
            <v>HR</v>
          </cell>
          <cell r="F2156">
            <v>1.3</v>
          </cell>
          <cell r="G2156">
            <v>87719</v>
          </cell>
          <cell r="H2156">
            <v>114035</v>
          </cell>
        </row>
        <row r="2157">
          <cell r="A2157" t="str">
            <v>015.314</v>
          </cell>
          <cell r="B2157" t="str">
            <v>E12</v>
          </cell>
          <cell r="C2157" t="str">
            <v>EQUIPO DE TRANSPORTE</v>
          </cell>
          <cell r="D2157" t="str">
            <v>Equipos</v>
          </cell>
          <cell r="E2157" t="str">
            <v>DIA</v>
          </cell>
          <cell r="F2157">
            <v>0.14829999999999999</v>
          </cell>
          <cell r="G2157">
            <v>131205</v>
          </cell>
          <cell r="H2157">
            <v>19458</v>
          </cell>
        </row>
        <row r="2158">
          <cell r="A2158" t="str">
            <v>015.314</v>
          </cell>
          <cell r="B2158" t="str">
            <v>E13</v>
          </cell>
          <cell r="C2158" t="str">
            <v>GRUA CON BRAZO HIDRAULICO</v>
          </cell>
          <cell r="D2158" t="str">
            <v>Equipos</v>
          </cell>
          <cell r="E2158" t="str">
            <v>DIA</v>
          </cell>
          <cell r="F2158">
            <v>0.125</v>
          </cell>
          <cell r="G2158">
            <v>3044002</v>
          </cell>
          <cell r="H2158">
            <v>380500</v>
          </cell>
        </row>
        <row r="2159">
          <cell r="A2159" t="str">
            <v>015.314</v>
          </cell>
          <cell r="B2159" t="str">
            <v>I1014</v>
          </cell>
          <cell r="C2159" t="str">
            <v>PINTURA ACRILICA A BASE SOLVENTES DE RAPIDO SECAMIENTO TIPO PINTUCO (ACRILICO MANTENIMIENTO) O SIMILAR - COLORES: BLANCO, AMARILLO O NEGRO SEGÚN DISEÑO.</v>
          </cell>
          <cell r="D2159" t="str">
            <v>Insumo</v>
          </cell>
          <cell r="E2159" t="str">
            <v>GAL</v>
          </cell>
          <cell r="F2159">
            <v>4.7E-2</v>
          </cell>
          <cell r="G2159">
            <v>91659</v>
          </cell>
          <cell r="H2159">
            <v>4308</v>
          </cell>
        </row>
        <row r="2160">
          <cell r="A2160" t="str">
            <v>015.314</v>
          </cell>
          <cell r="B2160" t="str">
            <v>I1369</v>
          </cell>
          <cell r="C2160" t="str">
            <v>POSTE DE CONCRETO 12 METROS - 1050 KG - HOMOLOGADO</v>
          </cell>
          <cell r="D2160" t="str">
            <v>Insumo</v>
          </cell>
          <cell r="E2160" t="str">
            <v>UND</v>
          </cell>
          <cell r="F2160">
            <v>1</v>
          </cell>
          <cell r="G2160">
            <v>1003945</v>
          </cell>
          <cell r="H2160">
            <v>1003945</v>
          </cell>
        </row>
        <row r="2161">
          <cell r="A2161" t="str">
            <v>015.314</v>
          </cell>
          <cell r="B2161" t="str">
            <v>I1565</v>
          </cell>
          <cell r="C2161" t="str">
            <v>ACARREO INTERNO</v>
          </cell>
          <cell r="D2161" t="str">
            <v>Insumo</v>
          </cell>
          <cell r="E2161" t="str">
            <v>UND</v>
          </cell>
          <cell r="F2161">
            <v>12.3</v>
          </cell>
          <cell r="G2161">
            <v>1327</v>
          </cell>
          <cell r="H2161">
            <v>16322</v>
          </cell>
        </row>
        <row r="2163">
          <cell r="A2163" t="str">
            <v>015.318</v>
          </cell>
          <cell r="B2163" t="str">
            <v>-</v>
          </cell>
          <cell r="C2163" t="str">
            <v>SUMINISTRO, TRANSPORTE E INSTALACION DE UPS TRIFASICA DE 15KVA</v>
          </cell>
          <cell r="D2163" t="str">
            <v>Actividad</v>
          </cell>
          <cell r="E2163" t="str">
            <v>UND</v>
          </cell>
          <cell r="H2163">
            <v>22897819</v>
          </cell>
        </row>
        <row r="2164">
          <cell r="A2164" t="str">
            <v>015.318</v>
          </cell>
          <cell r="B2164" t="str">
            <v>C13</v>
          </cell>
          <cell r="C2164" t="str">
            <v>CUADRILLA FF TIPO 2 (1 OFICIAL + 2 AYUDANTE) (Electricas)</v>
          </cell>
          <cell r="D2164" t="str">
            <v>Cuadrilla</v>
          </cell>
          <cell r="E2164" t="str">
            <v>HR</v>
          </cell>
          <cell r="F2164">
            <v>12.5</v>
          </cell>
          <cell r="G2164">
            <v>33348</v>
          </cell>
          <cell r="H2164">
            <v>416850</v>
          </cell>
        </row>
        <row r="2165">
          <cell r="A2165" t="str">
            <v>015.318</v>
          </cell>
          <cell r="B2165" t="str">
            <v>E12</v>
          </cell>
          <cell r="C2165" t="str">
            <v>EQUIPO DE TRANSPORTE</v>
          </cell>
          <cell r="D2165" t="str">
            <v>Equipos</v>
          </cell>
          <cell r="E2165" t="str">
            <v>DIA</v>
          </cell>
          <cell r="F2165">
            <v>9.5147999999999993</v>
          </cell>
          <cell r="G2165">
            <v>131205</v>
          </cell>
          <cell r="H2165">
            <v>1248389</v>
          </cell>
        </row>
        <row r="2166">
          <cell r="A2166" t="str">
            <v>015.318</v>
          </cell>
          <cell r="B2166" t="str">
            <v>H2</v>
          </cell>
          <cell r="C2166" t="str">
            <v>EQUIPO BASICO (HERRAMIENTA MENOR)</v>
          </cell>
          <cell r="D2166" t="str">
            <v>Herramienta</v>
          </cell>
          <cell r="E2166" t="str">
            <v>UND</v>
          </cell>
          <cell r="F2166">
            <v>3.5</v>
          </cell>
          <cell r="G2166">
            <v>2536</v>
          </cell>
          <cell r="H2166">
            <v>8876</v>
          </cell>
        </row>
        <row r="2167">
          <cell r="A2167" t="str">
            <v>015.318</v>
          </cell>
          <cell r="B2167" t="str">
            <v>I1188</v>
          </cell>
          <cell r="C2167" t="str">
            <v xml:space="preserve">UPS 15KVA TRIFASICO </v>
          </cell>
          <cell r="D2167" t="str">
            <v>Insumo</v>
          </cell>
          <cell r="E2167" t="str">
            <v>UND</v>
          </cell>
          <cell r="F2167">
            <v>1</v>
          </cell>
          <cell r="G2167">
            <v>16901900</v>
          </cell>
          <cell r="H2167">
            <v>16901900</v>
          </cell>
        </row>
        <row r="2168">
          <cell r="A2168" t="str">
            <v>015.318</v>
          </cell>
          <cell r="B2168" t="str">
            <v>I1188</v>
          </cell>
          <cell r="C2168" t="str">
            <v xml:space="preserve">SWITCH BY PASS PARA UPS </v>
          </cell>
          <cell r="D2168" t="str">
            <v>Insumo</v>
          </cell>
          <cell r="E2168" t="str">
            <v>UND</v>
          </cell>
          <cell r="F2168">
            <v>1</v>
          </cell>
          <cell r="G2168">
            <v>526283</v>
          </cell>
          <cell r="H2168">
            <v>526283</v>
          </cell>
        </row>
        <row r="2169">
          <cell r="A2169" t="str">
            <v>015.318</v>
          </cell>
          <cell r="B2169" t="str">
            <v>I1188</v>
          </cell>
          <cell r="C2169" t="str">
            <v>BANCO DE 15 BATERIAS 12V 26AH, 15 MINUTOS DE AUTONOMIA</v>
          </cell>
          <cell r="D2169" t="str">
            <v>Insumo</v>
          </cell>
          <cell r="E2169" t="str">
            <v>UND</v>
          </cell>
          <cell r="F2169">
            <v>1</v>
          </cell>
          <cell r="G2169">
            <v>3765000</v>
          </cell>
          <cell r="H2169">
            <v>3765000</v>
          </cell>
        </row>
        <row r="2170">
          <cell r="A2170" t="str">
            <v>015.318</v>
          </cell>
          <cell r="B2170" t="str">
            <v>I1565</v>
          </cell>
          <cell r="C2170" t="str">
            <v>ACARREO INTERNO</v>
          </cell>
          <cell r="D2170" t="str">
            <v>Insumo</v>
          </cell>
          <cell r="E2170" t="str">
            <v>UND</v>
          </cell>
          <cell r="F2170">
            <v>23</v>
          </cell>
          <cell r="G2170">
            <v>1327</v>
          </cell>
          <cell r="H2170">
            <v>30521</v>
          </cell>
        </row>
        <row r="2172">
          <cell r="A2172" t="str">
            <v>015.319</v>
          </cell>
          <cell r="B2172" t="str">
            <v>-</v>
          </cell>
          <cell r="C2172" t="str">
            <v xml:space="preserve">SUMINISTRO E INSTALACION COMPONENTES DE ADMINISTRACION CABLEADO ESTRUCTURADO CAT 6A </v>
          </cell>
          <cell r="D2172" t="str">
            <v>Actividad</v>
          </cell>
          <cell r="E2172" t="str">
            <v>UND</v>
          </cell>
          <cell r="H2172">
            <v>27623723</v>
          </cell>
        </row>
        <row r="2173">
          <cell r="A2173" t="str">
            <v>015.319</v>
          </cell>
          <cell r="B2173" t="str">
            <v>C6</v>
          </cell>
          <cell r="C2173" t="str">
            <v>CUADRILLA FF TIPO 1 (1 OFICIAL + 1 AYUDANTE) (ELECTRICAS)</v>
          </cell>
          <cell r="D2173" t="str">
            <v>Cuadrilla</v>
          </cell>
          <cell r="E2173" t="str">
            <v>HR</v>
          </cell>
          <cell r="F2173">
            <v>80</v>
          </cell>
          <cell r="G2173">
            <v>23707</v>
          </cell>
          <cell r="H2173">
            <v>1896560</v>
          </cell>
        </row>
        <row r="2174">
          <cell r="A2174" t="str">
            <v>015.319</v>
          </cell>
          <cell r="B2174" t="str">
            <v>E12</v>
          </cell>
          <cell r="C2174" t="str">
            <v>EQUIPO DE TRANSPORTE</v>
          </cell>
          <cell r="D2174" t="str">
            <v>Equipos</v>
          </cell>
          <cell r="E2174" t="str">
            <v>DIA</v>
          </cell>
          <cell r="F2174">
            <v>3.5</v>
          </cell>
          <cell r="G2174">
            <v>131205</v>
          </cell>
          <cell r="H2174">
            <v>459218</v>
          </cell>
        </row>
        <row r="2175">
          <cell r="A2175" t="str">
            <v>015.319</v>
          </cell>
          <cell r="B2175" t="str">
            <v>H2</v>
          </cell>
          <cell r="C2175" t="str">
            <v>EQUIPO BASICO (HERRAMIENTA MENOR)</v>
          </cell>
          <cell r="D2175" t="str">
            <v>Herramienta</v>
          </cell>
          <cell r="E2175" t="str">
            <v>UND</v>
          </cell>
          <cell r="F2175">
            <v>40</v>
          </cell>
          <cell r="G2175">
            <v>2536</v>
          </cell>
          <cell r="H2175">
            <v>101440</v>
          </cell>
        </row>
        <row r="2176">
          <cell r="A2176" t="str">
            <v>015.319</v>
          </cell>
          <cell r="B2176" t="str">
            <v>I1724</v>
          </cell>
          <cell r="C2176" t="str">
            <v>SUMINISTRO DE MARCADORES EN ACRILICO</v>
          </cell>
          <cell r="D2176" t="str">
            <v>Insumo</v>
          </cell>
          <cell r="E2176" t="str">
            <v>ML</v>
          </cell>
          <cell r="F2176">
            <v>196</v>
          </cell>
          <cell r="G2176">
            <v>2238</v>
          </cell>
          <cell r="H2176">
            <v>438648</v>
          </cell>
        </row>
        <row r="2177">
          <cell r="A2177" t="str">
            <v>015.319</v>
          </cell>
          <cell r="B2177" t="str">
            <v>I1736</v>
          </cell>
          <cell r="C2177" t="str">
            <v>SUMINISTRO DE CINTA AISLANTE DE COLORES</v>
          </cell>
          <cell r="D2177" t="str">
            <v>Insumo</v>
          </cell>
          <cell r="E2177" t="str">
            <v>UND</v>
          </cell>
          <cell r="F2177">
            <v>8</v>
          </cell>
          <cell r="G2177">
            <v>1867</v>
          </cell>
          <cell r="H2177">
            <v>14936</v>
          </cell>
        </row>
        <row r="2178">
          <cell r="A2178" t="str">
            <v>015.319</v>
          </cell>
          <cell r="B2178" t="str">
            <v>I1739</v>
          </cell>
          <cell r="C2178" t="str">
            <v>SUMINISTRO DE MARCADORES DE CABLES</v>
          </cell>
          <cell r="D2178" t="str">
            <v>Insumo</v>
          </cell>
          <cell r="E2178" t="str">
            <v>UND</v>
          </cell>
          <cell r="F2178">
            <v>196</v>
          </cell>
          <cell r="G2178">
            <v>1045</v>
          </cell>
          <cell r="H2178">
            <v>204820</v>
          </cell>
        </row>
        <row r="2179">
          <cell r="A2179" t="str">
            <v>015.319</v>
          </cell>
          <cell r="B2179" t="str">
            <v>I1780</v>
          </cell>
          <cell r="C2179" t="str">
            <v>SUMINISTRO E INSTALACION PATCH PANEL 48 PUERTOS</v>
          </cell>
          <cell r="D2179" t="str">
            <v>Insumo</v>
          </cell>
          <cell r="E2179" t="str">
            <v>UND</v>
          </cell>
          <cell r="F2179">
            <v>2</v>
          </cell>
          <cell r="G2179">
            <v>2059380</v>
          </cell>
          <cell r="H2179">
            <v>4118760</v>
          </cell>
        </row>
        <row r="2180">
          <cell r="A2180" t="str">
            <v>015.319</v>
          </cell>
          <cell r="B2180" t="str">
            <v>I1780</v>
          </cell>
          <cell r="C2180" t="str">
            <v>SUMINISTRO E INSTALACION PATCH PANEL 24 PUERTOS</v>
          </cell>
          <cell r="D2180" t="str">
            <v>Insumo</v>
          </cell>
          <cell r="E2180" t="str">
            <v>UND</v>
          </cell>
          <cell r="F2180">
            <v>1</v>
          </cell>
          <cell r="G2180">
            <v>1235628</v>
          </cell>
          <cell r="H2180">
            <v>1235628</v>
          </cell>
        </row>
        <row r="2181">
          <cell r="A2181" t="str">
            <v>015.319</v>
          </cell>
          <cell r="B2181" t="str">
            <v>I1780</v>
          </cell>
          <cell r="C2181" t="str">
            <v>CONVERTIDOR DE MEDIOS (Fibra Gigabit Ethernet - UTP a 1000)</v>
          </cell>
          <cell r="D2181" t="str">
            <v>Insumo</v>
          </cell>
          <cell r="E2181" t="str">
            <v>UND</v>
          </cell>
          <cell r="F2181">
            <v>1</v>
          </cell>
          <cell r="G2181">
            <v>1899700</v>
          </cell>
          <cell r="H2181">
            <v>1899700</v>
          </cell>
        </row>
        <row r="2182">
          <cell r="A2182" t="str">
            <v>015.319</v>
          </cell>
          <cell r="B2182" t="str">
            <v>I1782</v>
          </cell>
          <cell r="C2182" t="str">
            <v>SUMINISTRO E INSTALACION PLANTA TELEFONICA 24 SALIDAS 8 ENTRADAS</v>
          </cell>
          <cell r="D2182" t="str">
            <v>Insumo</v>
          </cell>
          <cell r="E2182" t="str">
            <v>UND</v>
          </cell>
          <cell r="F2182">
            <v>1</v>
          </cell>
          <cell r="G2182">
            <v>2574344</v>
          </cell>
          <cell r="H2182">
            <v>2574344</v>
          </cell>
        </row>
        <row r="2183">
          <cell r="A2183" t="str">
            <v>015.319</v>
          </cell>
          <cell r="B2183" t="str">
            <v>I1785</v>
          </cell>
          <cell r="C2183" t="str">
            <v>SUMINISTRO DE SWITCH DE 48 PUERTOS</v>
          </cell>
          <cell r="D2183" t="str">
            <v>Insumo</v>
          </cell>
          <cell r="E2183" t="str">
            <v>UND</v>
          </cell>
          <cell r="F2183">
            <v>1</v>
          </cell>
          <cell r="G2183">
            <v>4083106</v>
          </cell>
          <cell r="H2183">
            <v>4083106</v>
          </cell>
        </row>
        <row r="2184">
          <cell r="A2184" t="str">
            <v>015.319</v>
          </cell>
          <cell r="B2184" t="str">
            <v>I1785</v>
          </cell>
          <cell r="C2184" t="str">
            <v>SUMINISTRO DE SWITCH DE 24 PUERTOS</v>
          </cell>
          <cell r="D2184" t="str">
            <v>Insumo</v>
          </cell>
          <cell r="E2184" t="str">
            <v>UND</v>
          </cell>
          <cell r="F2184">
            <v>1</v>
          </cell>
          <cell r="G2184">
            <v>2333203</v>
          </cell>
          <cell r="H2184">
            <v>2333203</v>
          </cell>
        </row>
        <row r="2185">
          <cell r="A2185" t="str">
            <v>015.319</v>
          </cell>
          <cell r="B2185" t="str">
            <v>I1784</v>
          </cell>
          <cell r="C2185" t="str">
            <v>PATCH CORD RJ45 CAT 6A</v>
          </cell>
          <cell r="D2185" t="str">
            <v>Insumo</v>
          </cell>
          <cell r="E2185" t="str">
            <v>UND</v>
          </cell>
          <cell r="F2185">
            <v>196</v>
          </cell>
          <cell r="G2185">
            <v>42160</v>
          </cell>
          <cell r="H2185">
            <v>8263360</v>
          </cell>
        </row>
        <row r="2187">
          <cell r="A2187" t="str">
            <v>015.320</v>
          </cell>
          <cell r="B2187" t="str">
            <v>-</v>
          </cell>
          <cell r="C2187" t="str">
            <v>SUMINISTRO, TRANSPORTE E INSTALACION EN POSTE, DE TRANSFORMADOR TRIFÁSICO EN ESTRUCTURA TIPO H, CIRCUITO PRIMARIO SENCILLO. No incluye postes, ni componentes estructura red primaria.</v>
          </cell>
          <cell r="D2187" t="str">
            <v>Actividad</v>
          </cell>
          <cell r="E2187" t="str">
            <v>UND</v>
          </cell>
          <cell r="H2187">
            <v>3278184</v>
          </cell>
        </row>
        <row r="2188">
          <cell r="A2188" t="str">
            <v>015.320</v>
          </cell>
          <cell r="B2188" t="str">
            <v>C35</v>
          </cell>
          <cell r="C2188" t="str">
            <v>CUADRILLA GG TIPO 5 (1 OFICIAL + 5 AYUDANTE) (Alumbrado Publico)</v>
          </cell>
          <cell r="D2188" t="str">
            <v>Cuadrilla</v>
          </cell>
          <cell r="E2188" t="str">
            <v>HR</v>
          </cell>
          <cell r="F2188">
            <v>3.4</v>
          </cell>
          <cell r="G2188">
            <v>87719</v>
          </cell>
          <cell r="H2188">
            <v>298245</v>
          </cell>
        </row>
        <row r="2189">
          <cell r="A2189" t="str">
            <v>015.320</v>
          </cell>
          <cell r="B2189" t="str">
            <v>E12</v>
          </cell>
          <cell r="C2189" t="str">
            <v>EQUIPO DE TRANSPORTE</v>
          </cell>
          <cell r="D2189" t="str">
            <v>Equipos</v>
          </cell>
          <cell r="E2189" t="str">
            <v>DIA</v>
          </cell>
          <cell r="F2189">
            <v>0.41870000000000002</v>
          </cell>
          <cell r="G2189">
            <v>131205</v>
          </cell>
          <cell r="H2189">
            <v>54936</v>
          </cell>
        </row>
        <row r="2190">
          <cell r="A2190" t="str">
            <v>015.320</v>
          </cell>
          <cell r="B2190" t="str">
            <v>H2</v>
          </cell>
          <cell r="C2190" t="str">
            <v>EQUIPO BASICO (HERRAMIENTA MENOR)</v>
          </cell>
          <cell r="D2190" t="str">
            <v>Herramienta</v>
          </cell>
          <cell r="E2190" t="str">
            <v>UND</v>
          </cell>
          <cell r="F2190">
            <v>10</v>
          </cell>
          <cell r="G2190">
            <v>2536</v>
          </cell>
          <cell r="H2190">
            <v>25360</v>
          </cell>
        </row>
        <row r="2191">
          <cell r="A2191" t="str">
            <v>015.320</v>
          </cell>
          <cell r="B2191" t="str">
            <v>I1105</v>
          </cell>
          <cell r="C2191" t="str">
            <v>ABRAZADERA EN  U TIPO 2</v>
          </cell>
          <cell r="D2191" t="str">
            <v>Insumo</v>
          </cell>
          <cell r="E2191" t="str">
            <v>UND</v>
          </cell>
          <cell r="F2191">
            <v>2</v>
          </cell>
          <cell r="G2191">
            <v>18751</v>
          </cell>
          <cell r="H2191">
            <v>37502</v>
          </cell>
        </row>
        <row r="2192">
          <cell r="A2192" t="str">
            <v>015.320</v>
          </cell>
          <cell r="B2192" t="str">
            <v>I1143</v>
          </cell>
          <cell r="C2192" t="str">
            <v>ALAMBRE COBRE DESNUDO Nº 4 AWG</v>
          </cell>
          <cell r="D2192" t="str">
            <v>Insumo</v>
          </cell>
          <cell r="E2192" t="str">
            <v>M</v>
          </cell>
          <cell r="F2192">
            <v>20</v>
          </cell>
          <cell r="G2192">
            <v>11748</v>
          </cell>
          <cell r="H2192">
            <v>234960</v>
          </cell>
        </row>
        <row r="2193">
          <cell r="A2193" t="str">
            <v>015.320</v>
          </cell>
          <cell r="B2193" t="str">
            <v>I1168</v>
          </cell>
          <cell r="C2193" t="str">
            <v>BORNA DE PONCHAR ESTAÑO DE DOS HUECOS Nº 4/0</v>
          </cell>
          <cell r="D2193" t="str">
            <v>Insumo</v>
          </cell>
          <cell r="E2193" t="str">
            <v>UND</v>
          </cell>
          <cell r="F2193">
            <v>8</v>
          </cell>
          <cell r="G2193">
            <v>8244</v>
          </cell>
          <cell r="H2193">
            <v>65952</v>
          </cell>
        </row>
        <row r="2194">
          <cell r="A2194" t="str">
            <v>015.320</v>
          </cell>
          <cell r="B2194" t="str">
            <v>I1182</v>
          </cell>
          <cell r="C2194" t="str">
            <v xml:space="preserve">CABLE DE COBRE DESNUDO Nº 4 AWG </v>
          </cell>
          <cell r="D2194" t="str">
            <v>Insumo</v>
          </cell>
          <cell r="E2194" t="str">
            <v>M</v>
          </cell>
          <cell r="F2194">
            <v>12</v>
          </cell>
          <cell r="G2194">
            <v>10169</v>
          </cell>
          <cell r="H2194">
            <v>122028</v>
          </cell>
        </row>
        <row r="2195">
          <cell r="A2195" t="str">
            <v>015.320</v>
          </cell>
          <cell r="B2195" t="str">
            <v>I1204</v>
          </cell>
          <cell r="C2195" t="str">
            <v>CABLE SUPER GX DE 9,53 MM (3/8") GALVANIZADO O CABLE PARA RETENIDA DE 3/8 GALVANIZADO</v>
          </cell>
          <cell r="D2195" t="str">
            <v>Insumo</v>
          </cell>
          <cell r="E2195" t="str">
            <v>M</v>
          </cell>
          <cell r="F2195">
            <v>6</v>
          </cell>
          <cell r="G2195">
            <v>3409</v>
          </cell>
          <cell r="H2195">
            <v>20454</v>
          </cell>
        </row>
        <row r="2196">
          <cell r="A2196" t="str">
            <v>015.320</v>
          </cell>
          <cell r="B2196" t="str">
            <v>I1213</v>
          </cell>
          <cell r="C2196" t="str">
            <v xml:space="preserve">CINTA DE ACERO INOXIDABLE 5/8" </v>
          </cell>
          <cell r="D2196" t="str">
            <v>Insumo</v>
          </cell>
          <cell r="E2196" t="str">
            <v>M</v>
          </cell>
          <cell r="F2196">
            <v>7</v>
          </cell>
          <cell r="G2196">
            <v>4899</v>
          </cell>
          <cell r="H2196">
            <v>34293</v>
          </cell>
        </row>
        <row r="2197">
          <cell r="A2197" t="str">
            <v>015.320</v>
          </cell>
          <cell r="B2197" t="str">
            <v>I1222</v>
          </cell>
          <cell r="C2197" t="str">
            <v>CLAVIJA RECTA PARA TOMA INDUSTRIAL 3P+T 250V/16A IP44. MARCA LEGRAND</v>
          </cell>
          <cell r="D2197" t="str">
            <v>Insumo</v>
          </cell>
          <cell r="E2197" t="str">
            <v>UND</v>
          </cell>
          <cell r="F2197">
            <v>2</v>
          </cell>
          <cell r="G2197">
            <v>43592</v>
          </cell>
          <cell r="H2197">
            <v>87184</v>
          </cell>
        </row>
        <row r="2198">
          <cell r="A2198" t="str">
            <v>015.320</v>
          </cell>
          <cell r="B2198" t="str">
            <v>I1229</v>
          </cell>
          <cell r="C2198" t="str">
            <v>CONECTOR DE TORNILLO CON CHAQUETA AISLANTE</v>
          </cell>
          <cell r="D2198" t="str">
            <v>Insumo</v>
          </cell>
          <cell r="E2198" t="str">
            <v>UND</v>
          </cell>
          <cell r="F2198">
            <v>2</v>
          </cell>
          <cell r="G2198">
            <v>12433</v>
          </cell>
          <cell r="H2198">
            <v>24866</v>
          </cell>
        </row>
        <row r="2199">
          <cell r="A2199" t="str">
            <v>015.320</v>
          </cell>
          <cell r="B2199" t="str">
            <v>I1230</v>
          </cell>
          <cell r="C2199" t="str">
            <v>CONECTOR PARA VARILLA 5/8"</v>
          </cell>
          <cell r="D2199" t="str">
            <v>Insumo</v>
          </cell>
          <cell r="E2199" t="str">
            <v>UND</v>
          </cell>
          <cell r="F2199">
            <v>2</v>
          </cell>
          <cell r="G2199">
            <v>5821</v>
          </cell>
          <cell r="H2199">
            <v>11642</v>
          </cell>
        </row>
        <row r="2200">
          <cell r="A2200" t="str">
            <v>015.320</v>
          </cell>
          <cell r="B2200" t="str">
            <v>I1234</v>
          </cell>
          <cell r="C2200" t="str">
            <v>CORTACIRCUITOS 15 KV-100 A</v>
          </cell>
          <cell r="D2200" t="str">
            <v>Insumo</v>
          </cell>
          <cell r="E2200" t="str">
            <v>UND</v>
          </cell>
          <cell r="F2200">
            <v>3</v>
          </cell>
          <cell r="G2200">
            <v>188582</v>
          </cell>
          <cell r="H2200">
            <v>565746</v>
          </cell>
        </row>
        <row r="2201">
          <cell r="A2201" t="str">
            <v>015.320</v>
          </cell>
          <cell r="B2201" t="str">
            <v>I1242</v>
          </cell>
          <cell r="C2201" t="str">
            <v>CRUCETA METÁLICA DE ÁNGULO GALVANIZADO DE  2 ½" X 3/16" X 2,5 M</v>
          </cell>
          <cell r="D2201" t="str">
            <v>Insumo</v>
          </cell>
          <cell r="E2201" t="str">
            <v>HR</v>
          </cell>
          <cell r="F2201">
            <v>1</v>
          </cell>
          <cell r="G2201">
            <v>93843</v>
          </cell>
          <cell r="H2201">
            <v>93843</v>
          </cell>
        </row>
        <row r="2202">
          <cell r="A2202" t="str">
            <v>015.320</v>
          </cell>
          <cell r="B2202" t="str">
            <v>I1243</v>
          </cell>
          <cell r="C2202" t="str">
            <v>CRUCETA METALICA DE ANGULO GALVANIZADO DE 2 ½" X 1/4 "X  2,5 M</v>
          </cell>
          <cell r="D2202" t="str">
            <v>Insumo</v>
          </cell>
          <cell r="E2202" t="str">
            <v>UND</v>
          </cell>
          <cell r="F2202">
            <v>2</v>
          </cell>
          <cell r="G2202">
            <v>99307</v>
          </cell>
          <cell r="H2202">
            <v>198614</v>
          </cell>
        </row>
        <row r="2203">
          <cell r="A2203" t="str">
            <v>015.320</v>
          </cell>
          <cell r="B2203" t="str">
            <v>I1254</v>
          </cell>
          <cell r="C2203" t="str">
            <v>DESCARGADOR DE SOBRETENSION DE LINEA 10KV- 10KA- POLIMERICO, OXIDO DE ZINC</v>
          </cell>
          <cell r="D2203" t="str">
            <v>Insumo</v>
          </cell>
          <cell r="E2203" t="str">
            <v>UND</v>
          </cell>
          <cell r="F2203">
            <v>3</v>
          </cell>
          <cell r="G2203">
            <v>113856</v>
          </cell>
          <cell r="H2203">
            <v>341568</v>
          </cell>
        </row>
        <row r="2204">
          <cell r="A2204" t="str">
            <v>015.320</v>
          </cell>
          <cell r="B2204" t="str">
            <v>I1259</v>
          </cell>
          <cell r="C2204" t="str">
            <v>ESPARRAGO 5/8" X 20". INCLUYE 2 TUERCAS, 2 ARANDELAS.</v>
          </cell>
          <cell r="D2204" t="str">
            <v>Insumo</v>
          </cell>
          <cell r="E2204" t="str">
            <v>UND</v>
          </cell>
          <cell r="F2204">
            <v>6</v>
          </cell>
          <cell r="G2204">
            <v>8011</v>
          </cell>
          <cell r="H2204">
            <v>48066</v>
          </cell>
        </row>
        <row r="2205">
          <cell r="A2205" t="str">
            <v>015.320</v>
          </cell>
          <cell r="B2205" t="str">
            <v>I1263</v>
          </cell>
          <cell r="C2205" t="str">
            <v>ESTRIBO 2 AWG CON CONECTOR CUÑA 4/0 AWG</v>
          </cell>
          <cell r="D2205" t="str">
            <v>Insumo</v>
          </cell>
          <cell r="E2205" t="str">
            <v>UND</v>
          </cell>
          <cell r="F2205">
            <v>3</v>
          </cell>
          <cell r="G2205">
            <v>37066</v>
          </cell>
          <cell r="H2205">
            <v>111198</v>
          </cell>
        </row>
        <row r="2206">
          <cell r="A2206" t="str">
            <v>015.320</v>
          </cell>
          <cell r="B2206" t="str">
            <v>I1264</v>
          </cell>
          <cell r="C2206" t="str">
            <v>GRAPA DE OPERAR EN CALIENTE</v>
          </cell>
          <cell r="D2206" t="str">
            <v>Insumo</v>
          </cell>
          <cell r="E2206" t="str">
            <v>UND</v>
          </cell>
          <cell r="F2206">
            <v>3</v>
          </cell>
          <cell r="G2206">
            <v>36146</v>
          </cell>
          <cell r="H2206">
            <v>108438</v>
          </cell>
        </row>
        <row r="2207">
          <cell r="A2207" t="str">
            <v>015.320</v>
          </cell>
          <cell r="B2207" t="str">
            <v>I1270</v>
          </cell>
          <cell r="C2207" t="str">
            <v>GRAPA TIPO GRILLETE</v>
          </cell>
          <cell r="D2207" t="str">
            <v>Insumo</v>
          </cell>
          <cell r="E2207" t="str">
            <v>UND</v>
          </cell>
          <cell r="F2207">
            <v>6</v>
          </cell>
          <cell r="G2207">
            <v>22950</v>
          </cell>
          <cell r="H2207">
            <v>137700</v>
          </cell>
        </row>
        <row r="2208">
          <cell r="A2208" t="str">
            <v>015.320</v>
          </cell>
          <cell r="B2208" t="str">
            <v>I1273</v>
          </cell>
          <cell r="C2208" t="str">
            <v>HEBILLA DE ACERO INOXIDABLE 5/8"</v>
          </cell>
          <cell r="D2208" t="str">
            <v>Insumo</v>
          </cell>
          <cell r="E2208" t="str">
            <v>UND</v>
          </cell>
          <cell r="F2208">
            <v>7</v>
          </cell>
          <cell r="G2208">
            <v>1064</v>
          </cell>
          <cell r="H2208">
            <v>7448</v>
          </cell>
        </row>
        <row r="2209">
          <cell r="A2209" t="str">
            <v>015.320</v>
          </cell>
          <cell r="B2209" t="str">
            <v>I1422</v>
          </cell>
          <cell r="C2209" t="str">
            <v>TENSOR</v>
          </cell>
          <cell r="D2209" t="str">
            <v>Insumo</v>
          </cell>
          <cell r="E2209" t="str">
            <v>UND</v>
          </cell>
          <cell r="F2209">
            <v>1</v>
          </cell>
          <cell r="G2209">
            <v>2117</v>
          </cell>
          <cell r="H2209">
            <v>2117</v>
          </cell>
        </row>
        <row r="2210">
          <cell r="A2210" t="str">
            <v>015.320</v>
          </cell>
          <cell r="B2210" t="str">
            <v>I1437</v>
          </cell>
          <cell r="C2210" t="str">
            <v>TOMA INDUSTRIAL DE SOBREPONER 3P+T 250V/16A IP44. MARCA LEGRAND</v>
          </cell>
          <cell r="D2210" t="str">
            <v>Insumo</v>
          </cell>
          <cell r="E2210" t="str">
            <v>UND</v>
          </cell>
          <cell r="F2210">
            <v>2</v>
          </cell>
          <cell r="G2210">
            <v>70216</v>
          </cell>
          <cell r="H2210">
            <v>140432</v>
          </cell>
        </row>
        <row r="2211">
          <cell r="A2211" t="str">
            <v>015.320</v>
          </cell>
          <cell r="B2211" t="str">
            <v>I1448</v>
          </cell>
          <cell r="C2211" t="str">
            <v>TORNILLO DE BRONCE PARA BORNA TERMINAL</v>
          </cell>
          <cell r="D2211" t="str">
            <v>Insumo</v>
          </cell>
          <cell r="E2211" t="str">
            <v>UND</v>
          </cell>
          <cell r="F2211">
            <v>8</v>
          </cell>
          <cell r="G2211">
            <v>17212</v>
          </cell>
          <cell r="H2211">
            <v>137696</v>
          </cell>
        </row>
        <row r="2212">
          <cell r="A2212" t="str">
            <v>015.320</v>
          </cell>
          <cell r="B2212" t="str">
            <v>I1464</v>
          </cell>
          <cell r="C2212" t="str">
            <v xml:space="preserve">TUBO CONDUIT IMC 1/2" </v>
          </cell>
          <cell r="D2212" t="str">
            <v>Insumo</v>
          </cell>
          <cell r="E2212" t="str">
            <v>M</v>
          </cell>
          <cell r="F2212">
            <v>3</v>
          </cell>
          <cell r="G2212">
            <v>11538</v>
          </cell>
          <cell r="H2212">
            <v>34614</v>
          </cell>
        </row>
        <row r="2213">
          <cell r="A2213" t="str">
            <v>015.320</v>
          </cell>
          <cell r="B2213" t="str">
            <v>I1484</v>
          </cell>
          <cell r="C2213" t="str">
            <v>VARILLA COPPERWELD DE  5/8 X 2,40</v>
          </cell>
          <cell r="D2213" t="str">
            <v>Insumo</v>
          </cell>
          <cell r="E2213" t="str">
            <v>UND</v>
          </cell>
          <cell r="F2213">
            <v>2</v>
          </cell>
          <cell r="G2213">
            <v>140632</v>
          </cell>
          <cell r="H2213">
            <v>281264</v>
          </cell>
        </row>
        <row r="2214">
          <cell r="A2214" t="str">
            <v>015.320</v>
          </cell>
          <cell r="B2214" t="str">
            <v>I1565</v>
          </cell>
          <cell r="C2214" t="str">
            <v>ACARREO INTERNO</v>
          </cell>
          <cell r="D2214" t="str">
            <v>Insumo</v>
          </cell>
          <cell r="E2214" t="str">
            <v>UND</v>
          </cell>
          <cell r="F2214">
            <v>39.200000000000003</v>
          </cell>
          <cell r="G2214">
            <v>1327</v>
          </cell>
          <cell r="H2214">
            <v>52018</v>
          </cell>
        </row>
        <row r="2216">
          <cell r="A2216" t="str">
            <v>015.321</v>
          </cell>
          <cell r="B2216" t="str">
            <v>-</v>
          </cell>
          <cell r="C2216" t="str">
            <v xml:space="preserve">SUMINISTRO, TRANSPORTE E INSTALACION RETENIDA TERMINAL O EN ANGULO. POSTE A VARILLA DE ANCLAJE. </v>
          </cell>
          <cell r="D2216" t="str">
            <v>Actividad</v>
          </cell>
          <cell r="E2216" t="str">
            <v>UND</v>
          </cell>
          <cell r="H2216">
            <v>402392</v>
          </cell>
        </row>
        <row r="2217">
          <cell r="A2217" t="str">
            <v>015.321</v>
          </cell>
          <cell r="B2217" t="str">
            <v>C35</v>
          </cell>
          <cell r="C2217" t="str">
            <v>CUADRILLA GG TIPO 5 (1 OFICIAL + 5 AYUDANTE) (Alumbrado Publico)</v>
          </cell>
          <cell r="D2217" t="str">
            <v>Cuadrilla</v>
          </cell>
          <cell r="E2217" t="str">
            <v>HR</v>
          </cell>
          <cell r="F2217">
            <v>1.7</v>
          </cell>
          <cell r="G2217">
            <v>87719</v>
          </cell>
          <cell r="H2217">
            <v>149122</v>
          </cell>
        </row>
        <row r="2218">
          <cell r="A2218" t="str">
            <v>015.321</v>
          </cell>
          <cell r="B2218" t="str">
            <v>E12</v>
          </cell>
          <cell r="C2218" t="str">
            <v>EQUIPO DE TRANSPORTE</v>
          </cell>
          <cell r="D2218" t="str">
            <v>Equipos</v>
          </cell>
          <cell r="E2218" t="str">
            <v>DIA</v>
          </cell>
          <cell r="F2218">
            <v>3.27E-2</v>
          </cell>
          <cell r="G2218">
            <v>131205</v>
          </cell>
          <cell r="H2218">
            <v>4290</v>
          </cell>
        </row>
        <row r="2219">
          <cell r="A2219" t="str">
            <v>015.321</v>
          </cell>
          <cell r="B2219" t="str">
            <v>H2</v>
          </cell>
          <cell r="C2219" t="str">
            <v>EQUIPO BASICO (HERRAMIENTA MENOR)</v>
          </cell>
          <cell r="D2219" t="str">
            <v>Herramienta</v>
          </cell>
          <cell r="E2219" t="str">
            <v>UND</v>
          </cell>
          <cell r="F2219">
            <v>5</v>
          </cell>
          <cell r="G2219">
            <v>2536</v>
          </cell>
          <cell r="H2219">
            <v>12680</v>
          </cell>
        </row>
        <row r="2220">
          <cell r="A2220" t="str">
            <v>015.321</v>
          </cell>
          <cell r="B2220" t="str">
            <v>I1109</v>
          </cell>
          <cell r="C2220" t="str">
            <v xml:space="preserve">ABRAZADERA SIN SALIDA TIPO 2 </v>
          </cell>
          <cell r="D2220" t="str">
            <v>Insumo</v>
          </cell>
          <cell r="E2220" t="str">
            <v>UND</v>
          </cell>
          <cell r="F2220">
            <v>3</v>
          </cell>
          <cell r="G2220">
            <v>14756</v>
          </cell>
          <cell r="H2220">
            <v>44268</v>
          </cell>
        </row>
        <row r="2221">
          <cell r="A2221" t="str">
            <v>015.321</v>
          </cell>
          <cell r="B2221" t="str">
            <v>I1140</v>
          </cell>
          <cell r="C2221" t="str">
            <v>AISLADOR PORCELANA TIPO TENSOR ANSI 54-2</v>
          </cell>
          <cell r="D2221" t="str">
            <v>Insumo</v>
          </cell>
          <cell r="E2221" t="str">
            <v>UND</v>
          </cell>
          <cell r="F2221">
            <v>1</v>
          </cell>
          <cell r="G2221">
            <v>10234</v>
          </cell>
          <cell r="H2221">
            <v>10234</v>
          </cell>
        </row>
        <row r="2222">
          <cell r="A2222" t="str">
            <v>015.321</v>
          </cell>
          <cell r="B2222" t="str">
            <v>I1204</v>
          </cell>
          <cell r="C2222" t="str">
            <v>CABLE SUPER GX DE 9,53 MM (3/8") GALVANIZADO O CABLE PARA RETENIDA DE 3/8 GALVANIZADO</v>
          </cell>
          <cell r="D2222" t="str">
            <v>Insumo</v>
          </cell>
          <cell r="E2222" t="str">
            <v>M</v>
          </cell>
          <cell r="F2222">
            <v>20</v>
          </cell>
          <cell r="G2222">
            <v>3409</v>
          </cell>
          <cell r="H2222">
            <v>68180</v>
          </cell>
        </row>
        <row r="2223">
          <cell r="A2223" t="str">
            <v>015.321</v>
          </cell>
          <cell r="B2223" t="str">
            <v>I1268</v>
          </cell>
          <cell r="C2223" t="str">
            <v xml:space="preserve">GRAPA PRENSADORA DE TRES TORNILLOS </v>
          </cell>
          <cell r="D2223" t="str">
            <v>Insumo</v>
          </cell>
          <cell r="E2223" t="str">
            <v>UND</v>
          </cell>
          <cell r="F2223">
            <v>4</v>
          </cell>
          <cell r="G2223">
            <v>10522</v>
          </cell>
          <cell r="H2223">
            <v>42088</v>
          </cell>
        </row>
        <row r="2224">
          <cell r="A2224" t="str">
            <v>015.321</v>
          </cell>
          <cell r="B2224" t="str">
            <v>I1271</v>
          </cell>
          <cell r="C2224" t="str">
            <v>GUARDACABO PARA RETENDIDAS</v>
          </cell>
          <cell r="D2224" t="str">
            <v>Insumo</v>
          </cell>
          <cell r="E2224" t="str">
            <v>UND</v>
          </cell>
          <cell r="F2224">
            <v>1</v>
          </cell>
          <cell r="G2224">
            <v>2079</v>
          </cell>
          <cell r="H2224">
            <v>2079</v>
          </cell>
        </row>
        <row r="2225">
          <cell r="A2225" t="str">
            <v>015.321</v>
          </cell>
          <cell r="B2225" t="str">
            <v>I1485</v>
          </cell>
          <cell r="C2225" t="str">
            <v>VARILLA DE ANCLAJE DE 3/4 X 180 CM</v>
          </cell>
          <cell r="D2225" t="str">
            <v>Insumo</v>
          </cell>
          <cell r="E2225" t="str">
            <v>UND</v>
          </cell>
          <cell r="F2225">
            <v>1</v>
          </cell>
          <cell r="G2225">
            <v>37737</v>
          </cell>
          <cell r="H2225">
            <v>37737</v>
          </cell>
        </row>
        <row r="2226">
          <cell r="A2226" t="str">
            <v>015.321</v>
          </cell>
          <cell r="B2226" t="str">
            <v>I1488</v>
          </cell>
          <cell r="C2226" t="str">
            <v xml:space="preserve">VIGUETA DE ANCLAJE </v>
          </cell>
          <cell r="D2226" t="str">
            <v>Insumo</v>
          </cell>
          <cell r="E2226" t="str">
            <v>UND</v>
          </cell>
          <cell r="F2226">
            <v>1</v>
          </cell>
          <cell r="G2226">
            <v>17595</v>
          </cell>
          <cell r="H2226">
            <v>17595</v>
          </cell>
        </row>
        <row r="2227">
          <cell r="A2227" t="str">
            <v>015.321</v>
          </cell>
          <cell r="B2227" t="str">
            <v>I1565</v>
          </cell>
          <cell r="C2227" t="str">
            <v>ACARREO INTERNO</v>
          </cell>
          <cell r="D2227" t="str">
            <v>Insumo</v>
          </cell>
          <cell r="E2227" t="str">
            <v>UND</v>
          </cell>
          <cell r="F2227">
            <v>10.64</v>
          </cell>
          <cell r="G2227">
            <v>1327</v>
          </cell>
          <cell r="H2227">
            <v>14119</v>
          </cell>
        </row>
        <row r="2229">
          <cell r="A2229" t="str">
            <v>011.009</v>
          </cell>
          <cell r="B2229" t="str">
            <v>-</v>
          </cell>
          <cell r="C2229" t="str">
            <v>SUMINISTRO, TRANSPORTE E INSTALACIÓN DE CIELO RASO EN LÁMINAS DE PVC. INCLUYE ESTRUCTURA METÁLICA Y PERIMETRALES. TEXTURA SEGÚN DISEÑO</v>
          </cell>
          <cell r="D2229" t="str">
            <v>Actividad</v>
          </cell>
          <cell r="E2229" t="str">
            <v>M2</v>
          </cell>
          <cell r="H2229">
            <v>47657</v>
          </cell>
        </row>
        <row r="2230">
          <cell r="A2230" t="str">
            <v>011.009</v>
          </cell>
          <cell r="B2230" t="str">
            <v>I1923</v>
          </cell>
          <cell r="C2230" t="str">
            <v>SUMINISTRO, TRANSPORTE E INSTALACIÓN A TODO COSTO DE CIELO RASO EN PVC. INCLUYE PERFILERÍA, ANCLAJES Y TODO LO NECESARIO PARA SU CORRECTA INSTALACIÓN</v>
          </cell>
          <cell r="D2230" t="str">
            <v>Insumo</v>
          </cell>
          <cell r="E2230" t="str">
            <v>M2</v>
          </cell>
          <cell r="F2230">
            <v>1</v>
          </cell>
          <cell r="G2230">
            <v>47657</v>
          </cell>
          <cell r="H2230">
            <v>47657</v>
          </cell>
        </row>
        <row r="2237">
          <cell r="A2237" t="str">
            <v>009</v>
          </cell>
          <cell r="C2237" t="str">
            <v xml:space="preserve">ASCENSOR Y ACABADOS DE EDIFICIO Y GRADERIAS </v>
          </cell>
          <cell r="D2237" t="str">
            <v>Capitulo</v>
          </cell>
        </row>
        <row r="2240">
          <cell r="A2240" t="str">
            <v>015.008B</v>
          </cell>
          <cell r="B2240" t="str">
            <v>-</v>
          </cell>
          <cell r="C2240" t="str">
            <v>SUMINISTRO, TRANSPORTE E INSTALACION PISO GOMA NEGRO SPORTFLEX</v>
          </cell>
          <cell r="D2240" t="str">
            <v>Actividad</v>
          </cell>
          <cell r="E2240" t="str">
            <v>M2</v>
          </cell>
          <cell r="H2240">
            <v>104311</v>
          </cell>
        </row>
        <row r="2241">
          <cell r="A2241" t="str">
            <v>015.008B</v>
          </cell>
          <cell r="B2241" t="str">
            <v>C1</v>
          </cell>
          <cell r="C2241" t="str">
            <v>CUADRILLA AA TIPO 1 (1 OFICIAL + 1 AYUDANTE) (Albañileria)</v>
          </cell>
          <cell r="D2241" t="str">
            <v>Cuadrilla</v>
          </cell>
          <cell r="E2241" t="str">
            <v>HR</v>
          </cell>
          <cell r="F2241">
            <v>0.66</v>
          </cell>
          <cell r="G2241">
            <v>16712</v>
          </cell>
          <cell r="H2241">
            <v>11030</v>
          </cell>
        </row>
        <row r="2242">
          <cell r="A2242" t="str">
            <v>015.008B</v>
          </cell>
          <cell r="B2242" t="str">
            <v>E12</v>
          </cell>
          <cell r="C2242" t="str">
            <v>EQUIPO DE TRANSPORTE</v>
          </cell>
          <cell r="D2242" t="str">
            <v>Equipos</v>
          </cell>
          <cell r="E2242" t="str">
            <v>DIA</v>
          </cell>
          <cell r="F2242">
            <v>5.4999999999999997E-3</v>
          </cell>
          <cell r="G2242">
            <v>131205</v>
          </cell>
          <cell r="H2242">
            <v>722</v>
          </cell>
        </row>
        <row r="2243">
          <cell r="A2243" t="str">
            <v>015.008B</v>
          </cell>
          <cell r="B2243" t="str">
            <v>H2</v>
          </cell>
          <cell r="C2243" t="str">
            <v>PISO GOMA NEGRO SPORTFLEX</v>
          </cell>
          <cell r="D2243" t="str">
            <v>Insumo</v>
          </cell>
          <cell r="E2243" t="str">
            <v>M2</v>
          </cell>
          <cell r="F2243">
            <v>1</v>
          </cell>
          <cell r="G2243">
            <v>91630</v>
          </cell>
          <cell r="H2243">
            <v>91630</v>
          </cell>
        </row>
        <row r="2244">
          <cell r="A2244" t="str">
            <v>015.008B</v>
          </cell>
          <cell r="B2244" t="str">
            <v>I1565</v>
          </cell>
          <cell r="C2244" t="str">
            <v>ACARREO INTERNO</v>
          </cell>
          <cell r="D2244" t="str">
            <v>Insumo</v>
          </cell>
          <cell r="E2244" t="str">
            <v>UND</v>
          </cell>
          <cell r="F2244">
            <v>0.7</v>
          </cell>
          <cell r="G2244">
            <v>1327</v>
          </cell>
          <cell r="H2244">
            <v>929</v>
          </cell>
        </row>
        <row r="2246">
          <cell r="A2246" t="str">
            <v>012.008</v>
          </cell>
          <cell r="B2246" t="str">
            <v>-</v>
          </cell>
          <cell r="C2246" t="str">
            <v>SUMINISTRO, TRANSPORTE E INSTALACION CERAMICA PISO STONE TIPO ALFA O SIMILAR. COLOR BLANCO O CAFÉ SEGÚN DISEÑO (INCLUYE BOQUILLA.). INCLUYE MORTERO DE PEGA Y/O NIVELACIÓN</v>
          </cell>
          <cell r="D2246" t="str">
            <v>Actividad</v>
          </cell>
          <cell r="E2246" t="str">
            <v>M2</v>
          </cell>
          <cell r="H2246">
            <v>63647</v>
          </cell>
        </row>
        <row r="2247">
          <cell r="A2247" t="str">
            <v>012.008</v>
          </cell>
          <cell r="B2247" t="str">
            <v>AB20</v>
          </cell>
          <cell r="C2247" t="str">
            <v>MORTERO 1:3</v>
          </cell>
          <cell r="D2247" t="str">
            <v>Analisis</v>
          </cell>
          <cell r="E2247" t="str">
            <v>M3</v>
          </cell>
          <cell r="F2247">
            <v>0.03</v>
          </cell>
          <cell r="G2247">
            <v>449080</v>
          </cell>
          <cell r="H2247">
            <v>13472</v>
          </cell>
        </row>
        <row r="2248">
          <cell r="A2248" t="str">
            <v>012.008</v>
          </cell>
          <cell r="B2248" t="str">
            <v>C1</v>
          </cell>
          <cell r="C2248" t="str">
            <v>CUADRILLA AA TIPO 1 (1 OFICIAL + 1 AYUDANTE) (Albañileria)</v>
          </cell>
          <cell r="D2248" t="str">
            <v>Cuadrilla</v>
          </cell>
          <cell r="E2248" t="str">
            <v>HR</v>
          </cell>
          <cell r="F2248">
            <v>0.66</v>
          </cell>
          <cell r="G2248">
            <v>16712</v>
          </cell>
          <cell r="H2248">
            <v>11030</v>
          </cell>
        </row>
        <row r="2249">
          <cell r="A2249" t="str">
            <v>012.008</v>
          </cell>
          <cell r="B2249" t="str">
            <v>E12</v>
          </cell>
          <cell r="C2249" t="str">
            <v>EQUIPO DE TRANSPORTE</v>
          </cell>
          <cell r="D2249" t="str">
            <v>Equipos</v>
          </cell>
          <cell r="E2249" t="str">
            <v>DIA</v>
          </cell>
          <cell r="F2249">
            <v>5.4999999999999997E-3</v>
          </cell>
          <cell r="G2249">
            <v>131205</v>
          </cell>
          <cell r="H2249">
            <v>722</v>
          </cell>
        </row>
        <row r="2250">
          <cell r="A2250" t="str">
            <v>012.008</v>
          </cell>
          <cell r="B2250" t="str">
            <v>H2</v>
          </cell>
          <cell r="C2250" t="str">
            <v>EQUIPO BASICO (HERRAMIENTA MENOR)</v>
          </cell>
          <cell r="D2250" t="str">
            <v>Herramienta</v>
          </cell>
          <cell r="E2250" t="str">
            <v>UND</v>
          </cell>
          <cell r="F2250">
            <v>0.02</v>
          </cell>
          <cell r="G2250">
            <v>2536</v>
          </cell>
          <cell r="H2250">
            <v>51</v>
          </cell>
        </row>
        <row r="2251">
          <cell r="A2251" t="str">
            <v>012.008</v>
          </cell>
          <cell r="B2251" t="str">
            <v>I1043</v>
          </cell>
          <cell r="C2251" t="str">
            <v>BOQUILLA ALFACOLOR 1-3</v>
          </cell>
          <cell r="D2251" t="str">
            <v>Insumo</v>
          </cell>
          <cell r="E2251" t="str">
            <v>KG</v>
          </cell>
          <cell r="F2251">
            <v>0.25</v>
          </cell>
          <cell r="G2251">
            <v>6151</v>
          </cell>
          <cell r="H2251">
            <v>1538</v>
          </cell>
        </row>
        <row r="2252">
          <cell r="A2252" t="str">
            <v>012.008</v>
          </cell>
          <cell r="B2252" t="str">
            <v>I1064</v>
          </cell>
          <cell r="C2252" t="str">
            <v>CERAMICA PISO STONE TIPO ALFA O SIMILAR. COLOR BLANCO O CAFÉ</v>
          </cell>
          <cell r="D2252" t="str">
            <v>Insumo</v>
          </cell>
          <cell r="E2252" t="str">
            <v>M2</v>
          </cell>
          <cell r="F2252">
            <v>1.03</v>
          </cell>
          <cell r="G2252">
            <v>27821</v>
          </cell>
          <cell r="H2252">
            <v>28656</v>
          </cell>
        </row>
        <row r="2253">
          <cell r="A2253" t="str">
            <v>012.008</v>
          </cell>
          <cell r="B2253" t="str">
            <v>I1565</v>
          </cell>
          <cell r="C2253" t="str">
            <v>ACARREO INTERNO</v>
          </cell>
          <cell r="D2253" t="str">
            <v>Insumo</v>
          </cell>
          <cell r="E2253" t="str">
            <v>UND</v>
          </cell>
          <cell r="F2253">
            <v>0.7</v>
          </cell>
          <cell r="G2253">
            <v>1327</v>
          </cell>
          <cell r="H2253">
            <v>929</v>
          </cell>
        </row>
        <row r="2254">
          <cell r="A2254" t="str">
            <v>012.008</v>
          </cell>
          <cell r="B2254" t="str">
            <v>I399</v>
          </cell>
          <cell r="C2254" t="str">
            <v>ALFALISTO GRIS O SIMILAR.</v>
          </cell>
          <cell r="D2254" t="str">
            <v>Insumo</v>
          </cell>
          <cell r="E2254" t="str">
            <v>KG</v>
          </cell>
          <cell r="F2254">
            <v>4.5</v>
          </cell>
          <cell r="G2254">
            <v>1605</v>
          </cell>
          <cell r="H2254">
            <v>7223</v>
          </cell>
        </row>
        <row r="2255">
          <cell r="A2255" t="str">
            <v>012.008</v>
          </cell>
          <cell r="B2255" t="str">
            <v>I49</v>
          </cell>
          <cell r="C2255" t="str">
            <v>AGUA LITRO</v>
          </cell>
          <cell r="D2255" t="str">
            <v>Insumo</v>
          </cell>
          <cell r="E2255" t="str">
            <v>LT</v>
          </cell>
          <cell r="F2255">
            <v>1.08</v>
          </cell>
          <cell r="G2255">
            <v>24</v>
          </cell>
          <cell r="H2255">
            <v>26</v>
          </cell>
        </row>
        <row r="2257">
          <cell r="A2257" t="str">
            <v>006.008</v>
          </cell>
          <cell r="B2257" t="str">
            <v>-</v>
          </cell>
          <cell r="C2257" t="str">
            <v>SUMINISTRO, TRANSPORTE E INSTALACION MURO LADRILLO ESTRUCTURAL Portante Prensado Arcilla 29 x 12 x 9 cm. Perforación vertical. ( Incluye  grouting dovelas 2.500 psi.)</v>
          </cell>
          <cell r="D2257" t="str">
            <v>Actividad</v>
          </cell>
          <cell r="E2257" t="str">
            <v>M2</v>
          </cell>
          <cell r="H2257">
            <v>84197</v>
          </cell>
        </row>
        <row r="2258">
          <cell r="A2258" t="str">
            <v>006.008</v>
          </cell>
          <cell r="B2258" t="str">
            <v>AB1</v>
          </cell>
          <cell r="C2258" t="str">
            <v>ACERO 60.000 PSI (INCLUYE ALAMBRE NEGRO Y FIGURACIÓN )</v>
          </cell>
          <cell r="D2258" t="str">
            <v>Analisis</v>
          </cell>
          <cell r="E2258" t="str">
            <v>KG</v>
          </cell>
          <cell r="F2258">
            <v>1</v>
          </cell>
          <cell r="G2258">
            <v>5274</v>
          </cell>
          <cell r="H2258">
            <v>5274</v>
          </cell>
        </row>
        <row r="2259">
          <cell r="A2259" t="str">
            <v>006.008</v>
          </cell>
          <cell r="B2259" t="str">
            <v>AB21</v>
          </cell>
          <cell r="C2259" t="str">
            <v>MORTERO 1:4</v>
          </cell>
          <cell r="D2259" t="str">
            <v>Analisis</v>
          </cell>
          <cell r="E2259" t="str">
            <v>M3</v>
          </cell>
          <cell r="F2259">
            <v>0.02</v>
          </cell>
          <cell r="G2259">
            <v>388939</v>
          </cell>
          <cell r="H2259">
            <v>7779</v>
          </cell>
        </row>
        <row r="2260">
          <cell r="A2260" t="str">
            <v>006.008</v>
          </cell>
          <cell r="B2260" t="str">
            <v>C1</v>
          </cell>
          <cell r="C2260" t="str">
            <v>CUADRILLA AA TIPO 1 (1 OFICIAL + 1 AYUDANTE) (Albañileria)</v>
          </cell>
          <cell r="D2260" t="str">
            <v>Cuadrilla</v>
          </cell>
          <cell r="E2260" t="str">
            <v>HR</v>
          </cell>
          <cell r="F2260">
            <v>0.74</v>
          </cell>
          <cell r="G2260">
            <v>16712</v>
          </cell>
          <cell r="H2260">
            <v>12367</v>
          </cell>
        </row>
        <row r="2261">
          <cell r="A2261" t="str">
            <v>006.008</v>
          </cell>
          <cell r="B2261" t="str">
            <v>E1</v>
          </cell>
          <cell r="C2261" t="str">
            <v>ANDAMIO METALICO CERTIFICADO, INCLUYE ESCALERILLA CON BARANDAS Y PLATAFORMAS DE TRABAJO</v>
          </cell>
          <cell r="D2261" t="str">
            <v>Equipos</v>
          </cell>
          <cell r="E2261" t="str">
            <v>UND</v>
          </cell>
          <cell r="F2261">
            <v>2.5000000000000001E-2</v>
          </cell>
          <cell r="G2261">
            <v>7257</v>
          </cell>
          <cell r="H2261">
            <v>181</v>
          </cell>
        </row>
        <row r="2262">
          <cell r="A2262" t="str">
            <v>006.008</v>
          </cell>
          <cell r="B2262" t="str">
            <v>E12</v>
          </cell>
          <cell r="C2262" t="str">
            <v>EQUIPO DE TRANSPORTE</v>
          </cell>
          <cell r="D2262" t="str">
            <v>Equipos</v>
          </cell>
          <cell r="E2262" t="str">
            <v>DIA</v>
          </cell>
          <cell r="F2262">
            <v>1.0200000000000001E-2</v>
          </cell>
          <cell r="G2262">
            <v>131205</v>
          </cell>
          <cell r="H2262">
            <v>1338</v>
          </cell>
        </row>
        <row r="2263">
          <cell r="A2263" t="str">
            <v>006.008</v>
          </cell>
          <cell r="B2263" t="str">
            <v>E8</v>
          </cell>
          <cell r="C2263" t="str">
            <v xml:space="preserve">CORTADORA INCLUYE DISCO </v>
          </cell>
          <cell r="D2263" t="str">
            <v>Equipos</v>
          </cell>
          <cell r="E2263" t="str">
            <v>DIA</v>
          </cell>
          <cell r="F2263">
            <v>8.0000000000000002E-3</v>
          </cell>
          <cell r="G2263">
            <v>48431</v>
          </cell>
          <cell r="H2263">
            <v>387</v>
          </cell>
        </row>
        <row r="2264">
          <cell r="A2264" t="str">
            <v>006.008</v>
          </cell>
          <cell r="B2264" t="str">
            <v>H2</v>
          </cell>
          <cell r="C2264" t="str">
            <v>EQUIPO BASICO (HERRAMIENTA MENOR)</v>
          </cell>
          <cell r="D2264" t="str">
            <v>Herramienta</v>
          </cell>
          <cell r="E2264" t="str">
            <v>UND</v>
          </cell>
          <cell r="F2264">
            <v>0.1</v>
          </cell>
          <cell r="G2264">
            <v>2536</v>
          </cell>
          <cell r="H2264">
            <v>254</v>
          </cell>
        </row>
        <row r="2265">
          <cell r="A2265" t="str">
            <v>006.008</v>
          </cell>
          <cell r="B2265" t="str">
            <v>I1565</v>
          </cell>
          <cell r="C2265" t="str">
            <v>ACARREO INTERNO</v>
          </cell>
          <cell r="D2265" t="str">
            <v>Insumo</v>
          </cell>
          <cell r="E2265" t="str">
            <v>UND</v>
          </cell>
          <cell r="F2265">
            <v>0.7</v>
          </cell>
          <cell r="G2265">
            <v>1327</v>
          </cell>
          <cell r="H2265">
            <v>929</v>
          </cell>
        </row>
        <row r="2266">
          <cell r="A2266" t="str">
            <v>006.008</v>
          </cell>
          <cell r="B2266" t="str">
            <v>I276</v>
          </cell>
          <cell r="C2266" t="str">
            <v>GROUTING 17.5 MPA</v>
          </cell>
          <cell r="D2266" t="str">
            <v>Insumo</v>
          </cell>
          <cell r="E2266" t="str">
            <v>M3</v>
          </cell>
          <cell r="F2266">
            <v>6.7000000000000002E-3</v>
          </cell>
          <cell r="G2266">
            <v>501848</v>
          </cell>
          <cell r="H2266">
            <v>3362</v>
          </cell>
        </row>
        <row r="2267">
          <cell r="A2267" t="str">
            <v>006.008</v>
          </cell>
          <cell r="B2267" t="str">
            <v>I945</v>
          </cell>
          <cell r="C2267" t="str">
            <v>LADRILLO ESTRUCTURAL PORTANTE PRENSADO 30 X 6 CM. (29 X 12 X 9 CM) ARCILLA TIPO SANTAFÉ O SIMILAR.</v>
          </cell>
          <cell r="D2267" t="str">
            <v>Insumo</v>
          </cell>
          <cell r="E2267" t="str">
            <v>UND</v>
          </cell>
          <cell r="F2267">
            <v>34</v>
          </cell>
          <cell r="G2267">
            <v>1539</v>
          </cell>
          <cell r="H2267">
            <v>52326</v>
          </cell>
        </row>
        <row r="2269">
          <cell r="A2269" t="str">
            <v>013.001</v>
          </cell>
          <cell r="B2269" t="str">
            <v>-</v>
          </cell>
          <cell r="C2269" t="str">
            <v>SUMINISTRO, TRANSPORTE E INSTALACION CERAMICA PARED POMPEI TIPO ALFA O SIMILAR. COLOR CORAL O SHELL SEGÚN DISEÑO (INCLUYE BOQUILLA COLOR Y WIN.). INCLUYE MORTERO DE PEGA Y/O NIVELACIÓN.</v>
          </cell>
          <cell r="D2269" t="str">
            <v>Actividad</v>
          </cell>
          <cell r="E2269" t="str">
            <v>M2</v>
          </cell>
          <cell r="H2269">
            <v>65355</v>
          </cell>
        </row>
        <row r="2270">
          <cell r="A2270" t="str">
            <v>013.001</v>
          </cell>
          <cell r="B2270" t="str">
            <v>AB20</v>
          </cell>
          <cell r="C2270" t="str">
            <v>MORTERO 1:3</v>
          </cell>
          <cell r="D2270" t="str">
            <v>Analisis</v>
          </cell>
          <cell r="E2270" t="str">
            <v>M3</v>
          </cell>
          <cell r="F2270">
            <v>0.03</v>
          </cell>
          <cell r="G2270">
            <v>449080</v>
          </cell>
          <cell r="H2270">
            <v>13472</v>
          </cell>
        </row>
        <row r="2271">
          <cell r="A2271" t="str">
            <v>013.001</v>
          </cell>
          <cell r="B2271" t="str">
            <v>C1</v>
          </cell>
          <cell r="C2271" t="str">
            <v>CUADRILLA AA TIPO 1 (1 OFICIAL + 1 AYUDANTE) (Albañileria)</v>
          </cell>
          <cell r="D2271" t="str">
            <v>Cuadrilla</v>
          </cell>
          <cell r="E2271" t="str">
            <v>HR</v>
          </cell>
          <cell r="F2271">
            <v>0.66</v>
          </cell>
          <cell r="G2271">
            <v>16712</v>
          </cell>
          <cell r="H2271">
            <v>11030</v>
          </cell>
        </row>
        <row r="2272">
          <cell r="A2272" t="str">
            <v>013.001</v>
          </cell>
          <cell r="B2272" t="str">
            <v>E12</v>
          </cell>
          <cell r="C2272" t="str">
            <v>EQUIPO DE TRANSPORTE</v>
          </cell>
          <cell r="D2272" t="str">
            <v>Equipos</v>
          </cell>
          <cell r="E2272" t="str">
            <v>DIA</v>
          </cell>
          <cell r="F2272">
            <v>5.8999999999999999E-3</v>
          </cell>
          <cell r="G2272">
            <v>131205</v>
          </cell>
          <cell r="H2272">
            <v>774</v>
          </cell>
        </row>
        <row r="2273">
          <cell r="A2273" t="str">
            <v>013.001</v>
          </cell>
          <cell r="B2273" t="str">
            <v>H2</v>
          </cell>
          <cell r="C2273" t="str">
            <v>EQUIPO BASICO (HERRAMIENTA MENOR)</v>
          </cell>
          <cell r="D2273" t="str">
            <v>Herramienta</v>
          </cell>
          <cell r="E2273" t="str">
            <v>UND</v>
          </cell>
          <cell r="F2273">
            <v>0.02</v>
          </cell>
          <cell r="G2273">
            <v>2536</v>
          </cell>
          <cell r="H2273">
            <v>51</v>
          </cell>
        </row>
        <row r="2274">
          <cell r="A2274" t="str">
            <v>013.001</v>
          </cell>
          <cell r="B2274" t="str">
            <v>I1043</v>
          </cell>
          <cell r="C2274" t="str">
            <v>BOQUILLA ALFACOLOR 1-3</v>
          </cell>
          <cell r="D2274" t="str">
            <v>Insumo</v>
          </cell>
          <cell r="E2274" t="str">
            <v>KG</v>
          </cell>
          <cell r="F2274">
            <v>0.25</v>
          </cell>
          <cell r="G2274">
            <v>6151</v>
          </cell>
          <cell r="H2274">
            <v>1538</v>
          </cell>
        </row>
        <row r="2275">
          <cell r="A2275" t="str">
            <v>013.001</v>
          </cell>
          <cell r="B2275" t="str">
            <v>I1054</v>
          </cell>
          <cell r="C2275" t="str">
            <v>CERAMICA PARED POMPEI. TIPO ALFA O SIMILAR. COLOR CORAL O SHELL</v>
          </cell>
          <cell r="D2275" t="str">
            <v>Insumo</v>
          </cell>
          <cell r="E2275" t="str">
            <v>M2</v>
          </cell>
          <cell r="F2275">
            <v>1.03</v>
          </cell>
          <cell r="G2275">
            <v>25954</v>
          </cell>
          <cell r="H2275">
            <v>26733</v>
          </cell>
        </row>
        <row r="2276">
          <cell r="A2276" t="str">
            <v>013.001</v>
          </cell>
          <cell r="B2276" t="str">
            <v>I1565</v>
          </cell>
          <cell r="C2276" t="str">
            <v>ACARREO INTERNO</v>
          </cell>
          <cell r="D2276" t="str">
            <v>Insumo</v>
          </cell>
          <cell r="E2276" t="str">
            <v>UND</v>
          </cell>
          <cell r="F2276">
            <v>0.7</v>
          </cell>
          <cell r="G2276">
            <v>1327</v>
          </cell>
          <cell r="H2276">
            <v>929</v>
          </cell>
        </row>
        <row r="2277">
          <cell r="A2277" t="str">
            <v>013.001</v>
          </cell>
          <cell r="B2277" t="str">
            <v>I398</v>
          </cell>
          <cell r="C2277" t="str">
            <v>ALFALISTO BLANCO O SIMILAR</v>
          </cell>
          <cell r="D2277" t="str">
            <v>Insumo</v>
          </cell>
          <cell r="E2277" t="str">
            <v>KG</v>
          </cell>
          <cell r="F2277">
            <v>4.5</v>
          </cell>
          <cell r="G2277">
            <v>2106</v>
          </cell>
          <cell r="H2277">
            <v>9477</v>
          </cell>
        </row>
        <row r="2278">
          <cell r="A2278" t="str">
            <v>013.001</v>
          </cell>
          <cell r="B2278" t="str">
            <v>I440</v>
          </cell>
          <cell r="C2278" t="str">
            <v>WIN PLASTICO</v>
          </cell>
          <cell r="D2278" t="str">
            <v>Insumo</v>
          </cell>
          <cell r="E2278" t="str">
            <v>M</v>
          </cell>
          <cell r="F2278">
            <v>0.33</v>
          </cell>
          <cell r="G2278">
            <v>4016</v>
          </cell>
          <cell r="H2278">
            <v>1325</v>
          </cell>
        </row>
        <row r="2279">
          <cell r="A2279" t="str">
            <v>013.001</v>
          </cell>
          <cell r="B2279" t="str">
            <v>I49</v>
          </cell>
          <cell r="C2279" t="str">
            <v>AGUA LITRO</v>
          </cell>
          <cell r="D2279" t="str">
            <v>Insumo</v>
          </cell>
          <cell r="E2279" t="str">
            <v>LT</v>
          </cell>
          <cell r="F2279">
            <v>1.08</v>
          </cell>
          <cell r="G2279">
            <v>24</v>
          </cell>
          <cell r="H2279">
            <v>26</v>
          </cell>
        </row>
        <row r="2281">
          <cell r="A2281" t="str">
            <v>012.009</v>
          </cell>
          <cell r="B2281" t="str">
            <v>-</v>
          </cell>
          <cell r="C2281" t="str">
            <v>SUMINISTRO, TRANSPORTE E INSTALACION CERAMICA PISO ECOCERAMICA TIPO ALFA O SIMILAR. COLOR BLANCO  (INCLUYE BOQUILLA.). INCLUYE MORTERO DE PEGA Y/O NIVELACIÓN</v>
          </cell>
          <cell r="D2281" t="str">
            <v>Actividad</v>
          </cell>
          <cell r="E2281" t="str">
            <v>M2</v>
          </cell>
          <cell r="H2281">
            <v>50793</v>
          </cell>
        </row>
        <row r="2282">
          <cell r="A2282" t="str">
            <v>012.009</v>
          </cell>
          <cell r="B2282" t="str">
            <v>AB20</v>
          </cell>
          <cell r="C2282" t="str">
            <v>MORTERO 1:3</v>
          </cell>
          <cell r="D2282" t="str">
            <v>Analisis</v>
          </cell>
          <cell r="E2282" t="str">
            <v>M3</v>
          </cell>
          <cell r="F2282">
            <v>0.03</v>
          </cell>
          <cell r="G2282">
            <v>449080</v>
          </cell>
          <cell r="H2282">
            <v>13472</v>
          </cell>
        </row>
        <row r="2283">
          <cell r="A2283" t="str">
            <v>012.009</v>
          </cell>
          <cell r="B2283" t="str">
            <v>C1</v>
          </cell>
          <cell r="C2283" t="str">
            <v>CUADRILLA AA TIPO 1 (1 OFICIAL + 1 AYUDANTE) (Albañileria)</v>
          </cell>
          <cell r="D2283" t="str">
            <v>Cuadrilla</v>
          </cell>
          <cell r="E2283" t="str">
            <v>HR</v>
          </cell>
          <cell r="F2283">
            <v>0.66</v>
          </cell>
          <cell r="G2283">
            <v>16712</v>
          </cell>
          <cell r="H2283">
            <v>11030</v>
          </cell>
        </row>
        <row r="2284">
          <cell r="A2284" t="str">
            <v>012.009</v>
          </cell>
          <cell r="B2284" t="str">
            <v>E12</v>
          </cell>
          <cell r="C2284" t="str">
            <v>EQUIPO DE TRANSPORTE</v>
          </cell>
          <cell r="D2284" t="str">
            <v>Equipos</v>
          </cell>
          <cell r="E2284" t="str">
            <v>DIA</v>
          </cell>
          <cell r="F2284">
            <v>3.7000000000000002E-3</v>
          </cell>
          <cell r="G2284">
            <v>131205</v>
          </cell>
          <cell r="H2284">
            <v>485</v>
          </cell>
        </row>
        <row r="2285">
          <cell r="A2285" t="str">
            <v>012.009</v>
          </cell>
          <cell r="B2285" t="str">
            <v>H2</v>
          </cell>
          <cell r="C2285" t="str">
            <v>EQUIPO BASICO (HERRAMIENTA MENOR)</v>
          </cell>
          <cell r="D2285" t="str">
            <v>Herramienta</v>
          </cell>
          <cell r="E2285" t="str">
            <v>UND</v>
          </cell>
          <cell r="F2285">
            <v>0.02</v>
          </cell>
          <cell r="G2285">
            <v>2536</v>
          </cell>
          <cell r="H2285">
            <v>51</v>
          </cell>
        </row>
        <row r="2286">
          <cell r="A2286" t="str">
            <v>012.009</v>
          </cell>
          <cell r="B2286" t="str">
            <v>I1043</v>
          </cell>
          <cell r="C2286" t="str">
            <v>BOQUILLA ALFACOLOR 1-3</v>
          </cell>
          <cell r="D2286" t="str">
            <v>Insumo</v>
          </cell>
          <cell r="E2286" t="str">
            <v>KG</v>
          </cell>
          <cell r="F2286">
            <v>0.25</v>
          </cell>
          <cell r="G2286">
            <v>6151</v>
          </cell>
          <cell r="H2286">
            <v>1538</v>
          </cell>
        </row>
        <row r="2287">
          <cell r="A2287" t="str">
            <v>012.009</v>
          </cell>
          <cell r="B2287" t="str">
            <v>I1058</v>
          </cell>
          <cell r="C2287" t="str">
            <v>CERAMICA PISO ECOCERÁMICA TIPO ALFA O SIMILAR. COLOR BLANCO</v>
          </cell>
          <cell r="D2287" t="str">
            <v>Insumo</v>
          </cell>
          <cell r="E2287" t="str">
            <v>M2</v>
          </cell>
          <cell r="F2287">
            <v>1.03</v>
          </cell>
          <cell r="G2287">
            <v>17918</v>
          </cell>
          <cell r="H2287">
            <v>18456</v>
          </cell>
        </row>
        <row r="2288">
          <cell r="A2288" t="str">
            <v>012.009</v>
          </cell>
          <cell r="B2288" t="str">
            <v>I1565</v>
          </cell>
          <cell r="C2288" t="str">
            <v>ACARREO INTERNO</v>
          </cell>
          <cell r="D2288" t="str">
            <v>Insumo</v>
          </cell>
          <cell r="E2288" t="str">
            <v>UND</v>
          </cell>
          <cell r="F2288">
            <v>0.7</v>
          </cell>
          <cell r="G2288">
            <v>1327</v>
          </cell>
          <cell r="H2288">
            <v>929</v>
          </cell>
        </row>
        <row r="2289">
          <cell r="A2289" t="str">
            <v>012.009</v>
          </cell>
          <cell r="B2289" t="str">
            <v>I399</v>
          </cell>
          <cell r="C2289" t="str">
            <v>ALFALISTO GRIS O SIMILAR.</v>
          </cell>
          <cell r="D2289" t="str">
            <v>Insumo</v>
          </cell>
          <cell r="E2289" t="str">
            <v>KG</v>
          </cell>
          <cell r="F2289">
            <v>3</v>
          </cell>
          <cell r="G2289">
            <v>1605</v>
          </cell>
          <cell r="H2289">
            <v>4815</v>
          </cell>
        </row>
        <row r="2290">
          <cell r="A2290" t="str">
            <v>012.009</v>
          </cell>
          <cell r="B2290" t="str">
            <v>I49</v>
          </cell>
          <cell r="C2290" t="str">
            <v>AGUA LITRO</v>
          </cell>
          <cell r="D2290" t="str">
            <v>Insumo</v>
          </cell>
          <cell r="E2290" t="str">
            <v>LT</v>
          </cell>
          <cell r="F2290">
            <v>0.72</v>
          </cell>
          <cell r="G2290">
            <v>24</v>
          </cell>
          <cell r="H2290">
            <v>17</v>
          </cell>
        </row>
        <row r="2292">
          <cell r="A2292" t="str">
            <v>032.160</v>
          </cell>
          <cell r="B2292" t="str">
            <v>-</v>
          </cell>
          <cell r="C2292" t="str">
            <v>SUMINISTRO, TRANSPORTE E INSTALACION DE ASCENSOR PARA 3 PARADAS CON CAPACIDAD PARA 9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v>
          </cell>
          <cell r="D2292" t="str">
            <v>Actividad</v>
          </cell>
          <cell r="E2292" t="str">
            <v>UND</v>
          </cell>
          <cell r="H2292">
            <v>69491456</v>
          </cell>
        </row>
        <row r="2293">
          <cell r="A2293" t="str">
            <v>032.160</v>
          </cell>
          <cell r="B2293" t="str">
            <v>I1870</v>
          </cell>
          <cell r="C2293" t="str">
            <v>ASCENSOR EN ESTRUCTURA AUTOPORTANTE CAPACIDAD 9 PERSONAS</v>
          </cell>
          <cell r="D2293" t="str">
            <v>Insumo</v>
          </cell>
          <cell r="E2293" t="str">
            <v>UND</v>
          </cell>
          <cell r="F2293">
            <v>1</v>
          </cell>
          <cell r="G2293">
            <v>69491456</v>
          </cell>
          <cell r="H2293">
            <v>69491456</v>
          </cell>
        </row>
        <row r="2295">
          <cell r="A2295" t="str">
            <v>013.014</v>
          </cell>
          <cell r="B2295" t="str">
            <v>-</v>
          </cell>
          <cell r="C2295" t="str">
            <v>SUMINISTRO, TRANSPORTE E INSTALACION MESON EN MARMOL CAFE PINTA  ANCHO=0.60 M.  INSTALADO CON SOPORTES EN MURO DE LADRILLO FAROL (PANDERETA). INCLUYE, PULIDA Y BRILLADO.</v>
          </cell>
          <cell r="D2295" t="str">
            <v>Actividad</v>
          </cell>
          <cell r="E2295" t="str">
            <v>ML</v>
          </cell>
          <cell r="H2295">
            <v>407653</v>
          </cell>
        </row>
        <row r="2296">
          <cell r="A2296" t="str">
            <v>013.014</v>
          </cell>
          <cell r="B2296" t="str">
            <v>AB21</v>
          </cell>
          <cell r="C2296" t="str">
            <v>MORTERO 1:4</v>
          </cell>
          <cell r="D2296" t="str">
            <v>Analisis</v>
          </cell>
          <cell r="E2296" t="str">
            <v>M3</v>
          </cell>
          <cell r="F2296">
            <v>1.4999999999999999E-2</v>
          </cell>
          <cell r="G2296">
            <v>388939</v>
          </cell>
          <cell r="H2296">
            <v>5834</v>
          </cell>
        </row>
        <row r="2297">
          <cell r="A2297" t="str">
            <v>013.014</v>
          </cell>
          <cell r="B2297" t="str">
            <v>C1</v>
          </cell>
          <cell r="C2297" t="str">
            <v>CUADRILLA AA TIPO 1 (1 OFICIAL + 1 AYUDANTE) (Albañileria)</v>
          </cell>
          <cell r="D2297" t="str">
            <v>Cuadrilla</v>
          </cell>
          <cell r="E2297" t="str">
            <v>HR</v>
          </cell>
          <cell r="F2297">
            <v>2.2000000000000002</v>
          </cell>
          <cell r="G2297">
            <v>16712</v>
          </cell>
          <cell r="H2297">
            <v>36766</v>
          </cell>
        </row>
        <row r="2298">
          <cell r="A2298" t="str">
            <v>013.014</v>
          </cell>
          <cell r="B2298" t="str">
            <v>E12</v>
          </cell>
          <cell r="C2298" t="str">
            <v>EQUIPO DE TRANSPORTE</v>
          </cell>
          <cell r="D2298" t="str">
            <v>Equipos</v>
          </cell>
          <cell r="E2298" t="str">
            <v>DIA</v>
          </cell>
          <cell r="F2298">
            <v>6.7900000000000002E-2</v>
          </cell>
          <cell r="G2298">
            <v>131205</v>
          </cell>
          <cell r="H2298">
            <v>8909</v>
          </cell>
        </row>
        <row r="2299">
          <cell r="A2299" t="str">
            <v>013.014</v>
          </cell>
          <cell r="B2299" t="str">
            <v>H2</v>
          </cell>
          <cell r="C2299" t="str">
            <v>EQUIPO BASICO (HERRAMIENTA MENOR)</v>
          </cell>
          <cell r="D2299" t="str">
            <v>Herramienta</v>
          </cell>
          <cell r="E2299" t="str">
            <v>UND</v>
          </cell>
          <cell r="F2299">
            <v>0.03</v>
          </cell>
          <cell r="G2299">
            <v>2536</v>
          </cell>
          <cell r="H2299">
            <v>76</v>
          </cell>
        </row>
        <row r="2300">
          <cell r="A2300" t="str">
            <v>013.014</v>
          </cell>
          <cell r="B2300" t="str">
            <v>I1065</v>
          </cell>
          <cell r="C2300" t="str">
            <v>MESON EN MARMOL CAFE PINTO A=0.60 M.  SALPICADERO DE H=10 CM. Y BABERO DE H=10 CM.</v>
          </cell>
          <cell r="D2300" t="str">
            <v>Insumo</v>
          </cell>
          <cell r="E2300" t="str">
            <v>M</v>
          </cell>
          <cell r="F2300">
            <v>1</v>
          </cell>
          <cell r="G2300">
            <v>346661</v>
          </cell>
          <cell r="H2300">
            <v>346661</v>
          </cell>
        </row>
        <row r="2301">
          <cell r="A2301" t="str">
            <v>013.014</v>
          </cell>
          <cell r="B2301" t="str">
            <v>I1565</v>
          </cell>
          <cell r="C2301" t="str">
            <v>ACARREO INTERNO</v>
          </cell>
          <cell r="D2301" t="str">
            <v>Insumo</v>
          </cell>
          <cell r="E2301" t="str">
            <v>UND</v>
          </cell>
          <cell r="F2301">
            <v>2.2999999999999998</v>
          </cell>
          <cell r="G2301">
            <v>1327</v>
          </cell>
          <cell r="H2301">
            <v>3052</v>
          </cell>
        </row>
        <row r="2302">
          <cell r="A2302" t="str">
            <v>013.014</v>
          </cell>
          <cell r="B2302" t="str">
            <v>I1628</v>
          </cell>
          <cell r="C2302" t="str">
            <v>LADRILLO FAROL RAYADO DE 0,12X0,20X0,30M</v>
          </cell>
          <cell r="D2302" t="str">
            <v>Insumo</v>
          </cell>
          <cell r="E2302" t="str">
            <v>UND</v>
          </cell>
          <cell r="F2302">
            <v>5</v>
          </cell>
          <cell r="G2302">
            <v>1271</v>
          </cell>
          <cell r="H2302">
            <v>6355</v>
          </cell>
        </row>
        <row r="2304">
          <cell r="A2304" t="str">
            <v>032.125</v>
          </cell>
          <cell r="B2304" t="str">
            <v>-</v>
          </cell>
          <cell r="C2304" t="str">
            <v>SUMINISTRO TRANSPORTE E INSTALACION MESON EN GRANITO NATURAL CRISTAL PULIDO Y BRILLADO, PARA INCRUSTAR LAVAMANOS A=0.60M</v>
          </cell>
          <cell r="D2304" t="str">
            <v>Actividad</v>
          </cell>
          <cell r="E2304" t="str">
            <v>ML</v>
          </cell>
          <cell r="H2304">
            <v>455774</v>
          </cell>
        </row>
        <row r="2305">
          <cell r="A2305" t="str">
            <v>032.125</v>
          </cell>
          <cell r="B2305" t="str">
            <v>C1</v>
          </cell>
          <cell r="C2305" t="str">
            <v>CUADRILLA AA TIPO 1 (1 OFICIAL + 1 AYUDANTE) (Albañileria)</v>
          </cell>
          <cell r="D2305" t="str">
            <v>Cuadrilla</v>
          </cell>
          <cell r="E2305" t="str">
            <v>HR</v>
          </cell>
          <cell r="F2305">
            <v>0.37</v>
          </cell>
          <cell r="G2305">
            <v>16712</v>
          </cell>
          <cell r="H2305">
            <v>6183</v>
          </cell>
        </row>
        <row r="2306">
          <cell r="A2306" t="str">
            <v>032.125</v>
          </cell>
          <cell r="B2306" t="str">
            <v>H2</v>
          </cell>
          <cell r="C2306" t="str">
            <v>EQUIPO BASICO (HERRAMIENTA MENOR)</v>
          </cell>
          <cell r="D2306" t="str">
            <v>Herramienta</v>
          </cell>
          <cell r="E2306" t="str">
            <v>UND</v>
          </cell>
          <cell r="F2306">
            <v>0.15</v>
          </cell>
          <cell r="G2306">
            <v>2536</v>
          </cell>
          <cell r="H2306">
            <v>380</v>
          </cell>
        </row>
        <row r="2307">
          <cell r="A2307" t="str">
            <v>032.125</v>
          </cell>
          <cell r="B2307" t="str">
            <v>I1630</v>
          </cell>
          <cell r="C2307" t="str">
            <v>MESON EN GRANITO NATURAL CRISTAL PULIDO Y BRILLADO</v>
          </cell>
          <cell r="D2307" t="str">
            <v>Insumo</v>
          </cell>
          <cell r="E2307" t="str">
            <v>ML</v>
          </cell>
          <cell r="F2307">
            <v>1</v>
          </cell>
          <cell r="G2307">
            <v>449211</v>
          </cell>
          <cell r="H2307">
            <v>449211</v>
          </cell>
        </row>
        <row r="2309">
          <cell r="A2309" t="str">
            <v>032.321</v>
          </cell>
          <cell r="B2309" t="str">
            <v>-</v>
          </cell>
          <cell r="C2309" t="str">
            <v>SUMINISTRO, TRANSPORTE E INSTALACIÓN DE MATERO PREFABRICADO EN CONCRETO (INCLUYE PLANTA ORNAMENTAL, TIERRA NEGRA). DIMENSION JARDINERA LISA 1.10*50*50 INSTALACIÓN A TODO COSTO.</v>
          </cell>
          <cell r="D2309" t="str">
            <v>Actividad</v>
          </cell>
          <cell r="E2309" t="str">
            <v>UND</v>
          </cell>
          <cell r="H2309">
            <v>238389</v>
          </cell>
        </row>
        <row r="2310">
          <cell r="A2310" t="str">
            <v>032.321</v>
          </cell>
          <cell r="B2310" t="str">
            <v>I1978</v>
          </cell>
          <cell r="C2310" t="str">
            <v>SUMINISTRO, TRANSPORTE E INSTALACIÓN DE MATERO PREFABRICADO EN CONCRETO (INCLUYE PLANTA ORNAMENTAL, TIERRA NEGRA). DIMENSION JARDINERA LISA 1.10*50*50 INSTALACIÓN A TODO COSTO.</v>
          </cell>
          <cell r="D2310" t="str">
            <v>Insumo</v>
          </cell>
          <cell r="E2310" t="str">
            <v>UND</v>
          </cell>
          <cell r="F2310">
            <v>1</v>
          </cell>
          <cell r="G2310">
            <v>238389</v>
          </cell>
          <cell r="H2310">
            <v>238389</v>
          </cell>
        </row>
        <row r="2312">
          <cell r="A2312" t="str">
            <v>019.014</v>
          </cell>
          <cell r="B2312" t="str">
            <v>-</v>
          </cell>
          <cell r="C2312" t="str">
            <v>SUMINISTRO, TRANSPORTE E INSTALACION ESTUCO Y PINTURA TIPO KORAZA O SIMILAR 3 MANOS FACHADAS (INCLUYE ESTUCO, 1 MANO EN PINTURA TIPO 2 Y DOS MANOS EN PINTURA TIPO KORAZA O SIMILAR, FILOS Y DILATACIONES). COLOR SEGÚN DISEÑO.</v>
          </cell>
          <cell r="D2312" t="str">
            <v>Actividad</v>
          </cell>
          <cell r="E2312" t="str">
            <v>M2</v>
          </cell>
          <cell r="H2312">
            <v>20177</v>
          </cell>
        </row>
        <row r="2313">
          <cell r="A2313" t="str">
            <v>019.014</v>
          </cell>
          <cell r="B2313" t="str">
            <v>C3</v>
          </cell>
          <cell r="C2313" t="str">
            <v>CUADRILLA CC TIPO 1 (1 OFICIAL + 1 AYUDANTE) (Pintura)</v>
          </cell>
          <cell r="D2313" t="str">
            <v>Cuadrilla</v>
          </cell>
          <cell r="E2313" t="str">
            <v>HR</v>
          </cell>
          <cell r="F2313">
            <v>0.37</v>
          </cell>
          <cell r="G2313">
            <v>19217</v>
          </cell>
          <cell r="H2313">
            <v>7110</v>
          </cell>
        </row>
        <row r="2314">
          <cell r="A2314" t="str">
            <v>019.014</v>
          </cell>
          <cell r="B2314" t="str">
            <v>E1</v>
          </cell>
          <cell r="C2314" t="str">
            <v>ANDAMIO METALICO CERTIFICADO, INCLUYE ESCALERILLA CON BARANDAS Y PLATAFORMAS DE TRABAJO</v>
          </cell>
          <cell r="D2314" t="str">
            <v>Equipos</v>
          </cell>
          <cell r="E2314" t="str">
            <v>UND</v>
          </cell>
          <cell r="F2314">
            <v>0.06</v>
          </cell>
          <cell r="G2314">
            <v>7257</v>
          </cell>
          <cell r="H2314">
            <v>435</v>
          </cell>
        </row>
        <row r="2315">
          <cell r="A2315" t="str">
            <v>019.014</v>
          </cell>
          <cell r="B2315" t="str">
            <v>E12</v>
          </cell>
          <cell r="C2315" t="str">
            <v>EQUIPO DE TRANSPORTE</v>
          </cell>
          <cell r="D2315" t="str">
            <v>Equipos</v>
          </cell>
          <cell r="E2315" t="str">
            <v>DIA</v>
          </cell>
          <cell r="F2315">
            <v>1.8E-3</v>
          </cell>
          <cell r="G2315">
            <v>131205</v>
          </cell>
          <cell r="H2315">
            <v>236</v>
          </cell>
        </row>
        <row r="2316">
          <cell r="A2316" t="str">
            <v>019.014</v>
          </cell>
          <cell r="B2316" t="str">
            <v>H2</v>
          </cell>
          <cell r="C2316" t="str">
            <v>EQUIPO BASICO (HERRAMIENTA MENOR)</v>
          </cell>
          <cell r="D2316" t="str">
            <v>Herramienta</v>
          </cell>
          <cell r="E2316" t="str">
            <v>UND</v>
          </cell>
          <cell r="F2316">
            <v>0.05</v>
          </cell>
          <cell r="G2316">
            <v>2536</v>
          </cell>
          <cell r="H2316">
            <v>127</v>
          </cell>
        </row>
        <row r="2317">
          <cell r="A2317" t="str">
            <v>019.014</v>
          </cell>
          <cell r="B2317" t="str">
            <v>I1003</v>
          </cell>
          <cell r="C2317" t="str">
            <v>ESTUCO PARA EXTERIORES - TIPO PINTUCO REF. 27060 O SIMILAR.</v>
          </cell>
          <cell r="D2317" t="str">
            <v>Insumo</v>
          </cell>
          <cell r="E2317" t="str">
            <v>GAL</v>
          </cell>
          <cell r="F2317">
            <v>0.05</v>
          </cell>
          <cell r="G2317">
            <v>21800</v>
          </cell>
          <cell r="H2317">
            <v>1090</v>
          </cell>
        </row>
        <row r="2318">
          <cell r="A2318" t="str">
            <v>019.014</v>
          </cell>
          <cell r="B2318" t="str">
            <v>I1008</v>
          </cell>
          <cell r="C2318" t="str">
            <v>INTERVINILO - TIPO PINTUCO REF. SEGÚN COLOR DISEÑO O SIMILAR</v>
          </cell>
          <cell r="D2318" t="str">
            <v>Insumo</v>
          </cell>
          <cell r="E2318" t="str">
            <v>GAL</v>
          </cell>
          <cell r="F2318">
            <v>0.04</v>
          </cell>
          <cell r="G2318">
            <v>49485</v>
          </cell>
          <cell r="H2318">
            <v>1979</v>
          </cell>
        </row>
        <row r="2319">
          <cell r="A2319" t="str">
            <v>019.014</v>
          </cell>
          <cell r="B2319" t="str">
            <v>I1009</v>
          </cell>
          <cell r="C2319" t="str">
            <v>KORAZA - TIPO PINTUCO REF. 2650 SEGÚN COLOR DISEÑO O SIMILAR</v>
          </cell>
          <cell r="D2319" t="str">
            <v>Insumo</v>
          </cell>
          <cell r="E2319" t="str">
            <v>GAL</v>
          </cell>
          <cell r="F2319">
            <v>0.1</v>
          </cell>
          <cell r="G2319">
            <v>85348</v>
          </cell>
          <cell r="H2319">
            <v>8535</v>
          </cell>
        </row>
        <row r="2320">
          <cell r="A2320" t="str">
            <v>019.014</v>
          </cell>
          <cell r="B2320" t="str">
            <v>I1565</v>
          </cell>
          <cell r="C2320" t="str">
            <v>ACARREO INTERNO</v>
          </cell>
          <cell r="D2320" t="str">
            <v>Insumo</v>
          </cell>
          <cell r="E2320" t="str">
            <v>UND</v>
          </cell>
          <cell r="F2320">
            <v>0.45</v>
          </cell>
          <cell r="G2320">
            <v>1327</v>
          </cell>
          <cell r="H2320">
            <v>597</v>
          </cell>
        </row>
        <row r="2321">
          <cell r="A2321" t="str">
            <v>019.014</v>
          </cell>
          <cell r="B2321" t="str">
            <v>I417</v>
          </cell>
          <cell r="C2321" t="str">
            <v>PABMERIL PLIEGO 9" X 11"</v>
          </cell>
          <cell r="D2321" t="str">
            <v>Insumo</v>
          </cell>
          <cell r="E2321" t="str">
            <v>UND</v>
          </cell>
          <cell r="F2321">
            <v>0.02</v>
          </cell>
          <cell r="G2321">
            <v>3393</v>
          </cell>
          <cell r="H2321">
            <v>68</v>
          </cell>
        </row>
        <row r="2323">
          <cell r="A2323" t="str">
            <v>033.220</v>
          </cell>
          <cell r="B2323" t="str">
            <v>-</v>
          </cell>
          <cell r="C2323" t="str">
            <v xml:space="preserve">SUMINISTRO, TRANSPORTE E INSTALACION Vidrio de silicato sodocálcico templado, incoloro, de 4 mm de espesor, fijado sobre carpintería con acuñado mediante calzos de apoyo perimetrales y laterales, sellado en frío con silicona sintética incolora (no acrílica), compatible con el material soporte. </v>
          </cell>
          <cell r="D2323" t="str">
            <v>Actividad</v>
          </cell>
          <cell r="E2323" t="str">
            <v>M2</v>
          </cell>
          <cell r="H2323">
            <v>105209</v>
          </cell>
        </row>
        <row r="2324">
          <cell r="A2324" t="str">
            <v>033.220</v>
          </cell>
          <cell r="B2324" t="str">
            <v>C1</v>
          </cell>
          <cell r="C2324" t="str">
            <v>CUADRILLA AA TIPO 1 (1 OFICIAL + 1 AYUDANTE) (Albañileria)</v>
          </cell>
          <cell r="D2324" t="str">
            <v>Cuadrilla</v>
          </cell>
          <cell r="E2324" t="str">
            <v>HR</v>
          </cell>
          <cell r="F2324">
            <v>1.5</v>
          </cell>
          <cell r="G2324">
            <v>16712</v>
          </cell>
          <cell r="H2324">
            <v>25068</v>
          </cell>
        </row>
        <row r="2325">
          <cell r="A2325" t="str">
            <v>033.220</v>
          </cell>
          <cell r="B2325" t="str">
            <v>E12</v>
          </cell>
          <cell r="C2325" t="str">
            <v>EQUIPO DE TRANSPORTE</v>
          </cell>
          <cell r="D2325" t="str">
            <v>Equipos</v>
          </cell>
          <cell r="E2325" t="str">
            <v>DIA</v>
          </cell>
          <cell r="F2325">
            <v>6.7900000000000002E-2</v>
          </cell>
          <cell r="G2325">
            <v>131205</v>
          </cell>
          <cell r="H2325">
            <v>8909</v>
          </cell>
        </row>
        <row r="2326">
          <cell r="A2326" t="str">
            <v>033.220</v>
          </cell>
          <cell r="B2326" t="str">
            <v>H2</v>
          </cell>
          <cell r="C2326" t="str">
            <v>EQUIPO BASICO (HERRAMIENTA MENOR)</v>
          </cell>
          <cell r="D2326" t="str">
            <v>Herramienta</v>
          </cell>
          <cell r="E2326" t="str">
            <v>UND</v>
          </cell>
          <cell r="F2326">
            <v>0.03</v>
          </cell>
          <cell r="G2326">
            <v>2536</v>
          </cell>
          <cell r="H2326">
            <v>76</v>
          </cell>
        </row>
        <row r="2327">
          <cell r="A2327" t="str">
            <v>033.220</v>
          </cell>
          <cell r="B2327" t="str">
            <v>I1565</v>
          </cell>
          <cell r="C2327" t="str">
            <v>ACARREO INTERNO</v>
          </cell>
          <cell r="D2327" t="str">
            <v>Insumo</v>
          </cell>
          <cell r="E2327" t="str">
            <v>UND</v>
          </cell>
          <cell r="F2327">
            <v>2.2999999999999998</v>
          </cell>
          <cell r="G2327">
            <v>1327</v>
          </cell>
          <cell r="H2327">
            <v>3052</v>
          </cell>
        </row>
        <row r="2328">
          <cell r="A2328" t="str">
            <v>033.220</v>
          </cell>
          <cell r="B2328" t="str">
            <v>_</v>
          </cell>
          <cell r="C2328" t="str">
            <v>Vidrio de silicato sodocálcico templado, incoloro, de 4 mm de espesor.</v>
          </cell>
          <cell r="D2328" t="str">
            <v>Insumo</v>
          </cell>
          <cell r="E2328" t="str">
            <v>M2</v>
          </cell>
          <cell r="F2328">
            <v>1.006</v>
          </cell>
          <cell r="G2328">
            <v>59310.15</v>
          </cell>
          <cell r="H2328">
            <v>59666</v>
          </cell>
        </row>
        <row r="2329">
          <cell r="A2329" t="str">
            <v>033.220</v>
          </cell>
          <cell r="B2329" t="str">
            <v>_</v>
          </cell>
          <cell r="C2329" t="str">
            <v>Cartucho de 310 ml de silicona neutra, incolora, dureza Shore A aproximada de 23, según ISO 868 y recuperación elástica &gt;=80%, según ISO 7389.</v>
          </cell>
          <cell r="D2329" t="str">
            <v>Insumo</v>
          </cell>
          <cell r="E2329" t="str">
            <v>UND</v>
          </cell>
          <cell r="F2329">
            <v>0.28999999999999998</v>
          </cell>
          <cell r="G2329">
            <v>13665.66</v>
          </cell>
          <cell r="H2329">
            <v>3963</v>
          </cell>
        </row>
        <row r="2330">
          <cell r="A2330" t="str">
            <v>033.220</v>
          </cell>
          <cell r="B2330" t="str">
            <v>_</v>
          </cell>
          <cell r="C2330" t="str">
            <v>Material auxiliar para la colocación de vidrios.</v>
          </cell>
          <cell r="D2330" t="str">
            <v>Insumo</v>
          </cell>
          <cell r="E2330" t="str">
            <v>UND</v>
          </cell>
          <cell r="F2330">
            <v>1.5</v>
          </cell>
          <cell r="G2330">
            <v>2983.41</v>
          </cell>
          <cell r="H2330">
            <v>4475</v>
          </cell>
        </row>
        <row r="2333">
          <cell r="A2333" t="str">
            <v>010</v>
          </cell>
          <cell r="C2333" t="str">
            <v>ACABADOS METÁLICOS</v>
          </cell>
          <cell r="D2333" t="str">
            <v>Capitulo</v>
          </cell>
        </row>
        <row r="2336">
          <cell r="A2336" t="str">
            <v>017.126</v>
          </cell>
          <cell r="B2336" t="str">
            <v>-</v>
          </cell>
          <cell r="C2336" t="str">
            <v>SUMINISTRO, TRANSPORTE E INSTALACIÓN DE PASAMANOS EN TUBERÍA 1", INCLUYE FIJACIÓN CON BARRA DE ACERO 1/2", CORDÓN DE SOLDADURA A ESTRUCTURA DE PASAMANOS EXISTENTE Y PINTURA ANTICORROSIVA Y DE ACABADO FINAL COLOR GRIS.</v>
          </cell>
          <cell r="D2336" t="str">
            <v>Actividad</v>
          </cell>
          <cell r="E2336" t="str">
            <v>ML</v>
          </cell>
          <cell r="H2336">
            <v>54562</v>
          </cell>
        </row>
        <row r="2337">
          <cell r="A2337" t="str">
            <v>017.126</v>
          </cell>
          <cell r="B2337" t="str">
            <v>C1</v>
          </cell>
          <cell r="C2337" t="str">
            <v>CUADRILLA AA TIPO 1 (1 OFICIAL + 1 AYUDANTE) (Albañileria)</v>
          </cell>
          <cell r="D2337" t="str">
            <v>Cuadrilla</v>
          </cell>
          <cell r="E2337" t="str">
            <v>HR</v>
          </cell>
          <cell r="F2337">
            <v>0.45</v>
          </cell>
          <cell r="G2337">
            <v>16712</v>
          </cell>
          <cell r="H2337">
            <v>7520</v>
          </cell>
        </row>
        <row r="2338">
          <cell r="A2338" t="str">
            <v>017.126</v>
          </cell>
          <cell r="B2338" t="str">
            <v>E59</v>
          </cell>
          <cell r="C2338" t="str">
            <v>EQUIPO DE SOLDADURA</v>
          </cell>
          <cell r="D2338" t="str">
            <v>Equipos</v>
          </cell>
          <cell r="E2338" t="str">
            <v>HR</v>
          </cell>
          <cell r="F2338">
            <v>0.45</v>
          </cell>
          <cell r="G2338">
            <v>32800</v>
          </cell>
          <cell r="H2338">
            <v>14760</v>
          </cell>
        </row>
        <row r="2339">
          <cell r="A2339" t="str">
            <v>017.126</v>
          </cell>
          <cell r="B2339" t="str">
            <v>H2</v>
          </cell>
          <cell r="C2339" t="str">
            <v>EQUIPO BASICO (HERRAMIENTA MENOR)</v>
          </cell>
          <cell r="D2339" t="str">
            <v>Herramienta</v>
          </cell>
          <cell r="E2339" t="str">
            <v>UND</v>
          </cell>
          <cell r="F2339">
            <v>0.85</v>
          </cell>
          <cell r="G2339">
            <v>2536</v>
          </cell>
          <cell r="H2339">
            <v>2156</v>
          </cell>
        </row>
        <row r="2340">
          <cell r="A2340" t="str">
            <v>017.126</v>
          </cell>
          <cell r="B2340" t="str">
            <v>I1001</v>
          </cell>
          <cell r="C2340" t="str">
            <v>ANTICORROSIVO PREMIUM - TIPO PINTUCO REF. 513 O SIMILAR</v>
          </cell>
          <cell r="D2340" t="str">
            <v>Insumo</v>
          </cell>
          <cell r="E2340" t="str">
            <v>GAL</v>
          </cell>
          <cell r="F2340">
            <v>5.0000000000000001E-3</v>
          </cell>
          <cell r="G2340">
            <v>61233</v>
          </cell>
          <cell r="H2340">
            <v>306</v>
          </cell>
        </row>
        <row r="2341">
          <cell r="A2341" t="str">
            <v>017.126</v>
          </cell>
          <cell r="B2341" t="str">
            <v>I1002</v>
          </cell>
          <cell r="C2341" t="str">
            <v>ESMALTE SINTETICO PINTULUX - TIPO PINTUCO REF. SEGÚN COLOR DISEÑO O SIMILAR</v>
          </cell>
          <cell r="D2341" t="str">
            <v>Insumo</v>
          </cell>
          <cell r="E2341" t="str">
            <v>GAL</v>
          </cell>
          <cell r="F2341">
            <v>0.01</v>
          </cell>
          <cell r="G2341">
            <v>88789</v>
          </cell>
          <cell r="H2341">
            <v>888</v>
          </cell>
        </row>
        <row r="2342">
          <cell r="A2342" t="str">
            <v>017.126</v>
          </cell>
          <cell r="B2342" t="str">
            <v>I1928</v>
          </cell>
          <cell r="C2342" t="str">
            <v>TUBERIA ACERO AL CARBON 1"</v>
          </cell>
          <cell r="D2342" t="str">
            <v>Insumo</v>
          </cell>
          <cell r="E2342" t="str">
            <v>ML</v>
          </cell>
          <cell r="F2342">
            <v>1.07</v>
          </cell>
          <cell r="G2342">
            <v>24243</v>
          </cell>
          <cell r="H2342">
            <v>25940</v>
          </cell>
        </row>
        <row r="2343">
          <cell r="A2343" t="str">
            <v>017.126</v>
          </cell>
          <cell r="B2343" t="str">
            <v>I2</v>
          </cell>
          <cell r="C2343" t="str">
            <v>ACERO 60.000 PSI</v>
          </cell>
          <cell r="D2343" t="str">
            <v>Insumo</v>
          </cell>
          <cell r="E2343" t="str">
            <v>KG</v>
          </cell>
          <cell r="F2343">
            <v>0.25</v>
          </cell>
          <cell r="G2343">
            <v>4214</v>
          </cell>
          <cell r="H2343">
            <v>1054</v>
          </cell>
        </row>
        <row r="2344">
          <cell r="A2344" t="str">
            <v>017.126</v>
          </cell>
          <cell r="B2344" t="str">
            <v>I439</v>
          </cell>
          <cell r="C2344" t="str">
            <v>SOLDADURA E7018</v>
          </cell>
          <cell r="D2344" t="str">
            <v>Insumo</v>
          </cell>
          <cell r="E2344" t="str">
            <v>KG</v>
          </cell>
          <cell r="F2344">
            <v>0.15</v>
          </cell>
          <cell r="G2344">
            <v>12920</v>
          </cell>
          <cell r="H2344">
            <v>1938</v>
          </cell>
        </row>
        <row r="2346">
          <cell r="A2346" t="str">
            <v>032.133</v>
          </cell>
          <cell r="B2346" t="str">
            <v>-</v>
          </cell>
          <cell r="C2346" t="str">
            <v>SUMINISTRO, TRANSPORTE E INSTALACIÓN BARRA DISCAPACITADOS EN ACERO INOXIDABLE CAL. 18 Ø 1 1/2"</v>
          </cell>
          <cell r="D2346" t="str">
            <v>Actividad</v>
          </cell>
          <cell r="E2346" t="str">
            <v>ML</v>
          </cell>
          <cell r="H2346">
            <v>364342</v>
          </cell>
        </row>
        <row r="2347">
          <cell r="A2347" t="str">
            <v>032.133</v>
          </cell>
          <cell r="B2347" t="str">
            <v>C8</v>
          </cell>
          <cell r="C2347" t="str">
            <v>CUADRILLA AA TIPO 2 (1 OFICIAL + 2 AYUDANTE) (Albañileria)</v>
          </cell>
          <cell r="D2347" t="str">
            <v>Cuadrilla</v>
          </cell>
          <cell r="E2347" t="str">
            <v>HR</v>
          </cell>
          <cell r="F2347">
            <v>1</v>
          </cell>
          <cell r="G2347">
            <v>23140</v>
          </cell>
          <cell r="H2347">
            <v>23140</v>
          </cell>
        </row>
        <row r="2348">
          <cell r="A2348" t="str">
            <v>032.133</v>
          </cell>
          <cell r="B2348" t="str">
            <v>E12</v>
          </cell>
          <cell r="C2348" t="str">
            <v>EQUIPO DE TRANSPORTE</v>
          </cell>
          <cell r="D2348" t="str">
            <v>Equipos</v>
          </cell>
          <cell r="E2348" t="str">
            <v>DIA</v>
          </cell>
          <cell r="F2348">
            <v>0.01</v>
          </cell>
          <cell r="G2348">
            <v>131205</v>
          </cell>
          <cell r="H2348">
            <v>1312</v>
          </cell>
        </row>
        <row r="2349">
          <cell r="A2349" t="str">
            <v>032.133</v>
          </cell>
          <cell r="B2349" t="str">
            <v>H2</v>
          </cell>
          <cell r="C2349" t="str">
            <v>EQUIPO BASICO (HERRAMIENTA MENOR)</v>
          </cell>
          <cell r="D2349" t="str">
            <v>Herramienta</v>
          </cell>
          <cell r="E2349" t="str">
            <v>UND</v>
          </cell>
          <cell r="F2349">
            <v>0.6</v>
          </cell>
          <cell r="G2349">
            <v>2536</v>
          </cell>
          <cell r="H2349">
            <v>1522</v>
          </cell>
        </row>
        <row r="2350">
          <cell r="A2350" t="str">
            <v>032.133</v>
          </cell>
          <cell r="B2350" t="str">
            <v>I1565</v>
          </cell>
          <cell r="C2350" t="str">
            <v>ACARREO INTERNO</v>
          </cell>
          <cell r="D2350" t="str">
            <v>Insumo</v>
          </cell>
          <cell r="E2350" t="str">
            <v>UND</v>
          </cell>
          <cell r="F2350">
            <v>0.5</v>
          </cell>
          <cell r="G2350">
            <v>1327</v>
          </cell>
          <cell r="H2350">
            <v>664</v>
          </cell>
        </row>
        <row r="2351">
          <cell r="A2351" t="str">
            <v>032.133</v>
          </cell>
          <cell r="B2351" t="str">
            <v>I1651</v>
          </cell>
          <cell r="C2351" t="str">
            <v>BARRA DISCAPACITADOS EN ACERO INOXIDABLE CAL. 18 Ø 1 1/2", ANTIBACTERIAL RESISTENTE A LA CORROSION, BRIDA DE 2" Y CON TAPA BRIDA PARA SUJECION AL PARED</v>
          </cell>
          <cell r="D2351" t="str">
            <v>Insumo</v>
          </cell>
          <cell r="E2351" t="str">
            <v>UND</v>
          </cell>
          <cell r="F2351">
            <v>1</v>
          </cell>
          <cell r="G2351">
            <v>337704</v>
          </cell>
          <cell r="H2351">
            <v>337704</v>
          </cell>
        </row>
        <row r="2353">
          <cell r="A2353" t="str">
            <v>017.045</v>
          </cell>
          <cell r="B2353" t="str">
            <v>-</v>
          </cell>
          <cell r="C2353" t="str">
            <v>SUMINISTRO, TRANSPORTE E INSTALACION PUERTA METALICA LÁMINA GALVANIZADA CAL. 18 TIPO PANEL CON MARCO SENCILLO ( INCLUYE ANTICORROSIVO + PINTURA ELECTROSTATICA + MARCO LÁMINA GALVANIZADA CAL. 18 CARGADOS EN CONCRETO). INCLUYE EL SUMINISTRO DE TODOS LOS ACCESORIOS REQUERIDOS PARA EL CORRECTO MONTAJE.</v>
          </cell>
          <cell r="D2353" t="str">
            <v>Actividad</v>
          </cell>
          <cell r="E2353" t="str">
            <v>M2</v>
          </cell>
          <cell r="H2353">
            <v>471417</v>
          </cell>
        </row>
        <row r="2354">
          <cell r="A2354" t="str">
            <v>017.045</v>
          </cell>
          <cell r="B2354" t="str">
            <v>I218</v>
          </cell>
          <cell r="C2354"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D2354" t="str">
            <v>Insumo</v>
          </cell>
          <cell r="E2354" t="str">
            <v>M2</v>
          </cell>
          <cell r="F2354">
            <v>1</v>
          </cell>
          <cell r="G2354">
            <v>471417</v>
          </cell>
          <cell r="H2354">
            <v>471417</v>
          </cell>
        </row>
        <row r="2356">
          <cell r="A2356" t="str">
            <v>033.175</v>
          </cell>
          <cell r="C2356" t="str">
            <v xml:space="preserve">SUMINISTRO, TRANSPORTE E INSTALACION PUERTA CORREDIZA INCLUYE RIEL EN LAMINA DE ACERO A-500 Y TODOS LOS ACCESORIOS NECESARIOS PARA LA CORRECTA INSTALACION </v>
          </cell>
          <cell r="E2356" t="str">
            <v>ml</v>
          </cell>
          <cell r="H2356">
            <v>1495205</v>
          </cell>
        </row>
        <row r="2357">
          <cell r="A2357" t="str">
            <v>033.175</v>
          </cell>
          <cell r="B2357" t="str">
            <v>I44</v>
          </cell>
          <cell r="C2357" t="str">
            <v>CUADRILLA AA TIPO 4 (1 OFICIAL + 4 AYUDANTE) (Albañileria)</v>
          </cell>
          <cell r="D2357" t="str">
            <v>Mano de Obra</v>
          </cell>
          <cell r="E2357" t="str">
            <v>hr</v>
          </cell>
          <cell r="F2357">
            <v>1.35</v>
          </cell>
          <cell r="G2357">
            <v>27316</v>
          </cell>
          <cell r="H2357">
            <v>36877</v>
          </cell>
        </row>
        <row r="2358">
          <cell r="A2358" t="str">
            <v>033.175</v>
          </cell>
          <cell r="B2358" t="str">
            <v>M03</v>
          </cell>
          <cell r="C2358" t="str">
            <v>EQUIPO BASICO ( HERRAMIENTA MENOR )</v>
          </cell>
          <cell r="D2358" t="str">
            <v>Herramienta</v>
          </cell>
          <cell r="E2358" t="str">
            <v>und</v>
          </cell>
          <cell r="F2358">
            <v>2.5</v>
          </cell>
          <cell r="G2358">
            <v>1933</v>
          </cell>
          <cell r="H2358">
            <v>4833</v>
          </cell>
        </row>
        <row r="2359">
          <cell r="A2359" t="str">
            <v>033.175</v>
          </cell>
          <cell r="B2359" t="str">
            <v>O19</v>
          </cell>
          <cell r="C2359" t="str">
            <v>SOLDADURA ELECTRICA TIPO WESTARCO SUPER E- 6013  DE 1/8 O SIMILAR.</v>
          </cell>
          <cell r="D2359" t="str">
            <v>Insumo</v>
          </cell>
          <cell r="E2359" t="str">
            <v>kg</v>
          </cell>
          <cell r="F2359">
            <v>0.7</v>
          </cell>
          <cell r="G2359">
            <v>8198</v>
          </cell>
          <cell r="H2359">
            <v>5739</v>
          </cell>
        </row>
        <row r="2360">
          <cell r="A2360" t="str">
            <v>033.175</v>
          </cell>
          <cell r="B2360" t="str">
            <v>X01</v>
          </cell>
          <cell r="C2360" t="str">
            <v>ANTICORROSIVO PREMIUM - TIPO PINTUCO REF. 513 O SIMILAR</v>
          </cell>
          <cell r="D2360" t="str">
            <v>Insumo</v>
          </cell>
          <cell r="E2360" t="str">
            <v>gal</v>
          </cell>
          <cell r="F2360">
            <v>0.35</v>
          </cell>
          <cell r="G2360">
            <v>46669</v>
          </cell>
          <cell r="H2360">
            <v>16334</v>
          </cell>
        </row>
        <row r="2361">
          <cell r="A2361" t="str">
            <v>033.175</v>
          </cell>
          <cell r="B2361" t="str">
            <v>M28</v>
          </cell>
          <cell r="C2361" t="str">
            <v>VOLQUETA  6M3 (CARGUE A MANO) RETIRO INTERNO</v>
          </cell>
          <cell r="D2361" t="str">
            <v>Equipo</v>
          </cell>
          <cell r="E2361" t="str">
            <v>vje</v>
          </cell>
          <cell r="F2361">
            <v>0.05</v>
          </cell>
          <cell r="G2361">
            <v>126559</v>
          </cell>
          <cell r="H2361">
            <v>6328</v>
          </cell>
        </row>
        <row r="2362">
          <cell r="A2362" t="str">
            <v>033.175</v>
          </cell>
          <cell r="B2362" t="str">
            <v>I26</v>
          </cell>
          <cell r="C2362" t="str">
            <v>ACARREO INTERNO</v>
          </cell>
          <cell r="D2362" t="str">
            <v>Mano de Obra</v>
          </cell>
          <cell r="E2362" t="str">
            <v>und</v>
          </cell>
          <cell r="F2362">
            <v>0.5</v>
          </cell>
          <cell r="G2362">
            <v>1037</v>
          </cell>
          <cell r="H2362">
            <v>519</v>
          </cell>
        </row>
        <row r="2363">
          <cell r="A2363" t="str">
            <v>033.175</v>
          </cell>
          <cell r="B2363" t="str">
            <v>E20B</v>
          </cell>
          <cell r="C2363" t="str">
            <v>TUBO HG 3"</v>
          </cell>
          <cell r="D2363" t="str">
            <v>Insumo</v>
          </cell>
          <cell r="E2363" t="str">
            <v>m</v>
          </cell>
          <cell r="F2363">
            <v>17</v>
          </cell>
          <cell r="G2363">
            <v>51706</v>
          </cell>
          <cell r="H2363">
            <v>879002</v>
          </cell>
        </row>
        <row r="2364">
          <cell r="A2364" t="str">
            <v>033.175</v>
          </cell>
          <cell r="B2364" t="str">
            <v>D28</v>
          </cell>
          <cell r="C2364" t="str">
            <v>ANGULO 1 1/4" X 1 1/4" X 1/8"</v>
          </cell>
          <cell r="D2364" t="str">
            <v>Insumo</v>
          </cell>
          <cell r="E2364" t="str">
            <v>ml</v>
          </cell>
          <cell r="F2364">
            <v>2.8</v>
          </cell>
          <cell r="G2364">
            <v>6012</v>
          </cell>
          <cell r="H2364">
            <v>16834</v>
          </cell>
        </row>
        <row r="2365">
          <cell r="A2365" t="str">
            <v>033.175</v>
          </cell>
          <cell r="B2365" t="str">
            <v>E07</v>
          </cell>
          <cell r="C2365" t="str">
            <v>PLATINA 3/4 X 1/8"</v>
          </cell>
          <cell r="D2365" t="str">
            <v>Insumo</v>
          </cell>
          <cell r="E2365" t="str">
            <v>ml</v>
          </cell>
          <cell r="F2365">
            <v>4</v>
          </cell>
          <cell r="G2365">
            <v>2100</v>
          </cell>
          <cell r="H2365">
            <v>8400</v>
          </cell>
        </row>
        <row r="2366">
          <cell r="A2366" t="str">
            <v>033.175</v>
          </cell>
          <cell r="B2366" t="str">
            <v>E02A</v>
          </cell>
          <cell r="C2366" t="str">
            <v>MALLA ESLABONADA CAL. 10 X 2" +  ANGULO 1 1/2 X  1 1/2 X 1/4" + ANTICORROSIVO + PINTURA ELECTROSTATICA. SUMINISTRO E INSTALACIÓN A TODO COSTO. INCLUYE EL SUMINISTRO DE TODOS LOS ACCESORIOS REQUERIDOS PARA EL CORRECTO MONTAJE.</v>
          </cell>
          <cell r="D2366" t="str">
            <v>Insumo</v>
          </cell>
          <cell r="E2366" t="str">
            <v>m2</v>
          </cell>
          <cell r="F2366">
            <v>1.03</v>
          </cell>
          <cell r="G2366">
            <v>15514</v>
          </cell>
          <cell r="H2366">
            <v>15979</v>
          </cell>
        </row>
        <row r="2367">
          <cell r="A2367" t="str">
            <v>033.175</v>
          </cell>
          <cell r="B2367" t="str">
            <v>E81.1</v>
          </cell>
          <cell r="C2367" t="str">
            <v>RIEL EN LAMINA DE ACERO A-500</v>
          </cell>
          <cell r="D2367" t="str">
            <v>Insumo</v>
          </cell>
          <cell r="E2367" t="str">
            <v>m</v>
          </cell>
          <cell r="F2367">
            <v>12</v>
          </cell>
          <cell r="G2367">
            <v>35780</v>
          </cell>
          <cell r="H2367">
            <v>429360</v>
          </cell>
        </row>
        <row r="2368">
          <cell r="A2368" t="str">
            <v>033.175</v>
          </cell>
          <cell r="B2368" t="str">
            <v>ACC</v>
          </cell>
          <cell r="C2368" t="str">
            <v xml:space="preserve">ACCESORIOS </v>
          </cell>
          <cell r="D2368" t="str">
            <v>Insumo</v>
          </cell>
          <cell r="E2368" t="str">
            <v>gl</v>
          </cell>
          <cell r="F2368">
            <v>1.5</v>
          </cell>
          <cell r="G2368">
            <v>50000</v>
          </cell>
          <cell r="H2368">
            <v>75000</v>
          </cell>
        </row>
        <row r="2370">
          <cell r="A2370" t="str">
            <v>017.027</v>
          </cell>
          <cell r="B2370" t="str">
            <v>-</v>
          </cell>
          <cell r="C2370" t="str">
            <v>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v>
          </cell>
          <cell r="D2370" t="str">
            <v>Actividad</v>
          </cell>
          <cell r="E2370" t="str">
            <v>M2</v>
          </cell>
          <cell r="H2370">
            <v>163237</v>
          </cell>
        </row>
        <row r="2371">
          <cell r="A2371" t="str">
            <v>017.027</v>
          </cell>
          <cell r="B2371" t="str">
            <v>I144</v>
          </cell>
          <cell r="C2371"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D2371" t="str">
            <v>Insumo</v>
          </cell>
          <cell r="E2371" t="str">
            <v>M2</v>
          </cell>
          <cell r="F2371">
            <v>1</v>
          </cell>
          <cell r="G2371">
            <v>163237</v>
          </cell>
          <cell r="H2371">
            <v>163237</v>
          </cell>
        </row>
        <row r="2373">
          <cell r="A2373" t="str">
            <v>017.094</v>
          </cell>
          <cell r="B2373" t="str">
            <v>-</v>
          </cell>
          <cell r="C2373" t="str">
            <v>SUMINISTRO, TRANSPORTE E INSTALACION BARANDA EN TUBERIA GALVANIZADA  4 HILOS DE 2", ENTRE 0.9 Y 1 MTS, PARALES VERTICALES  CADA 2 MTS, RELLENA DE  CONCRETO, INCLUYE WASH PRIMER, PINTURA, ANCLAJES Y RETIRO DE SOBRANTES</v>
          </cell>
          <cell r="D2373" t="str">
            <v>Actividad</v>
          </cell>
          <cell r="E2373" t="str">
            <v>ML</v>
          </cell>
          <cell r="H2373">
            <v>299052</v>
          </cell>
        </row>
        <row r="2374">
          <cell r="A2374" t="str">
            <v>017.094</v>
          </cell>
          <cell r="B2374" t="str">
            <v>I1793</v>
          </cell>
          <cell r="C2374" t="str">
            <v>SUMINISTRO,TRANSPORTE E INSTALCION  BARANDA EN TUBERIA GALVANIZADA A 4 HILOS DE 2" ENTRE 0.9 Y 1 MTS, PARALES  VERTICALES CADA 2 MTS,RELLENA DE CONCRETO, INCLUYE  WASH PRIMER PINTURA, ANCLAJES Y RETIRO DE SOBRANTES</v>
          </cell>
          <cell r="D2374" t="str">
            <v>Insumo</v>
          </cell>
          <cell r="E2374" t="str">
            <v>ML</v>
          </cell>
          <cell r="F2374">
            <v>1</v>
          </cell>
          <cell r="G2374">
            <v>299052</v>
          </cell>
          <cell r="H2374">
            <v>299052</v>
          </cell>
        </row>
        <row r="2376">
          <cell r="A2376" t="str">
            <v>017.059</v>
          </cell>
          <cell r="B2376" t="str">
            <v>-</v>
          </cell>
          <cell r="C2376" t="str">
            <v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v>
          </cell>
          <cell r="D2376" t="str">
            <v>Actividad</v>
          </cell>
          <cell r="E2376" t="str">
            <v>M2</v>
          </cell>
          <cell r="H2376">
            <v>487710</v>
          </cell>
        </row>
        <row r="2377">
          <cell r="A2377" t="str">
            <v>017.059</v>
          </cell>
          <cell r="B2377" t="str">
            <v>I211</v>
          </cell>
          <cell r="C2377" t="str">
            <v xml:space="preserve">PUERTA CABINAS SANITARIAS SISTEMA CANTILIVER EN LÁMINA GALVANIZADA CAL. 18 ENTAMBORADA. TIPO GRIJALBA O SIMILAR. INCLUYE PINTURA ELECTROSTATICA COLOR GRIS PLATA, SUMINISTRO, INSTALACIÓN, MARCO, CHAPETAS, PASADOR DE CIERRE Y PLATINAS SEGÚN DETALLE. </v>
          </cell>
          <cell r="D2377" t="str">
            <v>Insumo</v>
          </cell>
          <cell r="E2377" t="str">
            <v>M2</v>
          </cell>
          <cell r="F2377">
            <v>1</v>
          </cell>
          <cell r="G2377">
            <v>487710</v>
          </cell>
          <cell r="H2377">
            <v>487710</v>
          </cell>
        </row>
        <row r="2379">
          <cell r="A2379" t="str">
            <v>017.061</v>
          </cell>
          <cell r="B2379" t="str">
            <v>-</v>
          </cell>
          <cell r="C2379" t="str">
            <v>SUMINISTRO, TRANSPORTE E INSTALACION PUERTA CABINAS SANITARIAS SISTEMA CANTILIVER EN ACERO INOXIDABLE CAL. 18.  SEGÚN DETALLE. INCLUYE SUMINISTRO, INSTALACIÓN, PASADOR DE CIERRE.</v>
          </cell>
          <cell r="D2379" t="str">
            <v>Actividad</v>
          </cell>
          <cell r="E2379" t="str">
            <v>M2</v>
          </cell>
          <cell r="H2379">
            <v>817632</v>
          </cell>
        </row>
        <row r="2380">
          <cell r="A2380" t="str">
            <v>017.061</v>
          </cell>
          <cell r="B2380" t="str">
            <v>I208</v>
          </cell>
          <cell r="C2380" t="str">
            <v>PUERTA CABINAS SANITARIAS SISTEMA CANTILIVER EN ACERO INOXIDABLE CAL. 18. SEGÚN DETALLE. INCLUYE SUMINISTRO, INSTALACIÓN, PASADOR DE CIERRE.</v>
          </cell>
          <cell r="D2380" t="str">
            <v>Insumo</v>
          </cell>
          <cell r="E2380" t="str">
            <v>M2</v>
          </cell>
          <cell r="F2380">
            <v>1</v>
          </cell>
          <cell r="G2380">
            <v>817632</v>
          </cell>
          <cell r="H2380">
            <v>817632</v>
          </cell>
        </row>
        <row r="2382">
          <cell r="A2382" t="str">
            <v>032.135</v>
          </cell>
          <cell r="B2382" t="str">
            <v>-</v>
          </cell>
          <cell r="C2382" t="str">
            <v>SUMINISTRO, TRANSPORTE E INSTALACIÓN DIVISION ORINAL EN ACERO INOXIDABLE CAL. 20; 0,9X0,45X0,10 M (DOBLE HOJA)</v>
          </cell>
          <cell r="D2382" t="str">
            <v>Actividad</v>
          </cell>
          <cell r="E2382" t="str">
            <v>UND</v>
          </cell>
          <cell r="H2382">
            <v>459230</v>
          </cell>
        </row>
        <row r="2383">
          <cell r="A2383" t="str">
            <v>032.135</v>
          </cell>
          <cell r="B2383" t="str">
            <v>C11</v>
          </cell>
          <cell r="C2383" t="str">
            <v>CUADRILLA DD TIPO 2 (1 OFICIAL + 2 AYUDANTE) (Carpinteria)</v>
          </cell>
          <cell r="D2383" t="str">
            <v>Cuadrilla</v>
          </cell>
          <cell r="E2383" t="str">
            <v>HR</v>
          </cell>
          <cell r="F2383">
            <v>2</v>
          </cell>
          <cell r="G2383">
            <v>26608</v>
          </cell>
          <cell r="H2383">
            <v>53216</v>
          </cell>
        </row>
        <row r="2384">
          <cell r="A2384" t="str">
            <v>032.135</v>
          </cell>
          <cell r="B2384" t="str">
            <v>C8</v>
          </cell>
          <cell r="C2384" t="str">
            <v>CUADRILLA AA TIPO 2 (1 OFICIAL + 2 AYUDANTE) (Albañileria)</v>
          </cell>
          <cell r="D2384" t="str">
            <v>Cuadrilla</v>
          </cell>
          <cell r="E2384" t="str">
            <v>HR</v>
          </cell>
          <cell r="F2384">
            <v>1</v>
          </cell>
          <cell r="G2384">
            <v>23140</v>
          </cell>
          <cell r="H2384">
            <v>23140</v>
          </cell>
        </row>
        <row r="2385">
          <cell r="A2385" t="str">
            <v>032.135</v>
          </cell>
          <cell r="B2385" t="str">
            <v>E12</v>
          </cell>
          <cell r="C2385" t="str">
            <v>EQUIPO DE TRANSPORTE</v>
          </cell>
          <cell r="D2385" t="str">
            <v>Equipos</v>
          </cell>
          <cell r="E2385" t="str">
            <v>DIA</v>
          </cell>
          <cell r="F2385">
            <v>0.2</v>
          </cell>
          <cell r="G2385">
            <v>131205</v>
          </cell>
          <cell r="H2385">
            <v>26241</v>
          </cell>
        </row>
        <row r="2386">
          <cell r="A2386" t="str">
            <v>032.135</v>
          </cell>
          <cell r="B2386" t="str">
            <v>H2</v>
          </cell>
          <cell r="C2386" t="str">
            <v>EQUIPO BASICO (HERRAMIENTA MENOR)</v>
          </cell>
          <cell r="D2386" t="str">
            <v>Herramienta</v>
          </cell>
          <cell r="E2386" t="str">
            <v>UND</v>
          </cell>
          <cell r="F2386">
            <v>1</v>
          </cell>
          <cell r="G2386">
            <v>2536</v>
          </cell>
          <cell r="H2386">
            <v>2536</v>
          </cell>
        </row>
        <row r="2387">
          <cell r="A2387" t="str">
            <v>032.135</v>
          </cell>
          <cell r="B2387" t="str">
            <v>I1565</v>
          </cell>
          <cell r="C2387" t="str">
            <v>ACARREO INTERNO</v>
          </cell>
          <cell r="D2387" t="str">
            <v>Insumo</v>
          </cell>
          <cell r="E2387" t="str">
            <v>UND</v>
          </cell>
          <cell r="F2387">
            <v>1</v>
          </cell>
          <cell r="G2387">
            <v>1327</v>
          </cell>
          <cell r="H2387">
            <v>1327</v>
          </cell>
        </row>
        <row r="2388">
          <cell r="A2388" t="str">
            <v>032.135</v>
          </cell>
          <cell r="B2388" t="str">
            <v>I1653</v>
          </cell>
          <cell r="C2388" t="str">
            <v>DIVISION ORINAL EN ACERO INOXIDABLE CAL. 20; 0,9X0,45X0,10 M (DOBLE HOJA, INCLUYE SOPORTES EN ACERO INOXIDABLE PARA SU RESPECTIVO ANCLAJE)</v>
          </cell>
          <cell r="D2388" t="str">
            <v>Insumo</v>
          </cell>
          <cell r="E2388" t="str">
            <v>UND</v>
          </cell>
          <cell r="F2388">
            <v>1</v>
          </cell>
          <cell r="G2388">
            <v>352770</v>
          </cell>
          <cell r="H2388">
            <v>352770</v>
          </cell>
        </row>
        <row r="2391">
          <cell r="A2391" t="str">
            <v>011</v>
          </cell>
          <cell r="C2391" t="str">
            <v>PISCINA</v>
          </cell>
          <cell r="D2391" t="str">
            <v>Capitulo</v>
          </cell>
        </row>
        <row r="2393">
          <cell r="A2393" t="str">
            <v>025.056</v>
          </cell>
          <cell r="B2393" t="str">
            <v>-</v>
          </cell>
          <cell r="C2393" t="str">
            <v>SUMINISTRO, TRANSPORTE E INSTALACION TUBERÍA POLIETILE PE 100/PN 16 DE 160 MM PARA ACUEDUCTO</v>
          </cell>
          <cell r="D2393" t="str">
            <v>Actividad</v>
          </cell>
          <cell r="E2393" t="str">
            <v>ML</v>
          </cell>
          <cell r="H2393">
            <v>97549</v>
          </cell>
        </row>
        <row r="2394">
          <cell r="A2394" t="str">
            <v>025.056</v>
          </cell>
          <cell r="B2394" t="str">
            <v>C2</v>
          </cell>
          <cell r="C2394" t="str">
            <v>CUADRILLA BB TIPO 1 (1 OFICIAL + 1 AYUDANTE) (Instalaciones)</v>
          </cell>
          <cell r="D2394" t="str">
            <v>Cuadrilla</v>
          </cell>
          <cell r="E2394" t="str">
            <v>HR</v>
          </cell>
          <cell r="F2394">
            <v>0.2</v>
          </cell>
          <cell r="G2394">
            <v>18383</v>
          </cell>
          <cell r="H2394">
            <v>3677</v>
          </cell>
        </row>
        <row r="2395">
          <cell r="A2395" t="str">
            <v>025.056</v>
          </cell>
          <cell r="B2395" t="str">
            <v>E12</v>
          </cell>
          <cell r="C2395" t="str">
            <v>EQUIPO DE TRANSPORTE</v>
          </cell>
          <cell r="D2395" t="str">
            <v>Equipos</v>
          </cell>
          <cell r="E2395" t="str">
            <v>DIA</v>
          </cell>
          <cell r="F2395">
            <v>1.2800000000000001E-2</v>
          </cell>
          <cell r="G2395">
            <v>131205</v>
          </cell>
          <cell r="H2395">
            <v>1679</v>
          </cell>
        </row>
        <row r="2396">
          <cell r="A2396" t="str">
            <v>025.056</v>
          </cell>
          <cell r="B2396" t="str">
            <v>E40</v>
          </cell>
          <cell r="C2396" t="str">
            <v>EQUIPOS-HERRAMIENTA P/FUSION DE TUBERIA</v>
          </cell>
          <cell r="D2396" t="str">
            <v>Equipos</v>
          </cell>
          <cell r="E2396" t="str">
            <v>M</v>
          </cell>
          <cell r="F2396">
            <v>0.5</v>
          </cell>
          <cell r="G2396">
            <v>13120</v>
          </cell>
          <cell r="H2396">
            <v>6560</v>
          </cell>
        </row>
        <row r="2397">
          <cell r="A2397" t="str">
            <v>025.056</v>
          </cell>
          <cell r="B2397" t="str">
            <v>H2</v>
          </cell>
          <cell r="C2397" t="str">
            <v>EQUIPO BASICO (HERRAMIENTA MENOR)</v>
          </cell>
          <cell r="D2397" t="str">
            <v>Herramienta</v>
          </cell>
          <cell r="E2397" t="str">
            <v>UND</v>
          </cell>
          <cell r="F2397">
            <v>0.1</v>
          </cell>
          <cell r="G2397">
            <v>2536</v>
          </cell>
          <cell r="H2397">
            <v>254</v>
          </cell>
        </row>
        <row r="2398">
          <cell r="A2398" t="str">
            <v>025.056</v>
          </cell>
          <cell r="B2398" t="str">
            <v>I1565</v>
          </cell>
          <cell r="C2398" t="str">
            <v>ACARREO INTERNO</v>
          </cell>
          <cell r="D2398" t="str">
            <v>Insumo</v>
          </cell>
          <cell r="E2398" t="str">
            <v>UND</v>
          </cell>
          <cell r="F2398">
            <v>0.23400000000000001</v>
          </cell>
          <cell r="G2398">
            <v>1327</v>
          </cell>
          <cell r="H2398">
            <v>311</v>
          </cell>
        </row>
        <row r="2399">
          <cell r="A2399" t="str">
            <v>025.056</v>
          </cell>
          <cell r="B2399" t="str">
            <v>I899</v>
          </cell>
          <cell r="C2399" t="str">
            <v>TUBO DE POLIETILENO PE 100 A.D PN 16 DE 160 MM 6"</v>
          </cell>
          <cell r="D2399" t="str">
            <v>Insumo</v>
          </cell>
          <cell r="E2399" t="str">
            <v>M</v>
          </cell>
          <cell r="F2399">
            <v>1.03</v>
          </cell>
          <cell r="G2399">
            <v>82590</v>
          </cell>
          <cell r="H2399">
            <v>85068</v>
          </cell>
        </row>
        <row r="2401">
          <cell r="A2401" t="str">
            <v>025.060</v>
          </cell>
          <cell r="B2401" t="str">
            <v>-</v>
          </cell>
          <cell r="C2401" t="str">
            <v>SUMINISTRO, TRANSPORTE E INSTALACION TUBERÍA POLIETILE PE 100/PN 16 DE 110 MM  PARA ACUEDUCTO</v>
          </cell>
          <cell r="D2401" t="str">
            <v>Actividad</v>
          </cell>
          <cell r="E2401" t="str">
            <v>ML</v>
          </cell>
          <cell r="H2401">
            <v>50354</v>
          </cell>
        </row>
        <row r="2402">
          <cell r="A2402" t="str">
            <v>025.060</v>
          </cell>
          <cell r="B2402" t="str">
            <v>C2</v>
          </cell>
          <cell r="C2402" t="str">
            <v>CUADRILLA BB TIPO 1 (1 OFICIAL + 1 AYUDANTE) (Instalaciones)</v>
          </cell>
          <cell r="D2402" t="str">
            <v>Cuadrilla</v>
          </cell>
          <cell r="E2402" t="str">
            <v>HR</v>
          </cell>
          <cell r="F2402">
            <v>0.2</v>
          </cell>
          <cell r="G2402">
            <v>18383</v>
          </cell>
          <cell r="H2402">
            <v>3677</v>
          </cell>
        </row>
        <row r="2403">
          <cell r="A2403" t="str">
            <v>025.060</v>
          </cell>
          <cell r="B2403" t="str">
            <v>E12</v>
          </cell>
          <cell r="C2403" t="str">
            <v>EQUIPO DE TRANSPORTE</v>
          </cell>
          <cell r="D2403" t="str">
            <v>Equipos</v>
          </cell>
          <cell r="E2403" t="str">
            <v>DIA</v>
          </cell>
          <cell r="F2403">
            <v>6.0000000000000001E-3</v>
          </cell>
          <cell r="G2403">
            <v>131205</v>
          </cell>
          <cell r="H2403">
            <v>787</v>
          </cell>
        </row>
        <row r="2404">
          <cell r="A2404" t="str">
            <v>025.060</v>
          </cell>
          <cell r="B2404" t="str">
            <v>E40</v>
          </cell>
          <cell r="C2404" t="str">
            <v>EQUIPOS-HERRAMIENTA P/FUSION DE TUBERIA</v>
          </cell>
          <cell r="D2404" t="str">
            <v>Equipos</v>
          </cell>
          <cell r="E2404" t="str">
            <v>M</v>
          </cell>
          <cell r="F2404">
            <v>0.4</v>
          </cell>
          <cell r="G2404">
            <v>13120</v>
          </cell>
          <cell r="H2404">
            <v>5248</v>
          </cell>
        </row>
        <row r="2405">
          <cell r="A2405" t="str">
            <v>025.060</v>
          </cell>
          <cell r="B2405" t="str">
            <v>H2</v>
          </cell>
          <cell r="C2405" t="str">
            <v>EQUIPO BASICO (HERRAMIENTA MENOR)</v>
          </cell>
          <cell r="D2405" t="str">
            <v>Herramienta</v>
          </cell>
          <cell r="E2405" t="str">
            <v>UND</v>
          </cell>
          <cell r="F2405">
            <v>0.1</v>
          </cell>
          <cell r="G2405">
            <v>2536</v>
          </cell>
          <cell r="H2405">
            <v>254</v>
          </cell>
        </row>
        <row r="2406">
          <cell r="A2406" t="str">
            <v>025.060</v>
          </cell>
          <cell r="B2406" t="str">
            <v>I1565</v>
          </cell>
          <cell r="C2406" t="str">
            <v>ACARREO INTERNO</v>
          </cell>
          <cell r="D2406" t="str">
            <v>Insumo</v>
          </cell>
          <cell r="E2406" t="str">
            <v>UND</v>
          </cell>
          <cell r="F2406">
            <v>0.23400000000000001</v>
          </cell>
          <cell r="G2406">
            <v>1327</v>
          </cell>
          <cell r="H2406">
            <v>311</v>
          </cell>
        </row>
        <row r="2407">
          <cell r="A2407" t="str">
            <v>025.060</v>
          </cell>
          <cell r="B2407" t="str">
            <v>I902</v>
          </cell>
          <cell r="C2407" t="str">
            <v>TUBO DE POLIETILENO PE 100 A.D PN 16 DE 110 MM 4"</v>
          </cell>
          <cell r="D2407" t="str">
            <v>Insumo</v>
          </cell>
          <cell r="E2407" t="str">
            <v>M</v>
          </cell>
          <cell r="F2407">
            <v>1.03</v>
          </cell>
          <cell r="G2407">
            <v>38910</v>
          </cell>
          <cell r="H2407">
            <v>40077</v>
          </cell>
        </row>
        <row r="2409">
          <cell r="A2409" t="str">
            <v>025.068</v>
          </cell>
          <cell r="B2409" t="str">
            <v>-</v>
          </cell>
          <cell r="C2409" t="str">
            <v>SUMINISTRO, TRANSPORTE E INSTALACION TUBERÍA POLIETILENO PE 100/ PN 16 DE 75 MM  PARA ACUEDUCTO</v>
          </cell>
          <cell r="D2409" t="str">
            <v>Actividad</v>
          </cell>
          <cell r="E2409" t="str">
            <v>ML</v>
          </cell>
          <cell r="H2409">
            <v>27222</v>
          </cell>
        </row>
        <row r="2410">
          <cell r="A2410" t="str">
            <v>025.068</v>
          </cell>
          <cell r="B2410" t="str">
            <v>C2</v>
          </cell>
          <cell r="C2410" t="str">
            <v>CUADRILLA BB TIPO 1 (1 OFICIAL + 1 AYUDANTE) (Instalaciones)</v>
          </cell>
          <cell r="D2410" t="str">
            <v>Cuadrilla</v>
          </cell>
          <cell r="E2410" t="str">
            <v>HR</v>
          </cell>
          <cell r="F2410">
            <v>0.17</v>
          </cell>
          <cell r="G2410">
            <v>18383</v>
          </cell>
          <cell r="H2410">
            <v>3125</v>
          </cell>
        </row>
        <row r="2411">
          <cell r="A2411" t="str">
            <v>025.068</v>
          </cell>
          <cell r="B2411" t="str">
            <v>E12</v>
          </cell>
          <cell r="C2411" t="str">
            <v>EQUIPO DE TRANSPORTE</v>
          </cell>
          <cell r="D2411" t="str">
            <v>Equipos</v>
          </cell>
          <cell r="E2411" t="str">
            <v>DIA</v>
          </cell>
          <cell r="F2411">
            <v>2.8E-3</v>
          </cell>
          <cell r="G2411">
            <v>131205</v>
          </cell>
          <cell r="H2411">
            <v>367</v>
          </cell>
        </row>
        <row r="2412">
          <cell r="A2412" t="str">
            <v>025.068</v>
          </cell>
          <cell r="B2412" t="str">
            <v>E40</v>
          </cell>
          <cell r="C2412" t="str">
            <v>EQUIPOS-HERRAMIENTA P/FUSION DE TUBERIA</v>
          </cell>
          <cell r="D2412" t="str">
            <v>Equipos</v>
          </cell>
          <cell r="E2412" t="str">
            <v>M</v>
          </cell>
          <cell r="F2412">
            <v>0.35</v>
          </cell>
          <cell r="G2412">
            <v>13120</v>
          </cell>
          <cell r="H2412">
            <v>4592</v>
          </cell>
        </row>
        <row r="2413">
          <cell r="A2413" t="str">
            <v>025.068</v>
          </cell>
          <cell r="B2413" t="str">
            <v>H2</v>
          </cell>
          <cell r="C2413" t="str">
            <v>EQUIPO BASICO (HERRAMIENTA MENOR)</v>
          </cell>
          <cell r="D2413" t="str">
            <v>Herramienta</v>
          </cell>
          <cell r="E2413" t="str">
            <v>UND</v>
          </cell>
          <cell r="F2413">
            <v>0.1</v>
          </cell>
          <cell r="G2413">
            <v>2536</v>
          </cell>
          <cell r="H2413">
            <v>254</v>
          </cell>
        </row>
        <row r="2414">
          <cell r="A2414" t="str">
            <v>025.068</v>
          </cell>
          <cell r="B2414" t="str">
            <v>I1565</v>
          </cell>
          <cell r="C2414" t="str">
            <v>ACARREO INTERNO</v>
          </cell>
          <cell r="D2414" t="str">
            <v>Insumo</v>
          </cell>
          <cell r="E2414" t="str">
            <v>UND</v>
          </cell>
          <cell r="F2414">
            <v>0.19939999999999999</v>
          </cell>
          <cell r="G2414">
            <v>1327</v>
          </cell>
          <cell r="H2414">
            <v>265</v>
          </cell>
        </row>
        <row r="2415">
          <cell r="A2415" t="str">
            <v>025.068</v>
          </cell>
          <cell r="B2415" t="str">
            <v>I908</v>
          </cell>
          <cell r="C2415" t="str">
            <v>TUBO DE POLIETILENO PE 100 A.D. PN 16 DE 75 M.M. (3")</v>
          </cell>
          <cell r="D2415" t="str">
            <v>Insumo</v>
          </cell>
          <cell r="E2415" t="str">
            <v>M</v>
          </cell>
          <cell r="F2415">
            <v>1.03</v>
          </cell>
          <cell r="G2415">
            <v>18077</v>
          </cell>
          <cell r="H2415">
            <v>18619</v>
          </cell>
        </row>
        <row r="2417">
          <cell r="A2417" t="str">
            <v>025.076</v>
          </cell>
          <cell r="B2417" t="str">
            <v>-</v>
          </cell>
          <cell r="C2417" t="str">
            <v>SUMINISTRO, TRANSPORTE E INSTALACION TUBERÍA POLIETILENO PE 100 /PN 16 DE 50 MM   PARA ACUEDUCTO</v>
          </cell>
          <cell r="D2417" t="str">
            <v>Actividad</v>
          </cell>
          <cell r="E2417" t="str">
            <v>ML</v>
          </cell>
          <cell r="H2417">
            <v>19033</v>
          </cell>
        </row>
        <row r="2418">
          <cell r="A2418" t="str">
            <v>025.076</v>
          </cell>
          <cell r="B2418" t="str">
            <v>C2</v>
          </cell>
          <cell r="C2418" t="str">
            <v>CUADRILLA BB TIPO 1 (1 OFICIAL + 1 AYUDANTE) (Instalaciones)</v>
          </cell>
          <cell r="D2418" t="str">
            <v>Cuadrilla</v>
          </cell>
          <cell r="E2418" t="str">
            <v>HR</v>
          </cell>
          <cell r="F2418">
            <v>0.4</v>
          </cell>
          <cell r="G2418">
            <v>18383</v>
          </cell>
          <cell r="H2418">
            <v>7353</v>
          </cell>
        </row>
        <row r="2419">
          <cell r="A2419" t="str">
            <v>025.076</v>
          </cell>
          <cell r="B2419" t="str">
            <v>E12</v>
          </cell>
          <cell r="C2419" t="str">
            <v>EQUIPO DE TRANSPORTE</v>
          </cell>
          <cell r="D2419" t="str">
            <v>Equipos</v>
          </cell>
          <cell r="E2419" t="str">
            <v>DIA</v>
          </cell>
          <cell r="F2419">
            <v>1.2999999999999999E-3</v>
          </cell>
          <cell r="G2419">
            <v>131205</v>
          </cell>
          <cell r="H2419">
            <v>171</v>
          </cell>
        </row>
        <row r="2420">
          <cell r="A2420" t="str">
            <v>025.076</v>
          </cell>
          <cell r="B2420" t="str">
            <v>E40</v>
          </cell>
          <cell r="C2420" t="str">
            <v>EQUIPOS-HERRAMIENTA P/FUSION DE TUBERIA</v>
          </cell>
          <cell r="D2420" t="str">
            <v>Equipos</v>
          </cell>
          <cell r="E2420" t="str">
            <v>M</v>
          </cell>
          <cell r="F2420">
            <v>0.2</v>
          </cell>
          <cell r="G2420">
            <v>13120</v>
          </cell>
          <cell r="H2420">
            <v>2624</v>
          </cell>
        </row>
        <row r="2421">
          <cell r="A2421" t="str">
            <v>025.076</v>
          </cell>
          <cell r="B2421" t="str">
            <v>H2</v>
          </cell>
          <cell r="C2421" t="str">
            <v>EQUIPO BASICO (HERRAMIENTA MENOR)</v>
          </cell>
          <cell r="D2421" t="str">
            <v>Herramienta</v>
          </cell>
          <cell r="E2421" t="str">
            <v>UND</v>
          </cell>
          <cell r="F2421">
            <v>0.1</v>
          </cell>
          <cell r="G2421">
            <v>2536</v>
          </cell>
          <cell r="H2421">
            <v>254</v>
          </cell>
        </row>
        <row r="2422">
          <cell r="A2422" t="str">
            <v>025.076</v>
          </cell>
          <cell r="B2422" t="str">
            <v>I1565</v>
          </cell>
          <cell r="C2422" t="str">
            <v>ACARREO INTERNO</v>
          </cell>
          <cell r="D2422" t="str">
            <v>Insumo</v>
          </cell>
          <cell r="E2422" t="str">
            <v>UND</v>
          </cell>
          <cell r="F2422">
            <v>0.19900000000000001</v>
          </cell>
          <cell r="G2422">
            <v>1327</v>
          </cell>
          <cell r="H2422">
            <v>264</v>
          </cell>
        </row>
        <row r="2423">
          <cell r="A2423" t="str">
            <v>025.076</v>
          </cell>
          <cell r="B2423" t="str">
            <v>I914</v>
          </cell>
          <cell r="C2423" t="str">
            <v>TUBO DE POLIETILENO PE 100 A.D. PN 16 DE 50 M.M. (2")</v>
          </cell>
          <cell r="D2423" t="str">
            <v>Insumo</v>
          </cell>
          <cell r="E2423" t="str">
            <v>M</v>
          </cell>
          <cell r="F2423">
            <v>1.03</v>
          </cell>
          <cell r="G2423">
            <v>8123</v>
          </cell>
          <cell r="H2423">
            <v>8367</v>
          </cell>
        </row>
        <row r="2425">
          <cell r="A2425" t="str">
            <v>035.070</v>
          </cell>
          <cell r="B2425" t="str">
            <v>-</v>
          </cell>
          <cell r="C2425" t="str">
            <v>SUMINISTRO, TRANSPORTE E INSTALACION DE VALVULA MARIPOSA PLANA DE 6"</v>
          </cell>
          <cell r="D2425" t="str">
            <v>Actividad</v>
          </cell>
          <cell r="E2425" t="str">
            <v>UND</v>
          </cell>
          <cell r="H2425">
            <v>527716</v>
          </cell>
        </row>
        <row r="2426">
          <cell r="A2426" t="str">
            <v>035.070</v>
          </cell>
          <cell r="B2426" t="str">
            <v>C2</v>
          </cell>
          <cell r="C2426" t="str">
            <v>CUADRILLA BB TIPO 1 (1 OFICIAL + 1 AYUDANTE) (Instalaciones)</v>
          </cell>
          <cell r="D2426" t="str">
            <v>Cuadrilla</v>
          </cell>
          <cell r="E2426" t="str">
            <v>HR</v>
          </cell>
          <cell r="F2426">
            <v>0.4</v>
          </cell>
          <cell r="G2426">
            <v>18383</v>
          </cell>
          <cell r="H2426">
            <v>7353</v>
          </cell>
        </row>
        <row r="2427">
          <cell r="A2427" t="str">
            <v>035.070</v>
          </cell>
          <cell r="B2427" t="str">
            <v>E12</v>
          </cell>
          <cell r="C2427" t="str">
            <v>EQUIPO DE TRANSPORTE</v>
          </cell>
          <cell r="D2427" t="str">
            <v>Equipos</v>
          </cell>
          <cell r="E2427" t="str">
            <v>DIA</v>
          </cell>
          <cell r="F2427">
            <v>1.2999999999999999E-3</v>
          </cell>
          <cell r="G2427">
            <v>131205</v>
          </cell>
          <cell r="H2427">
            <v>171</v>
          </cell>
        </row>
        <row r="2428">
          <cell r="A2428" t="str">
            <v>035.070</v>
          </cell>
          <cell r="B2428" t="str">
            <v>E40</v>
          </cell>
          <cell r="C2428" t="str">
            <v>EQUIPOS-HERRAMIENTA P/FUSION DE TUBERIA</v>
          </cell>
          <cell r="D2428" t="str">
            <v>Equipos</v>
          </cell>
          <cell r="E2428" t="str">
            <v>M</v>
          </cell>
          <cell r="F2428">
            <v>0.2</v>
          </cell>
          <cell r="G2428">
            <v>13120</v>
          </cell>
          <cell r="H2428">
            <v>2624</v>
          </cell>
        </row>
        <row r="2429">
          <cell r="A2429" t="str">
            <v>035.070</v>
          </cell>
          <cell r="B2429" t="str">
            <v>H2</v>
          </cell>
          <cell r="C2429" t="str">
            <v>EQUIPO BASICO (HERRAMIENTA MENOR)</v>
          </cell>
          <cell r="D2429" t="str">
            <v>Herramienta</v>
          </cell>
          <cell r="E2429" t="str">
            <v>UND</v>
          </cell>
          <cell r="F2429">
            <v>0.1</v>
          </cell>
          <cell r="G2429">
            <v>2536</v>
          </cell>
          <cell r="H2429">
            <v>254</v>
          </cell>
        </row>
        <row r="2430">
          <cell r="A2430" t="str">
            <v>035.070</v>
          </cell>
          <cell r="B2430" t="str">
            <v>I1565</v>
          </cell>
          <cell r="C2430" t="str">
            <v>ACARREO INTERNO</v>
          </cell>
          <cell r="D2430" t="str">
            <v>Insumo</v>
          </cell>
          <cell r="E2430" t="str">
            <v>UND</v>
          </cell>
          <cell r="F2430">
            <v>0.19900000000000001</v>
          </cell>
          <cell r="G2430">
            <v>1327</v>
          </cell>
          <cell r="H2430">
            <v>264</v>
          </cell>
        </row>
        <row r="2431">
          <cell r="A2431" t="str">
            <v>035.070</v>
          </cell>
          <cell r="B2431" t="str">
            <v>I914</v>
          </cell>
          <cell r="C2431" t="str">
            <v>VALVULA MARIPOSA PLANA DE 6"</v>
          </cell>
          <cell r="D2431" t="str">
            <v>Insumo</v>
          </cell>
          <cell r="E2431" t="str">
            <v>UND</v>
          </cell>
          <cell r="F2431">
            <v>1</v>
          </cell>
          <cell r="G2431">
            <v>517050</v>
          </cell>
          <cell r="H2431">
            <v>517050</v>
          </cell>
        </row>
        <row r="2433">
          <cell r="A2433" t="str">
            <v>035.071</v>
          </cell>
          <cell r="B2433" t="str">
            <v>-</v>
          </cell>
          <cell r="C2433" t="str">
            <v>SUMINISTRO, TRANSPORTE E INSTALACION DE VALVULA MARIPOSA PLANA DE 4"</v>
          </cell>
          <cell r="D2433" t="str">
            <v>Actividad</v>
          </cell>
          <cell r="E2433" t="str">
            <v>UND</v>
          </cell>
          <cell r="H2433">
            <v>391466</v>
          </cell>
        </row>
        <row r="2434">
          <cell r="A2434" t="str">
            <v>035.071</v>
          </cell>
          <cell r="B2434" t="str">
            <v>C2</v>
          </cell>
          <cell r="C2434" t="str">
            <v>CUADRILLA BB TIPO 1 (1 OFICIAL + 1 AYUDANTE) (Instalaciones)</v>
          </cell>
          <cell r="D2434" t="str">
            <v>Cuadrilla</v>
          </cell>
          <cell r="E2434" t="str">
            <v>HR</v>
          </cell>
          <cell r="F2434">
            <v>0.4</v>
          </cell>
          <cell r="G2434">
            <v>18383</v>
          </cell>
          <cell r="H2434">
            <v>7353</v>
          </cell>
        </row>
        <row r="2435">
          <cell r="A2435" t="str">
            <v>035.071</v>
          </cell>
          <cell r="B2435" t="str">
            <v>E12</v>
          </cell>
          <cell r="C2435" t="str">
            <v>EQUIPO DE TRANSPORTE</v>
          </cell>
          <cell r="D2435" t="str">
            <v>Equipos</v>
          </cell>
          <cell r="E2435" t="str">
            <v>DIA</v>
          </cell>
          <cell r="F2435">
            <v>1.2999999999999999E-3</v>
          </cell>
          <cell r="G2435">
            <v>131205</v>
          </cell>
          <cell r="H2435">
            <v>171</v>
          </cell>
        </row>
        <row r="2436">
          <cell r="A2436" t="str">
            <v>035.071</v>
          </cell>
          <cell r="B2436" t="str">
            <v>E40</v>
          </cell>
          <cell r="C2436" t="str">
            <v>EQUIPOS-HERRAMIENTA P/FUSION DE TUBERIA</v>
          </cell>
          <cell r="D2436" t="str">
            <v>Equipos</v>
          </cell>
          <cell r="E2436" t="str">
            <v>M</v>
          </cell>
          <cell r="F2436">
            <v>0.2</v>
          </cell>
          <cell r="G2436">
            <v>13120</v>
          </cell>
          <cell r="H2436">
            <v>2624</v>
          </cell>
        </row>
        <row r="2437">
          <cell r="A2437" t="str">
            <v>035.071</v>
          </cell>
          <cell r="B2437" t="str">
            <v>H2</v>
          </cell>
          <cell r="C2437" t="str">
            <v>EQUIPO BASICO (HERRAMIENTA MENOR)</v>
          </cell>
          <cell r="D2437" t="str">
            <v>Herramienta</v>
          </cell>
          <cell r="E2437" t="str">
            <v>UND</v>
          </cell>
          <cell r="F2437">
            <v>0.1</v>
          </cell>
          <cell r="G2437">
            <v>2536</v>
          </cell>
          <cell r="H2437">
            <v>254</v>
          </cell>
        </row>
        <row r="2438">
          <cell r="A2438" t="str">
            <v>035.071</v>
          </cell>
          <cell r="B2438" t="str">
            <v>I1565</v>
          </cell>
          <cell r="C2438" t="str">
            <v>ACARREO INTERNO</v>
          </cell>
          <cell r="D2438" t="str">
            <v>Insumo</v>
          </cell>
          <cell r="E2438" t="str">
            <v>UND</v>
          </cell>
          <cell r="F2438">
            <v>0.19900000000000001</v>
          </cell>
          <cell r="G2438">
            <v>1327</v>
          </cell>
          <cell r="H2438">
            <v>264</v>
          </cell>
        </row>
        <row r="2439">
          <cell r="A2439" t="str">
            <v>035.071</v>
          </cell>
          <cell r="B2439" t="str">
            <v>I914</v>
          </cell>
          <cell r="C2439" t="str">
            <v>VALVULA MARIPOSA PLANA DE 4"</v>
          </cell>
          <cell r="D2439" t="str">
            <v>Insumo</v>
          </cell>
          <cell r="E2439" t="str">
            <v>UND</v>
          </cell>
          <cell r="F2439">
            <v>1</v>
          </cell>
          <cell r="G2439">
            <v>380800</v>
          </cell>
          <cell r="H2439">
            <v>380800</v>
          </cell>
        </row>
        <row r="2441">
          <cell r="A2441" t="str">
            <v>035.072</v>
          </cell>
          <cell r="B2441" t="str">
            <v>-</v>
          </cell>
          <cell r="C2441" t="str">
            <v>SUMINISTRO, TRANSPORTE E INSTALACION DE VALVULA DE CHEQUE BRIDAD 6"</v>
          </cell>
          <cell r="D2441" t="str">
            <v>Actividad</v>
          </cell>
          <cell r="E2441" t="str">
            <v>UND</v>
          </cell>
          <cell r="H2441">
            <v>1657626</v>
          </cell>
        </row>
        <row r="2442">
          <cell r="A2442" t="str">
            <v>035.072</v>
          </cell>
          <cell r="B2442" t="str">
            <v>C2</v>
          </cell>
          <cell r="C2442" t="str">
            <v>CUADRILLA BB TIPO 1 (1 OFICIAL + 1 AYUDANTE) (Instalaciones)</v>
          </cell>
          <cell r="D2442" t="str">
            <v>Cuadrilla</v>
          </cell>
          <cell r="E2442" t="str">
            <v>HR</v>
          </cell>
          <cell r="F2442">
            <v>0.4</v>
          </cell>
          <cell r="G2442">
            <v>18383</v>
          </cell>
          <cell r="H2442">
            <v>7353</v>
          </cell>
        </row>
        <row r="2443">
          <cell r="A2443" t="str">
            <v>035.072</v>
          </cell>
          <cell r="B2443" t="str">
            <v>E12</v>
          </cell>
          <cell r="C2443" t="str">
            <v>EQUIPO DE TRANSPORTE</v>
          </cell>
          <cell r="D2443" t="str">
            <v>Equipos</v>
          </cell>
          <cell r="E2443" t="str">
            <v>DIA</v>
          </cell>
          <cell r="F2443">
            <v>1.2999999999999999E-3</v>
          </cell>
          <cell r="G2443">
            <v>131205</v>
          </cell>
          <cell r="H2443">
            <v>171</v>
          </cell>
        </row>
        <row r="2444">
          <cell r="A2444" t="str">
            <v>035.072</v>
          </cell>
          <cell r="B2444" t="str">
            <v>E40</v>
          </cell>
          <cell r="C2444" t="str">
            <v>EQUIPOS-HERRAMIENTA P/FUSION DE TUBERIA</v>
          </cell>
          <cell r="D2444" t="str">
            <v>Equipos</v>
          </cell>
          <cell r="E2444" t="str">
            <v>M</v>
          </cell>
          <cell r="F2444">
            <v>0.2</v>
          </cell>
          <cell r="G2444">
            <v>13120</v>
          </cell>
          <cell r="H2444">
            <v>2624</v>
          </cell>
        </row>
        <row r="2445">
          <cell r="A2445" t="str">
            <v>035.072</v>
          </cell>
          <cell r="B2445" t="str">
            <v>H2</v>
          </cell>
          <cell r="C2445" t="str">
            <v>EQUIPO BASICO (HERRAMIENTA MENOR)</v>
          </cell>
          <cell r="D2445" t="str">
            <v>Herramienta</v>
          </cell>
          <cell r="E2445" t="str">
            <v>UND</v>
          </cell>
          <cell r="F2445">
            <v>0.1</v>
          </cell>
          <cell r="G2445">
            <v>2536</v>
          </cell>
          <cell r="H2445">
            <v>254</v>
          </cell>
        </row>
        <row r="2446">
          <cell r="A2446" t="str">
            <v>035.072</v>
          </cell>
          <cell r="B2446" t="str">
            <v>I1565</v>
          </cell>
          <cell r="C2446" t="str">
            <v>ACARREO INTERNO</v>
          </cell>
          <cell r="D2446" t="str">
            <v>Insumo</v>
          </cell>
          <cell r="E2446" t="str">
            <v>UND</v>
          </cell>
          <cell r="F2446">
            <v>0.19900000000000001</v>
          </cell>
          <cell r="G2446">
            <v>1327</v>
          </cell>
          <cell r="H2446">
            <v>264</v>
          </cell>
        </row>
        <row r="2447">
          <cell r="A2447" t="str">
            <v>035.072</v>
          </cell>
          <cell r="B2447" t="str">
            <v>I914</v>
          </cell>
          <cell r="C2447" t="str">
            <v>VALVULA DE CHEQUE BRIDAD 6"</v>
          </cell>
          <cell r="D2447" t="str">
            <v>Insumo</v>
          </cell>
          <cell r="E2447" t="str">
            <v>UND</v>
          </cell>
          <cell r="F2447">
            <v>1</v>
          </cell>
          <cell r="G2447">
            <v>1646960</v>
          </cell>
          <cell r="H2447">
            <v>1646960</v>
          </cell>
        </row>
        <row r="2449">
          <cell r="A2449" t="str">
            <v>035.073</v>
          </cell>
          <cell r="B2449" t="str">
            <v>-</v>
          </cell>
          <cell r="C2449" t="str">
            <v>SUMINISTRO, TRANSPORTE E INSTALACION DE VALVULA DE COMPUERTA  4"</v>
          </cell>
          <cell r="D2449" t="str">
            <v>Actividad</v>
          </cell>
          <cell r="E2449" t="str">
            <v>UND</v>
          </cell>
          <cell r="H2449">
            <v>498566</v>
          </cell>
        </row>
        <row r="2450">
          <cell r="A2450" t="str">
            <v>035.073</v>
          </cell>
          <cell r="B2450" t="str">
            <v>C2</v>
          </cell>
          <cell r="C2450" t="str">
            <v>CUADRILLA BB TIPO 1 (1 OFICIAL + 1 AYUDANTE) (Instalaciones)</v>
          </cell>
          <cell r="D2450" t="str">
            <v>Cuadrilla</v>
          </cell>
          <cell r="E2450" t="str">
            <v>HR</v>
          </cell>
          <cell r="F2450">
            <v>0.4</v>
          </cell>
          <cell r="G2450">
            <v>18383</v>
          </cell>
          <cell r="H2450">
            <v>7353</v>
          </cell>
        </row>
        <row r="2451">
          <cell r="A2451" t="str">
            <v>035.073</v>
          </cell>
          <cell r="B2451" t="str">
            <v>E12</v>
          </cell>
          <cell r="C2451" t="str">
            <v>EQUIPO DE TRANSPORTE</v>
          </cell>
          <cell r="D2451" t="str">
            <v>Equipos</v>
          </cell>
          <cell r="E2451" t="str">
            <v>DIA</v>
          </cell>
          <cell r="F2451">
            <v>1.2999999999999999E-3</v>
          </cell>
          <cell r="G2451">
            <v>131205</v>
          </cell>
          <cell r="H2451">
            <v>171</v>
          </cell>
        </row>
        <row r="2452">
          <cell r="A2452" t="str">
            <v>035.073</v>
          </cell>
          <cell r="B2452" t="str">
            <v>E40</v>
          </cell>
          <cell r="C2452" t="str">
            <v>EQUIPOS-HERRAMIENTA P/FUSION DE TUBERIA</v>
          </cell>
          <cell r="D2452" t="str">
            <v>Equipos</v>
          </cell>
          <cell r="E2452" t="str">
            <v>M</v>
          </cell>
          <cell r="F2452">
            <v>0.2</v>
          </cell>
          <cell r="G2452">
            <v>13120</v>
          </cell>
          <cell r="H2452">
            <v>2624</v>
          </cell>
        </row>
        <row r="2453">
          <cell r="A2453" t="str">
            <v>035.073</v>
          </cell>
          <cell r="B2453" t="str">
            <v>H2</v>
          </cell>
          <cell r="C2453" t="str">
            <v>EQUIPO BASICO (HERRAMIENTA MENOR)</v>
          </cell>
          <cell r="D2453" t="str">
            <v>Herramienta</v>
          </cell>
          <cell r="E2453" t="str">
            <v>UND</v>
          </cell>
          <cell r="F2453">
            <v>0.1</v>
          </cell>
          <cell r="G2453">
            <v>2536</v>
          </cell>
          <cell r="H2453">
            <v>254</v>
          </cell>
        </row>
        <row r="2454">
          <cell r="A2454" t="str">
            <v>035.073</v>
          </cell>
          <cell r="B2454" t="str">
            <v>I1565</v>
          </cell>
          <cell r="C2454" t="str">
            <v>ACARREO INTERNO</v>
          </cell>
          <cell r="D2454" t="str">
            <v>Insumo</v>
          </cell>
          <cell r="E2454" t="str">
            <v>UND</v>
          </cell>
          <cell r="F2454">
            <v>0.19900000000000001</v>
          </cell>
          <cell r="G2454">
            <v>1327</v>
          </cell>
          <cell r="H2454">
            <v>264</v>
          </cell>
        </row>
        <row r="2455">
          <cell r="A2455" t="str">
            <v>035.073</v>
          </cell>
          <cell r="B2455" t="str">
            <v>I914</v>
          </cell>
          <cell r="C2455" t="str">
            <v>VALVULA DE COMPUERTA  4"</v>
          </cell>
          <cell r="D2455" t="str">
            <v>Insumo</v>
          </cell>
          <cell r="E2455" t="str">
            <v>UND</v>
          </cell>
          <cell r="F2455">
            <v>1</v>
          </cell>
          <cell r="G2455">
            <v>487900</v>
          </cell>
          <cell r="H2455">
            <v>487900</v>
          </cell>
        </row>
        <row r="2457">
          <cell r="A2457" t="str">
            <v>035.074</v>
          </cell>
          <cell r="B2457" t="str">
            <v>-</v>
          </cell>
          <cell r="C2457" t="str">
            <v>SUMINISTRO, TRANSPORTE E INSTALACION DE VALVULA FLOTADOR EN BRONCE DE 2"</v>
          </cell>
          <cell r="D2457" t="str">
            <v>Actividad</v>
          </cell>
          <cell r="E2457" t="str">
            <v>UND</v>
          </cell>
          <cell r="H2457">
            <v>290316</v>
          </cell>
        </row>
        <row r="2458">
          <cell r="A2458" t="str">
            <v>035.074</v>
          </cell>
          <cell r="B2458" t="str">
            <v>C2</v>
          </cell>
          <cell r="C2458" t="str">
            <v>CUADRILLA BB TIPO 1 (1 OFICIAL + 1 AYUDANTE) (Instalaciones)</v>
          </cell>
          <cell r="D2458" t="str">
            <v>Cuadrilla</v>
          </cell>
          <cell r="E2458" t="str">
            <v>HR</v>
          </cell>
          <cell r="F2458">
            <v>0.4</v>
          </cell>
          <cell r="G2458">
            <v>18383</v>
          </cell>
          <cell r="H2458">
            <v>7353</v>
          </cell>
        </row>
        <row r="2459">
          <cell r="A2459" t="str">
            <v>035.074</v>
          </cell>
          <cell r="B2459" t="str">
            <v>E12</v>
          </cell>
          <cell r="C2459" t="str">
            <v>EQUIPO DE TRANSPORTE</v>
          </cell>
          <cell r="D2459" t="str">
            <v>Equipos</v>
          </cell>
          <cell r="E2459" t="str">
            <v>DIA</v>
          </cell>
          <cell r="F2459">
            <v>1.2999999999999999E-3</v>
          </cell>
          <cell r="G2459">
            <v>131205</v>
          </cell>
          <cell r="H2459">
            <v>171</v>
          </cell>
        </row>
        <row r="2460">
          <cell r="A2460" t="str">
            <v>035.074</v>
          </cell>
          <cell r="B2460" t="str">
            <v>E40</v>
          </cell>
          <cell r="C2460" t="str">
            <v>EQUIPOS-HERRAMIENTA P/FUSION DE TUBERIA</v>
          </cell>
          <cell r="D2460" t="str">
            <v>Equipos</v>
          </cell>
          <cell r="E2460" t="str">
            <v>M</v>
          </cell>
          <cell r="F2460">
            <v>0.2</v>
          </cell>
          <cell r="G2460">
            <v>13120</v>
          </cell>
          <cell r="H2460">
            <v>2624</v>
          </cell>
        </row>
        <row r="2461">
          <cell r="A2461" t="str">
            <v>035.074</v>
          </cell>
          <cell r="B2461" t="str">
            <v>H2</v>
          </cell>
          <cell r="C2461" t="str">
            <v>EQUIPO BASICO (HERRAMIENTA MENOR)</v>
          </cell>
          <cell r="D2461" t="str">
            <v>Herramienta</v>
          </cell>
          <cell r="E2461" t="str">
            <v>UND</v>
          </cell>
          <cell r="F2461">
            <v>0.1</v>
          </cell>
          <cell r="G2461">
            <v>2536</v>
          </cell>
          <cell r="H2461">
            <v>254</v>
          </cell>
        </row>
        <row r="2462">
          <cell r="A2462" t="str">
            <v>035.074</v>
          </cell>
          <cell r="B2462" t="str">
            <v>I1565</v>
          </cell>
          <cell r="C2462" t="str">
            <v>ACARREO INTERNO</v>
          </cell>
          <cell r="D2462" t="str">
            <v>Insumo</v>
          </cell>
          <cell r="E2462" t="str">
            <v>UND</v>
          </cell>
          <cell r="F2462">
            <v>0.19900000000000001</v>
          </cell>
          <cell r="G2462">
            <v>1327</v>
          </cell>
          <cell r="H2462">
            <v>264</v>
          </cell>
        </row>
        <row r="2463">
          <cell r="A2463" t="str">
            <v>035.074</v>
          </cell>
          <cell r="B2463" t="str">
            <v>I914</v>
          </cell>
          <cell r="C2463" t="str">
            <v>VALVULA FLOTADOR EN BRONCE DE 2"</v>
          </cell>
          <cell r="D2463" t="str">
            <v>Insumo</v>
          </cell>
          <cell r="E2463" t="str">
            <v>UND</v>
          </cell>
          <cell r="F2463">
            <v>1</v>
          </cell>
          <cell r="G2463">
            <v>279650</v>
          </cell>
          <cell r="H2463">
            <v>279650</v>
          </cell>
        </row>
        <row r="2465">
          <cell r="A2465" t="str">
            <v>035.075</v>
          </cell>
          <cell r="B2465" t="str">
            <v>-</v>
          </cell>
          <cell r="C2465" t="str">
            <v>SUMINISTRO, TRANSPORTE E INSTALACION BOMBA ALTA PRESION CON MOTOR ELECTRICO KE 3 - 25HP / 220-240V - 94mca (134PSI) - 297GPM Y/O SIMILAR</v>
          </cell>
          <cell r="D2465" t="str">
            <v>Actividad</v>
          </cell>
          <cell r="E2465" t="str">
            <v>UND</v>
          </cell>
          <cell r="H2465">
            <v>4597900</v>
          </cell>
        </row>
        <row r="2466">
          <cell r="A2466" t="str">
            <v>035.075</v>
          </cell>
          <cell r="B2466" t="str">
            <v>C2</v>
          </cell>
          <cell r="C2466" t="str">
            <v>CUADRILLA BB TIPO 1 (1 OFICIAL + 1 AYUDANTE) (Instalaciones)</v>
          </cell>
          <cell r="D2466" t="str">
            <v>Cuadrilla</v>
          </cell>
          <cell r="E2466" t="str">
            <v>HR</v>
          </cell>
          <cell r="F2466">
            <v>0.4</v>
          </cell>
          <cell r="G2466">
            <v>18383</v>
          </cell>
          <cell r="H2466">
            <v>7353</v>
          </cell>
        </row>
        <row r="2467">
          <cell r="A2467" t="str">
            <v>035.075</v>
          </cell>
          <cell r="B2467" t="str">
            <v>E12</v>
          </cell>
          <cell r="C2467" t="str">
            <v>EQUIPO DE TRANSPORTE</v>
          </cell>
          <cell r="D2467" t="str">
            <v>Equipos</v>
          </cell>
          <cell r="E2467" t="str">
            <v>DIA</v>
          </cell>
          <cell r="F2467">
            <v>1.2999999999999999E-3</v>
          </cell>
          <cell r="G2467">
            <v>131205</v>
          </cell>
          <cell r="H2467">
            <v>171</v>
          </cell>
        </row>
        <row r="2468">
          <cell r="A2468" t="str">
            <v>035.075</v>
          </cell>
          <cell r="B2468" t="str">
            <v>E40</v>
          </cell>
          <cell r="C2468" t="str">
            <v>EQUIPOS-HERRAMIENTA P/FUSION DE TUBERIA</v>
          </cell>
          <cell r="D2468" t="str">
            <v>Equipos</v>
          </cell>
          <cell r="E2468" t="str">
            <v>M</v>
          </cell>
          <cell r="F2468">
            <v>0.2</v>
          </cell>
          <cell r="G2468">
            <v>13120</v>
          </cell>
          <cell r="H2468">
            <v>2624</v>
          </cell>
        </row>
        <row r="2469">
          <cell r="A2469" t="str">
            <v>035.075</v>
          </cell>
          <cell r="B2469" t="str">
            <v>H2</v>
          </cell>
          <cell r="C2469" t="str">
            <v>EQUIPO BASICO (HERRAMIENTA MENOR)</v>
          </cell>
          <cell r="D2469" t="str">
            <v>Herramienta</v>
          </cell>
          <cell r="E2469" t="str">
            <v>UND</v>
          </cell>
          <cell r="F2469">
            <v>0.1</v>
          </cell>
          <cell r="G2469">
            <v>2536</v>
          </cell>
          <cell r="H2469">
            <v>254</v>
          </cell>
        </row>
        <row r="2470">
          <cell r="A2470" t="str">
            <v>035.075</v>
          </cell>
          <cell r="B2470" t="str">
            <v>I1565</v>
          </cell>
          <cell r="C2470" t="str">
            <v>ACARREO INTERNO</v>
          </cell>
          <cell r="D2470" t="str">
            <v>Insumo</v>
          </cell>
          <cell r="E2470" t="str">
            <v>UND</v>
          </cell>
          <cell r="F2470">
            <v>0.19900000000000001</v>
          </cell>
          <cell r="G2470">
            <v>1327</v>
          </cell>
          <cell r="H2470">
            <v>264</v>
          </cell>
        </row>
        <row r="2471">
          <cell r="A2471" t="str">
            <v>035.075</v>
          </cell>
          <cell r="B2471" t="str">
            <v>I914</v>
          </cell>
          <cell r="C2471" t="str">
            <v>BOMBA ALTA PRESION CON MOTOR ELECTRICO KE 3 - 25HP / 220-240V - 94mca (134PSI) - 297GPM Y/O SIMILAR</v>
          </cell>
          <cell r="D2471" t="str">
            <v>Insumo</v>
          </cell>
          <cell r="E2471" t="str">
            <v>UND</v>
          </cell>
          <cell r="F2471">
            <v>1</v>
          </cell>
          <cell r="G2471">
            <v>4587234</v>
          </cell>
          <cell r="H2471">
            <v>4587234</v>
          </cell>
        </row>
        <row r="2473">
          <cell r="A2473" t="str">
            <v>035.076</v>
          </cell>
          <cell r="B2473" t="str">
            <v>-</v>
          </cell>
          <cell r="C2473" t="str">
            <v>SUMINISTRO, TRANSPORTE E INSTALACION FILTRO SACI PUMPS 2500mm (2.5Ø9 - 156m³/h) Y/O SIMILAR</v>
          </cell>
          <cell r="D2473" t="str">
            <v>Actividad</v>
          </cell>
          <cell r="E2473" t="str">
            <v>UND</v>
          </cell>
          <cell r="H2473">
            <v>29848985</v>
          </cell>
        </row>
        <row r="2474">
          <cell r="A2474" t="str">
            <v>035.076</v>
          </cell>
          <cell r="B2474" t="str">
            <v>C2</v>
          </cell>
          <cell r="C2474" t="str">
            <v>CUADRILLA BB TIPO 1 (1 OFICIAL + 1 AYUDANTE) (Instalaciones)</v>
          </cell>
          <cell r="D2474" t="str">
            <v>Cuadrilla</v>
          </cell>
          <cell r="E2474" t="str">
            <v>HR</v>
          </cell>
          <cell r="F2474">
            <v>0.4</v>
          </cell>
          <cell r="G2474">
            <v>18383</v>
          </cell>
          <cell r="H2474">
            <v>7353</v>
          </cell>
        </row>
        <row r="2475">
          <cell r="A2475" t="str">
            <v>035.076</v>
          </cell>
          <cell r="B2475" t="str">
            <v>E12</v>
          </cell>
          <cell r="C2475" t="str">
            <v>EQUIPO DE TRANSPORTE</v>
          </cell>
          <cell r="D2475" t="str">
            <v>Equipos</v>
          </cell>
          <cell r="E2475" t="str">
            <v>DIA</v>
          </cell>
          <cell r="F2475">
            <v>1.2999999999999999E-3</v>
          </cell>
          <cell r="G2475">
            <v>131205</v>
          </cell>
          <cell r="H2475">
            <v>171</v>
          </cell>
        </row>
        <row r="2476">
          <cell r="A2476" t="str">
            <v>035.076</v>
          </cell>
          <cell r="B2476" t="str">
            <v>E40</v>
          </cell>
          <cell r="C2476" t="str">
            <v>EQUIPOS-HERRAMIENTA P/FUSION DE TUBERIA</v>
          </cell>
          <cell r="D2476" t="str">
            <v>Equipos</v>
          </cell>
          <cell r="E2476" t="str">
            <v>M</v>
          </cell>
          <cell r="F2476">
            <v>0.2</v>
          </cell>
          <cell r="G2476">
            <v>13120</v>
          </cell>
          <cell r="H2476">
            <v>2624</v>
          </cell>
        </row>
        <row r="2477">
          <cell r="A2477" t="str">
            <v>035.076</v>
          </cell>
          <cell r="B2477" t="str">
            <v>H2</v>
          </cell>
          <cell r="C2477" t="str">
            <v>EQUIPO BASICO (HERRAMIENTA MENOR)</v>
          </cell>
          <cell r="D2477" t="str">
            <v>Herramienta</v>
          </cell>
          <cell r="E2477" t="str">
            <v>UND</v>
          </cell>
          <cell r="F2477">
            <v>0.1</v>
          </cell>
          <cell r="G2477">
            <v>2536</v>
          </cell>
          <cell r="H2477">
            <v>254</v>
          </cell>
        </row>
        <row r="2478">
          <cell r="A2478" t="str">
            <v>035.076</v>
          </cell>
          <cell r="B2478" t="str">
            <v>I1565</v>
          </cell>
          <cell r="C2478" t="str">
            <v>ACARREO INTERNO</v>
          </cell>
          <cell r="D2478" t="str">
            <v>Insumo</v>
          </cell>
          <cell r="E2478" t="str">
            <v>UND</v>
          </cell>
          <cell r="F2478">
            <v>0.19900000000000001</v>
          </cell>
          <cell r="G2478">
            <v>1327</v>
          </cell>
          <cell r="H2478">
            <v>264</v>
          </cell>
        </row>
        <row r="2479">
          <cell r="A2479" t="str">
            <v>035.076</v>
          </cell>
          <cell r="B2479" t="str">
            <v>I914</v>
          </cell>
          <cell r="C2479" t="str">
            <v>FILTRO SACI PUMPS 2500mm (2.5Ø9 - 156m³/h) Y/O SIMILAR</v>
          </cell>
          <cell r="D2479" t="str">
            <v>Insumo</v>
          </cell>
          <cell r="E2479" t="str">
            <v>UND</v>
          </cell>
          <cell r="F2479">
            <v>1</v>
          </cell>
          <cell r="G2479">
            <v>29838319</v>
          </cell>
          <cell r="H2479">
            <v>29838319</v>
          </cell>
        </row>
        <row r="2481">
          <cell r="A2481" t="str">
            <v>035.077</v>
          </cell>
          <cell r="B2481" t="str">
            <v>-</v>
          </cell>
          <cell r="C2481" t="str">
            <v>SUMINISTRO, TRANSPORTE E INSTALACION FILTRO TOMA DE PARED LATERAL /TOMA ASPIRADORA) DE 2"</v>
          </cell>
          <cell r="D2481" t="str">
            <v>Actividad</v>
          </cell>
          <cell r="E2481" t="str">
            <v>UND</v>
          </cell>
          <cell r="H2481">
            <v>96166</v>
          </cell>
        </row>
        <row r="2482">
          <cell r="A2482" t="str">
            <v>035.077</v>
          </cell>
          <cell r="B2482" t="str">
            <v>C2</v>
          </cell>
          <cell r="C2482" t="str">
            <v>CUADRILLA BB TIPO 1 (1 OFICIAL + 1 AYUDANTE) (Instalaciones)</v>
          </cell>
          <cell r="D2482" t="str">
            <v>Cuadrilla</v>
          </cell>
          <cell r="E2482" t="str">
            <v>HR</v>
          </cell>
          <cell r="F2482">
            <v>0.4</v>
          </cell>
          <cell r="G2482">
            <v>18383</v>
          </cell>
          <cell r="H2482">
            <v>7353</v>
          </cell>
        </row>
        <row r="2483">
          <cell r="A2483" t="str">
            <v>035.077</v>
          </cell>
          <cell r="B2483" t="str">
            <v>E12</v>
          </cell>
          <cell r="C2483" t="str">
            <v>EQUIPO DE TRANSPORTE</v>
          </cell>
          <cell r="D2483" t="str">
            <v>Equipos</v>
          </cell>
          <cell r="E2483" t="str">
            <v>DIA</v>
          </cell>
          <cell r="F2483">
            <v>1.2999999999999999E-3</v>
          </cell>
          <cell r="G2483">
            <v>131205</v>
          </cell>
          <cell r="H2483">
            <v>171</v>
          </cell>
        </row>
        <row r="2484">
          <cell r="A2484" t="str">
            <v>035.077</v>
          </cell>
          <cell r="B2484" t="str">
            <v>E40</v>
          </cell>
          <cell r="C2484" t="str">
            <v>EQUIPOS-HERRAMIENTA P/FUSION DE TUBERIA</v>
          </cell>
          <cell r="D2484" t="str">
            <v>Equipos</v>
          </cell>
          <cell r="E2484" t="str">
            <v>M</v>
          </cell>
          <cell r="F2484">
            <v>0.2</v>
          </cell>
          <cell r="G2484">
            <v>13120</v>
          </cell>
          <cell r="H2484">
            <v>2624</v>
          </cell>
        </row>
        <row r="2485">
          <cell r="A2485" t="str">
            <v>035.077</v>
          </cell>
          <cell r="B2485" t="str">
            <v>H2</v>
          </cell>
          <cell r="C2485" t="str">
            <v>EQUIPO BASICO (HERRAMIENTA MENOR)</v>
          </cell>
          <cell r="D2485" t="str">
            <v>Herramienta</v>
          </cell>
          <cell r="E2485" t="str">
            <v>UND</v>
          </cell>
          <cell r="F2485">
            <v>0.1</v>
          </cell>
          <cell r="G2485">
            <v>2536</v>
          </cell>
          <cell r="H2485">
            <v>254</v>
          </cell>
        </row>
        <row r="2486">
          <cell r="A2486" t="str">
            <v>035.077</v>
          </cell>
          <cell r="B2486" t="str">
            <v>I1565</v>
          </cell>
          <cell r="C2486" t="str">
            <v>ACARREO INTERNO</v>
          </cell>
          <cell r="D2486" t="str">
            <v>Insumo</v>
          </cell>
          <cell r="E2486" t="str">
            <v>UND</v>
          </cell>
          <cell r="F2486">
            <v>0.19900000000000001</v>
          </cell>
          <cell r="G2486">
            <v>1327</v>
          </cell>
          <cell r="H2486">
            <v>264</v>
          </cell>
        </row>
        <row r="2487">
          <cell r="A2487" t="str">
            <v>035.077</v>
          </cell>
          <cell r="B2487" t="str">
            <v>I914</v>
          </cell>
          <cell r="C2487" t="str">
            <v>FILTRO TOMA DE PARED LATERAL /TOMA ASPIRADORA) DE 2"</v>
          </cell>
          <cell r="D2487" t="str">
            <v>Insumo</v>
          </cell>
          <cell r="E2487" t="str">
            <v>UND</v>
          </cell>
          <cell r="F2487">
            <v>1</v>
          </cell>
          <cell r="G2487">
            <v>85500</v>
          </cell>
          <cell r="H2487">
            <v>85500</v>
          </cell>
        </row>
        <row r="2489">
          <cell r="A2489" t="str">
            <v>035.078</v>
          </cell>
          <cell r="B2489" t="str">
            <v>-</v>
          </cell>
          <cell r="C2489" t="str">
            <v>SUMINISTRO, TRANSPORTE E INSTALACION FILTRO BOQUILLA DE INYECCION DE 2"</v>
          </cell>
          <cell r="D2489" t="str">
            <v>Actividad</v>
          </cell>
          <cell r="E2489" t="str">
            <v>UND</v>
          </cell>
          <cell r="H2489">
            <v>96166</v>
          </cell>
        </row>
        <row r="2490">
          <cell r="A2490" t="str">
            <v>035.078</v>
          </cell>
          <cell r="B2490" t="str">
            <v>C2</v>
          </cell>
          <cell r="C2490" t="str">
            <v>CUADRILLA BB TIPO 1 (1 OFICIAL + 1 AYUDANTE) (Instalaciones)</v>
          </cell>
          <cell r="D2490" t="str">
            <v>Cuadrilla</v>
          </cell>
          <cell r="E2490" t="str">
            <v>HR</v>
          </cell>
          <cell r="F2490">
            <v>0.4</v>
          </cell>
          <cell r="G2490">
            <v>18383</v>
          </cell>
          <cell r="H2490">
            <v>7353</v>
          </cell>
        </row>
        <row r="2491">
          <cell r="A2491" t="str">
            <v>035.078</v>
          </cell>
          <cell r="B2491" t="str">
            <v>E12</v>
          </cell>
          <cell r="C2491" t="str">
            <v>EQUIPO DE TRANSPORTE</v>
          </cell>
          <cell r="D2491" t="str">
            <v>Equipos</v>
          </cell>
          <cell r="E2491" t="str">
            <v>DIA</v>
          </cell>
          <cell r="F2491">
            <v>1.2999999999999999E-3</v>
          </cell>
          <cell r="G2491">
            <v>131205</v>
          </cell>
          <cell r="H2491">
            <v>171</v>
          </cell>
        </row>
        <row r="2492">
          <cell r="A2492" t="str">
            <v>035.078</v>
          </cell>
          <cell r="B2492" t="str">
            <v>E40</v>
          </cell>
          <cell r="C2492" t="str">
            <v>EQUIPOS-HERRAMIENTA P/FUSION DE TUBERIA</v>
          </cell>
          <cell r="D2492" t="str">
            <v>Equipos</v>
          </cell>
          <cell r="E2492" t="str">
            <v>M</v>
          </cell>
          <cell r="F2492">
            <v>0.2</v>
          </cell>
          <cell r="G2492">
            <v>13120</v>
          </cell>
          <cell r="H2492">
            <v>2624</v>
          </cell>
        </row>
        <row r="2493">
          <cell r="A2493" t="str">
            <v>035.078</v>
          </cell>
          <cell r="B2493" t="str">
            <v>H2</v>
          </cell>
          <cell r="C2493" t="str">
            <v>EQUIPO BASICO (HERRAMIENTA MENOR)</v>
          </cell>
          <cell r="D2493" t="str">
            <v>Herramienta</v>
          </cell>
          <cell r="E2493" t="str">
            <v>UND</v>
          </cell>
          <cell r="F2493">
            <v>0.1</v>
          </cell>
          <cell r="G2493">
            <v>2536</v>
          </cell>
          <cell r="H2493">
            <v>254</v>
          </cell>
        </row>
        <row r="2494">
          <cell r="A2494" t="str">
            <v>035.078</v>
          </cell>
          <cell r="B2494" t="str">
            <v>I1565</v>
          </cell>
          <cell r="C2494" t="str">
            <v>ACARREO INTERNO</v>
          </cell>
          <cell r="D2494" t="str">
            <v>Insumo</v>
          </cell>
          <cell r="E2494" t="str">
            <v>UND</v>
          </cell>
          <cell r="F2494">
            <v>0.19900000000000001</v>
          </cell>
          <cell r="G2494">
            <v>1327</v>
          </cell>
          <cell r="H2494">
            <v>264</v>
          </cell>
        </row>
        <row r="2495">
          <cell r="A2495" t="str">
            <v>035.078</v>
          </cell>
          <cell r="B2495" t="str">
            <v>I914</v>
          </cell>
          <cell r="C2495" t="str">
            <v>FILTRO BOQUILLA DE INYECCION DE 2"</v>
          </cell>
          <cell r="D2495" t="str">
            <v>Insumo</v>
          </cell>
          <cell r="E2495" t="str">
            <v>UND</v>
          </cell>
          <cell r="F2495">
            <v>1</v>
          </cell>
          <cell r="G2495">
            <v>85500</v>
          </cell>
          <cell r="H2495">
            <v>85500</v>
          </cell>
        </row>
        <row r="2497">
          <cell r="A2497" t="str">
            <v>035.079</v>
          </cell>
          <cell r="B2497" t="str">
            <v>-</v>
          </cell>
          <cell r="C2497" t="str">
            <v>SUMINISTRO, TRANSPORTE E INSTALACION FILTRO DESAGUE FONDO DE PISCINA 6"</v>
          </cell>
          <cell r="D2497" t="str">
            <v>Actividad</v>
          </cell>
          <cell r="E2497" t="str">
            <v>UND</v>
          </cell>
          <cell r="H2497">
            <v>486666</v>
          </cell>
        </row>
        <row r="2498">
          <cell r="A2498" t="str">
            <v>035.079</v>
          </cell>
          <cell r="B2498" t="str">
            <v>C2</v>
          </cell>
          <cell r="C2498" t="str">
            <v>CUADRILLA BB TIPO 1 (1 OFICIAL + 1 AYUDANTE) (Instalaciones)</v>
          </cell>
          <cell r="D2498" t="str">
            <v>Cuadrilla</v>
          </cell>
          <cell r="E2498" t="str">
            <v>HR</v>
          </cell>
          <cell r="F2498">
            <v>0.4</v>
          </cell>
          <cell r="G2498">
            <v>18383</v>
          </cell>
          <cell r="H2498">
            <v>7353</v>
          </cell>
        </row>
        <row r="2499">
          <cell r="A2499" t="str">
            <v>035.079</v>
          </cell>
          <cell r="B2499" t="str">
            <v>E12</v>
          </cell>
          <cell r="C2499" t="str">
            <v>EQUIPO DE TRANSPORTE</v>
          </cell>
          <cell r="D2499" t="str">
            <v>Equipos</v>
          </cell>
          <cell r="E2499" t="str">
            <v>DIA</v>
          </cell>
          <cell r="F2499">
            <v>1.2999999999999999E-3</v>
          </cell>
          <cell r="G2499">
            <v>131205</v>
          </cell>
          <cell r="H2499">
            <v>171</v>
          </cell>
        </row>
        <row r="2500">
          <cell r="A2500" t="str">
            <v>035.079</v>
          </cell>
          <cell r="B2500" t="str">
            <v>E40</v>
          </cell>
          <cell r="C2500" t="str">
            <v>EQUIPOS-HERRAMIENTA P/FUSION DE TUBERIA</v>
          </cell>
          <cell r="D2500" t="str">
            <v>Equipos</v>
          </cell>
          <cell r="E2500" t="str">
            <v>M</v>
          </cell>
          <cell r="F2500">
            <v>0.2</v>
          </cell>
          <cell r="G2500">
            <v>13120</v>
          </cell>
          <cell r="H2500">
            <v>2624</v>
          </cell>
        </row>
        <row r="2501">
          <cell r="A2501" t="str">
            <v>035.079</v>
          </cell>
          <cell r="B2501" t="str">
            <v>H2</v>
          </cell>
          <cell r="C2501" t="str">
            <v>EQUIPO BASICO (HERRAMIENTA MENOR)</v>
          </cell>
          <cell r="D2501" t="str">
            <v>Herramienta</v>
          </cell>
          <cell r="E2501" t="str">
            <v>UND</v>
          </cell>
          <cell r="F2501">
            <v>0.1</v>
          </cell>
          <cell r="G2501">
            <v>2536</v>
          </cell>
          <cell r="H2501">
            <v>254</v>
          </cell>
        </row>
        <row r="2502">
          <cell r="A2502" t="str">
            <v>035.079</v>
          </cell>
          <cell r="B2502" t="str">
            <v>I1565</v>
          </cell>
          <cell r="C2502" t="str">
            <v>ACARREO INTERNO</v>
          </cell>
          <cell r="D2502" t="str">
            <v>Insumo</v>
          </cell>
          <cell r="E2502" t="str">
            <v>UND</v>
          </cell>
          <cell r="F2502">
            <v>0.19900000000000001</v>
          </cell>
          <cell r="G2502">
            <v>1327</v>
          </cell>
          <cell r="H2502">
            <v>264</v>
          </cell>
        </row>
        <row r="2503">
          <cell r="A2503" t="str">
            <v>035.079</v>
          </cell>
          <cell r="B2503" t="str">
            <v>I914</v>
          </cell>
          <cell r="C2503" t="str">
            <v>FILTRO DESAGUE FONDO DE PISCINA 6"</v>
          </cell>
          <cell r="D2503" t="str">
            <v>Insumo</v>
          </cell>
          <cell r="E2503" t="str">
            <v>UND</v>
          </cell>
          <cell r="F2503">
            <v>1</v>
          </cell>
          <cell r="G2503">
            <v>476000</v>
          </cell>
          <cell r="H2503">
            <v>476000</v>
          </cell>
        </row>
        <row r="2505">
          <cell r="A2505" t="str">
            <v>035.080</v>
          </cell>
          <cell r="B2505" t="str">
            <v>-</v>
          </cell>
          <cell r="C2505" t="str">
            <v>SUMINISTRO, TRANSPORTE E INSTALACION FILTRO CANAL PERIMETRAL EN  PLASTICO 4"</v>
          </cell>
          <cell r="D2505" t="str">
            <v>Actividad</v>
          </cell>
          <cell r="E2505" t="str">
            <v>ML</v>
          </cell>
          <cell r="H2505">
            <v>42666</v>
          </cell>
        </row>
        <row r="2506">
          <cell r="A2506" t="str">
            <v>035.080</v>
          </cell>
          <cell r="B2506" t="str">
            <v>C2</v>
          </cell>
          <cell r="C2506" t="str">
            <v>CUADRILLA BB TIPO 1 (1 OFICIAL + 1 AYUDANTE) (Instalaciones)</v>
          </cell>
          <cell r="D2506" t="str">
            <v>Cuadrilla</v>
          </cell>
          <cell r="E2506" t="str">
            <v>HR</v>
          </cell>
          <cell r="F2506">
            <v>0.4</v>
          </cell>
          <cell r="G2506">
            <v>18383</v>
          </cell>
          <cell r="H2506">
            <v>7353</v>
          </cell>
        </row>
        <row r="2507">
          <cell r="A2507" t="str">
            <v>035.080</v>
          </cell>
          <cell r="B2507" t="str">
            <v>E12</v>
          </cell>
          <cell r="C2507" t="str">
            <v>EQUIPO DE TRANSPORTE</v>
          </cell>
          <cell r="D2507" t="str">
            <v>Equipos</v>
          </cell>
          <cell r="E2507" t="str">
            <v>DIA</v>
          </cell>
          <cell r="F2507">
            <v>1.2999999999999999E-3</v>
          </cell>
          <cell r="G2507">
            <v>131205</v>
          </cell>
          <cell r="H2507">
            <v>171</v>
          </cell>
        </row>
        <row r="2508">
          <cell r="A2508" t="str">
            <v>035.080</v>
          </cell>
          <cell r="B2508" t="str">
            <v>E40</v>
          </cell>
          <cell r="C2508" t="str">
            <v>EQUIPOS-HERRAMIENTA P/FUSION DE TUBERIA</v>
          </cell>
          <cell r="D2508" t="str">
            <v>Equipos</v>
          </cell>
          <cell r="E2508" t="str">
            <v>M</v>
          </cell>
          <cell r="F2508">
            <v>0.2</v>
          </cell>
          <cell r="G2508">
            <v>13120</v>
          </cell>
          <cell r="H2508">
            <v>2624</v>
          </cell>
        </row>
        <row r="2509">
          <cell r="A2509" t="str">
            <v>035.080</v>
          </cell>
          <cell r="B2509" t="str">
            <v>H2</v>
          </cell>
          <cell r="C2509" t="str">
            <v>EQUIPO BASICO (HERRAMIENTA MENOR)</v>
          </cell>
          <cell r="D2509" t="str">
            <v>Herramienta</v>
          </cell>
          <cell r="E2509" t="str">
            <v>UND</v>
          </cell>
          <cell r="F2509">
            <v>0.1</v>
          </cell>
          <cell r="G2509">
            <v>2536</v>
          </cell>
          <cell r="H2509">
            <v>254</v>
          </cell>
        </row>
        <row r="2510">
          <cell r="A2510" t="str">
            <v>035.080</v>
          </cell>
          <cell r="B2510" t="str">
            <v>I1565</v>
          </cell>
          <cell r="C2510" t="str">
            <v>ACARREO INTERNO</v>
          </cell>
          <cell r="D2510" t="str">
            <v>Insumo</v>
          </cell>
          <cell r="E2510" t="str">
            <v>UND</v>
          </cell>
          <cell r="F2510">
            <v>0.19900000000000001</v>
          </cell>
          <cell r="G2510">
            <v>1327</v>
          </cell>
          <cell r="H2510">
            <v>264</v>
          </cell>
        </row>
        <row r="2511">
          <cell r="A2511" t="str">
            <v>035.080</v>
          </cell>
          <cell r="B2511" t="str">
            <v>I914</v>
          </cell>
          <cell r="C2511" t="str">
            <v>FILTRO CANAL PERIMETRAL EN  PLASTICO 4"</v>
          </cell>
          <cell r="D2511" t="str">
            <v>Insumo</v>
          </cell>
          <cell r="E2511" t="str">
            <v>ML</v>
          </cell>
          <cell r="F2511">
            <v>1</v>
          </cell>
          <cell r="G2511">
            <v>32000</v>
          </cell>
          <cell r="H2511">
            <v>32000</v>
          </cell>
        </row>
        <row r="2514">
          <cell r="A2514" t="str">
            <v>012.065</v>
          </cell>
          <cell r="B2514" t="str">
            <v>-</v>
          </cell>
          <cell r="C2514" t="str">
            <v>SUMINISTRO, TRANSPORTE E INSTALACION PISO MÁRMOL ROYAL VETA JPX40X1 - ACABADO NATURAL</v>
          </cell>
          <cell r="D2514" t="str">
            <v>Actividad</v>
          </cell>
          <cell r="E2514" t="str">
            <v>M2</v>
          </cell>
          <cell r="H2514">
            <v>124097</v>
          </cell>
        </row>
        <row r="2515">
          <cell r="A2515" t="str">
            <v>012.065</v>
          </cell>
          <cell r="B2515" t="str">
            <v>C1</v>
          </cell>
          <cell r="C2515" t="str">
            <v>CUADRILLA AA TIPO 1 (1 OFICIAL + 1 AYUDANTE) (Albañileria)</v>
          </cell>
          <cell r="D2515" t="str">
            <v>Cuadrilla</v>
          </cell>
          <cell r="E2515" t="str">
            <v>HR</v>
          </cell>
          <cell r="F2515">
            <v>0.66</v>
          </cell>
          <cell r="G2515">
            <v>16712</v>
          </cell>
          <cell r="H2515">
            <v>11030</v>
          </cell>
        </row>
        <row r="2516">
          <cell r="A2516" t="str">
            <v>012.065</v>
          </cell>
          <cell r="B2516" t="str">
            <v>E12</v>
          </cell>
          <cell r="C2516" t="str">
            <v>EQUIPO DE TRANSPORTE</v>
          </cell>
          <cell r="D2516" t="str">
            <v>Equipos</v>
          </cell>
          <cell r="E2516" t="str">
            <v>DIA</v>
          </cell>
          <cell r="F2516">
            <v>1.46E-2</v>
          </cell>
          <cell r="G2516">
            <v>131205</v>
          </cell>
          <cell r="H2516">
            <v>1916</v>
          </cell>
        </row>
        <row r="2517">
          <cell r="A2517" t="str">
            <v>012.065</v>
          </cell>
          <cell r="B2517" t="str">
            <v>H2</v>
          </cell>
          <cell r="C2517" t="str">
            <v>EQUIPO BASICO (HERRAMIENTA MENOR)</v>
          </cell>
          <cell r="D2517" t="str">
            <v>Herramienta</v>
          </cell>
          <cell r="E2517" t="str">
            <v>UND</v>
          </cell>
          <cell r="F2517">
            <v>0.02</v>
          </cell>
          <cell r="G2517">
            <v>2536</v>
          </cell>
          <cell r="H2517">
            <v>51</v>
          </cell>
        </row>
        <row r="2518">
          <cell r="A2518" t="str">
            <v>012.065</v>
          </cell>
          <cell r="B2518" t="str">
            <v>I1093</v>
          </cell>
          <cell r="C2518" t="str">
            <v>PISO MÁRMOL ROYAL VETA JPX40X1 - ACABADO NATURAL</v>
          </cell>
          <cell r="D2518" t="str">
            <v>Insumo</v>
          </cell>
          <cell r="E2518" t="str">
            <v>M2</v>
          </cell>
          <cell r="F2518">
            <v>1</v>
          </cell>
          <cell r="G2518">
            <v>110000</v>
          </cell>
          <cell r="H2518">
            <v>110000</v>
          </cell>
        </row>
        <row r="2519">
          <cell r="A2519" t="str">
            <v>012.065</v>
          </cell>
          <cell r="B2519" t="str">
            <v>I1565</v>
          </cell>
          <cell r="C2519" t="str">
            <v>ACARREO INTERNO</v>
          </cell>
          <cell r="D2519" t="str">
            <v>Insumo</v>
          </cell>
          <cell r="E2519" t="str">
            <v>UND</v>
          </cell>
          <cell r="F2519">
            <v>1</v>
          </cell>
          <cell r="G2519">
            <v>1100</v>
          </cell>
          <cell r="H2519">
            <v>1100</v>
          </cell>
        </row>
        <row r="2521">
          <cell r="A2521" t="str">
            <v>012.079</v>
          </cell>
          <cell r="B2521" t="str">
            <v>-</v>
          </cell>
          <cell r="C2521" t="str">
            <v>SUMINISTRO, TRANSPORTE E INSTALACION PISO CERÁMICO CORONA MIKONOS TECNOLOGIA ARD ALTA RESISTENCIA AL DESLIZAMIENTO COLOR BLANCO O SIMILAR. (INCLUYE DESTRONCADA, PULIDA, BRILLADA, MORTERO DE NIVELACIÓN Y DILATACIONES)</v>
          </cell>
          <cell r="D2521" t="str">
            <v>Actividad</v>
          </cell>
          <cell r="E2521" t="str">
            <v>M2</v>
          </cell>
          <cell r="H2521">
            <v>63472</v>
          </cell>
        </row>
        <row r="2522">
          <cell r="A2522" t="str">
            <v>012.079</v>
          </cell>
          <cell r="B2522" t="str">
            <v>AB20</v>
          </cell>
          <cell r="C2522" t="str">
            <v>MORTERO 1:3</v>
          </cell>
          <cell r="D2522" t="str">
            <v>Analisis</v>
          </cell>
          <cell r="E2522" t="str">
            <v>M3</v>
          </cell>
          <cell r="F2522">
            <v>0.03</v>
          </cell>
          <cell r="G2522">
            <v>449080</v>
          </cell>
          <cell r="H2522">
            <v>13472</v>
          </cell>
        </row>
        <row r="2523">
          <cell r="A2523" t="str">
            <v>012.079</v>
          </cell>
          <cell r="B2523" t="str">
            <v>C1</v>
          </cell>
          <cell r="C2523" t="str">
            <v>CUADRILLA AA TIPO 1 (1 OFICIAL + 1 AYUDANTE) (Albañileria)</v>
          </cell>
          <cell r="D2523" t="str">
            <v>Cuadrilla</v>
          </cell>
          <cell r="E2523" t="str">
            <v>HR</v>
          </cell>
          <cell r="F2523">
            <v>0.7</v>
          </cell>
          <cell r="G2523">
            <v>16712</v>
          </cell>
          <cell r="H2523">
            <v>11698</v>
          </cell>
        </row>
        <row r="2524">
          <cell r="A2524" t="str">
            <v>012.079</v>
          </cell>
          <cell r="B2524" t="str">
            <v>E12</v>
          </cell>
          <cell r="C2524" t="str">
            <v>EQUIPO DE TRANSPORTE</v>
          </cell>
          <cell r="D2524" t="str">
            <v>Equipos</v>
          </cell>
          <cell r="E2524" t="str">
            <v>DIA</v>
          </cell>
          <cell r="F2524">
            <v>1.7100000000000001E-2</v>
          </cell>
          <cell r="G2524">
            <v>131205</v>
          </cell>
          <cell r="H2524">
            <v>2244</v>
          </cell>
        </row>
        <row r="2525">
          <cell r="A2525" t="str">
            <v>012.079</v>
          </cell>
          <cell r="B2525" t="str">
            <v>E73</v>
          </cell>
          <cell r="C2525" t="str">
            <v>DESTRONCADORA DE PISOS 10HP</v>
          </cell>
          <cell r="D2525" t="str">
            <v>Equipos</v>
          </cell>
          <cell r="E2525" t="str">
            <v>DIA</v>
          </cell>
          <cell r="F2525">
            <v>0.05</v>
          </cell>
          <cell r="G2525">
            <v>44137</v>
          </cell>
          <cell r="H2525">
            <v>2207</v>
          </cell>
        </row>
        <row r="2526">
          <cell r="A2526" t="str">
            <v>012.079</v>
          </cell>
          <cell r="B2526" t="str">
            <v>E74</v>
          </cell>
          <cell r="C2526" t="str">
            <v>PULIDORA PISOS</v>
          </cell>
          <cell r="D2526" t="str">
            <v>Equipos</v>
          </cell>
          <cell r="E2526" t="str">
            <v>DIA</v>
          </cell>
          <cell r="F2526">
            <v>0.05</v>
          </cell>
          <cell r="G2526">
            <v>44137</v>
          </cell>
          <cell r="H2526">
            <v>2207</v>
          </cell>
        </row>
        <row r="2527">
          <cell r="A2527" t="str">
            <v>012.079</v>
          </cell>
          <cell r="B2527" t="str">
            <v>E75</v>
          </cell>
          <cell r="C2527" t="str">
            <v>BRILLADORA</v>
          </cell>
          <cell r="D2527" t="str">
            <v>Equipos</v>
          </cell>
          <cell r="E2527" t="str">
            <v>DIA</v>
          </cell>
          <cell r="F2527">
            <v>0.05</v>
          </cell>
          <cell r="G2527">
            <v>44137</v>
          </cell>
          <cell r="H2527">
            <v>2207</v>
          </cell>
        </row>
        <row r="2528">
          <cell r="A2528" t="str">
            <v>012.079</v>
          </cell>
          <cell r="B2528" t="str">
            <v>H2</v>
          </cell>
          <cell r="C2528" t="str">
            <v>EQUIPO BASICO (HERRAMIENTA MENOR)</v>
          </cell>
          <cell r="D2528" t="str">
            <v>Herramienta</v>
          </cell>
          <cell r="E2528" t="str">
            <v>UND</v>
          </cell>
          <cell r="F2528">
            <v>0.02</v>
          </cell>
          <cell r="G2528">
            <v>2536</v>
          </cell>
          <cell r="H2528">
            <v>51</v>
          </cell>
        </row>
        <row r="2529">
          <cell r="A2529" t="str">
            <v>012.079</v>
          </cell>
          <cell r="B2529" t="str">
            <v>I1020</v>
          </cell>
          <cell r="C2529" t="str">
            <v>TINTILLA SELLADORA - TIPO MINWAX O SIMILAR.</v>
          </cell>
          <cell r="D2529" t="str">
            <v>Insumo</v>
          </cell>
          <cell r="E2529" t="str">
            <v>GAL</v>
          </cell>
          <cell r="F2529">
            <v>1E-3</v>
          </cell>
          <cell r="G2529">
            <v>135985</v>
          </cell>
          <cell r="H2529">
            <v>136</v>
          </cell>
        </row>
        <row r="2530">
          <cell r="A2530" t="str">
            <v>012.079</v>
          </cell>
          <cell r="B2530" t="str">
            <v>I1043</v>
          </cell>
          <cell r="C2530" t="str">
            <v>BOQUILLA ALFACOLOR 1-3</v>
          </cell>
          <cell r="D2530" t="str">
            <v>Insumo</v>
          </cell>
          <cell r="E2530" t="str">
            <v>KG</v>
          </cell>
          <cell r="F2530">
            <v>0.25</v>
          </cell>
          <cell r="G2530">
            <v>6151</v>
          </cell>
          <cell r="H2530">
            <v>1538</v>
          </cell>
        </row>
        <row r="2531">
          <cell r="A2531" t="str">
            <v>012.079</v>
          </cell>
          <cell r="B2531" t="str">
            <v>I1090</v>
          </cell>
          <cell r="C2531" t="str">
            <v>CERA POLIMERICA</v>
          </cell>
          <cell r="D2531" t="str">
            <v>Insumo</v>
          </cell>
          <cell r="E2531" t="str">
            <v>LT</v>
          </cell>
          <cell r="F2531">
            <v>3.0000000000000001E-3</v>
          </cell>
          <cell r="G2531">
            <v>77524</v>
          </cell>
          <cell r="H2531">
            <v>233</v>
          </cell>
        </row>
        <row r="2532">
          <cell r="A2532" t="str">
            <v>012.079</v>
          </cell>
          <cell r="B2532" t="str">
            <v>I1565</v>
          </cell>
          <cell r="C2532" t="str">
            <v>ACARREO INTERNO</v>
          </cell>
          <cell r="D2532" t="str">
            <v>Insumo</v>
          </cell>
          <cell r="E2532" t="str">
            <v>UND</v>
          </cell>
          <cell r="F2532">
            <v>0.55400000000000005</v>
          </cell>
          <cell r="G2532">
            <v>1327</v>
          </cell>
          <cell r="H2532">
            <v>735</v>
          </cell>
        </row>
        <row r="2533">
          <cell r="A2533" t="str">
            <v>012.079</v>
          </cell>
          <cell r="B2533" t="str">
            <v>I1946</v>
          </cell>
          <cell r="C2533" t="str">
            <v>PISO CERÁMICO MIKONOS TECNOLOGIA ARD ALTA RESISTENCIA AL DESLIZAMIENTO (COLOR SEGÚN DISEÑO). TIPO CORONA O SIMILAR.</v>
          </cell>
          <cell r="D2533" t="str">
            <v>Insumo</v>
          </cell>
          <cell r="E2533" t="str">
            <v>M2</v>
          </cell>
          <cell r="F2533">
            <v>1.1000000000000001</v>
          </cell>
          <cell r="G2533">
            <v>24258</v>
          </cell>
          <cell r="H2533">
            <v>26684</v>
          </cell>
        </row>
        <row r="2534">
          <cell r="A2534" t="str">
            <v>012.079</v>
          </cell>
          <cell r="B2534" t="str">
            <v>I49</v>
          </cell>
          <cell r="C2534" t="str">
            <v>AGUA LITRO</v>
          </cell>
          <cell r="D2534" t="str">
            <v>Insumo</v>
          </cell>
          <cell r="E2534" t="str">
            <v>LT</v>
          </cell>
          <cell r="F2534">
            <v>2.5</v>
          </cell>
          <cell r="G2534">
            <v>24</v>
          </cell>
          <cell r="H2534">
            <v>60</v>
          </cell>
        </row>
        <row r="2537">
          <cell r="A2537" t="str">
            <v>012.080</v>
          </cell>
          <cell r="C2537" t="str">
            <v>IMPERMEABILIZACIÓN DE JUNTA DE CONSTRUCCIÓN EN CONTACTO CON EL AGUA, CON CINTA DE PVC-P.</v>
          </cell>
          <cell r="D2537" t="str">
            <v>Actividad</v>
          </cell>
          <cell r="E2537" t="str">
            <v>ML</v>
          </cell>
          <cell r="H2537">
            <v>36105.18</v>
          </cell>
        </row>
        <row r="2538">
          <cell r="C2538" t="str">
            <v>Cinta de PVC-P, de 190 mm de anchura y 3 mm de espesor, color azul, para estanqueización de juntas de construcción interiores, incluso grapas de fijación.</v>
          </cell>
          <cell r="D2538" t="str">
            <v>Insumo</v>
          </cell>
          <cell r="E2538" t="str">
            <v>ML</v>
          </cell>
          <cell r="F2538">
            <v>1.05</v>
          </cell>
          <cell r="G2538">
            <v>22789.15</v>
          </cell>
          <cell r="H2538">
            <v>23928.61</v>
          </cell>
        </row>
        <row r="2539">
          <cell r="C2539" t="str">
            <v>Oficial 1ª aplicador de productos impermeabilizantes.</v>
          </cell>
          <cell r="D2539" t="str">
            <v>Cuadrilla</v>
          </cell>
          <cell r="E2539" t="str">
            <v>HR</v>
          </cell>
          <cell r="F2539">
            <v>0.7</v>
          </cell>
          <cell r="G2539">
            <v>16712</v>
          </cell>
          <cell r="H2539">
            <v>11698</v>
          </cell>
        </row>
        <row r="2540">
          <cell r="C2540" t="str">
            <v>Herramienta menor</v>
          </cell>
          <cell r="D2540" t="str">
            <v>Herramienta</v>
          </cell>
          <cell r="E2540" t="str">
            <v>UND</v>
          </cell>
          <cell r="F2540">
            <v>2</v>
          </cell>
          <cell r="G2540">
            <v>23928.61</v>
          </cell>
          <cell r="H2540">
            <v>478.57</v>
          </cell>
        </row>
        <row r="2545">
          <cell r="A2545" t="str">
            <v>012</v>
          </cell>
          <cell r="C2545" t="str">
            <v>RED CONTRA INCENDIOS</v>
          </cell>
          <cell r="D2545" t="str">
            <v>Capitulo</v>
          </cell>
        </row>
        <row r="2547">
          <cell r="A2547" t="str">
            <v>103.001</v>
          </cell>
          <cell r="B2547" t="str">
            <v>-</v>
          </cell>
          <cell r="C2547" t="str">
            <v>SUMINISTRO, TRANSPORTE E INSTALACION Tuberia PVC AWWA C 900 DR18 de 4"</v>
          </cell>
          <cell r="D2547" t="str">
            <v>Actividad</v>
          </cell>
          <cell r="E2547" t="str">
            <v>ML</v>
          </cell>
          <cell r="H2547">
            <v>74289</v>
          </cell>
        </row>
        <row r="2548">
          <cell r="A2548" t="str">
            <v>103.001</v>
          </cell>
          <cell r="B2548" t="str">
            <v>C23</v>
          </cell>
          <cell r="C2548" t="str">
            <v>CUADRILLA BB TIPO 4 (1 OFICIAL + 4 AYUDANTE) (Instalaciones)</v>
          </cell>
          <cell r="D2548" t="str">
            <v>Cuadrilla</v>
          </cell>
          <cell r="E2548" t="str">
            <v>HR</v>
          </cell>
          <cell r="F2548">
            <v>0.2</v>
          </cell>
          <cell r="G2548">
            <v>39593</v>
          </cell>
          <cell r="H2548">
            <v>7919</v>
          </cell>
        </row>
        <row r="2549">
          <cell r="A2549" t="str">
            <v>103.001</v>
          </cell>
          <cell r="B2549" t="str">
            <v>E12</v>
          </cell>
          <cell r="C2549" t="str">
            <v>EQUIPO DE TRANSPORTE</v>
          </cell>
          <cell r="D2549" t="str">
            <v>Equipos</v>
          </cell>
          <cell r="E2549" t="str">
            <v>DIA</v>
          </cell>
          <cell r="F2549">
            <v>1.6E-2</v>
          </cell>
          <cell r="G2549">
            <v>131205</v>
          </cell>
          <cell r="H2549">
            <v>2099</v>
          </cell>
        </row>
        <row r="2550">
          <cell r="A2550" t="str">
            <v>103.001</v>
          </cell>
          <cell r="B2550" t="str">
            <v>H2</v>
          </cell>
          <cell r="C2550" t="str">
            <v>EQUIPO BASICO (HERRAMIENTA MENOR)</v>
          </cell>
          <cell r="D2550" t="str">
            <v>Herramienta</v>
          </cell>
          <cell r="E2550" t="str">
            <v>UND</v>
          </cell>
          <cell r="F2550">
            <v>0.2</v>
          </cell>
          <cell r="G2550">
            <v>2536</v>
          </cell>
          <cell r="H2550">
            <v>507</v>
          </cell>
        </row>
        <row r="2551">
          <cell r="A2551" t="str">
            <v>103.001</v>
          </cell>
          <cell r="B2551" t="str">
            <v>I1565</v>
          </cell>
          <cell r="C2551" t="str">
            <v>ACARREO INTERNO</v>
          </cell>
          <cell r="D2551" t="str">
            <v>Insumo</v>
          </cell>
          <cell r="E2551" t="str">
            <v>UND</v>
          </cell>
          <cell r="F2551">
            <v>0.5</v>
          </cell>
          <cell r="G2551">
            <v>1327</v>
          </cell>
          <cell r="H2551">
            <v>664</v>
          </cell>
        </row>
        <row r="2552">
          <cell r="A2552" t="str">
            <v>103.001</v>
          </cell>
          <cell r="B2552" t="str">
            <v>I702</v>
          </cell>
          <cell r="C2552" t="str">
            <v>Tuberia PVC AWWA C 900 DR18 de 4"</v>
          </cell>
          <cell r="D2552" t="str">
            <v>Insumo</v>
          </cell>
          <cell r="E2552" t="str">
            <v>M</v>
          </cell>
          <cell r="F2552">
            <v>1</v>
          </cell>
          <cell r="G2552">
            <v>63100</v>
          </cell>
          <cell r="H2552">
            <v>63100</v>
          </cell>
        </row>
        <row r="2554">
          <cell r="A2554" t="str">
            <v>103.002</v>
          </cell>
          <cell r="B2554" t="str">
            <v>-</v>
          </cell>
          <cell r="C2554" t="str">
            <v>SUMINISTRO, TRANSPORTE E INSTALACION Tuberia Roscada ASTM A-53 a.c sch 40 de 1/2"</v>
          </cell>
          <cell r="D2554" t="str">
            <v>Actividad</v>
          </cell>
          <cell r="E2554" t="str">
            <v>ML</v>
          </cell>
          <cell r="H2554">
            <v>18189</v>
          </cell>
        </row>
        <row r="2555">
          <cell r="A2555" t="str">
            <v>103.002</v>
          </cell>
          <cell r="B2555" t="str">
            <v>C23</v>
          </cell>
          <cell r="C2555" t="str">
            <v>CUADRILLA BB TIPO 4 (1 OFICIAL + 4 AYUDANTE) (Instalaciones)</v>
          </cell>
          <cell r="D2555" t="str">
            <v>Cuadrilla</v>
          </cell>
          <cell r="E2555" t="str">
            <v>HR</v>
          </cell>
          <cell r="F2555">
            <v>0.2</v>
          </cell>
          <cell r="G2555">
            <v>39593</v>
          </cell>
          <cell r="H2555">
            <v>7919</v>
          </cell>
        </row>
        <row r="2556">
          <cell r="A2556" t="str">
            <v>103.002</v>
          </cell>
          <cell r="B2556" t="str">
            <v>E12</v>
          </cell>
          <cell r="C2556" t="str">
            <v>EQUIPO DE TRANSPORTE</v>
          </cell>
          <cell r="D2556" t="str">
            <v>Equipos</v>
          </cell>
          <cell r="E2556" t="str">
            <v>DIA</v>
          </cell>
          <cell r="F2556">
            <v>1.6E-2</v>
          </cell>
          <cell r="G2556">
            <v>131205</v>
          </cell>
          <cell r="H2556">
            <v>2099</v>
          </cell>
        </row>
        <row r="2557">
          <cell r="A2557" t="str">
            <v>103.002</v>
          </cell>
          <cell r="B2557" t="str">
            <v>H2</v>
          </cell>
          <cell r="C2557" t="str">
            <v>EQUIPO BASICO (HERRAMIENTA MENOR)</v>
          </cell>
          <cell r="D2557" t="str">
            <v>Herramienta</v>
          </cell>
          <cell r="E2557" t="str">
            <v>UND</v>
          </cell>
          <cell r="F2557">
            <v>0.2</v>
          </cell>
          <cell r="G2557">
            <v>2536</v>
          </cell>
          <cell r="H2557">
            <v>507</v>
          </cell>
        </row>
        <row r="2558">
          <cell r="A2558" t="str">
            <v>103.002</v>
          </cell>
          <cell r="B2558" t="str">
            <v>I1565</v>
          </cell>
          <cell r="C2558" t="str">
            <v>ACARREO INTERNO</v>
          </cell>
          <cell r="D2558" t="str">
            <v>Insumo</v>
          </cell>
          <cell r="E2558" t="str">
            <v>UND</v>
          </cell>
          <cell r="F2558">
            <v>0.5</v>
          </cell>
          <cell r="G2558">
            <v>1327</v>
          </cell>
          <cell r="H2558">
            <v>664</v>
          </cell>
        </row>
        <row r="2559">
          <cell r="A2559" t="str">
            <v>103.002</v>
          </cell>
          <cell r="B2559" t="str">
            <v>I702</v>
          </cell>
          <cell r="C2559" t="str">
            <v>Tuberia Roscada ASTM A-53 a.c sch 40 de 1/2"</v>
          </cell>
          <cell r="D2559" t="str">
            <v>Insumo</v>
          </cell>
          <cell r="E2559" t="str">
            <v>M</v>
          </cell>
          <cell r="F2559">
            <v>1</v>
          </cell>
          <cell r="G2559">
            <v>7000</v>
          </cell>
          <cell r="H2559">
            <v>7000</v>
          </cell>
        </row>
        <row r="2561">
          <cell r="A2561" t="str">
            <v>103.003</v>
          </cell>
          <cell r="B2561" t="str">
            <v>-</v>
          </cell>
          <cell r="C2561" t="str">
            <v>SUMINISTRO, TRANSPORTE E INSTALACION Tuberia Roscada ASTM A-53 a.c sch 40 de 1"</v>
          </cell>
          <cell r="D2561" t="str">
            <v>Actividad</v>
          </cell>
          <cell r="E2561" t="str">
            <v>ML</v>
          </cell>
          <cell r="H2561">
            <v>22589</v>
          </cell>
        </row>
        <row r="2562">
          <cell r="A2562" t="str">
            <v>103.003</v>
          </cell>
          <cell r="B2562" t="str">
            <v>C23</v>
          </cell>
          <cell r="C2562" t="str">
            <v>CUADRILLA BB TIPO 4 (1 OFICIAL + 4 AYUDANTE) (Instalaciones)</v>
          </cell>
          <cell r="D2562" t="str">
            <v>Cuadrilla</v>
          </cell>
          <cell r="E2562" t="str">
            <v>HR</v>
          </cell>
          <cell r="F2562">
            <v>0.2</v>
          </cell>
          <cell r="G2562">
            <v>39593</v>
          </cell>
          <cell r="H2562">
            <v>7919</v>
          </cell>
        </row>
        <row r="2563">
          <cell r="A2563" t="str">
            <v>103.003</v>
          </cell>
          <cell r="B2563" t="str">
            <v>E12</v>
          </cell>
          <cell r="C2563" t="str">
            <v>EQUIPO DE TRANSPORTE</v>
          </cell>
          <cell r="D2563" t="str">
            <v>Equipos</v>
          </cell>
          <cell r="E2563" t="str">
            <v>DIA</v>
          </cell>
          <cell r="F2563">
            <v>1.6E-2</v>
          </cell>
          <cell r="G2563">
            <v>131205</v>
          </cell>
          <cell r="H2563">
            <v>2099</v>
          </cell>
        </row>
        <row r="2564">
          <cell r="A2564" t="str">
            <v>103.003</v>
          </cell>
          <cell r="B2564" t="str">
            <v>H2</v>
          </cell>
          <cell r="C2564" t="str">
            <v>EQUIPO BASICO (HERRAMIENTA MENOR)</v>
          </cell>
          <cell r="D2564" t="str">
            <v>Herramienta</v>
          </cell>
          <cell r="E2564" t="str">
            <v>UND</v>
          </cell>
          <cell r="F2564">
            <v>0.2</v>
          </cell>
          <cell r="G2564">
            <v>2536</v>
          </cell>
          <cell r="H2564">
            <v>507</v>
          </cell>
        </row>
        <row r="2565">
          <cell r="A2565" t="str">
            <v>103.003</v>
          </cell>
          <cell r="B2565" t="str">
            <v>I1565</v>
          </cell>
          <cell r="C2565" t="str">
            <v>ACARREO INTERNO</v>
          </cell>
          <cell r="D2565" t="str">
            <v>Insumo</v>
          </cell>
          <cell r="E2565" t="str">
            <v>UND</v>
          </cell>
          <cell r="F2565">
            <v>0.5</v>
          </cell>
          <cell r="G2565">
            <v>1327</v>
          </cell>
          <cell r="H2565">
            <v>664</v>
          </cell>
        </row>
        <row r="2566">
          <cell r="A2566" t="str">
            <v>103.003</v>
          </cell>
          <cell r="B2566" t="str">
            <v>I702</v>
          </cell>
          <cell r="C2566" t="str">
            <v>Tuberia Roscada ASTM A-53 a.c sch 40 de 1"</v>
          </cell>
          <cell r="D2566" t="str">
            <v>Insumo</v>
          </cell>
          <cell r="E2566" t="str">
            <v>M</v>
          </cell>
          <cell r="F2566">
            <v>1</v>
          </cell>
          <cell r="G2566">
            <v>11400</v>
          </cell>
          <cell r="H2566">
            <v>11400</v>
          </cell>
        </row>
        <row r="2568">
          <cell r="A2568" t="str">
            <v>103.004</v>
          </cell>
          <cell r="B2568" t="str">
            <v>-</v>
          </cell>
          <cell r="C2568" t="str">
            <v>SUMINISTRO, TRANSPORTE E INSTALACION Tubería ranurada AST -795 a.c. sch 10 de 1 1/4"</v>
          </cell>
          <cell r="D2568" t="str">
            <v>Actividad</v>
          </cell>
          <cell r="E2568" t="str">
            <v>ML</v>
          </cell>
          <cell r="H2568">
            <v>22589</v>
          </cell>
        </row>
        <row r="2569">
          <cell r="A2569" t="str">
            <v>103.004</v>
          </cell>
          <cell r="B2569" t="str">
            <v>C23</v>
          </cell>
          <cell r="C2569" t="str">
            <v>CUADRILLA BB TIPO 4 (1 OFICIAL + 4 AYUDANTE) (Instalaciones)</v>
          </cell>
          <cell r="D2569" t="str">
            <v>Cuadrilla</v>
          </cell>
          <cell r="E2569" t="str">
            <v>HR</v>
          </cell>
          <cell r="F2569">
            <v>0.2</v>
          </cell>
          <cell r="G2569">
            <v>39593</v>
          </cell>
          <cell r="H2569">
            <v>7919</v>
          </cell>
        </row>
        <row r="2570">
          <cell r="A2570" t="str">
            <v>103.004</v>
          </cell>
          <cell r="B2570" t="str">
            <v>E12</v>
          </cell>
          <cell r="C2570" t="str">
            <v>EQUIPO DE TRANSPORTE</v>
          </cell>
          <cell r="D2570" t="str">
            <v>Equipos</v>
          </cell>
          <cell r="E2570" t="str">
            <v>DIA</v>
          </cell>
          <cell r="F2570">
            <v>1.6E-2</v>
          </cell>
          <cell r="G2570">
            <v>131205</v>
          </cell>
          <cell r="H2570">
            <v>2099</v>
          </cell>
        </row>
        <row r="2571">
          <cell r="A2571" t="str">
            <v>103.004</v>
          </cell>
          <cell r="B2571" t="str">
            <v>H2</v>
          </cell>
          <cell r="C2571" t="str">
            <v>EQUIPO BASICO (HERRAMIENTA MENOR)</v>
          </cell>
          <cell r="D2571" t="str">
            <v>Herramienta</v>
          </cell>
          <cell r="E2571" t="str">
            <v>UND</v>
          </cell>
          <cell r="F2571">
            <v>0.2</v>
          </cell>
          <cell r="G2571">
            <v>2536</v>
          </cell>
          <cell r="H2571">
            <v>507</v>
          </cell>
        </row>
        <row r="2572">
          <cell r="A2572" t="str">
            <v>103.004</v>
          </cell>
          <cell r="B2572" t="str">
            <v>I1565</v>
          </cell>
          <cell r="C2572" t="str">
            <v>ACARREO INTERNO</v>
          </cell>
          <cell r="D2572" t="str">
            <v>Insumo</v>
          </cell>
          <cell r="E2572" t="str">
            <v>UND</v>
          </cell>
          <cell r="F2572">
            <v>0.5</v>
          </cell>
          <cell r="G2572">
            <v>1327</v>
          </cell>
          <cell r="H2572">
            <v>664</v>
          </cell>
        </row>
        <row r="2573">
          <cell r="A2573" t="str">
            <v>103.004</v>
          </cell>
          <cell r="B2573" t="str">
            <v>I702</v>
          </cell>
          <cell r="C2573" t="str">
            <v>Tubería ranurada AST -795 a.c. sch 10 de 1 1/4"</v>
          </cell>
          <cell r="D2573" t="str">
            <v>Insumo</v>
          </cell>
          <cell r="E2573" t="str">
            <v>M</v>
          </cell>
          <cell r="F2573">
            <v>1</v>
          </cell>
          <cell r="G2573">
            <v>11400</v>
          </cell>
          <cell r="H2573">
            <v>11400</v>
          </cell>
        </row>
        <row r="2575">
          <cell r="A2575" t="str">
            <v>103.005</v>
          </cell>
          <cell r="B2575" t="str">
            <v>-</v>
          </cell>
          <cell r="C2575" t="str">
            <v>SUMINISTRO, TRANSPORTE E INSTALACION Tubería ranurada AST -795 a.c. sch 10 de 1 1/2"</v>
          </cell>
          <cell r="D2575" t="str">
            <v>Actividad</v>
          </cell>
          <cell r="E2575" t="str">
            <v>ML</v>
          </cell>
          <cell r="H2575">
            <v>28739</v>
          </cell>
        </row>
        <row r="2576">
          <cell r="A2576" t="str">
            <v>103.005</v>
          </cell>
          <cell r="B2576" t="str">
            <v>C23</v>
          </cell>
          <cell r="C2576" t="str">
            <v>CUADRILLA BB TIPO 4 (1 OFICIAL + 4 AYUDANTE) (Instalaciones)</v>
          </cell>
          <cell r="D2576" t="str">
            <v>Cuadrilla</v>
          </cell>
          <cell r="E2576" t="str">
            <v>HR</v>
          </cell>
          <cell r="F2576">
            <v>0.2</v>
          </cell>
          <cell r="G2576">
            <v>39593</v>
          </cell>
          <cell r="H2576">
            <v>7919</v>
          </cell>
        </row>
        <row r="2577">
          <cell r="A2577" t="str">
            <v>103.005</v>
          </cell>
          <cell r="B2577" t="str">
            <v>E12</v>
          </cell>
          <cell r="C2577" t="str">
            <v>EQUIPO DE TRANSPORTE</v>
          </cell>
          <cell r="D2577" t="str">
            <v>Equipos</v>
          </cell>
          <cell r="E2577" t="str">
            <v>DIA</v>
          </cell>
          <cell r="F2577">
            <v>1.6E-2</v>
          </cell>
          <cell r="G2577">
            <v>131205</v>
          </cell>
          <cell r="H2577">
            <v>2099</v>
          </cell>
        </row>
        <row r="2578">
          <cell r="A2578" t="str">
            <v>103.005</v>
          </cell>
          <cell r="B2578" t="str">
            <v>H2</v>
          </cell>
          <cell r="C2578" t="str">
            <v>EQUIPO BASICO (HERRAMIENTA MENOR)</v>
          </cell>
          <cell r="D2578" t="str">
            <v>Herramienta</v>
          </cell>
          <cell r="E2578" t="str">
            <v>UND</v>
          </cell>
          <cell r="F2578">
            <v>0.2</v>
          </cell>
          <cell r="G2578">
            <v>2536</v>
          </cell>
          <cell r="H2578">
            <v>507</v>
          </cell>
        </row>
        <row r="2579">
          <cell r="A2579" t="str">
            <v>103.005</v>
          </cell>
          <cell r="B2579" t="str">
            <v>I1565</v>
          </cell>
          <cell r="C2579" t="str">
            <v>ACARREO INTERNO</v>
          </cell>
          <cell r="D2579" t="str">
            <v>Insumo</v>
          </cell>
          <cell r="E2579" t="str">
            <v>UND</v>
          </cell>
          <cell r="F2579">
            <v>0.5</v>
          </cell>
          <cell r="G2579">
            <v>1327</v>
          </cell>
          <cell r="H2579">
            <v>664</v>
          </cell>
        </row>
        <row r="2580">
          <cell r="A2580" t="str">
            <v>103.005</v>
          </cell>
          <cell r="B2580" t="str">
            <v>I702</v>
          </cell>
          <cell r="C2580" t="str">
            <v>Tubería ranurada AST -795 a.c. sch 10 de 1 1/2"</v>
          </cell>
          <cell r="D2580" t="str">
            <v>Insumo</v>
          </cell>
          <cell r="E2580" t="str">
            <v>M</v>
          </cell>
          <cell r="F2580">
            <v>1</v>
          </cell>
          <cell r="G2580">
            <v>17550</v>
          </cell>
          <cell r="H2580">
            <v>17550</v>
          </cell>
        </row>
        <row r="2582">
          <cell r="A2582" t="str">
            <v>103.006</v>
          </cell>
          <cell r="B2582" t="str">
            <v>-</v>
          </cell>
          <cell r="C2582" t="str">
            <v>SUMINISTRO, TRANSPORTE E INSTALACION Tubería ranurada AST -795 a.c. sch 10 de 2"</v>
          </cell>
          <cell r="D2582" t="str">
            <v>Actividad</v>
          </cell>
          <cell r="E2582" t="str">
            <v>ML</v>
          </cell>
          <cell r="H2582">
            <v>46389</v>
          </cell>
        </row>
        <row r="2583">
          <cell r="A2583" t="str">
            <v>103.006</v>
          </cell>
          <cell r="B2583" t="str">
            <v>C23</v>
          </cell>
          <cell r="C2583" t="str">
            <v>CUADRILLA BB TIPO 4 (1 OFICIAL + 4 AYUDANTE) (Instalaciones)</v>
          </cell>
          <cell r="D2583" t="str">
            <v>Cuadrilla</v>
          </cell>
          <cell r="E2583" t="str">
            <v>HR</v>
          </cell>
          <cell r="F2583">
            <v>0.2</v>
          </cell>
          <cell r="G2583">
            <v>39593</v>
          </cell>
          <cell r="H2583">
            <v>7919</v>
          </cell>
        </row>
        <row r="2584">
          <cell r="A2584" t="str">
            <v>103.006</v>
          </cell>
          <cell r="B2584" t="str">
            <v>E12</v>
          </cell>
          <cell r="C2584" t="str">
            <v>EQUIPO DE TRANSPORTE</v>
          </cell>
          <cell r="D2584" t="str">
            <v>Equipos</v>
          </cell>
          <cell r="E2584" t="str">
            <v>DIA</v>
          </cell>
          <cell r="F2584">
            <v>1.6E-2</v>
          </cell>
          <cell r="G2584">
            <v>131205</v>
          </cell>
          <cell r="H2584">
            <v>2099</v>
          </cell>
        </row>
        <row r="2585">
          <cell r="A2585" t="str">
            <v>103.006</v>
          </cell>
          <cell r="B2585" t="str">
            <v>H2</v>
          </cell>
          <cell r="C2585" t="str">
            <v>EQUIPO BASICO (HERRAMIENTA MENOR)</v>
          </cell>
          <cell r="D2585" t="str">
            <v>Herramienta</v>
          </cell>
          <cell r="E2585" t="str">
            <v>UND</v>
          </cell>
          <cell r="F2585">
            <v>0.2</v>
          </cell>
          <cell r="G2585">
            <v>2536</v>
          </cell>
          <cell r="H2585">
            <v>507</v>
          </cell>
        </row>
        <row r="2586">
          <cell r="A2586" t="str">
            <v>103.006</v>
          </cell>
          <cell r="B2586" t="str">
            <v>I1565</v>
          </cell>
          <cell r="C2586" t="str">
            <v>ACARREO INTERNO</v>
          </cell>
          <cell r="D2586" t="str">
            <v>Insumo</v>
          </cell>
          <cell r="E2586" t="str">
            <v>UND</v>
          </cell>
          <cell r="F2586">
            <v>0.5</v>
          </cell>
          <cell r="G2586">
            <v>1327</v>
          </cell>
          <cell r="H2586">
            <v>664</v>
          </cell>
        </row>
        <row r="2587">
          <cell r="A2587" t="str">
            <v>103.006</v>
          </cell>
          <cell r="B2587" t="str">
            <v>I702</v>
          </cell>
          <cell r="C2587" t="str">
            <v xml:space="preserve"> Tubería ranurada AST -795 a.c. sch 10 de 2"</v>
          </cell>
          <cell r="D2587" t="str">
            <v>Insumo</v>
          </cell>
          <cell r="E2587" t="str">
            <v>M</v>
          </cell>
          <cell r="F2587">
            <v>1</v>
          </cell>
          <cell r="G2587">
            <v>35200</v>
          </cell>
          <cell r="H2587">
            <v>35200</v>
          </cell>
        </row>
        <row r="2589">
          <cell r="A2589" t="str">
            <v>103.007</v>
          </cell>
          <cell r="B2589" t="str">
            <v>-</v>
          </cell>
          <cell r="C2589" t="str">
            <v>SUMINISTRO, TRANSPORTE E INSTALACION  Tubería ranurada AST -795 a.c. sch 10 de 4"</v>
          </cell>
          <cell r="D2589" t="str">
            <v>Actividad</v>
          </cell>
          <cell r="E2589" t="str">
            <v>ML</v>
          </cell>
          <cell r="H2589">
            <v>70389</v>
          </cell>
        </row>
        <row r="2590">
          <cell r="A2590" t="str">
            <v>103.007</v>
          </cell>
          <cell r="B2590" t="str">
            <v>C23</v>
          </cell>
          <cell r="C2590" t="str">
            <v>CUADRILLA BB TIPO 4 (1 OFICIAL + 4 AYUDANTE) (Instalaciones)</v>
          </cell>
          <cell r="D2590" t="str">
            <v>Cuadrilla</v>
          </cell>
          <cell r="E2590" t="str">
            <v>HR</v>
          </cell>
          <cell r="F2590">
            <v>0.2</v>
          </cell>
          <cell r="G2590">
            <v>39593</v>
          </cell>
          <cell r="H2590">
            <v>7919</v>
          </cell>
        </row>
        <row r="2591">
          <cell r="A2591" t="str">
            <v>103.007</v>
          </cell>
          <cell r="B2591" t="str">
            <v>E12</v>
          </cell>
          <cell r="C2591" t="str">
            <v>EQUIPO DE TRANSPORTE</v>
          </cell>
          <cell r="D2591" t="str">
            <v>Equipos</v>
          </cell>
          <cell r="E2591" t="str">
            <v>DIA</v>
          </cell>
          <cell r="F2591">
            <v>1.6E-2</v>
          </cell>
          <cell r="G2591">
            <v>131205</v>
          </cell>
          <cell r="H2591">
            <v>2099</v>
          </cell>
        </row>
        <row r="2592">
          <cell r="A2592" t="str">
            <v>103.007</v>
          </cell>
          <cell r="B2592" t="str">
            <v>H2</v>
          </cell>
          <cell r="C2592" t="str">
            <v>EQUIPO BASICO (HERRAMIENTA MENOR)</v>
          </cell>
          <cell r="D2592" t="str">
            <v>Herramienta</v>
          </cell>
          <cell r="E2592" t="str">
            <v>UND</v>
          </cell>
          <cell r="F2592">
            <v>0.2</v>
          </cell>
          <cell r="G2592">
            <v>2536</v>
          </cell>
          <cell r="H2592">
            <v>507</v>
          </cell>
        </row>
        <row r="2593">
          <cell r="A2593" t="str">
            <v>103.007</v>
          </cell>
          <cell r="B2593" t="str">
            <v>I1565</v>
          </cell>
          <cell r="C2593" t="str">
            <v>ACARREO INTERNO</v>
          </cell>
          <cell r="D2593" t="str">
            <v>Insumo</v>
          </cell>
          <cell r="E2593" t="str">
            <v>UND</v>
          </cell>
          <cell r="F2593">
            <v>0.5</v>
          </cell>
          <cell r="G2593">
            <v>1327</v>
          </cell>
          <cell r="H2593">
            <v>664</v>
          </cell>
        </row>
        <row r="2594">
          <cell r="A2594" t="str">
            <v>103.007</v>
          </cell>
          <cell r="B2594" t="str">
            <v>I702</v>
          </cell>
          <cell r="C2594" t="str">
            <v xml:space="preserve"> Tubería ranurada AST -795 a.c. sch 10 de 4"</v>
          </cell>
          <cell r="D2594" t="str">
            <v>Insumo</v>
          </cell>
          <cell r="E2594" t="str">
            <v>M</v>
          </cell>
          <cell r="F2594">
            <v>1</v>
          </cell>
          <cell r="G2594">
            <v>59200</v>
          </cell>
          <cell r="H2594">
            <v>59200</v>
          </cell>
        </row>
        <row r="2596">
          <cell r="A2596" t="str">
            <v>103.008</v>
          </cell>
          <cell r="B2596" t="str">
            <v>-</v>
          </cell>
          <cell r="C2596" t="str">
            <v>SUMINISTRO, TRANSPORTE E INSTALACION  Codo campana x campana PVC AWWA C-907 de 4" X 90°</v>
          </cell>
          <cell r="D2596" t="str">
            <v>Actividad</v>
          </cell>
          <cell r="E2596" t="str">
            <v>UND</v>
          </cell>
          <cell r="H2596">
            <v>464129</v>
          </cell>
        </row>
        <row r="2597">
          <cell r="A2597" t="str">
            <v>103.008</v>
          </cell>
          <cell r="B2597" t="str">
            <v>C23</v>
          </cell>
          <cell r="C2597" t="str">
            <v>CUADRILLA BB TIPO 4 (1 OFICIAL + 4 AYUDANTE) (Instalaciones)</v>
          </cell>
          <cell r="D2597" t="str">
            <v>Cuadrilla</v>
          </cell>
          <cell r="E2597" t="str">
            <v>HR</v>
          </cell>
          <cell r="F2597">
            <v>0.2</v>
          </cell>
          <cell r="G2597">
            <v>39593</v>
          </cell>
          <cell r="H2597">
            <v>7919</v>
          </cell>
        </row>
        <row r="2598">
          <cell r="A2598" t="str">
            <v>103.008</v>
          </cell>
          <cell r="B2598" t="str">
            <v>E12</v>
          </cell>
          <cell r="C2598" t="str">
            <v>EQUIPO DE TRANSPORTE</v>
          </cell>
          <cell r="D2598" t="str">
            <v>Equipos</v>
          </cell>
          <cell r="E2598" t="str">
            <v>DIA</v>
          </cell>
          <cell r="F2598">
            <v>1.6E-2</v>
          </cell>
          <cell r="G2598">
            <v>131205</v>
          </cell>
          <cell r="H2598">
            <v>2099</v>
          </cell>
        </row>
        <row r="2599">
          <cell r="A2599" t="str">
            <v>103.008</v>
          </cell>
          <cell r="B2599" t="str">
            <v>H2</v>
          </cell>
          <cell r="C2599" t="str">
            <v>EQUIPO BASICO (HERRAMIENTA MENOR)</v>
          </cell>
          <cell r="D2599" t="str">
            <v>Herramienta</v>
          </cell>
          <cell r="E2599" t="str">
            <v>UND</v>
          </cell>
          <cell r="F2599">
            <v>0.2</v>
          </cell>
          <cell r="G2599">
            <v>2536</v>
          </cell>
          <cell r="H2599">
            <v>507</v>
          </cell>
        </row>
        <row r="2600">
          <cell r="A2600" t="str">
            <v>103.008</v>
          </cell>
          <cell r="B2600" t="str">
            <v>I1565</v>
          </cell>
          <cell r="C2600" t="str">
            <v>ACARREO INTERNO</v>
          </cell>
          <cell r="D2600" t="str">
            <v>Insumo</v>
          </cell>
          <cell r="E2600" t="str">
            <v>UND</v>
          </cell>
          <cell r="F2600">
            <v>0.5</v>
          </cell>
          <cell r="G2600">
            <v>1327</v>
          </cell>
          <cell r="H2600">
            <v>664</v>
          </cell>
        </row>
        <row r="2601">
          <cell r="A2601" t="str">
            <v>103.008</v>
          </cell>
          <cell r="B2601" t="str">
            <v>I702</v>
          </cell>
          <cell r="C2601" t="str">
            <v>Codo campana x campana PVC AWWA C-907 de 4" X 90°</v>
          </cell>
          <cell r="D2601" t="str">
            <v>Insumo</v>
          </cell>
          <cell r="E2601" t="str">
            <v>UND</v>
          </cell>
          <cell r="F2601">
            <v>1</v>
          </cell>
          <cell r="G2601">
            <v>452940</v>
          </cell>
          <cell r="H2601">
            <v>452940</v>
          </cell>
        </row>
        <row r="2603">
          <cell r="A2603" t="str">
            <v>103.009</v>
          </cell>
          <cell r="B2603" t="str">
            <v>-</v>
          </cell>
          <cell r="C2603" t="str">
            <v>SUMINISTRO, TRANSPORTE E INSTALACION  Codo Ranurado de 4" X 90°</v>
          </cell>
          <cell r="D2603" t="str">
            <v>Actividad</v>
          </cell>
          <cell r="E2603" t="str">
            <v>UND</v>
          </cell>
          <cell r="H2603">
            <v>34259</v>
          </cell>
        </row>
        <row r="2604">
          <cell r="A2604" t="str">
            <v>103.009</v>
          </cell>
          <cell r="B2604" t="str">
            <v>C23</v>
          </cell>
          <cell r="C2604" t="str">
            <v>CUADRILLA BB TIPO 4 (1 OFICIAL + 4 AYUDANTE) (Instalaciones)</v>
          </cell>
          <cell r="D2604" t="str">
            <v>Cuadrilla</v>
          </cell>
          <cell r="E2604" t="str">
            <v>HR</v>
          </cell>
          <cell r="F2604">
            <v>0.2</v>
          </cell>
          <cell r="G2604">
            <v>39593</v>
          </cell>
          <cell r="H2604">
            <v>7919</v>
          </cell>
        </row>
        <row r="2605">
          <cell r="A2605" t="str">
            <v>103.009</v>
          </cell>
          <cell r="B2605" t="str">
            <v>E12</v>
          </cell>
          <cell r="C2605" t="str">
            <v>EQUIPO DE TRANSPORTE</v>
          </cell>
          <cell r="D2605" t="str">
            <v>Equipos</v>
          </cell>
          <cell r="E2605" t="str">
            <v>DIA</v>
          </cell>
          <cell r="F2605">
            <v>1.6E-2</v>
          </cell>
          <cell r="G2605">
            <v>131205</v>
          </cell>
          <cell r="H2605">
            <v>2099</v>
          </cell>
        </row>
        <row r="2606">
          <cell r="A2606" t="str">
            <v>103.009</v>
          </cell>
          <cell r="B2606" t="str">
            <v>H2</v>
          </cell>
          <cell r="C2606" t="str">
            <v>EQUIPO BASICO (HERRAMIENTA MENOR)</v>
          </cell>
          <cell r="D2606" t="str">
            <v>Herramienta</v>
          </cell>
          <cell r="E2606" t="str">
            <v>UND</v>
          </cell>
          <cell r="F2606">
            <v>0.2</v>
          </cell>
          <cell r="G2606">
            <v>2536</v>
          </cell>
          <cell r="H2606">
            <v>507</v>
          </cell>
        </row>
        <row r="2607">
          <cell r="A2607" t="str">
            <v>103.009</v>
          </cell>
          <cell r="B2607" t="str">
            <v>I1565</v>
          </cell>
          <cell r="C2607" t="str">
            <v>ACARREO INTERNO</v>
          </cell>
          <cell r="D2607" t="str">
            <v>Insumo</v>
          </cell>
          <cell r="E2607" t="str">
            <v>UND</v>
          </cell>
          <cell r="F2607">
            <v>0.5</v>
          </cell>
          <cell r="G2607">
            <v>1327</v>
          </cell>
          <cell r="H2607">
            <v>664</v>
          </cell>
        </row>
        <row r="2608">
          <cell r="A2608" t="str">
            <v>103.009</v>
          </cell>
          <cell r="B2608" t="str">
            <v>I702</v>
          </cell>
          <cell r="C2608" t="str">
            <v>Codo Ranurado de 4" X 90°</v>
          </cell>
          <cell r="D2608" t="str">
            <v>Insumo</v>
          </cell>
          <cell r="E2608" t="str">
            <v>UND</v>
          </cell>
          <cell r="F2608">
            <v>1</v>
          </cell>
          <cell r="G2608">
            <v>23070</v>
          </cell>
          <cell r="H2608">
            <v>23070</v>
          </cell>
        </row>
        <row r="2610">
          <cell r="A2610" t="str">
            <v>103.010</v>
          </cell>
          <cell r="B2610" t="str">
            <v>-</v>
          </cell>
          <cell r="C2610" t="str">
            <v>SUMINISTRO, TRANSPORTE E INSTALACION  Codo Ranurado de 2" X 90°</v>
          </cell>
          <cell r="D2610" t="str">
            <v>Actividad</v>
          </cell>
          <cell r="E2610" t="str">
            <v>UND</v>
          </cell>
          <cell r="H2610">
            <v>19009</v>
          </cell>
        </row>
        <row r="2611">
          <cell r="A2611" t="str">
            <v>103.010</v>
          </cell>
          <cell r="B2611" t="str">
            <v>C23</v>
          </cell>
          <cell r="C2611" t="str">
            <v>CUADRILLA BB TIPO 4 (1 OFICIAL + 4 AYUDANTE) (Instalaciones)</v>
          </cell>
          <cell r="D2611" t="str">
            <v>Cuadrilla</v>
          </cell>
          <cell r="E2611" t="str">
            <v>HR</v>
          </cell>
          <cell r="F2611">
            <v>0.2</v>
          </cell>
          <cell r="G2611">
            <v>39593</v>
          </cell>
          <cell r="H2611">
            <v>7919</v>
          </cell>
        </row>
        <row r="2612">
          <cell r="A2612" t="str">
            <v>103.010</v>
          </cell>
          <cell r="B2612" t="str">
            <v>E12</v>
          </cell>
          <cell r="C2612" t="str">
            <v>EQUIPO DE TRANSPORTE</v>
          </cell>
          <cell r="D2612" t="str">
            <v>Equipos</v>
          </cell>
          <cell r="E2612" t="str">
            <v>DIA</v>
          </cell>
          <cell r="F2612">
            <v>1.6E-2</v>
          </cell>
          <cell r="G2612">
            <v>131205</v>
          </cell>
          <cell r="H2612">
            <v>2099</v>
          </cell>
        </row>
        <row r="2613">
          <cell r="A2613" t="str">
            <v>103.010</v>
          </cell>
          <cell r="B2613" t="str">
            <v>H2</v>
          </cell>
          <cell r="C2613" t="str">
            <v>EQUIPO BASICO (HERRAMIENTA MENOR)</v>
          </cell>
          <cell r="D2613" t="str">
            <v>Herramienta</v>
          </cell>
          <cell r="E2613" t="str">
            <v>UND</v>
          </cell>
          <cell r="F2613">
            <v>0.2</v>
          </cell>
          <cell r="G2613">
            <v>2536</v>
          </cell>
          <cell r="H2613">
            <v>507</v>
          </cell>
        </row>
        <row r="2614">
          <cell r="A2614" t="str">
            <v>103.010</v>
          </cell>
          <cell r="B2614" t="str">
            <v>I1565</v>
          </cell>
          <cell r="C2614" t="str">
            <v>ACARREO INTERNO</v>
          </cell>
          <cell r="D2614" t="str">
            <v>Insumo</v>
          </cell>
          <cell r="E2614" t="str">
            <v>UND</v>
          </cell>
          <cell r="F2614">
            <v>0.5</v>
          </cell>
          <cell r="G2614">
            <v>1327</v>
          </cell>
          <cell r="H2614">
            <v>664</v>
          </cell>
        </row>
        <row r="2615">
          <cell r="A2615" t="str">
            <v>103.010</v>
          </cell>
          <cell r="B2615" t="str">
            <v>I702</v>
          </cell>
          <cell r="C2615" t="str">
            <v xml:space="preserve">Codo Ranurado de 2" X 90° </v>
          </cell>
          <cell r="D2615" t="str">
            <v>Insumo</v>
          </cell>
          <cell r="E2615" t="str">
            <v>UND</v>
          </cell>
          <cell r="F2615">
            <v>1</v>
          </cell>
          <cell r="G2615">
            <v>7820</v>
          </cell>
          <cell r="H2615">
            <v>7820</v>
          </cell>
        </row>
        <row r="2617">
          <cell r="A2617" t="str">
            <v>103.011</v>
          </cell>
          <cell r="B2617" t="str">
            <v>-</v>
          </cell>
          <cell r="C2617" t="str">
            <v>SUMINISTRO, TRANSPORTE E INSTALACION  Codo Ranurado de 1 1/2" X 90°</v>
          </cell>
          <cell r="D2617" t="str">
            <v>Actividad</v>
          </cell>
          <cell r="E2617" t="str">
            <v>UND</v>
          </cell>
          <cell r="H2617">
            <v>17339</v>
          </cell>
        </row>
        <row r="2618">
          <cell r="A2618" t="str">
            <v>103.011</v>
          </cell>
          <cell r="B2618" t="str">
            <v>C23</v>
          </cell>
          <cell r="C2618" t="str">
            <v>CUADRILLA BB TIPO 4 (1 OFICIAL + 4 AYUDANTE) (Instalaciones)</v>
          </cell>
          <cell r="D2618" t="str">
            <v>Cuadrilla</v>
          </cell>
          <cell r="E2618" t="str">
            <v>HR</v>
          </cell>
          <cell r="F2618">
            <v>0.2</v>
          </cell>
          <cell r="G2618">
            <v>39593</v>
          </cell>
          <cell r="H2618">
            <v>7919</v>
          </cell>
        </row>
        <row r="2619">
          <cell r="A2619" t="str">
            <v>103.011</v>
          </cell>
          <cell r="B2619" t="str">
            <v>E12</v>
          </cell>
          <cell r="C2619" t="str">
            <v>EQUIPO DE TRANSPORTE</v>
          </cell>
          <cell r="D2619" t="str">
            <v>Equipos</v>
          </cell>
          <cell r="E2619" t="str">
            <v>DIA</v>
          </cell>
          <cell r="F2619">
            <v>1.6E-2</v>
          </cell>
          <cell r="G2619">
            <v>131205</v>
          </cell>
          <cell r="H2619">
            <v>2099</v>
          </cell>
        </row>
        <row r="2620">
          <cell r="A2620" t="str">
            <v>103.011</v>
          </cell>
          <cell r="B2620" t="str">
            <v>H2</v>
          </cell>
          <cell r="C2620" t="str">
            <v>EQUIPO BASICO (HERRAMIENTA MENOR)</v>
          </cell>
          <cell r="D2620" t="str">
            <v>Herramienta</v>
          </cell>
          <cell r="E2620" t="str">
            <v>UND</v>
          </cell>
          <cell r="F2620">
            <v>0.2</v>
          </cell>
          <cell r="G2620">
            <v>2536</v>
          </cell>
          <cell r="H2620">
            <v>507</v>
          </cell>
        </row>
        <row r="2621">
          <cell r="A2621" t="str">
            <v>103.011</v>
          </cell>
          <cell r="B2621" t="str">
            <v>I1565</v>
          </cell>
          <cell r="C2621" t="str">
            <v>ACARREO INTERNO</v>
          </cell>
          <cell r="D2621" t="str">
            <v>Insumo</v>
          </cell>
          <cell r="E2621" t="str">
            <v>UND</v>
          </cell>
          <cell r="F2621">
            <v>0.5</v>
          </cell>
          <cell r="G2621">
            <v>1327</v>
          </cell>
          <cell r="H2621">
            <v>664</v>
          </cell>
        </row>
        <row r="2622">
          <cell r="A2622" t="str">
            <v>103.011</v>
          </cell>
          <cell r="B2622" t="str">
            <v>I702</v>
          </cell>
          <cell r="C2622" t="str">
            <v>Codo Ranurado de 1 1/2" X 90°</v>
          </cell>
          <cell r="D2622" t="str">
            <v>Insumo</v>
          </cell>
          <cell r="E2622" t="str">
            <v>UND</v>
          </cell>
          <cell r="F2622">
            <v>1</v>
          </cell>
          <cell r="G2622">
            <v>6150</v>
          </cell>
          <cell r="H2622">
            <v>6150</v>
          </cell>
        </row>
        <row r="2624">
          <cell r="A2624" t="str">
            <v>103.012</v>
          </cell>
          <cell r="B2624" t="str">
            <v>-</v>
          </cell>
          <cell r="C2624" t="str">
            <v xml:space="preserve">SUMINISTRO, TRANSPORTE E INSTALACION  Codo Ranurado de 2" X 45° </v>
          </cell>
          <cell r="D2624" t="str">
            <v>Actividad</v>
          </cell>
          <cell r="E2624" t="str">
            <v>UND</v>
          </cell>
          <cell r="H2624">
            <v>29879</v>
          </cell>
        </row>
        <row r="2625">
          <cell r="A2625" t="str">
            <v>103.012</v>
          </cell>
          <cell r="B2625" t="str">
            <v>C23</v>
          </cell>
          <cell r="C2625" t="str">
            <v>CUADRILLA BB TIPO 4 (1 OFICIAL + 4 AYUDANTE) (Instalaciones)</v>
          </cell>
          <cell r="D2625" t="str">
            <v>Cuadrilla</v>
          </cell>
          <cell r="E2625" t="str">
            <v>HR</v>
          </cell>
          <cell r="F2625">
            <v>0.2</v>
          </cell>
          <cell r="G2625">
            <v>39593</v>
          </cell>
          <cell r="H2625">
            <v>7919</v>
          </cell>
        </row>
        <row r="2626">
          <cell r="A2626" t="str">
            <v>103.012</v>
          </cell>
          <cell r="B2626" t="str">
            <v>E12</v>
          </cell>
          <cell r="C2626" t="str">
            <v>EQUIPO DE TRANSPORTE</v>
          </cell>
          <cell r="D2626" t="str">
            <v>Equipos</v>
          </cell>
          <cell r="E2626" t="str">
            <v>DIA</v>
          </cell>
          <cell r="F2626">
            <v>1.6E-2</v>
          </cell>
          <cell r="G2626">
            <v>131205</v>
          </cell>
          <cell r="H2626">
            <v>2099</v>
          </cell>
        </row>
        <row r="2627">
          <cell r="A2627" t="str">
            <v>103.012</v>
          </cell>
          <cell r="B2627" t="str">
            <v>H2</v>
          </cell>
          <cell r="C2627" t="str">
            <v>EQUIPO BASICO (HERRAMIENTA MENOR)</v>
          </cell>
          <cell r="D2627" t="str">
            <v>Herramienta</v>
          </cell>
          <cell r="E2627" t="str">
            <v>UND</v>
          </cell>
          <cell r="F2627">
            <v>0.2</v>
          </cell>
          <cell r="G2627">
            <v>2536</v>
          </cell>
          <cell r="H2627">
            <v>507</v>
          </cell>
        </row>
        <row r="2628">
          <cell r="A2628" t="str">
            <v>103.012</v>
          </cell>
          <cell r="B2628" t="str">
            <v>I1565</v>
          </cell>
          <cell r="C2628" t="str">
            <v>ACARREO INTERNO</v>
          </cell>
          <cell r="D2628" t="str">
            <v>Insumo</v>
          </cell>
          <cell r="E2628" t="str">
            <v>UND</v>
          </cell>
          <cell r="F2628">
            <v>0.5</v>
          </cell>
          <cell r="G2628">
            <v>1327</v>
          </cell>
          <cell r="H2628">
            <v>664</v>
          </cell>
        </row>
        <row r="2629">
          <cell r="A2629" t="str">
            <v>103.012</v>
          </cell>
          <cell r="B2629" t="str">
            <v>I702</v>
          </cell>
          <cell r="C2629" t="str">
            <v xml:space="preserve">Codo Ranurado de 2" X 45° </v>
          </cell>
          <cell r="D2629" t="str">
            <v>Insumo</v>
          </cell>
          <cell r="E2629" t="str">
            <v>UND</v>
          </cell>
          <cell r="F2629">
            <v>1</v>
          </cell>
          <cell r="G2629">
            <v>18690</v>
          </cell>
          <cell r="H2629">
            <v>18690</v>
          </cell>
        </row>
        <row r="2631">
          <cell r="A2631" t="str">
            <v>103.013</v>
          </cell>
          <cell r="B2631" t="str">
            <v>-</v>
          </cell>
          <cell r="C2631" t="str">
            <v xml:space="preserve">SUMINISTRO, TRANSPORTE E INSTALACION  Codo Roscado AC de 1" X 90° </v>
          </cell>
          <cell r="D2631" t="str">
            <v>Actividad</v>
          </cell>
          <cell r="E2631" t="str">
            <v>UND</v>
          </cell>
          <cell r="H2631">
            <v>13049</v>
          </cell>
        </row>
        <row r="2632">
          <cell r="A2632" t="str">
            <v>103.013</v>
          </cell>
          <cell r="B2632" t="str">
            <v>C23</v>
          </cell>
          <cell r="C2632" t="str">
            <v>CUADRILLA BB TIPO 4 (1 OFICIAL + 4 AYUDANTE) (Instalaciones)</v>
          </cell>
          <cell r="D2632" t="str">
            <v>Cuadrilla</v>
          </cell>
          <cell r="E2632" t="str">
            <v>HR</v>
          </cell>
          <cell r="F2632">
            <v>0.2</v>
          </cell>
          <cell r="G2632">
            <v>39593</v>
          </cell>
          <cell r="H2632">
            <v>7919</v>
          </cell>
        </row>
        <row r="2633">
          <cell r="A2633" t="str">
            <v>103.013</v>
          </cell>
          <cell r="B2633" t="str">
            <v>E12</v>
          </cell>
          <cell r="C2633" t="str">
            <v>EQUIPO DE TRANSPORTE</v>
          </cell>
          <cell r="D2633" t="str">
            <v>Equipos</v>
          </cell>
          <cell r="E2633" t="str">
            <v>DIA</v>
          </cell>
          <cell r="F2633">
            <v>1.6E-2</v>
          </cell>
          <cell r="G2633">
            <v>131205</v>
          </cell>
          <cell r="H2633">
            <v>2099</v>
          </cell>
        </row>
        <row r="2634">
          <cell r="A2634" t="str">
            <v>103.013</v>
          </cell>
          <cell r="B2634" t="str">
            <v>H2</v>
          </cell>
          <cell r="C2634" t="str">
            <v>EQUIPO BASICO (HERRAMIENTA MENOR)</v>
          </cell>
          <cell r="D2634" t="str">
            <v>Herramienta</v>
          </cell>
          <cell r="E2634" t="str">
            <v>UND</v>
          </cell>
          <cell r="F2634">
            <v>0.2</v>
          </cell>
          <cell r="G2634">
            <v>2536</v>
          </cell>
          <cell r="H2634">
            <v>507</v>
          </cell>
        </row>
        <row r="2635">
          <cell r="A2635" t="str">
            <v>103.013</v>
          </cell>
          <cell r="B2635" t="str">
            <v>I1565</v>
          </cell>
          <cell r="C2635" t="str">
            <v>ACARREO INTERNO</v>
          </cell>
          <cell r="D2635" t="str">
            <v>Insumo</v>
          </cell>
          <cell r="E2635" t="str">
            <v>UND</v>
          </cell>
          <cell r="F2635">
            <v>0.5</v>
          </cell>
          <cell r="G2635">
            <v>1327</v>
          </cell>
          <cell r="H2635">
            <v>664</v>
          </cell>
        </row>
        <row r="2636">
          <cell r="A2636" t="str">
            <v>103.013</v>
          </cell>
          <cell r="B2636" t="str">
            <v>I702</v>
          </cell>
          <cell r="C2636" t="str">
            <v xml:space="preserve">Codo Roscado AC de 1" X 90° </v>
          </cell>
          <cell r="D2636" t="str">
            <v>Insumo</v>
          </cell>
          <cell r="E2636" t="str">
            <v>UND</v>
          </cell>
          <cell r="F2636">
            <v>1</v>
          </cell>
          <cell r="G2636">
            <v>1860</v>
          </cell>
          <cell r="H2636">
            <v>1860</v>
          </cell>
        </row>
        <row r="2638">
          <cell r="A2638" t="str">
            <v>103.014</v>
          </cell>
          <cell r="B2638" t="str">
            <v>-</v>
          </cell>
          <cell r="C2638" t="str">
            <v>SUMINISTRO, TRANSPORTE E INSTALACION  Kit Adaptador Brida serie 4200 de 4"</v>
          </cell>
          <cell r="D2638" t="str">
            <v>Actividad</v>
          </cell>
          <cell r="E2638" t="str">
            <v>UND</v>
          </cell>
          <cell r="H2638">
            <v>449109</v>
          </cell>
        </row>
        <row r="2639">
          <cell r="A2639" t="str">
            <v>103.014</v>
          </cell>
          <cell r="B2639" t="str">
            <v>C23</v>
          </cell>
          <cell r="C2639" t="str">
            <v>CUADRILLA BB TIPO 4 (1 OFICIAL + 4 AYUDANTE) (Instalaciones)</v>
          </cell>
          <cell r="D2639" t="str">
            <v>Cuadrilla</v>
          </cell>
          <cell r="E2639" t="str">
            <v>HR</v>
          </cell>
          <cell r="F2639">
            <v>0.2</v>
          </cell>
          <cell r="G2639">
            <v>39593</v>
          </cell>
          <cell r="H2639">
            <v>7919</v>
          </cell>
        </row>
        <row r="2640">
          <cell r="A2640" t="str">
            <v>103.014</v>
          </cell>
          <cell r="B2640" t="str">
            <v>E12</v>
          </cell>
          <cell r="C2640" t="str">
            <v>EQUIPO DE TRANSPORTE</v>
          </cell>
          <cell r="D2640" t="str">
            <v>Equipos</v>
          </cell>
          <cell r="E2640" t="str">
            <v>DIA</v>
          </cell>
          <cell r="F2640">
            <v>1.6E-2</v>
          </cell>
          <cell r="G2640">
            <v>131205</v>
          </cell>
          <cell r="H2640">
            <v>2099</v>
          </cell>
        </row>
        <row r="2641">
          <cell r="A2641" t="str">
            <v>103.014</v>
          </cell>
          <cell r="B2641" t="str">
            <v>H2</v>
          </cell>
          <cell r="C2641" t="str">
            <v>EQUIPO BASICO (HERRAMIENTA MENOR)</v>
          </cell>
          <cell r="D2641" t="str">
            <v>Herramienta</v>
          </cell>
          <cell r="E2641" t="str">
            <v>UND</v>
          </cell>
          <cell r="F2641">
            <v>0.2</v>
          </cell>
          <cell r="G2641">
            <v>2536</v>
          </cell>
          <cell r="H2641">
            <v>507</v>
          </cell>
        </row>
        <row r="2642">
          <cell r="A2642" t="str">
            <v>103.014</v>
          </cell>
          <cell r="B2642" t="str">
            <v>I1565</v>
          </cell>
          <cell r="C2642" t="str">
            <v>ACARREO INTERNO</v>
          </cell>
          <cell r="D2642" t="str">
            <v>Insumo</v>
          </cell>
          <cell r="E2642" t="str">
            <v>UND</v>
          </cell>
          <cell r="F2642">
            <v>0.5</v>
          </cell>
          <cell r="G2642">
            <v>1327</v>
          </cell>
          <cell r="H2642">
            <v>664</v>
          </cell>
        </row>
        <row r="2643">
          <cell r="A2643" t="str">
            <v>103.014</v>
          </cell>
          <cell r="B2643" t="str">
            <v>I702</v>
          </cell>
          <cell r="C2643" t="str">
            <v>Kit Adaptador Brida serie 4200 de 4"</v>
          </cell>
          <cell r="D2643" t="str">
            <v>Insumo</v>
          </cell>
          <cell r="E2643" t="str">
            <v>UND</v>
          </cell>
          <cell r="F2643">
            <v>1</v>
          </cell>
          <cell r="G2643">
            <v>437920</v>
          </cell>
          <cell r="H2643">
            <v>437920</v>
          </cell>
        </row>
        <row r="2645">
          <cell r="A2645" t="str">
            <v>103.015</v>
          </cell>
          <cell r="B2645" t="str">
            <v>-</v>
          </cell>
          <cell r="C2645" t="str">
            <v>SUMINISTRO, TRANSPORTE E INSTALACION  Reduccion bushing de 1" X 1/2"</v>
          </cell>
          <cell r="D2645" t="str">
            <v>Actividad</v>
          </cell>
          <cell r="E2645" t="str">
            <v>UND</v>
          </cell>
          <cell r="H2645">
            <v>12359</v>
          </cell>
        </row>
        <row r="2646">
          <cell r="A2646" t="str">
            <v>103.015</v>
          </cell>
          <cell r="B2646" t="str">
            <v>C23</v>
          </cell>
          <cell r="C2646" t="str">
            <v>CUADRILLA BB TIPO 4 (1 OFICIAL + 4 AYUDANTE) (Instalaciones)</v>
          </cell>
          <cell r="D2646" t="str">
            <v>Cuadrilla</v>
          </cell>
          <cell r="E2646" t="str">
            <v>HR</v>
          </cell>
          <cell r="F2646">
            <v>0.2</v>
          </cell>
          <cell r="G2646">
            <v>39593</v>
          </cell>
          <cell r="H2646">
            <v>7919</v>
          </cell>
        </row>
        <row r="2647">
          <cell r="A2647" t="str">
            <v>103.015</v>
          </cell>
          <cell r="B2647" t="str">
            <v>E12</v>
          </cell>
          <cell r="C2647" t="str">
            <v>EQUIPO DE TRANSPORTE</v>
          </cell>
          <cell r="D2647" t="str">
            <v>Equipos</v>
          </cell>
          <cell r="E2647" t="str">
            <v>DIA</v>
          </cell>
          <cell r="F2647">
            <v>1.6E-2</v>
          </cell>
          <cell r="G2647">
            <v>131205</v>
          </cell>
          <cell r="H2647">
            <v>2099</v>
          </cell>
        </row>
        <row r="2648">
          <cell r="A2648" t="str">
            <v>103.015</v>
          </cell>
          <cell r="B2648" t="str">
            <v>H2</v>
          </cell>
          <cell r="C2648" t="str">
            <v>EQUIPO BASICO (HERRAMIENTA MENOR)</v>
          </cell>
          <cell r="D2648" t="str">
            <v>Herramienta</v>
          </cell>
          <cell r="E2648" t="str">
            <v>UND</v>
          </cell>
          <cell r="F2648">
            <v>0.2</v>
          </cell>
          <cell r="G2648">
            <v>2536</v>
          </cell>
          <cell r="H2648">
            <v>507</v>
          </cell>
        </row>
        <row r="2649">
          <cell r="A2649" t="str">
            <v>103.015</v>
          </cell>
          <cell r="B2649" t="str">
            <v>I1565</v>
          </cell>
          <cell r="C2649" t="str">
            <v>ACARREO INTERNO</v>
          </cell>
          <cell r="D2649" t="str">
            <v>Insumo</v>
          </cell>
          <cell r="E2649" t="str">
            <v>UND</v>
          </cell>
          <cell r="F2649">
            <v>0.5</v>
          </cell>
          <cell r="G2649">
            <v>1327</v>
          </cell>
          <cell r="H2649">
            <v>664</v>
          </cell>
        </row>
        <row r="2650">
          <cell r="A2650" t="str">
            <v>103.015</v>
          </cell>
          <cell r="B2650" t="str">
            <v>I702</v>
          </cell>
          <cell r="C2650" t="str">
            <v>Reduccion bushing de 1" X 1/2"</v>
          </cell>
          <cell r="D2650" t="str">
            <v>Insumo</v>
          </cell>
          <cell r="E2650" t="str">
            <v>UND</v>
          </cell>
          <cell r="F2650">
            <v>1</v>
          </cell>
          <cell r="G2650">
            <v>1170</v>
          </cell>
          <cell r="H2650">
            <v>1170</v>
          </cell>
        </row>
        <row r="2652">
          <cell r="A2652" t="str">
            <v>103.016</v>
          </cell>
          <cell r="B2652" t="str">
            <v>-</v>
          </cell>
          <cell r="C2652" t="str">
            <v xml:space="preserve">SUMINISTRO, TRANSPORTE E INSTALACION Reduccion Copa Roscada de 1" X 1/2"  </v>
          </cell>
          <cell r="D2652" t="str">
            <v>Actividad</v>
          </cell>
          <cell r="E2652" t="str">
            <v>UND</v>
          </cell>
          <cell r="H2652">
            <v>13089</v>
          </cell>
        </row>
        <row r="2653">
          <cell r="A2653" t="str">
            <v>103.016</v>
          </cell>
          <cell r="B2653" t="str">
            <v>C23</v>
          </cell>
          <cell r="C2653" t="str">
            <v>CUADRILLA BB TIPO 4 (1 OFICIAL + 4 AYUDANTE) (Instalaciones)</v>
          </cell>
          <cell r="D2653" t="str">
            <v>Cuadrilla</v>
          </cell>
          <cell r="E2653" t="str">
            <v>HR</v>
          </cell>
          <cell r="F2653">
            <v>0.2</v>
          </cell>
          <cell r="G2653">
            <v>39593</v>
          </cell>
          <cell r="H2653">
            <v>7919</v>
          </cell>
        </row>
        <row r="2654">
          <cell r="A2654" t="str">
            <v>103.016</v>
          </cell>
          <cell r="B2654" t="str">
            <v>E12</v>
          </cell>
          <cell r="C2654" t="str">
            <v>EQUIPO DE TRANSPORTE</v>
          </cell>
          <cell r="D2654" t="str">
            <v>Equipos</v>
          </cell>
          <cell r="E2654" t="str">
            <v>DIA</v>
          </cell>
          <cell r="F2654">
            <v>1.6E-2</v>
          </cell>
          <cell r="G2654">
            <v>131205</v>
          </cell>
          <cell r="H2654">
            <v>2099</v>
          </cell>
        </row>
        <row r="2655">
          <cell r="A2655" t="str">
            <v>103.016</v>
          </cell>
          <cell r="B2655" t="str">
            <v>H2</v>
          </cell>
          <cell r="C2655" t="str">
            <v>EQUIPO BASICO (HERRAMIENTA MENOR)</v>
          </cell>
          <cell r="D2655" t="str">
            <v>Herramienta</v>
          </cell>
          <cell r="E2655" t="str">
            <v>UND</v>
          </cell>
          <cell r="F2655">
            <v>0.2</v>
          </cell>
          <cell r="G2655">
            <v>2536</v>
          </cell>
          <cell r="H2655">
            <v>507</v>
          </cell>
        </row>
        <row r="2656">
          <cell r="A2656" t="str">
            <v>103.016</v>
          </cell>
          <cell r="B2656" t="str">
            <v>I1565</v>
          </cell>
          <cell r="C2656" t="str">
            <v>ACARREO INTERNO</v>
          </cell>
          <cell r="D2656" t="str">
            <v>Insumo</v>
          </cell>
          <cell r="E2656" t="str">
            <v>UND</v>
          </cell>
          <cell r="F2656">
            <v>0.5</v>
          </cell>
          <cell r="G2656">
            <v>1327</v>
          </cell>
          <cell r="H2656">
            <v>664</v>
          </cell>
        </row>
        <row r="2657">
          <cell r="A2657" t="str">
            <v>103.016</v>
          </cell>
          <cell r="B2657" t="str">
            <v>I702</v>
          </cell>
          <cell r="C2657" t="str">
            <v xml:space="preserve">Reduccion Copa Roscada de 1" X 1/2"  </v>
          </cell>
          <cell r="D2657" t="str">
            <v>Insumo</v>
          </cell>
          <cell r="E2657" t="str">
            <v>UND</v>
          </cell>
          <cell r="F2657">
            <v>1</v>
          </cell>
          <cell r="G2657">
            <v>1900</v>
          </cell>
          <cell r="H2657">
            <v>1900</v>
          </cell>
        </row>
        <row r="2659">
          <cell r="A2659" t="str">
            <v>103.017</v>
          </cell>
          <cell r="B2659" t="str">
            <v>-</v>
          </cell>
          <cell r="C2659" t="str">
            <v>SUMINISTRO, TRANSPORTE E INSTALACION  Restrictor C900 Ø4 Serie 1200-Tub pvc a Tub pvc</v>
          </cell>
          <cell r="D2659" t="str">
            <v>Actividad</v>
          </cell>
          <cell r="E2659" t="str">
            <v>UND</v>
          </cell>
          <cell r="H2659">
            <v>365489</v>
          </cell>
        </row>
        <row r="2660">
          <cell r="A2660" t="str">
            <v>103.017</v>
          </cell>
          <cell r="B2660" t="str">
            <v>C23</v>
          </cell>
          <cell r="C2660" t="str">
            <v>CUADRILLA BB TIPO 4 (1 OFICIAL + 4 AYUDANTE) (Instalaciones)</v>
          </cell>
          <cell r="D2660" t="str">
            <v>Cuadrilla</v>
          </cell>
          <cell r="E2660" t="str">
            <v>HR</v>
          </cell>
          <cell r="F2660">
            <v>0.2</v>
          </cell>
          <cell r="G2660">
            <v>39593</v>
          </cell>
          <cell r="H2660">
            <v>7919</v>
          </cell>
        </row>
        <row r="2661">
          <cell r="A2661" t="str">
            <v>103.017</v>
          </cell>
          <cell r="B2661" t="str">
            <v>E12</v>
          </cell>
          <cell r="C2661" t="str">
            <v>EQUIPO DE TRANSPORTE</v>
          </cell>
          <cell r="D2661" t="str">
            <v>Equipos</v>
          </cell>
          <cell r="E2661" t="str">
            <v>DIA</v>
          </cell>
          <cell r="F2661">
            <v>1.6E-2</v>
          </cell>
          <cell r="G2661">
            <v>131205</v>
          </cell>
          <cell r="H2661">
            <v>2099</v>
          </cell>
        </row>
        <row r="2662">
          <cell r="A2662" t="str">
            <v>103.017</v>
          </cell>
          <cell r="B2662" t="str">
            <v>H2</v>
          </cell>
          <cell r="C2662" t="str">
            <v>EQUIPO BASICO (HERRAMIENTA MENOR)</v>
          </cell>
          <cell r="D2662" t="str">
            <v>Herramienta</v>
          </cell>
          <cell r="E2662" t="str">
            <v>UND</v>
          </cell>
          <cell r="F2662">
            <v>0.2</v>
          </cell>
          <cell r="G2662">
            <v>2536</v>
          </cell>
          <cell r="H2662">
            <v>507</v>
          </cell>
        </row>
        <row r="2663">
          <cell r="A2663" t="str">
            <v>103.017</v>
          </cell>
          <cell r="B2663" t="str">
            <v>I1565</v>
          </cell>
          <cell r="C2663" t="str">
            <v>ACARREO INTERNO</v>
          </cell>
          <cell r="D2663" t="str">
            <v>Insumo</v>
          </cell>
          <cell r="E2663" t="str">
            <v>UND</v>
          </cell>
          <cell r="F2663">
            <v>0.5</v>
          </cell>
          <cell r="G2663">
            <v>1327</v>
          </cell>
          <cell r="H2663">
            <v>664</v>
          </cell>
        </row>
        <row r="2664">
          <cell r="A2664" t="str">
            <v>103.017</v>
          </cell>
          <cell r="B2664" t="str">
            <v>I702</v>
          </cell>
          <cell r="C2664" t="str">
            <v>Restrictor C900 Ø4 Serie 1200-Tub pvc a Tub pvc</v>
          </cell>
          <cell r="D2664" t="str">
            <v>Insumo</v>
          </cell>
          <cell r="E2664" t="str">
            <v>UND</v>
          </cell>
          <cell r="F2664">
            <v>1</v>
          </cell>
          <cell r="G2664">
            <v>354300</v>
          </cell>
          <cell r="H2664">
            <v>354300</v>
          </cell>
        </row>
        <row r="2666">
          <cell r="A2666" t="str">
            <v>103.018</v>
          </cell>
          <cell r="B2666" t="str">
            <v>-</v>
          </cell>
          <cell r="C2666" t="str">
            <v>SUMINISTRO, TRANSPORTE E INSTALACION  Tapon Ranurado de 4"</v>
          </cell>
          <cell r="D2666" t="str">
            <v>Actividad</v>
          </cell>
          <cell r="E2666" t="str">
            <v>UND</v>
          </cell>
          <cell r="H2666">
            <v>19389</v>
          </cell>
        </row>
        <row r="2667">
          <cell r="A2667" t="str">
            <v>103.018</v>
          </cell>
          <cell r="B2667" t="str">
            <v>C23</v>
          </cell>
          <cell r="C2667" t="str">
            <v>CUADRILLA BB TIPO 4 (1 OFICIAL + 4 AYUDANTE) (Instalaciones)</v>
          </cell>
          <cell r="D2667" t="str">
            <v>Cuadrilla</v>
          </cell>
          <cell r="E2667" t="str">
            <v>HR</v>
          </cell>
          <cell r="F2667">
            <v>0.2</v>
          </cell>
          <cell r="G2667">
            <v>39593</v>
          </cell>
          <cell r="H2667">
            <v>7919</v>
          </cell>
        </row>
        <row r="2668">
          <cell r="A2668" t="str">
            <v>103.018</v>
          </cell>
          <cell r="B2668" t="str">
            <v>E12</v>
          </cell>
          <cell r="C2668" t="str">
            <v>EQUIPO DE TRANSPORTE</v>
          </cell>
          <cell r="D2668" t="str">
            <v>Equipos</v>
          </cell>
          <cell r="E2668" t="str">
            <v>DIA</v>
          </cell>
          <cell r="F2668">
            <v>1.6E-2</v>
          </cell>
          <cell r="G2668">
            <v>131205</v>
          </cell>
          <cell r="H2668">
            <v>2099</v>
          </cell>
        </row>
        <row r="2669">
          <cell r="A2669" t="str">
            <v>103.018</v>
          </cell>
          <cell r="B2669" t="str">
            <v>H2</v>
          </cell>
          <cell r="C2669" t="str">
            <v>EQUIPO BASICO (HERRAMIENTA MENOR)</v>
          </cell>
          <cell r="D2669" t="str">
            <v>Herramienta</v>
          </cell>
          <cell r="E2669" t="str">
            <v>UND</v>
          </cell>
          <cell r="F2669">
            <v>0.2</v>
          </cell>
          <cell r="G2669">
            <v>2536</v>
          </cell>
          <cell r="H2669">
            <v>507</v>
          </cell>
        </row>
        <row r="2670">
          <cell r="A2670" t="str">
            <v>103.018</v>
          </cell>
          <cell r="B2670" t="str">
            <v>I1565</v>
          </cell>
          <cell r="C2670" t="str">
            <v>ACARREO INTERNO</v>
          </cell>
          <cell r="D2670" t="str">
            <v>Insumo</v>
          </cell>
          <cell r="E2670" t="str">
            <v>UND</v>
          </cell>
          <cell r="F2670">
            <v>0.5</v>
          </cell>
          <cell r="G2670">
            <v>1327</v>
          </cell>
          <cell r="H2670">
            <v>664</v>
          </cell>
        </row>
        <row r="2671">
          <cell r="A2671" t="str">
            <v>103.018</v>
          </cell>
          <cell r="B2671" t="str">
            <v>I702</v>
          </cell>
          <cell r="C2671" t="str">
            <v>Tapon Ranurado de 4"</v>
          </cell>
          <cell r="D2671" t="str">
            <v>Insumo</v>
          </cell>
          <cell r="E2671" t="str">
            <v>UND</v>
          </cell>
          <cell r="F2671">
            <v>1</v>
          </cell>
          <cell r="G2671">
            <v>8200</v>
          </cell>
          <cell r="H2671">
            <v>8200</v>
          </cell>
        </row>
        <row r="2673">
          <cell r="A2673" t="str">
            <v>103.019</v>
          </cell>
          <cell r="B2673" t="str">
            <v>-</v>
          </cell>
          <cell r="C2673" t="str">
            <v>SUMINISTRO, TRANSPORTE E INSTALACION  Tapon Ranurado de 2"</v>
          </cell>
          <cell r="D2673" t="str">
            <v>Actividad</v>
          </cell>
          <cell r="E2673" t="str">
            <v>UND</v>
          </cell>
          <cell r="H2673">
            <v>15689</v>
          </cell>
        </row>
        <row r="2674">
          <cell r="A2674" t="str">
            <v>103.019</v>
          </cell>
          <cell r="B2674" t="str">
            <v>C23</v>
          </cell>
          <cell r="C2674" t="str">
            <v>CUADRILLA BB TIPO 4 (1 OFICIAL + 4 AYUDANTE) (Instalaciones)</v>
          </cell>
          <cell r="D2674" t="str">
            <v>Cuadrilla</v>
          </cell>
          <cell r="E2674" t="str">
            <v>HR</v>
          </cell>
          <cell r="F2674">
            <v>0.2</v>
          </cell>
          <cell r="G2674">
            <v>39593</v>
          </cell>
          <cell r="H2674">
            <v>7919</v>
          </cell>
        </row>
        <row r="2675">
          <cell r="A2675" t="str">
            <v>103.019</v>
          </cell>
          <cell r="B2675" t="str">
            <v>E12</v>
          </cell>
          <cell r="C2675" t="str">
            <v>EQUIPO DE TRANSPORTE</v>
          </cell>
          <cell r="D2675" t="str">
            <v>Equipos</v>
          </cell>
          <cell r="E2675" t="str">
            <v>DIA</v>
          </cell>
          <cell r="F2675">
            <v>1.6E-2</v>
          </cell>
          <cell r="G2675">
            <v>131205</v>
          </cell>
          <cell r="H2675">
            <v>2099</v>
          </cell>
        </row>
        <row r="2676">
          <cell r="A2676" t="str">
            <v>103.019</v>
          </cell>
          <cell r="B2676" t="str">
            <v>H2</v>
          </cell>
          <cell r="C2676" t="str">
            <v>EQUIPO BASICO (HERRAMIENTA MENOR)</v>
          </cell>
          <cell r="D2676" t="str">
            <v>Herramienta</v>
          </cell>
          <cell r="E2676" t="str">
            <v>UND</v>
          </cell>
          <cell r="F2676">
            <v>0.2</v>
          </cell>
          <cell r="G2676">
            <v>2536</v>
          </cell>
          <cell r="H2676">
            <v>507</v>
          </cell>
        </row>
        <row r="2677">
          <cell r="A2677" t="str">
            <v>103.019</v>
          </cell>
          <cell r="B2677" t="str">
            <v>I1565</v>
          </cell>
          <cell r="C2677" t="str">
            <v>ACARREO INTERNO</v>
          </cell>
          <cell r="D2677" t="str">
            <v>Insumo</v>
          </cell>
          <cell r="E2677" t="str">
            <v>UND</v>
          </cell>
          <cell r="F2677">
            <v>0.5</v>
          </cell>
          <cell r="G2677">
            <v>1327</v>
          </cell>
          <cell r="H2677">
            <v>664</v>
          </cell>
        </row>
        <row r="2678">
          <cell r="A2678" t="str">
            <v>103.019</v>
          </cell>
          <cell r="B2678" t="str">
            <v>I702</v>
          </cell>
          <cell r="C2678" t="str">
            <v>Tapon Ranurado de 2"</v>
          </cell>
          <cell r="D2678" t="str">
            <v>Insumo</v>
          </cell>
          <cell r="E2678" t="str">
            <v>UND</v>
          </cell>
          <cell r="F2678">
            <v>1</v>
          </cell>
          <cell r="G2678">
            <v>4500</v>
          </cell>
          <cell r="H2678">
            <v>4500</v>
          </cell>
        </row>
        <row r="2680">
          <cell r="A2680" t="str">
            <v>103.020</v>
          </cell>
          <cell r="B2680" t="str">
            <v>-</v>
          </cell>
          <cell r="C2680" t="str">
            <v>SUMINISTRO, TRANSPORTE E INSTALACION  Tapon Ranurado de 1 1/2"</v>
          </cell>
          <cell r="D2680" t="str">
            <v>Actividad</v>
          </cell>
          <cell r="E2680" t="str">
            <v>UND</v>
          </cell>
          <cell r="H2680">
            <v>12939</v>
          </cell>
        </row>
        <row r="2681">
          <cell r="A2681" t="str">
            <v>103.020</v>
          </cell>
          <cell r="B2681" t="str">
            <v>C23</v>
          </cell>
          <cell r="C2681" t="str">
            <v>CUADRILLA BB TIPO 4 (1 OFICIAL + 4 AYUDANTE) (Instalaciones)</v>
          </cell>
          <cell r="D2681" t="str">
            <v>Cuadrilla</v>
          </cell>
          <cell r="E2681" t="str">
            <v>HR</v>
          </cell>
          <cell r="F2681">
            <v>0.2</v>
          </cell>
          <cell r="G2681">
            <v>39593</v>
          </cell>
          <cell r="H2681">
            <v>7919</v>
          </cell>
        </row>
        <row r="2682">
          <cell r="A2682" t="str">
            <v>103.020</v>
          </cell>
          <cell r="B2682" t="str">
            <v>E12</v>
          </cell>
          <cell r="C2682" t="str">
            <v>EQUIPO DE TRANSPORTE</v>
          </cell>
          <cell r="D2682" t="str">
            <v>Equipos</v>
          </cell>
          <cell r="E2682" t="str">
            <v>DIA</v>
          </cell>
          <cell r="F2682">
            <v>1.6E-2</v>
          </cell>
          <cell r="G2682">
            <v>131205</v>
          </cell>
          <cell r="H2682">
            <v>2099</v>
          </cell>
        </row>
        <row r="2683">
          <cell r="A2683" t="str">
            <v>103.020</v>
          </cell>
          <cell r="B2683" t="str">
            <v>H2</v>
          </cell>
          <cell r="C2683" t="str">
            <v>EQUIPO BASICO (HERRAMIENTA MENOR)</v>
          </cell>
          <cell r="D2683" t="str">
            <v>Herramienta</v>
          </cell>
          <cell r="E2683" t="str">
            <v>UND</v>
          </cell>
          <cell r="F2683">
            <v>0.2</v>
          </cell>
          <cell r="G2683">
            <v>2536</v>
          </cell>
          <cell r="H2683">
            <v>507</v>
          </cell>
        </row>
        <row r="2684">
          <cell r="A2684" t="str">
            <v>103.020</v>
          </cell>
          <cell r="B2684" t="str">
            <v>I1565</v>
          </cell>
          <cell r="C2684" t="str">
            <v>ACARREO INTERNO</v>
          </cell>
          <cell r="D2684" t="str">
            <v>Insumo</v>
          </cell>
          <cell r="E2684" t="str">
            <v>UND</v>
          </cell>
          <cell r="F2684">
            <v>0.5</v>
          </cell>
          <cell r="G2684">
            <v>1327</v>
          </cell>
          <cell r="H2684">
            <v>664</v>
          </cell>
        </row>
        <row r="2685">
          <cell r="A2685" t="str">
            <v>103.020</v>
          </cell>
          <cell r="B2685" t="str">
            <v>I702</v>
          </cell>
          <cell r="C2685" t="str">
            <v>Tapon Ranurado de 1 1/2"</v>
          </cell>
          <cell r="D2685" t="str">
            <v>Insumo</v>
          </cell>
          <cell r="E2685" t="str">
            <v>UND</v>
          </cell>
          <cell r="F2685">
            <v>1</v>
          </cell>
          <cell r="G2685">
            <v>1750</v>
          </cell>
          <cell r="H2685">
            <v>1750</v>
          </cell>
        </row>
        <row r="2687">
          <cell r="A2687" t="str">
            <v>103.021</v>
          </cell>
          <cell r="B2687" t="str">
            <v>-</v>
          </cell>
          <cell r="C2687" t="str">
            <v>SUMINISTRO, TRANSPORTE E INSTALACION  Tapon Ranurado de 1 1/4"</v>
          </cell>
          <cell r="D2687" t="str">
            <v>Actividad</v>
          </cell>
          <cell r="E2687" t="str">
            <v>UND</v>
          </cell>
          <cell r="H2687">
            <v>12369</v>
          </cell>
        </row>
        <row r="2688">
          <cell r="A2688" t="str">
            <v>103.021</v>
          </cell>
          <cell r="B2688" t="str">
            <v>C23</v>
          </cell>
          <cell r="C2688" t="str">
            <v>CUADRILLA BB TIPO 4 (1 OFICIAL + 4 AYUDANTE) (Instalaciones)</v>
          </cell>
          <cell r="D2688" t="str">
            <v>Cuadrilla</v>
          </cell>
          <cell r="E2688" t="str">
            <v>HR</v>
          </cell>
          <cell r="F2688">
            <v>0.2</v>
          </cell>
          <cell r="G2688">
            <v>39593</v>
          </cell>
          <cell r="H2688">
            <v>7919</v>
          </cell>
        </row>
        <row r="2689">
          <cell r="A2689" t="str">
            <v>103.021</v>
          </cell>
          <cell r="B2689" t="str">
            <v>E12</v>
          </cell>
          <cell r="C2689" t="str">
            <v>EQUIPO DE TRANSPORTE</v>
          </cell>
          <cell r="D2689" t="str">
            <v>Equipos</v>
          </cell>
          <cell r="E2689" t="str">
            <v>DIA</v>
          </cell>
          <cell r="F2689">
            <v>1.6E-2</v>
          </cell>
          <cell r="G2689">
            <v>131205</v>
          </cell>
          <cell r="H2689">
            <v>2099</v>
          </cell>
        </row>
        <row r="2690">
          <cell r="A2690" t="str">
            <v>103.021</v>
          </cell>
          <cell r="B2690" t="str">
            <v>H2</v>
          </cell>
          <cell r="C2690" t="str">
            <v>EQUIPO BASICO (HERRAMIENTA MENOR)</v>
          </cell>
          <cell r="D2690" t="str">
            <v>Herramienta</v>
          </cell>
          <cell r="E2690" t="str">
            <v>UND</v>
          </cell>
          <cell r="F2690">
            <v>0.2</v>
          </cell>
          <cell r="G2690">
            <v>2536</v>
          </cell>
          <cell r="H2690">
            <v>507</v>
          </cell>
        </row>
        <row r="2691">
          <cell r="A2691" t="str">
            <v>103.021</v>
          </cell>
          <cell r="B2691" t="str">
            <v>I1565</v>
          </cell>
          <cell r="C2691" t="str">
            <v>ACARREO INTERNO</v>
          </cell>
          <cell r="D2691" t="str">
            <v>Insumo</v>
          </cell>
          <cell r="E2691" t="str">
            <v>UND</v>
          </cell>
          <cell r="F2691">
            <v>0.5</v>
          </cell>
          <cell r="G2691">
            <v>1327</v>
          </cell>
          <cell r="H2691">
            <v>664</v>
          </cell>
        </row>
        <row r="2692">
          <cell r="A2692" t="str">
            <v>103.021</v>
          </cell>
          <cell r="B2692" t="str">
            <v>I702</v>
          </cell>
          <cell r="C2692" t="str">
            <v>Tapon Ranurado de 1 1/4"</v>
          </cell>
          <cell r="D2692" t="str">
            <v>Insumo</v>
          </cell>
          <cell r="E2692" t="str">
            <v>UND</v>
          </cell>
          <cell r="F2692">
            <v>1</v>
          </cell>
          <cell r="G2692">
            <v>1180</v>
          </cell>
          <cell r="H2692">
            <v>1180</v>
          </cell>
        </row>
        <row r="2694">
          <cell r="A2694" t="str">
            <v>103.022</v>
          </cell>
          <cell r="B2694" t="str">
            <v>-</v>
          </cell>
          <cell r="C2694" t="str">
            <v xml:space="preserve">SUMINISTRO, TRANSPORTE E INSTALACION  Tee Camp - Camp PVC AWWA C-907 de 4" </v>
          </cell>
          <cell r="D2694" t="str">
            <v>Actividad</v>
          </cell>
          <cell r="E2694" t="str">
            <v>UND</v>
          </cell>
          <cell r="H2694">
            <v>961189</v>
          </cell>
        </row>
        <row r="2695">
          <cell r="A2695" t="str">
            <v>103.022</v>
          </cell>
          <cell r="B2695" t="str">
            <v>C23</v>
          </cell>
          <cell r="C2695" t="str">
            <v>CUADRILLA BB TIPO 4 (1 OFICIAL + 4 AYUDANTE) (Instalaciones)</v>
          </cell>
          <cell r="D2695" t="str">
            <v>Cuadrilla</v>
          </cell>
          <cell r="E2695" t="str">
            <v>HR</v>
          </cell>
          <cell r="F2695">
            <v>0.2</v>
          </cell>
          <cell r="G2695">
            <v>39593</v>
          </cell>
          <cell r="H2695">
            <v>7919</v>
          </cell>
        </row>
        <row r="2696">
          <cell r="A2696" t="str">
            <v>103.022</v>
          </cell>
          <cell r="B2696" t="str">
            <v>E12</v>
          </cell>
          <cell r="C2696" t="str">
            <v>EQUIPO DE TRANSPORTE</v>
          </cell>
          <cell r="D2696" t="str">
            <v>Equipos</v>
          </cell>
          <cell r="E2696" t="str">
            <v>DIA</v>
          </cell>
          <cell r="F2696">
            <v>1.6E-2</v>
          </cell>
          <cell r="G2696">
            <v>131205</v>
          </cell>
          <cell r="H2696">
            <v>2099</v>
          </cell>
        </row>
        <row r="2697">
          <cell r="A2697" t="str">
            <v>103.022</v>
          </cell>
          <cell r="B2697" t="str">
            <v>H2</v>
          </cell>
          <cell r="C2697" t="str">
            <v>EQUIPO BASICO (HERRAMIENTA MENOR)</v>
          </cell>
          <cell r="D2697" t="str">
            <v>Herramienta</v>
          </cell>
          <cell r="E2697" t="str">
            <v>UND</v>
          </cell>
          <cell r="F2697">
            <v>0.2</v>
          </cell>
          <cell r="G2697">
            <v>2536</v>
          </cell>
          <cell r="H2697">
            <v>507</v>
          </cell>
        </row>
        <row r="2698">
          <cell r="A2698" t="str">
            <v>103.022</v>
          </cell>
          <cell r="B2698" t="str">
            <v>I1565</v>
          </cell>
          <cell r="C2698" t="str">
            <v>ACARREO INTERNO</v>
          </cell>
          <cell r="D2698" t="str">
            <v>Insumo</v>
          </cell>
          <cell r="E2698" t="str">
            <v>UND</v>
          </cell>
          <cell r="F2698">
            <v>0.5</v>
          </cell>
          <cell r="G2698">
            <v>1327</v>
          </cell>
          <cell r="H2698">
            <v>664</v>
          </cell>
        </row>
        <row r="2699">
          <cell r="A2699" t="str">
            <v>103.022</v>
          </cell>
          <cell r="B2699" t="str">
            <v>I702</v>
          </cell>
          <cell r="C2699" t="str">
            <v xml:space="preserve"> Tee Camp - Camp PVC AWWA C-907 de 4" </v>
          </cell>
          <cell r="D2699" t="str">
            <v>Insumo</v>
          </cell>
          <cell r="E2699" t="str">
            <v>UND</v>
          </cell>
          <cell r="F2699">
            <v>1</v>
          </cell>
          <cell r="G2699">
            <v>950000</v>
          </cell>
          <cell r="H2699">
            <v>950000</v>
          </cell>
        </row>
        <row r="2701">
          <cell r="A2701" t="str">
            <v>103.023</v>
          </cell>
          <cell r="B2701" t="str">
            <v>-</v>
          </cell>
          <cell r="C2701" t="str">
            <v xml:space="preserve">SUMINISTRO, TRANSPORTE E INSTALACION Tee Mecanica Ranurada de 4" X 2"  </v>
          </cell>
          <cell r="D2701" t="str">
            <v>Actividad</v>
          </cell>
          <cell r="E2701" t="str">
            <v>UND</v>
          </cell>
          <cell r="H2701">
            <v>30289</v>
          </cell>
        </row>
        <row r="2702">
          <cell r="A2702" t="str">
            <v>103.023</v>
          </cell>
          <cell r="B2702" t="str">
            <v>C23</v>
          </cell>
          <cell r="C2702" t="str">
            <v>CUADRILLA BB TIPO 4 (1 OFICIAL + 4 AYUDANTE) (Instalaciones)</v>
          </cell>
          <cell r="D2702" t="str">
            <v>Cuadrilla</v>
          </cell>
          <cell r="E2702" t="str">
            <v>HR</v>
          </cell>
          <cell r="F2702">
            <v>0.2</v>
          </cell>
          <cell r="G2702">
            <v>39593</v>
          </cell>
          <cell r="H2702">
            <v>7919</v>
          </cell>
        </row>
        <row r="2703">
          <cell r="A2703" t="str">
            <v>103.023</v>
          </cell>
          <cell r="B2703" t="str">
            <v>E12</v>
          </cell>
          <cell r="C2703" t="str">
            <v>EQUIPO DE TRANSPORTE</v>
          </cell>
          <cell r="D2703" t="str">
            <v>Equipos</v>
          </cell>
          <cell r="E2703" t="str">
            <v>DIA</v>
          </cell>
          <cell r="F2703">
            <v>1.6E-2</v>
          </cell>
          <cell r="G2703">
            <v>131205</v>
          </cell>
          <cell r="H2703">
            <v>2099</v>
          </cell>
        </row>
        <row r="2704">
          <cell r="A2704" t="str">
            <v>103.023</v>
          </cell>
          <cell r="B2704" t="str">
            <v>H2</v>
          </cell>
          <cell r="C2704" t="str">
            <v>EQUIPO BASICO (HERRAMIENTA MENOR)</v>
          </cell>
          <cell r="D2704" t="str">
            <v>Herramienta</v>
          </cell>
          <cell r="E2704" t="str">
            <v>UND</v>
          </cell>
          <cell r="F2704">
            <v>0.2</v>
          </cell>
          <cell r="G2704">
            <v>2536</v>
          </cell>
          <cell r="H2704">
            <v>507</v>
          </cell>
        </row>
        <row r="2705">
          <cell r="A2705" t="str">
            <v>103.023</v>
          </cell>
          <cell r="B2705" t="str">
            <v>I1565</v>
          </cell>
          <cell r="C2705" t="str">
            <v>ACARREO INTERNO</v>
          </cell>
          <cell r="D2705" t="str">
            <v>Insumo</v>
          </cell>
          <cell r="E2705" t="str">
            <v>UND</v>
          </cell>
          <cell r="F2705">
            <v>0.5</v>
          </cell>
          <cell r="G2705">
            <v>1327</v>
          </cell>
          <cell r="H2705">
            <v>664</v>
          </cell>
        </row>
        <row r="2706">
          <cell r="A2706" t="str">
            <v>103.023</v>
          </cell>
          <cell r="B2706" t="str">
            <v>I702</v>
          </cell>
          <cell r="C2706" t="str">
            <v xml:space="preserve">Tee Mecanica Ranurada de 4" X 2"  </v>
          </cell>
          <cell r="D2706" t="str">
            <v>Insumo</v>
          </cell>
          <cell r="E2706" t="str">
            <v>UND</v>
          </cell>
          <cell r="F2706">
            <v>1</v>
          </cell>
          <cell r="G2706">
            <v>19100</v>
          </cell>
          <cell r="H2706">
            <v>19100</v>
          </cell>
        </row>
        <row r="2708">
          <cell r="A2708" t="str">
            <v>103.024</v>
          </cell>
          <cell r="B2708" t="str">
            <v>-</v>
          </cell>
          <cell r="C2708" t="str">
            <v xml:space="preserve">SUMINISTRO, TRANSPORTE E INSTALACION Tee Mecanica Ranurada de 2" X 1 1/2" </v>
          </cell>
          <cell r="D2708" t="str">
            <v>Actividad</v>
          </cell>
          <cell r="E2708" t="str">
            <v>UND</v>
          </cell>
          <cell r="H2708">
            <v>22339</v>
          </cell>
        </row>
        <row r="2709">
          <cell r="A2709" t="str">
            <v>103.024</v>
          </cell>
          <cell r="B2709" t="str">
            <v>C23</v>
          </cell>
          <cell r="C2709" t="str">
            <v>CUADRILLA BB TIPO 4 (1 OFICIAL + 4 AYUDANTE) (Instalaciones)</v>
          </cell>
          <cell r="D2709" t="str">
            <v>Cuadrilla</v>
          </cell>
          <cell r="E2709" t="str">
            <v>HR</v>
          </cell>
          <cell r="F2709">
            <v>0.2</v>
          </cell>
          <cell r="G2709">
            <v>39593</v>
          </cell>
          <cell r="H2709">
            <v>7919</v>
          </cell>
        </row>
        <row r="2710">
          <cell r="A2710" t="str">
            <v>103.024</v>
          </cell>
          <cell r="B2710" t="str">
            <v>E12</v>
          </cell>
          <cell r="C2710" t="str">
            <v>EQUIPO DE TRANSPORTE</v>
          </cell>
          <cell r="D2710" t="str">
            <v>Equipos</v>
          </cell>
          <cell r="E2710" t="str">
            <v>DIA</v>
          </cell>
          <cell r="F2710">
            <v>1.6E-2</v>
          </cell>
          <cell r="G2710">
            <v>131205</v>
          </cell>
          <cell r="H2710">
            <v>2099</v>
          </cell>
        </row>
        <row r="2711">
          <cell r="A2711" t="str">
            <v>103.024</v>
          </cell>
          <cell r="B2711" t="str">
            <v>H2</v>
          </cell>
          <cell r="C2711" t="str">
            <v>EQUIPO BASICO (HERRAMIENTA MENOR)</v>
          </cell>
          <cell r="D2711" t="str">
            <v>Herramienta</v>
          </cell>
          <cell r="E2711" t="str">
            <v>UND</v>
          </cell>
          <cell r="F2711">
            <v>0.2</v>
          </cell>
          <cell r="G2711">
            <v>2536</v>
          </cell>
          <cell r="H2711">
            <v>507</v>
          </cell>
        </row>
        <row r="2712">
          <cell r="A2712" t="str">
            <v>103.024</v>
          </cell>
          <cell r="B2712" t="str">
            <v>I1565</v>
          </cell>
          <cell r="C2712" t="str">
            <v>ACARREO INTERNO</v>
          </cell>
          <cell r="D2712" t="str">
            <v>Insumo</v>
          </cell>
          <cell r="E2712" t="str">
            <v>UND</v>
          </cell>
          <cell r="F2712">
            <v>0.5</v>
          </cell>
          <cell r="G2712">
            <v>1327</v>
          </cell>
          <cell r="H2712">
            <v>664</v>
          </cell>
        </row>
        <row r="2713">
          <cell r="A2713" t="str">
            <v>103.024</v>
          </cell>
          <cell r="B2713" t="str">
            <v>I702</v>
          </cell>
          <cell r="C2713" t="str">
            <v xml:space="preserve">Tee Mecanica Ranurada de 2" X 1 1/2" </v>
          </cell>
          <cell r="D2713" t="str">
            <v>Insumo</v>
          </cell>
          <cell r="E2713" t="str">
            <v>UND</v>
          </cell>
          <cell r="F2713">
            <v>1</v>
          </cell>
          <cell r="G2713">
            <v>11150</v>
          </cell>
          <cell r="H2713">
            <v>11150</v>
          </cell>
        </row>
        <row r="2715">
          <cell r="A2715" t="str">
            <v>103.025</v>
          </cell>
          <cell r="B2715" t="str">
            <v>-</v>
          </cell>
          <cell r="C2715" t="str">
            <v xml:space="preserve">SUMINISTRO, TRANSPORTE E INSTALACION Tee Mecanica Ranurada de 2" X 1 1/4"  </v>
          </cell>
          <cell r="D2715" t="str">
            <v>Actividad</v>
          </cell>
          <cell r="E2715" t="str">
            <v>UND</v>
          </cell>
          <cell r="H2715">
            <v>21919</v>
          </cell>
        </row>
        <row r="2716">
          <cell r="A2716" t="str">
            <v>103.025</v>
          </cell>
          <cell r="B2716" t="str">
            <v>C23</v>
          </cell>
          <cell r="C2716" t="str">
            <v>CUADRILLA BB TIPO 4 (1 OFICIAL + 4 AYUDANTE) (Instalaciones)</v>
          </cell>
          <cell r="D2716" t="str">
            <v>Cuadrilla</v>
          </cell>
          <cell r="E2716" t="str">
            <v>HR</v>
          </cell>
          <cell r="F2716">
            <v>0.2</v>
          </cell>
          <cell r="G2716">
            <v>39593</v>
          </cell>
          <cell r="H2716">
            <v>7919</v>
          </cell>
        </row>
        <row r="2717">
          <cell r="A2717" t="str">
            <v>103.025</v>
          </cell>
          <cell r="B2717" t="str">
            <v>E12</v>
          </cell>
          <cell r="C2717" t="str">
            <v>EQUIPO DE TRANSPORTE</v>
          </cell>
          <cell r="D2717" t="str">
            <v>Equipos</v>
          </cell>
          <cell r="E2717" t="str">
            <v>DIA</v>
          </cell>
          <cell r="F2717">
            <v>1.6E-2</v>
          </cell>
          <cell r="G2717">
            <v>131205</v>
          </cell>
          <cell r="H2717">
            <v>2099</v>
          </cell>
        </row>
        <row r="2718">
          <cell r="A2718" t="str">
            <v>103.025</v>
          </cell>
          <cell r="B2718" t="str">
            <v>H2</v>
          </cell>
          <cell r="C2718" t="str">
            <v>EQUIPO BASICO (HERRAMIENTA MENOR)</v>
          </cell>
          <cell r="D2718" t="str">
            <v>Herramienta</v>
          </cell>
          <cell r="E2718" t="str">
            <v>UND</v>
          </cell>
          <cell r="F2718">
            <v>0.2</v>
          </cell>
          <cell r="G2718">
            <v>2536</v>
          </cell>
          <cell r="H2718">
            <v>507</v>
          </cell>
        </row>
        <row r="2719">
          <cell r="A2719" t="str">
            <v>103.025</v>
          </cell>
          <cell r="B2719" t="str">
            <v>I1565</v>
          </cell>
          <cell r="C2719" t="str">
            <v>ACARREO INTERNO</v>
          </cell>
          <cell r="D2719" t="str">
            <v>Insumo</v>
          </cell>
          <cell r="E2719" t="str">
            <v>UND</v>
          </cell>
          <cell r="F2719">
            <v>0.5</v>
          </cell>
          <cell r="G2719">
            <v>1327</v>
          </cell>
          <cell r="H2719">
            <v>664</v>
          </cell>
        </row>
        <row r="2720">
          <cell r="A2720" t="str">
            <v>103.025</v>
          </cell>
          <cell r="B2720" t="str">
            <v>I702</v>
          </cell>
          <cell r="C2720" t="str">
            <v xml:space="preserve">Tee Mecanica Ranurada de 2" X 1 1/4"  </v>
          </cell>
          <cell r="D2720" t="str">
            <v>Insumo</v>
          </cell>
          <cell r="E2720" t="str">
            <v>UND</v>
          </cell>
          <cell r="F2720">
            <v>1</v>
          </cell>
          <cell r="G2720">
            <v>10730</v>
          </cell>
          <cell r="H2720">
            <v>10730</v>
          </cell>
        </row>
        <row r="2722">
          <cell r="A2722" t="str">
            <v>103.026</v>
          </cell>
          <cell r="B2722" t="str">
            <v>-</v>
          </cell>
          <cell r="C2722" t="str">
            <v xml:space="preserve">SUMINISTRO, TRANSPORTE E INSTALACION Tee Mecanica Roscada de 4" X 1" </v>
          </cell>
          <cell r="D2722" t="str">
            <v>Actividad</v>
          </cell>
          <cell r="E2722" t="str">
            <v>UND</v>
          </cell>
          <cell r="H2722">
            <v>28969</v>
          </cell>
        </row>
        <row r="2723">
          <cell r="A2723" t="str">
            <v>103.026</v>
          </cell>
          <cell r="B2723" t="str">
            <v>C23</v>
          </cell>
          <cell r="C2723" t="str">
            <v>CUADRILLA BB TIPO 4 (1 OFICIAL + 4 AYUDANTE) (Instalaciones)</v>
          </cell>
          <cell r="D2723" t="str">
            <v>Cuadrilla</v>
          </cell>
          <cell r="E2723" t="str">
            <v>HR</v>
          </cell>
          <cell r="F2723">
            <v>0.2</v>
          </cell>
          <cell r="G2723">
            <v>39593</v>
          </cell>
          <cell r="H2723">
            <v>7919</v>
          </cell>
        </row>
        <row r="2724">
          <cell r="A2724" t="str">
            <v>103.026</v>
          </cell>
          <cell r="B2724" t="str">
            <v>E12</v>
          </cell>
          <cell r="C2724" t="str">
            <v>EQUIPO DE TRANSPORTE</v>
          </cell>
          <cell r="D2724" t="str">
            <v>Equipos</v>
          </cell>
          <cell r="E2724" t="str">
            <v>DIA</v>
          </cell>
          <cell r="F2724">
            <v>1.6E-2</v>
          </cell>
          <cell r="G2724">
            <v>131205</v>
          </cell>
          <cell r="H2724">
            <v>2099</v>
          </cell>
        </row>
        <row r="2725">
          <cell r="A2725" t="str">
            <v>103.026</v>
          </cell>
          <cell r="B2725" t="str">
            <v>H2</v>
          </cell>
          <cell r="C2725" t="str">
            <v>EQUIPO BASICO (HERRAMIENTA MENOR)</v>
          </cell>
          <cell r="D2725" t="str">
            <v>Herramienta</v>
          </cell>
          <cell r="E2725" t="str">
            <v>UND</v>
          </cell>
          <cell r="F2725">
            <v>0.2</v>
          </cell>
          <cell r="G2725">
            <v>2536</v>
          </cell>
          <cell r="H2725">
            <v>507</v>
          </cell>
        </row>
        <row r="2726">
          <cell r="A2726" t="str">
            <v>103.026</v>
          </cell>
          <cell r="B2726" t="str">
            <v>I1565</v>
          </cell>
          <cell r="C2726" t="str">
            <v>ACARREO INTERNO</v>
          </cell>
          <cell r="D2726" t="str">
            <v>Insumo</v>
          </cell>
          <cell r="E2726" t="str">
            <v>UND</v>
          </cell>
          <cell r="F2726">
            <v>0.5</v>
          </cell>
          <cell r="G2726">
            <v>1327</v>
          </cell>
          <cell r="H2726">
            <v>664</v>
          </cell>
        </row>
        <row r="2727">
          <cell r="A2727" t="str">
            <v>103.026</v>
          </cell>
          <cell r="B2727" t="str">
            <v>I702</v>
          </cell>
          <cell r="C2727" t="str">
            <v xml:space="preserve">Tee Mecanica Roscada de 4" X 1" </v>
          </cell>
          <cell r="D2727" t="str">
            <v>Insumo</v>
          </cell>
          <cell r="E2727" t="str">
            <v>UND</v>
          </cell>
          <cell r="F2727">
            <v>1</v>
          </cell>
          <cell r="G2727">
            <v>17780</v>
          </cell>
          <cell r="H2727">
            <v>17780</v>
          </cell>
        </row>
        <row r="2729">
          <cell r="A2729" t="str">
            <v>103.027</v>
          </cell>
          <cell r="B2729" t="str">
            <v>-</v>
          </cell>
          <cell r="C2729" t="str">
            <v xml:space="preserve">SUMINISTRO, TRANSPORTE E INSTALACION Tee Mecanica Roscada de 2" X 1" </v>
          </cell>
          <cell r="D2729" t="str">
            <v>Actividad</v>
          </cell>
          <cell r="E2729" t="str">
            <v>UND</v>
          </cell>
          <cell r="H2729">
            <v>20289</v>
          </cell>
        </row>
        <row r="2730">
          <cell r="A2730" t="str">
            <v>103.027</v>
          </cell>
          <cell r="B2730" t="str">
            <v>C23</v>
          </cell>
          <cell r="C2730" t="str">
            <v>CUADRILLA BB TIPO 4 (1 OFICIAL + 4 AYUDANTE) (Instalaciones)</v>
          </cell>
          <cell r="D2730" t="str">
            <v>Cuadrilla</v>
          </cell>
          <cell r="E2730" t="str">
            <v>HR</v>
          </cell>
          <cell r="F2730">
            <v>0.2</v>
          </cell>
          <cell r="G2730">
            <v>39593</v>
          </cell>
          <cell r="H2730">
            <v>7919</v>
          </cell>
        </row>
        <row r="2731">
          <cell r="A2731" t="str">
            <v>103.027</v>
          </cell>
          <cell r="B2731" t="str">
            <v>E12</v>
          </cell>
          <cell r="C2731" t="str">
            <v>EQUIPO DE TRANSPORTE</v>
          </cell>
          <cell r="D2731" t="str">
            <v>Equipos</v>
          </cell>
          <cell r="E2731" t="str">
            <v>DIA</v>
          </cell>
          <cell r="F2731">
            <v>1.6E-2</v>
          </cell>
          <cell r="G2731">
            <v>131205</v>
          </cell>
          <cell r="H2731">
            <v>2099</v>
          </cell>
        </row>
        <row r="2732">
          <cell r="A2732" t="str">
            <v>103.027</v>
          </cell>
          <cell r="B2732" t="str">
            <v>H2</v>
          </cell>
          <cell r="C2732" t="str">
            <v>EQUIPO BASICO (HERRAMIENTA MENOR)</v>
          </cell>
          <cell r="D2732" t="str">
            <v>Herramienta</v>
          </cell>
          <cell r="E2732" t="str">
            <v>UND</v>
          </cell>
          <cell r="F2732">
            <v>0.2</v>
          </cell>
          <cell r="G2732">
            <v>2536</v>
          </cell>
          <cell r="H2732">
            <v>507</v>
          </cell>
        </row>
        <row r="2733">
          <cell r="A2733" t="str">
            <v>103.027</v>
          </cell>
          <cell r="B2733" t="str">
            <v>I1565</v>
          </cell>
          <cell r="C2733" t="str">
            <v>ACARREO INTERNO</v>
          </cell>
          <cell r="D2733" t="str">
            <v>Insumo</v>
          </cell>
          <cell r="E2733" t="str">
            <v>UND</v>
          </cell>
          <cell r="F2733">
            <v>0.5</v>
          </cell>
          <cell r="G2733">
            <v>1327</v>
          </cell>
          <cell r="H2733">
            <v>664</v>
          </cell>
        </row>
        <row r="2734">
          <cell r="A2734" t="str">
            <v>103.027</v>
          </cell>
          <cell r="B2734" t="str">
            <v>I702</v>
          </cell>
          <cell r="C2734" t="str">
            <v xml:space="preserve">Tee Mecanica Roscada de 2" X 1" </v>
          </cell>
          <cell r="D2734" t="str">
            <v>Insumo</v>
          </cell>
          <cell r="E2734" t="str">
            <v>UND</v>
          </cell>
          <cell r="F2734">
            <v>1</v>
          </cell>
          <cell r="G2734">
            <v>9100</v>
          </cell>
          <cell r="H2734">
            <v>9100</v>
          </cell>
        </row>
        <row r="2736">
          <cell r="A2736" t="str">
            <v>103.028</v>
          </cell>
          <cell r="B2736" t="str">
            <v>-</v>
          </cell>
          <cell r="C2736" t="str">
            <v xml:space="preserve">SUMINISTRO, TRANSPORTE E INSTALACION Tee Ranurada de 4" </v>
          </cell>
          <cell r="D2736" t="str">
            <v>Actividad</v>
          </cell>
          <cell r="E2736" t="str">
            <v>UND</v>
          </cell>
          <cell r="H2736">
            <v>43539</v>
          </cell>
        </row>
        <row r="2737">
          <cell r="A2737" t="str">
            <v>103.028</v>
          </cell>
          <cell r="B2737" t="str">
            <v>C23</v>
          </cell>
          <cell r="C2737" t="str">
            <v>CUADRILLA BB TIPO 4 (1 OFICIAL + 4 AYUDANTE) (Instalaciones)</v>
          </cell>
          <cell r="D2737" t="str">
            <v>Cuadrilla</v>
          </cell>
          <cell r="E2737" t="str">
            <v>HR</v>
          </cell>
          <cell r="F2737">
            <v>0.2</v>
          </cell>
          <cell r="G2737">
            <v>39593</v>
          </cell>
          <cell r="H2737">
            <v>7919</v>
          </cell>
        </row>
        <row r="2738">
          <cell r="A2738" t="str">
            <v>103.028</v>
          </cell>
          <cell r="B2738" t="str">
            <v>E12</v>
          </cell>
          <cell r="C2738" t="str">
            <v>EQUIPO DE TRANSPORTE</v>
          </cell>
          <cell r="D2738" t="str">
            <v>Equipos</v>
          </cell>
          <cell r="E2738" t="str">
            <v>DIA</v>
          </cell>
          <cell r="F2738">
            <v>1.6E-2</v>
          </cell>
          <cell r="G2738">
            <v>131205</v>
          </cell>
          <cell r="H2738">
            <v>2099</v>
          </cell>
        </row>
        <row r="2739">
          <cell r="A2739" t="str">
            <v>103.028</v>
          </cell>
          <cell r="B2739" t="str">
            <v>H2</v>
          </cell>
          <cell r="C2739" t="str">
            <v>EQUIPO BASICO (HERRAMIENTA MENOR)</v>
          </cell>
          <cell r="D2739" t="str">
            <v>Herramienta</v>
          </cell>
          <cell r="E2739" t="str">
            <v>UND</v>
          </cell>
          <cell r="F2739">
            <v>0.2</v>
          </cell>
          <cell r="G2739">
            <v>2536</v>
          </cell>
          <cell r="H2739">
            <v>507</v>
          </cell>
        </row>
        <row r="2740">
          <cell r="A2740" t="str">
            <v>103.028</v>
          </cell>
          <cell r="B2740" t="str">
            <v>I1565</v>
          </cell>
          <cell r="C2740" t="str">
            <v>ACARREO INTERNO</v>
          </cell>
          <cell r="D2740" t="str">
            <v>Insumo</v>
          </cell>
          <cell r="E2740" t="str">
            <v>UND</v>
          </cell>
          <cell r="F2740">
            <v>0.5</v>
          </cell>
          <cell r="G2740">
            <v>1327</v>
          </cell>
          <cell r="H2740">
            <v>664</v>
          </cell>
        </row>
        <row r="2741">
          <cell r="A2741" t="str">
            <v>103.028</v>
          </cell>
          <cell r="B2741" t="str">
            <v>I702</v>
          </cell>
          <cell r="C2741" t="str">
            <v xml:space="preserve">Tee Ranurada de 4" </v>
          </cell>
          <cell r="D2741" t="str">
            <v>Insumo</v>
          </cell>
          <cell r="E2741" t="str">
            <v>UND</v>
          </cell>
          <cell r="F2741">
            <v>1</v>
          </cell>
          <cell r="G2741">
            <v>32350</v>
          </cell>
          <cell r="H2741">
            <v>32350</v>
          </cell>
        </row>
        <row r="2743">
          <cell r="A2743" t="str">
            <v>103.029</v>
          </cell>
          <cell r="B2743" t="str">
            <v>-</v>
          </cell>
          <cell r="C2743" t="str">
            <v xml:space="preserve">SUMINISTRO, TRANSPORTE E INSTALACION Tee Ranurada de 2" </v>
          </cell>
          <cell r="D2743" t="str">
            <v>Actividad</v>
          </cell>
          <cell r="E2743" t="str">
            <v>UND</v>
          </cell>
          <cell r="H2743">
            <v>22739</v>
          </cell>
        </row>
        <row r="2744">
          <cell r="A2744" t="str">
            <v>103.029</v>
          </cell>
          <cell r="B2744" t="str">
            <v>C23</v>
          </cell>
          <cell r="C2744" t="str">
            <v>CUADRILLA BB TIPO 4 (1 OFICIAL + 4 AYUDANTE) (Instalaciones)</v>
          </cell>
          <cell r="D2744" t="str">
            <v>Cuadrilla</v>
          </cell>
          <cell r="E2744" t="str">
            <v>HR</v>
          </cell>
          <cell r="F2744">
            <v>0.2</v>
          </cell>
          <cell r="G2744">
            <v>39593</v>
          </cell>
          <cell r="H2744">
            <v>7919</v>
          </cell>
        </row>
        <row r="2745">
          <cell r="A2745" t="str">
            <v>103.029</v>
          </cell>
          <cell r="B2745" t="str">
            <v>E12</v>
          </cell>
          <cell r="C2745" t="str">
            <v>EQUIPO DE TRANSPORTE</v>
          </cell>
          <cell r="D2745" t="str">
            <v>Equipos</v>
          </cell>
          <cell r="E2745" t="str">
            <v>DIA</v>
          </cell>
          <cell r="F2745">
            <v>1.6E-2</v>
          </cell>
          <cell r="G2745">
            <v>131205</v>
          </cell>
          <cell r="H2745">
            <v>2099</v>
          </cell>
        </row>
        <row r="2746">
          <cell r="A2746" t="str">
            <v>103.029</v>
          </cell>
          <cell r="B2746" t="str">
            <v>H2</v>
          </cell>
          <cell r="C2746" t="str">
            <v>EQUIPO BASICO (HERRAMIENTA MENOR)</v>
          </cell>
          <cell r="D2746" t="str">
            <v>Herramienta</v>
          </cell>
          <cell r="E2746" t="str">
            <v>UND</v>
          </cell>
          <cell r="F2746">
            <v>0.2</v>
          </cell>
          <cell r="G2746">
            <v>2536</v>
          </cell>
          <cell r="H2746">
            <v>507</v>
          </cell>
        </row>
        <row r="2747">
          <cell r="A2747" t="str">
            <v>103.029</v>
          </cell>
          <cell r="B2747" t="str">
            <v>I1565</v>
          </cell>
          <cell r="C2747" t="str">
            <v>ACARREO INTERNO</v>
          </cell>
          <cell r="D2747" t="str">
            <v>Insumo</v>
          </cell>
          <cell r="E2747" t="str">
            <v>UND</v>
          </cell>
          <cell r="F2747">
            <v>0.5</v>
          </cell>
          <cell r="G2747">
            <v>1327</v>
          </cell>
          <cell r="H2747">
            <v>664</v>
          </cell>
        </row>
        <row r="2748">
          <cell r="A2748" t="str">
            <v>103.029</v>
          </cell>
          <cell r="B2748" t="str">
            <v>I702</v>
          </cell>
          <cell r="C2748" t="str">
            <v xml:space="preserve">Tee Ranurada de 2" </v>
          </cell>
          <cell r="D2748" t="str">
            <v>Insumo</v>
          </cell>
          <cell r="E2748" t="str">
            <v>UND</v>
          </cell>
          <cell r="F2748">
            <v>1</v>
          </cell>
          <cell r="G2748">
            <v>11550</v>
          </cell>
          <cell r="H2748">
            <v>11550</v>
          </cell>
        </row>
        <row r="2750">
          <cell r="A2750" t="str">
            <v>103.030</v>
          </cell>
          <cell r="B2750" t="str">
            <v>-</v>
          </cell>
          <cell r="C2750" t="str">
            <v xml:space="preserve">SUMINISTRO, TRANSPORTE E INSTALACION Tee Roscada AC de 1"   </v>
          </cell>
          <cell r="D2750" t="str">
            <v>Actividad</v>
          </cell>
          <cell r="E2750" t="str">
            <v>UND</v>
          </cell>
          <cell r="H2750">
            <v>14289</v>
          </cell>
        </row>
        <row r="2751">
          <cell r="A2751" t="str">
            <v>103.030</v>
          </cell>
          <cell r="B2751" t="str">
            <v>C23</v>
          </cell>
          <cell r="C2751" t="str">
            <v>CUADRILLA BB TIPO 4 (1 OFICIAL + 4 AYUDANTE) (Instalaciones)</v>
          </cell>
          <cell r="D2751" t="str">
            <v>Cuadrilla</v>
          </cell>
          <cell r="E2751" t="str">
            <v>HR</v>
          </cell>
          <cell r="F2751">
            <v>0.2</v>
          </cell>
          <cell r="G2751">
            <v>39593</v>
          </cell>
          <cell r="H2751">
            <v>7919</v>
          </cell>
        </row>
        <row r="2752">
          <cell r="A2752" t="str">
            <v>103.030</v>
          </cell>
          <cell r="B2752" t="str">
            <v>E12</v>
          </cell>
          <cell r="C2752" t="str">
            <v>EQUIPO DE TRANSPORTE</v>
          </cell>
          <cell r="D2752" t="str">
            <v>Equipos</v>
          </cell>
          <cell r="E2752" t="str">
            <v>DIA</v>
          </cell>
          <cell r="F2752">
            <v>1.6E-2</v>
          </cell>
          <cell r="G2752">
            <v>131205</v>
          </cell>
          <cell r="H2752">
            <v>2099</v>
          </cell>
        </row>
        <row r="2753">
          <cell r="A2753" t="str">
            <v>103.030</v>
          </cell>
          <cell r="B2753" t="str">
            <v>H2</v>
          </cell>
          <cell r="C2753" t="str">
            <v>EQUIPO BASICO (HERRAMIENTA MENOR)</v>
          </cell>
          <cell r="D2753" t="str">
            <v>Herramienta</v>
          </cell>
          <cell r="E2753" t="str">
            <v>UND</v>
          </cell>
          <cell r="F2753">
            <v>0.2</v>
          </cell>
          <cell r="G2753">
            <v>2536</v>
          </cell>
          <cell r="H2753">
            <v>507</v>
          </cell>
        </row>
        <row r="2754">
          <cell r="A2754" t="str">
            <v>103.030</v>
          </cell>
          <cell r="B2754" t="str">
            <v>I1565</v>
          </cell>
          <cell r="C2754" t="str">
            <v>ACARREO INTERNO</v>
          </cell>
          <cell r="D2754" t="str">
            <v>Insumo</v>
          </cell>
          <cell r="E2754" t="str">
            <v>UND</v>
          </cell>
          <cell r="F2754">
            <v>0.5</v>
          </cell>
          <cell r="G2754">
            <v>1327</v>
          </cell>
          <cell r="H2754">
            <v>664</v>
          </cell>
        </row>
        <row r="2755">
          <cell r="A2755" t="str">
            <v>103.030</v>
          </cell>
          <cell r="B2755" t="str">
            <v>I702</v>
          </cell>
          <cell r="C2755" t="str">
            <v xml:space="preserve">Tee Roscada AC de 1"   </v>
          </cell>
          <cell r="D2755" t="str">
            <v>Insumo</v>
          </cell>
          <cell r="E2755" t="str">
            <v>UND</v>
          </cell>
          <cell r="F2755">
            <v>1</v>
          </cell>
          <cell r="G2755">
            <v>3100</v>
          </cell>
          <cell r="H2755">
            <v>3100</v>
          </cell>
        </row>
        <row r="2757">
          <cell r="A2757" t="str">
            <v>103.031</v>
          </cell>
          <cell r="B2757" t="str">
            <v>-</v>
          </cell>
          <cell r="C2757" t="str">
            <v xml:space="preserve">SUMINISTRO, TRANSPORTE E INSTALACION Tee Strap Roscado de 1 1/2" X 1"  </v>
          </cell>
          <cell r="D2757" t="str">
            <v>Actividad</v>
          </cell>
          <cell r="E2757" t="str">
            <v>UND</v>
          </cell>
          <cell r="H2757">
            <v>18119</v>
          </cell>
        </row>
        <row r="2758">
          <cell r="A2758" t="str">
            <v>103.031</v>
          </cell>
          <cell r="B2758" t="str">
            <v>C23</v>
          </cell>
          <cell r="C2758" t="str">
            <v>CUADRILLA BB TIPO 4 (1 OFICIAL + 4 AYUDANTE) (Instalaciones)</v>
          </cell>
          <cell r="D2758" t="str">
            <v>Cuadrilla</v>
          </cell>
          <cell r="E2758" t="str">
            <v>HR</v>
          </cell>
          <cell r="F2758">
            <v>0.2</v>
          </cell>
          <cell r="G2758">
            <v>39593</v>
          </cell>
          <cell r="H2758">
            <v>7919</v>
          </cell>
        </row>
        <row r="2759">
          <cell r="A2759" t="str">
            <v>103.031</v>
          </cell>
          <cell r="B2759" t="str">
            <v>E12</v>
          </cell>
          <cell r="C2759" t="str">
            <v>EQUIPO DE TRANSPORTE</v>
          </cell>
          <cell r="D2759" t="str">
            <v>Equipos</v>
          </cell>
          <cell r="E2759" t="str">
            <v>DIA</v>
          </cell>
          <cell r="F2759">
            <v>1.6E-2</v>
          </cell>
          <cell r="G2759">
            <v>131205</v>
          </cell>
          <cell r="H2759">
            <v>2099</v>
          </cell>
        </row>
        <row r="2760">
          <cell r="A2760" t="str">
            <v>103.031</v>
          </cell>
          <cell r="B2760" t="str">
            <v>H2</v>
          </cell>
          <cell r="C2760" t="str">
            <v>EQUIPO BASICO (HERRAMIENTA MENOR)</v>
          </cell>
          <cell r="D2760" t="str">
            <v>Herramienta</v>
          </cell>
          <cell r="E2760" t="str">
            <v>UND</v>
          </cell>
          <cell r="F2760">
            <v>0.2</v>
          </cell>
          <cell r="G2760">
            <v>2536</v>
          </cell>
          <cell r="H2760">
            <v>507</v>
          </cell>
        </row>
        <row r="2761">
          <cell r="A2761" t="str">
            <v>103.031</v>
          </cell>
          <cell r="B2761" t="str">
            <v>I1565</v>
          </cell>
          <cell r="C2761" t="str">
            <v>ACARREO INTERNO</v>
          </cell>
          <cell r="D2761" t="str">
            <v>Insumo</v>
          </cell>
          <cell r="E2761" t="str">
            <v>UND</v>
          </cell>
          <cell r="F2761">
            <v>0.5</v>
          </cell>
          <cell r="G2761">
            <v>1327</v>
          </cell>
          <cell r="H2761">
            <v>664</v>
          </cell>
        </row>
        <row r="2762">
          <cell r="A2762" t="str">
            <v>103.031</v>
          </cell>
          <cell r="B2762" t="str">
            <v>I702</v>
          </cell>
          <cell r="C2762" t="str">
            <v xml:space="preserve">Tee Strap Roscado de 1 1/2" X 1"  </v>
          </cell>
          <cell r="D2762" t="str">
            <v>Insumo</v>
          </cell>
          <cell r="E2762" t="str">
            <v>UND</v>
          </cell>
          <cell r="F2762">
            <v>1</v>
          </cell>
          <cell r="G2762">
            <v>6930</v>
          </cell>
          <cell r="H2762">
            <v>6930</v>
          </cell>
        </row>
        <row r="2764">
          <cell r="A2764" t="str">
            <v>103.032</v>
          </cell>
          <cell r="B2764" t="str">
            <v>-</v>
          </cell>
          <cell r="C2764" t="str">
            <v xml:space="preserve">SUMINISTRO, TRANSPORTE E INSTALACION Tee Strap Roscado de 1 1/4" X 1"  </v>
          </cell>
          <cell r="D2764" t="str">
            <v>Actividad</v>
          </cell>
          <cell r="E2764" t="str">
            <v>UND</v>
          </cell>
          <cell r="H2764">
            <v>18019</v>
          </cell>
        </row>
        <row r="2765">
          <cell r="A2765" t="str">
            <v>103.032</v>
          </cell>
          <cell r="B2765" t="str">
            <v>C23</v>
          </cell>
          <cell r="C2765" t="str">
            <v>CUADRILLA BB TIPO 4 (1 OFICIAL + 4 AYUDANTE) (Instalaciones)</v>
          </cell>
          <cell r="D2765" t="str">
            <v>Cuadrilla</v>
          </cell>
          <cell r="E2765" t="str">
            <v>HR</v>
          </cell>
          <cell r="F2765">
            <v>0.2</v>
          </cell>
          <cell r="G2765">
            <v>39593</v>
          </cell>
          <cell r="H2765">
            <v>7919</v>
          </cell>
        </row>
        <row r="2766">
          <cell r="A2766" t="str">
            <v>103.032</v>
          </cell>
          <cell r="B2766" t="str">
            <v>E12</v>
          </cell>
          <cell r="C2766" t="str">
            <v>EQUIPO DE TRANSPORTE</v>
          </cell>
          <cell r="D2766" t="str">
            <v>Equipos</v>
          </cell>
          <cell r="E2766" t="str">
            <v>DIA</v>
          </cell>
          <cell r="F2766">
            <v>1.6E-2</v>
          </cell>
          <cell r="G2766">
            <v>131205</v>
          </cell>
          <cell r="H2766">
            <v>2099</v>
          </cell>
        </row>
        <row r="2767">
          <cell r="A2767" t="str">
            <v>103.032</v>
          </cell>
          <cell r="B2767" t="str">
            <v>H2</v>
          </cell>
          <cell r="C2767" t="str">
            <v>EQUIPO BASICO (HERRAMIENTA MENOR)</v>
          </cell>
          <cell r="D2767" t="str">
            <v>Herramienta</v>
          </cell>
          <cell r="E2767" t="str">
            <v>UND</v>
          </cell>
          <cell r="F2767">
            <v>0.2</v>
          </cell>
          <cell r="G2767">
            <v>2536</v>
          </cell>
          <cell r="H2767">
            <v>507</v>
          </cell>
        </row>
        <row r="2768">
          <cell r="A2768" t="str">
            <v>103.032</v>
          </cell>
          <cell r="B2768" t="str">
            <v>I1565</v>
          </cell>
          <cell r="C2768" t="str">
            <v>ACARREO INTERNO</v>
          </cell>
          <cell r="D2768" t="str">
            <v>Insumo</v>
          </cell>
          <cell r="E2768" t="str">
            <v>UND</v>
          </cell>
          <cell r="F2768">
            <v>0.5</v>
          </cell>
          <cell r="G2768">
            <v>1327</v>
          </cell>
          <cell r="H2768">
            <v>664</v>
          </cell>
        </row>
        <row r="2769">
          <cell r="A2769" t="str">
            <v>103.032</v>
          </cell>
          <cell r="B2769" t="str">
            <v>I702</v>
          </cell>
          <cell r="C2769" t="str">
            <v xml:space="preserve">Tee Strap Roscado de 1 1/4" X 1"  </v>
          </cell>
          <cell r="D2769" t="str">
            <v>Insumo</v>
          </cell>
          <cell r="E2769" t="str">
            <v>UND</v>
          </cell>
          <cell r="F2769">
            <v>1</v>
          </cell>
          <cell r="G2769">
            <v>6830</v>
          </cell>
          <cell r="H2769">
            <v>6830</v>
          </cell>
        </row>
        <row r="2771">
          <cell r="A2771" t="str">
            <v>103.033</v>
          </cell>
          <cell r="B2771" t="str">
            <v>-</v>
          </cell>
          <cell r="C2771" t="str">
            <v>SUMINISTRO, TRANSPORTE E INSTALACION Cheque Compuerta Ranurado de 4"</v>
          </cell>
          <cell r="D2771" t="str">
            <v>Actividad</v>
          </cell>
          <cell r="E2771" t="str">
            <v>UND</v>
          </cell>
          <cell r="H2771">
            <v>295189</v>
          </cell>
        </row>
        <row r="2772">
          <cell r="A2772" t="str">
            <v>103.033</v>
          </cell>
          <cell r="B2772" t="str">
            <v>C23</v>
          </cell>
          <cell r="C2772" t="str">
            <v>CUADRILLA BB TIPO 4 (1 OFICIAL + 4 AYUDANTE) (Instalaciones)</v>
          </cell>
          <cell r="D2772" t="str">
            <v>Cuadrilla</v>
          </cell>
          <cell r="E2772" t="str">
            <v>HR</v>
          </cell>
          <cell r="F2772">
            <v>0.2</v>
          </cell>
          <cell r="G2772">
            <v>39593</v>
          </cell>
          <cell r="H2772">
            <v>7919</v>
          </cell>
        </row>
        <row r="2773">
          <cell r="A2773" t="str">
            <v>103.033</v>
          </cell>
          <cell r="B2773" t="str">
            <v>E12</v>
          </cell>
          <cell r="C2773" t="str">
            <v>EQUIPO DE TRANSPORTE</v>
          </cell>
          <cell r="D2773" t="str">
            <v>Equipos</v>
          </cell>
          <cell r="E2773" t="str">
            <v>DIA</v>
          </cell>
          <cell r="F2773">
            <v>1.6E-2</v>
          </cell>
          <cell r="G2773">
            <v>131205</v>
          </cell>
          <cell r="H2773">
            <v>2099</v>
          </cell>
        </row>
        <row r="2774">
          <cell r="A2774" t="str">
            <v>103.033</v>
          </cell>
          <cell r="B2774" t="str">
            <v>H2</v>
          </cell>
          <cell r="C2774" t="str">
            <v>EQUIPO BASICO (HERRAMIENTA MENOR)</v>
          </cell>
          <cell r="D2774" t="str">
            <v>Herramienta</v>
          </cell>
          <cell r="E2774" t="str">
            <v>UND</v>
          </cell>
          <cell r="F2774">
            <v>0.2</v>
          </cell>
          <cell r="G2774">
            <v>2536</v>
          </cell>
          <cell r="H2774">
            <v>507</v>
          </cell>
        </row>
        <row r="2775">
          <cell r="A2775" t="str">
            <v>103.033</v>
          </cell>
          <cell r="B2775" t="str">
            <v>I1565</v>
          </cell>
          <cell r="C2775" t="str">
            <v>ACARREO INTERNO</v>
          </cell>
          <cell r="D2775" t="str">
            <v>Insumo</v>
          </cell>
          <cell r="E2775" t="str">
            <v>UND</v>
          </cell>
          <cell r="F2775">
            <v>0.5</v>
          </cell>
          <cell r="G2775">
            <v>1327</v>
          </cell>
          <cell r="H2775">
            <v>664</v>
          </cell>
        </row>
        <row r="2776">
          <cell r="A2776" t="str">
            <v>103.033</v>
          </cell>
          <cell r="B2776" t="str">
            <v>I702</v>
          </cell>
          <cell r="C2776" t="str">
            <v>Cheque Compuerta Ranurado de 4"</v>
          </cell>
          <cell r="D2776" t="str">
            <v>Insumo</v>
          </cell>
          <cell r="E2776" t="str">
            <v>UND</v>
          </cell>
          <cell r="F2776">
            <v>1</v>
          </cell>
          <cell r="G2776">
            <v>284000</v>
          </cell>
          <cell r="H2776">
            <v>284000</v>
          </cell>
        </row>
        <row r="2778">
          <cell r="A2778" t="str">
            <v>103.034</v>
          </cell>
          <cell r="B2778" t="str">
            <v>-</v>
          </cell>
          <cell r="C2778" t="str">
            <v xml:space="preserve">SUMINISTRO, TRANSPORTE E INSTALACION Cheque Compuerta Ranurado de 2" </v>
          </cell>
          <cell r="D2778" t="str">
            <v>Actividad</v>
          </cell>
          <cell r="E2778" t="str">
            <v>UND</v>
          </cell>
          <cell r="H2778">
            <v>200289</v>
          </cell>
        </row>
        <row r="2779">
          <cell r="A2779" t="str">
            <v>103.034</v>
          </cell>
          <cell r="B2779" t="str">
            <v>C23</v>
          </cell>
          <cell r="C2779" t="str">
            <v>CUADRILLA BB TIPO 4 (1 OFICIAL + 4 AYUDANTE) (Instalaciones)</v>
          </cell>
          <cell r="D2779" t="str">
            <v>Cuadrilla</v>
          </cell>
          <cell r="E2779" t="str">
            <v>HR</v>
          </cell>
          <cell r="F2779">
            <v>0.2</v>
          </cell>
          <cell r="G2779">
            <v>39593</v>
          </cell>
          <cell r="H2779">
            <v>7919</v>
          </cell>
        </row>
        <row r="2780">
          <cell r="A2780" t="str">
            <v>103.034</v>
          </cell>
          <cell r="B2780" t="str">
            <v>E12</v>
          </cell>
          <cell r="C2780" t="str">
            <v>EQUIPO DE TRANSPORTE</v>
          </cell>
          <cell r="D2780" t="str">
            <v>Equipos</v>
          </cell>
          <cell r="E2780" t="str">
            <v>DIA</v>
          </cell>
          <cell r="F2780">
            <v>1.6E-2</v>
          </cell>
          <cell r="G2780">
            <v>131205</v>
          </cell>
          <cell r="H2780">
            <v>2099</v>
          </cell>
        </row>
        <row r="2781">
          <cell r="A2781" t="str">
            <v>103.034</v>
          </cell>
          <cell r="B2781" t="str">
            <v>H2</v>
          </cell>
          <cell r="C2781" t="str">
            <v>EQUIPO BASICO (HERRAMIENTA MENOR)</v>
          </cell>
          <cell r="D2781" t="str">
            <v>Herramienta</v>
          </cell>
          <cell r="E2781" t="str">
            <v>UND</v>
          </cell>
          <cell r="F2781">
            <v>0.2</v>
          </cell>
          <cell r="G2781">
            <v>2536</v>
          </cell>
          <cell r="H2781">
            <v>507</v>
          </cell>
        </row>
        <row r="2782">
          <cell r="A2782" t="str">
            <v>103.034</v>
          </cell>
          <cell r="B2782" t="str">
            <v>I1565</v>
          </cell>
          <cell r="C2782" t="str">
            <v>ACARREO INTERNO</v>
          </cell>
          <cell r="D2782" t="str">
            <v>Insumo</v>
          </cell>
          <cell r="E2782" t="str">
            <v>UND</v>
          </cell>
          <cell r="F2782">
            <v>0.5</v>
          </cell>
          <cell r="G2782">
            <v>1327</v>
          </cell>
          <cell r="H2782">
            <v>664</v>
          </cell>
        </row>
        <row r="2783">
          <cell r="A2783" t="str">
            <v>103.034</v>
          </cell>
          <cell r="B2783" t="str">
            <v>I702</v>
          </cell>
          <cell r="C2783" t="str">
            <v xml:space="preserve">Cheque Compuerta Ranurado de 2" </v>
          </cell>
          <cell r="D2783" t="str">
            <v>Insumo</v>
          </cell>
          <cell r="E2783" t="str">
            <v>UND</v>
          </cell>
          <cell r="F2783">
            <v>1</v>
          </cell>
          <cell r="G2783">
            <v>189100</v>
          </cell>
          <cell r="H2783">
            <v>189100</v>
          </cell>
        </row>
        <row r="2785">
          <cell r="A2785" t="str">
            <v>103.035</v>
          </cell>
          <cell r="B2785" t="str">
            <v>-</v>
          </cell>
          <cell r="C2785" t="str">
            <v xml:space="preserve">SUMINISTRO, TRANSPORTE E INSTALACION Extintor de Co2 10 lbs   </v>
          </cell>
          <cell r="D2785" t="str">
            <v>Actividad</v>
          </cell>
          <cell r="E2785" t="str">
            <v>UND</v>
          </cell>
          <cell r="H2785">
            <v>291189</v>
          </cell>
        </row>
        <row r="2786">
          <cell r="A2786" t="str">
            <v>103.035</v>
          </cell>
          <cell r="B2786" t="str">
            <v>C23</v>
          </cell>
          <cell r="C2786" t="str">
            <v>CUADRILLA BB TIPO 4 (1 OFICIAL + 4 AYUDANTE) (Instalaciones)</v>
          </cell>
          <cell r="D2786" t="str">
            <v>Cuadrilla</v>
          </cell>
          <cell r="E2786" t="str">
            <v>HR</v>
          </cell>
          <cell r="F2786">
            <v>0.2</v>
          </cell>
          <cell r="G2786">
            <v>39593</v>
          </cell>
          <cell r="H2786">
            <v>7919</v>
          </cell>
        </row>
        <row r="2787">
          <cell r="A2787" t="str">
            <v>103.035</v>
          </cell>
          <cell r="B2787" t="str">
            <v>E12</v>
          </cell>
          <cell r="C2787" t="str">
            <v>EQUIPO DE TRANSPORTE</v>
          </cell>
          <cell r="D2787" t="str">
            <v>Equipos</v>
          </cell>
          <cell r="E2787" t="str">
            <v>DIA</v>
          </cell>
          <cell r="F2787">
            <v>1.6E-2</v>
          </cell>
          <cell r="G2787">
            <v>131205</v>
          </cell>
          <cell r="H2787">
            <v>2099</v>
          </cell>
        </row>
        <row r="2788">
          <cell r="A2788" t="str">
            <v>103.035</v>
          </cell>
          <cell r="B2788" t="str">
            <v>H2</v>
          </cell>
          <cell r="C2788" t="str">
            <v>EQUIPO BASICO (HERRAMIENTA MENOR)</v>
          </cell>
          <cell r="D2788" t="str">
            <v>Herramienta</v>
          </cell>
          <cell r="E2788" t="str">
            <v>UND</v>
          </cell>
          <cell r="F2788">
            <v>0.2</v>
          </cell>
          <cell r="G2788">
            <v>2536</v>
          </cell>
          <cell r="H2788">
            <v>507</v>
          </cell>
        </row>
        <row r="2789">
          <cell r="A2789" t="str">
            <v>103.035</v>
          </cell>
          <cell r="B2789" t="str">
            <v>I1565</v>
          </cell>
          <cell r="C2789" t="str">
            <v>ACARREO INTERNO</v>
          </cell>
          <cell r="D2789" t="str">
            <v>Insumo</v>
          </cell>
          <cell r="E2789" t="str">
            <v>UND</v>
          </cell>
          <cell r="F2789">
            <v>0.5</v>
          </cell>
          <cell r="G2789">
            <v>1327</v>
          </cell>
          <cell r="H2789">
            <v>664</v>
          </cell>
        </row>
        <row r="2790">
          <cell r="A2790" t="str">
            <v>103.035</v>
          </cell>
          <cell r="B2790" t="str">
            <v>I702</v>
          </cell>
          <cell r="C2790" t="str">
            <v xml:space="preserve">Extintor de Co2 10 lbs   </v>
          </cell>
          <cell r="D2790" t="str">
            <v>Insumo</v>
          </cell>
          <cell r="E2790" t="str">
            <v>UND</v>
          </cell>
          <cell r="F2790">
            <v>1</v>
          </cell>
          <cell r="G2790">
            <v>280000</v>
          </cell>
          <cell r="H2790">
            <v>280000</v>
          </cell>
        </row>
        <row r="2792">
          <cell r="A2792" t="str">
            <v>103.036</v>
          </cell>
          <cell r="B2792" t="str">
            <v>-</v>
          </cell>
          <cell r="C2792" t="str">
            <v xml:space="preserve">SUMINISTRO, TRANSPORTE E INSTALACION Extintor Mutipropósito ABC 10 LBS Clasificación 2-A  </v>
          </cell>
          <cell r="D2792" t="str">
            <v>Actividad</v>
          </cell>
          <cell r="E2792" t="str">
            <v>UND</v>
          </cell>
          <cell r="H2792">
            <v>91189</v>
          </cell>
        </row>
        <row r="2793">
          <cell r="A2793" t="str">
            <v>103.036</v>
          </cell>
          <cell r="B2793" t="str">
            <v>C23</v>
          </cell>
          <cell r="C2793" t="str">
            <v>CUADRILLA BB TIPO 4 (1 OFICIAL + 4 AYUDANTE) (Instalaciones)</v>
          </cell>
          <cell r="D2793" t="str">
            <v>Cuadrilla</v>
          </cell>
          <cell r="E2793" t="str">
            <v>HR</v>
          </cell>
          <cell r="F2793">
            <v>0.2</v>
          </cell>
          <cell r="G2793">
            <v>39593</v>
          </cell>
          <cell r="H2793">
            <v>7919</v>
          </cell>
        </row>
        <row r="2794">
          <cell r="A2794" t="str">
            <v>103.036</v>
          </cell>
          <cell r="B2794" t="str">
            <v>E12</v>
          </cell>
          <cell r="C2794" t="str">
            <v>EQUIPO DE TRANSPORTE</v>
          </cell>
          <cell r="D2794" t="str">
            <v>Equipos</v>
          </cell>
          <cell r="E2794" t="str">
            <v>DIA</v>
          </cell>
          <cell r="F2794">
            <v>1.6E-2</v>
          </cell>
          <cell r="G2794">
            <v>131205</v>
          </cell>
          <cell r="H2794">
            <v>2099</v>
          </cell>
        </row>
        <row r="2795">
          <cell r="A2795" t="str">
            <v>103.036</v>
          </cell>
          <cell r="B2795" t="str">
            <v>H2</v>
          </cell>
          <cell r="C2795" t="str">
            <v>EQUIPO BASICO (HERRAMIENTA MENOR)</v>
          </cell>
          <cell r="D2795" t="str">
            <v>Herramienta</v>
          </cell>
          <cell r="E2795" t="str">
            <v>UND</v>
          </cell>
          <cell r="F2795">
            <v>0.2</v>
          </cell>
          <cell r="G2795">
            <v>2536</v>
          </cell>
          <cell r="H2795">
            <v>507</v>
          </cell>
        </row>
        <row r="2796">
          <cell r="A2796" t="str">
            <v>103.036</v>
          </cell>
          <cell r="B2796" t="str">
            <v>I1565</v>
          </cell>
          <cell r="C2796" t="str">
            <v>ACARREO INTERNO</v>
          </cell>
          <cell r="D2796" t="str">
            <v>Insumo</v>
          </cell>
          <cell r="E2796" t="str">
            <v>UND</v>
          </cell>
          <cell r="F2796">
            <v>0.5</v>
          </cell>
          <cell r="G2796">
            <v>1327</v>
          </cell>
          <cell r="H2796">
            <v>664</v>
          </cell>
        </row>
        <row r="2797">
          <cell r="A2797" t="str">
            <v>103.036</v>
          </cell>
          <cell r="B2797" t="str">
            <v>I702</v>
          </cell>
          <cell r="C2797" t="str">
            <v xml:space="preserve">Extintor Mutipropósito ABC 10 LBS Clasificación 2-A  </v>
          </cell>
          <cell r="D2797" t="str">
            <v>Insumo</v>
          </cell>
          <cell r="E2797" t="str">
            <v>UND</v>
          </cell>
          <cell r="F2797">
            <v>1</v>
          </cell>
          <cell r="G2797">
            <v>80000</v>
          </cell>
          <cell r="H2797">
            <v>80000</v>
          </cell>
        </row>
        <row r="2799">
          <cell r="A2799" t="str">
            <v>103.037</v>
          </cell>
          <cell r="B2799" t="str">
            <v>-</v>
          </cell>
          <cell r="C2799" t="str">
            <v xml:space="preserve">SUMINISTRO, TRANSPORTE E INSTALACION EXTINTOR TIPO K    </v>
          </cell>
          <cell r="D2799" t="str">
            <v>Actividad</v>
          </cell>
          <cell r="E2799" t="str">
            <v>UND</v>
          </cell>
          <cell r="H2799">
            <v>256189</v>
          </cell>
        </row>
        <row r="2800">
          <cell r="A2800" t="str">
            <v>103.037</v>
          </cell>
          <cell r="B2800" t="str">
            <v>C23</v>
          </cell>
          <cell r="C2800" t="str">
            <v>CUADRILLA BB TIPO 4 (1 OFICIAL + 4 AYUDANTE) (Instalaciones)</v>
          </cell>
          <cell r="D2800" t="str">
            <v>Cuadrilla</v>
          </cell>
          <cell r="E2800" t="str">
            <v>HR</v>
          </cell>
          <cell r="F2800">
            <v>0.2</v>
          </cell>
          <cell r="G2800">
            <v>39593</v>
          </cell>
          <cell r="H2800">
            <v>7919</v>
          </cell>
        </row>
        <row r="2801">
          <cell r="A2801" t="str">
            <v>103.037</v>
          </cell>
          <cell r="B2801" t="str">
            <v>E12</v>
          </cell>
          <cell r="C2801" t="str">
            <v>EQUIPO DE TRANSPORTE</v>
          </cell>
          <cell r="D2801" t="str">
            <v>Equipos</v>
          </cell>
          <cell r="E2801" t="str">
            <v>DIA</v>
          </cell>
          <cell r="F2801">
            <v>1.6E-2</v>
          </cell>
          <cell r="G2801">
            <v>131205</v>
          </cell>
          <cell r="H2801">
            <v>2099</v>
          </cell>
        </row>
        <row r="2802">
          <cell r="A2802" t="str">
            <v>103.037</v>
          </cell>
          <cell r="B2802" t="str">
            <v>H2</v>
          </cell>
          <cell r="C2802" t="str">
            <v>EQUIPO BASICO (HERRAMIENTA MENOR)</v>
          </cell>
          <cell r="D2802" t="str">
            <v>Herramienta</v>
          </cell>
          <cell r="E2802" t="str">
            <v>UND</v>
          </cell>
          <cell r="F2802">
            <v>0.2</v>
          </cell>
          <cell r="G2802">
            <v>2536</v>
          </cell>
          <cell r="H2802">
            <v>507</v>
          </cell>
        </row>
        <row r="2803">
          <cell r="A2803" t="str">
            <v>103.037</v>
          </cell>
          <cell r="B2803" t="str">
            <v>I1565</v>
          </cell>
          <cell r="C2803" t="str">
            <v>ACARREO INTERNO</v>
          </cell>
          <cell r="D2803" t="str">
            <v>Insumo</v>
          </cell>
          <cell r="E2803" t="str">
            <v>UND</v>
          </cell>
          <cell r="F2803">
            <v>0.5</v>
          </cell>
          <cell r="G2803">
            <v>1327</v>
          </cell>
          <cell r="H2803">
            <v>664</v>
          </cell>
        </row>
        <row r="2804">
          <cell r="A2804" t="str">
            <v>103.037</v>
          </cell>
          <cell r="B2804" t="str">
            <v>I702</v>
          </cell>
          <cell r="C2804" t="str">
            <v xml:space="preserve">EXTINTOR TIPO K    </v>
          </cell>
          <cell r="D2804" t="str">
            <v>Insumo</v>
          </cell>
          <cell r="E2804" t="str">
            <v>UND</v>
          </cell>
          <cell r="F2804">
            <v>1</v>
          </cell>
          <cell r="G2804">
            <v>245000</v>
          </cell>
          <cell r="H2804">
            <v>245000</v>
          </cell>
        </row>
        <row r="2806">
          <cell r="A2806" t="str">
            <v>103.038</v>
          </cell>
          <cell r="B2806" t="str">
            <v>-</v>
          </cell>
          <cell r="C2806" t="str">
            <v xml:space="preserve">SUMINISTRO, TRANSPORTE E INSTALACION Gabinete Contra incendios clase II  de 1 1/2"  completo con válvula, extintor, hacha, llaves y manguera  </v>
          </cell>
          <cell r="D2806" t="str">
            <v>Actividad</v>
          </cell>
          <cell r="E2806" t="str">
            <v>UND</v>
          </cell>
          <cell r="H2806">
            <v>1190889</v>
          </cell>
        </row>
        <row r="2807">
          <cell r="A2807" t="str">
            <v>103.038</v>
          </cell>
          <cell r="B2807" t="str">
            <v>C23</v>
          </cell>
          <cell r="C2807" t="str">
            <v>CUADRILLA BB TIPO 4 (1 OFICIAL + 4 AYUDANTE) (Instalaciones)</v>
          </cell>
          <cell r="D2807" t="str">
            <v>Cuadrilla</v>
          </cell>
          <cell r="E2807" t="str">
            <v>HR</v>
          </cell>
          <cell r="F2807">
            <v>0.2</v>
          </cell>
          <cell r="G2807">
            <v>39593</v>
          </cell>
          <cell r="H2807">
            <v>7919</v>
          </cell>
        </row>
        <row r="2808">
          <cell r="A2808" t="str">
            <v>103.038</v>
          </cell>
          <cell r="B2808" t="str">
            <v>E12</v>
          </cell>
          <cell r="C2808" t="str">
            <v>EQUIPO DE TRANSPORTE</v>
          </cell>
          <cell r="D2808" t="str">
            <v>Equipos</v>
          </cell>
          <cell r="E2808" t="str">
            <v>DIA</v>
          </cell>
          <cell r="F2808">
            <v>1.6E-2</v>
          </cell>
          <cell r="G2808">
            <v>131205</v>
          </cell>
          <cell r="H2808">
            <v>2099</v>
          </cell>
        </row>
        <row r="2809">
          <cell r="A2809" t="str">
            <v>103.038</v>
          </cell>
          <cell r="B2809" t="str">
            <v>H2</v>
          </cell>
          <cell r="C2809" t="str">
            <v>EQUIPO BASICO (HERRAMIENTA MENOR)</v>
          </cell>
          <cell r="D2809" t="str">
            <v>Herramienta</v>
          </cell>
          <cell r="E2809" t="str">
            <v>UND</v>
          </cell>
          <cell r="F2809">
            <v>0.2</v>
          </cell>
          <cell r="G2809">
            <v>2536</v>
          </cell>
          <cell r="H2809">
            <v>507</v>
          </cell>
        </row>
        <row r="2810">
          <cell r="A2810" t="str">
            <v>103.038</v>
          </cell>
          <cell r="B2810" t="str">
            <v>I1565</v>
          </cell>
          <cell r="C2810" t="str">
            <v>ACARREO INTERNO</v>
          </cell>
          <cell r="D2810" t="str">
            <v>Insumo</v>
          </cell>
          <cell r="E2810" t="str">
            <v>UND</v>
          </cell>
          <cell r="F2810">
            <v>0.5</v>
          </cell>
          <cell r="G2810">
            <v>1327</v>
          </cell>
          <cell r="H2810">
            <v>664</v>
          </cell>
        </row>
        <row r="2811">
          <cell r="A2811" t="str">
            <v>103.038</v>
          </cell>
          <cell r="B2811" t="str">
            <v>I702</v>
          </cell>
          <cell r="C2811" t="str">
            <v xml:space="preserve">Gabinete Contra incendios clase II  de 1 1/2"  completo con válvula, extintor, hacha, llaves y manguera  </v>
          </cell>
          <cell r="D2811" t="str">
            <v>Insumo</v>
          </cell>
          <cell r="E2811" t="str">
            <v>UND</v>
          </cell>
          <cell r="F2811">
            <v>1</v>
          </cell>
          <cell r="G2811">
            <v>1179700</v>
          </cell>
          <cell r="H2811">
            <v>1179700</v>
          </cell>
        </row>
        <row r="2813">
          <cell r="A2813" t="str">
            <v>103.039</v>
          </cell>
          <cell r="B2813" t="str">
            <v>-</v>
          </cell>
          <cell r="C2813" t="str">
            <v xml:space="preserve">SUMINISTRO, TRANSPORTE E INSTALACION Manometro de 0-300psi en gliserina de 1/2".  </v>
          </cell>
          <cell r="D2813" t="str">
            <v>Actividad</v>
          </cell>
          <cell r="E2813" t="str">
            <v>UND</v>
          </cell>
          <cell r="H2813">
            <v>70339</v>
          </cell>
        </row>
        <row r="2814">
          <cell r="A2814" t="str">
            <v>103.039</v>
          </cell>
          <cell r="B2814" t="str">
            <v>C23</v>
          </cell>
          <cell r="C2814" t="str">
            <v>CUADRILLA BB TIPO 4 (1 OFICIAL + 4 AYUDANTE) (Instalaciones)</v>
          </cell>
          <cell r="D2814" t="str">
            <v>Cuadrilla</v>
          </cell>
          <cell r="E2814" t="str">
            <v>HR</v>
          </cell>
          <cell r="F2814">
            <v>0.2</v>
          </cell>
          <cell r="G2814">
            <v>39593</v>
          </cell>
          <cell r="H2814">
            <v>7919</v>
          </cell>
        </row>
        <row r="2815">
          <cell r="A2815" t="str">
            <v>103.039</v>
          </cell>
          <cell r="B2815" t="str">
            <v>E12</v>
          </cell>
          <cell r="C2815" t="str">
            <v>EQUIPO DE TRANSPORTE</v>
          </cell>
          <cell r="D2815" t="str">
            <v>Equipos</v>
          </cell>
          <cell r="E2815" t="str">
            <v>DIA</v>
          </cell>
          <cell r="F2815">
            <v>1.6E-2</v>
          </cell>
          <cell r="G2815">
            <v>131205</v>
          </cell>
          <cell r="H2815">
            <v>2099</v>
          </cell>
        </row>
        <row r="2816">
          <cell r="A2816" t="str">
            <v>103.039</v>
          </cell>
          <cell r="B2816" t="str">
            <v>H2</v>
          </cell>
          <cell r="C2816" t="str">
            <v>EQUIPO BASICO (HERRAMIENTA MENOR)</v>
          </cell>
          <cell r="D2816" t="str">
            <v>Herramienta</v>
          </cell>
          <cell r="E2816" t="str">
            <v>UND</v>
          </cell>
          <cell r="F2816">
            <v>0.2</v>
          </cell>
          <cell r="G2816">
            <v>2536</v>
          </cell>
          <cell r="H2816">
            <v>507</v>
          </cell>
        </row>
        <row r="2817">
          <cell r="A2817" t="str">
            <v>103.039</v>
          </cell>
          <cell r="B2817" t="str">
            <v>I1565</v>
          </cell>
          <cell r="C2817" t="str">
            <v>ACARREO INTERNO</v>
          </cell>
          <cell r="D2817" t="str">
            <v>Insumo</v>
          </cell>
          <cell r="E2817" t="str">
            <v>UND</v>
          </cell>
          <cell r="F2817">
            <v>0.5</v>
          </cell>
          <cell r="G2817">
            <v>1327</v>
          </cell>
          <cell r="H2817">
            <v>664</v>
          </cell>
        </row>
        <row r="2818">
          <cell r="A2818" t="str">
            <v>103.039</v>
          </cell>
          <cell r="B2818" t="str">
            <v>I702</v>
          </cell>
          <cell r="C2818" t="str">
            <v xml:space="preserve">Manometro de 0-300psi en gliserina de 1/2".  </v>
          </cell>
          <cell r="D2818" t="str">
            <v>Insumo</v>
          </cell>
          <cell r="E2818" t="str">
            <v>UND</v>
          </cell>
          <cell r="F2818">
            <v>1</v>
          </cell>
          <cell r="G2818">
            <v>59150</v>
          </cell>
          <cell r="H2818">
            <v>59150</v>
          </cell>
        </row>
        <row r="2820">
          <cell r="A2820" t="str">
            <v>103.040</v>
          </cell>
          <cell r="B2820" t="str">
            <v>-</v>
          </cell>
          <cell r="C2820" t="str">
            <v xml:space="preserve">SUMINISTRO, TRANSPORTE E INSTALACION Rociador Montante Cob est, k 5.6, Res Rap, Temp Ord de 1/2"   </v>
          </cell>
          <cell r="D2820" t="str">
            <v>Actividad</v>
          </cell>
          <cell r="E2820" t="str">
            <v>UND</v>
          </cell>
          <cell r="H2820">
            <v>31989</v>
          </cell>
        </row>
        <row r="2821">
          <cell r="A2821" t="str">
            <v>103.040</v>
          </cell>
          <cell r="B2821" t="str">
            <v>C23</v>
          </cell>
          <cell r="C2821" t="str">
            <v>CUADRILLA BB TIPO 4 (1 OFICIAL + 4 AYUDANTE) (Instalaciones)</v>
          </cell>
          <cell r="D2821" t="str">
            <v>Cuadrilla</v>
          </cell>
          <cell r="E2821" t="str">
            <v>HR</v>
          </cell>
          <cell r="F2821">
            <v>0.2</v>
          </cell>
          <cell r="G2821">
            <v>39593</v>
          </cell>
          <cell r="H2821">
            <v>7919</v>
          </cell>
        </row>
        <row r="2822">
          <cell r="A2822" t="str">
            <v>103.040</v>
          </cell>
          <cell r="B2822" t="str">
            <v>E12</v>
          </cell>
          <cell r="C2822" t="str">
            <v>EQUIPO DE TRANSPORTE</v>
          </cell>
          <cell r="D2822" t="str">
            <v>Equipos</v>
          </cell>
          <cell r="E2822" t="str">
            <v>DIA</v>
          </cell>
          <cell r="F2822">
            <v>1.6E-2</v>
          </cell>
          <cell r="G2822">
            <v>131205</v>
          </cell>
          <cell r="H2822">
            <v>2099</v>
          </cell>
        </row>
        <row r="2823">
          <cell r="A2823" t="str">
            <v>103.040</v>
          </cell>
          <cell r="B2823" t="str">
            <v>H2</v>
          </cell>
          <cell r="C2823" t="str">
            <v>EQUIPO BASICO (HERRAMIENTA MENOR)</v>
          </cell>
          <cell r="D2823" t="str">
            <v>Herramienta</v>
          </cell>
          <cell r="E2823" t="str">
            <v>UND</v>
          </cell>
          <cell r="F2823">
            <v>0.2</v>
          </cell>
          <cell r="G2823">
            <v>2536</v>
          </cell>
          <cell r="H2823">
            <v>507</v>
          </cell>
        </row>
        <row r="2824">
          <cell r="A2824" t="str">
            <v>103.040</v>
          </cell>
          <cell r="B2824" t="str">
            <v>I1565</v>
          </cell>
          <cell r="C2824" t="str">
            <v>ACARREO INTERNO</v>
          </cell>
          <cell r="D2824" t="str">
            <v>Insumo</v>
          </cell>
          <cell r="E2824" t="str">
            <v>UND</v>
          </cell>
          <cell r="F2824">
            <v>0.5</v>
          </cell>
          <cell r="G2824">
            <v>1327</v>
          </cell>
          <cell r="H2824">
            <v>664</v>
          </cell>
        </row>
        <row r="2825">
          <cell r="A2825" t="str">
            <v>103.040</v>
          </cell>
          <cell r="B2825" t="str">
            <v>I702</v>
          </cell>
          <cell r="C2825" t="str">
            <v xml:space="preserve">Rociador Montante Cob est, k 5.6, Res Rap, Temp Ord de 1/2"   </v>
          </cell>
          <cell r="D2825" t="str">
            <v>Insumo</v>
          </cell>
          <cell r="E2825" t="str">
            <v>UND</v>
          </cell>
          <cell r="F2825">
            <v>1</v>
          </cell>
          <cell r="G2825">
            <v>20800</v>
          </cell>
          <cell r="H2825">
            <v>20800</v>
          </cell>
        </row>
        <row r="2827">
          <cell r="A2827" t="str">
            <v>103.042</v>
          </cell>
          <cell r="B2827" t="str">
            <v>-</v>
          </cell>
          <cell r="C2827" t="str">
            <v xml:space="preserve">SUMINISTRO, TRANSPORTE E INSTALACION Sensor de flujo de 2"     </v>
          </cell>
          <cell r="D2827" t="str">
            <v>Actividad</v>
          </cell>
          <cell r="E2827" t="str">
            <v>UND</v>
          </cell>
          <cell r="H2827">
            <v>80439</v>
          </cell>
        </row>
        <row r="2828">
          <cell r="A2828" t="str">
            <v>103.042</v>
          </cell>
          <cell r="B2828" t="str">
            <v>C23</v>
          </cell>
          <cell r="C2828" t="str">
            <v>CUADRILLA BB TIPO 4 (1 OFICIAL + 4 AYUDANTE) (Instalaciones)</v>
          </cell>
          <cell r="D2828" t="str">
            <v>Cuadrilla</v>
          </cell>
          <cell r="E2828" t="str">
            <v>HR</v>
          </cell>
          <cell r="F2828">
            <v>0.2</v>
          </cell>
          <cell r="G2828">
            <v>39593</v>
          </cell>
          <cell r="H2828">
            <v>7919</v>
          </cell>
        </row>
        <row r="2829">
          <cell r="A2829" t="str">
            <v>103.042</v>
          </cell>
          <cell r="B2829" t="str">
            <v>E12</v>
          </cell>
          <cell r="C2829" t="str">
            <v>EQUIPO DE TRANSPORTE</v>
          </cell>
          <cell r="D2829" t="str">
            <v>Equipos</v>
          </cell>
          <cell r="E2829" t="str">
            <v>DIA</v>
          </cell>
          <cell r="F2829">
            <v>1.6E-2</v>
          </cell>
          <cell r="G2829">
            <v>131205</v>
          </cell>
          <cell r="H2829">
            <v>2099</v>
          </cell>
        </row>
        <row r="2830">
          <cell r="A2830" t="str">
            <v>103.042</v>
          </cell>
          <cell r="B2830" t="str">
            <v>H2</v>
          </cell>
          <cell r="C2830" t="str">
            <v>EQUIPO BASICO (HERRAMIENTA MENOR)</v>
          </cell>
          <cell r="D2830" t="str">
            <v>Herramienta</v>
          </cell>
          <cell r="E2830" t="str">
            <v>UND</v>
          </cell>
          <cell r="F2830">
            <v>0.2</v>
          </cell>
          <cell r="G2830">
            <v>2536</v>
          </cell>
          <cell r="H2830">
            <v>507</v>
          </cell>
        </row>
        <row r="2831">
          <cell r="A2831" t="str">
            <v>103.042</v>
          </cell>
          <cell r="B2831" t="str">
            <v>I1565</v>
          </cell>
          <cell r="C2831" t="str">
            <v>ACARREO INTERNO</v>
          </cell>
          <cell r="D2831" t="str">
            <v>Insumo</v>
          </cell>
          <cell r="E2831" t="str">
            <v>UND</v>
          </cell>
          <cell r="F2831">
            <v>0.5</v>
          </cell>
          <cell r="G2831">
            <v>1327</v>
          </cell>
          <cell r="H2831">
            <v>664</v>
          </cell>
        </row>
        <row r="2832">
          <cell r="A2832" t="str">
            <v>103.042</v>
          </cell>
          <cell r="B2832" t="str">
            <v>I702</v>
          </cell>
          <cell r="C2832" t="str">
            <v xml:space="preserve">Sensor de flujo de 2"     </v>
          </cell>
          <cell r="D2832" t="str">
            <v>Insumo</v>
          </cell>
          <cell r="E2832" t="str">
            <v>UND</v>
          </cell>
          <cell r="F2832">
            <v>1</v>
          </cell>
          <cell r="G2832">
            <v>69250</v>
          </cell>
          <cell r="H2832">
            <v>69250</v>
          </cell>
        </row>
        <row r="2834">
          <cell r="A2834" t="str">
            <v>103.043</v>
          </cell>
          <cell r="B2834" t="str">
            <v>-</v>
          </cell>
          <cell r="C2834" t="str">
            <v xml:space="preserve">SUMINISTRO, TRANSPORTE E INSTALACION  Siamesa 4X2.1-2X2.1-2 en bronce, con tapas y cadenas     </v>
          </cell>
          <cell r="D2834" t="str">
            <v>Actividad</v>
          </cell>
          <cell r="E2834" t="str">
            <v>UND</v>
          </cell>
          <cell r="H2834">
            <v>315339</v>
          </cell>
        </row>
        <row r="2835">
          <cell r="A2835" t="str">
            <v>103.043</v>
          </cell>
          <cell r="B2835" t="str">
            <v>C23</v>
          </cell>
          <cell r="C2835" t="str">
            <v>CUADRILLA BB TIPO 4 (1 OFICIAL + 4 AYUDANTE) (Instalaciones)</v>
          </cell>
          <cell r="D2835" t="str">
            <v>Cuadrilla</v>
          </cell>
          <cell r="E2835" t="str">
            <v>HR</v>
          </cell>
          <cell r="F2835">
            <v>0.2</v>
          </cell>
          <cell r="G2835">
            <v>39593</v>
          </cell>
          <cell r="H2835">
            <v>7919</v>
          </cell>
        </row>
        <row r="2836">
          <cell r="A2836" t="str">
            <v>103.043</v>
          </cell>
          <cell r="B2836" t="str">
            <v>E12</v>
          </cell>
          <cell r="C2836" t="str">
            <v>EQUIPO DE TRANSPORTE</v>
          </cell>
          <cell r="D2836" t="str">
            <v>Equipos</v>
          </cell>
          <cell r="E2836" t="str">
            <v>DIA</v>
          </cell>
          <cell r="F2836">
            <v>1.6E-2</v>
          </cell>
          <cell r="G2836">
            <v>131205</v>
          </cell>
          <cell r="H2836">
            <v>2099</v>
          </cell>
        </row>
        <row r="2837">
          <cell r="A2837" t="str">
            <v>103.043</v>
          </cell>
          <cell r="B2837" t="str">
            <v>H2</v>
          </cell>
          <cell r="C2837" t="str">
            <v>EQUIPO BASICO (HERRAMIENTA MENOR)</v>
          </cell>
          <cell r="D2837" t="str">
            <v>Herramienta</v>
          </cell>
          <cell r="E2837" t="str">
            <v>UND</v>
          </cell>
          <cell r="F2837">
            <v>0.2</v>
          </cell>
          <cell r="G2837">
            <v>2536</v>
          </cell>
          <cell r="H2837">
            <v>507</v>
          </cell>
        </row>
        <row r="2838">
          <cell r="A2838" t="str">
            <v>103.043</v>
          </cell>
          <cell r="B2838" t="str">
            <v>I1565</v>
          </cell>
          <cell r="C2838" t="str">
            <v>ACARREO INTERNO</v>
          </cell>
          <cell r="D2838" t="str">
            <v>Insumo</v>
          </cell>
          <cell r="E2838" t="str">
            <v>UND</v>
          </cell>
          <cell r="F2838">
            <v>0.5</v>
          </cell>
          <cell r="G2838">
            <v>1327</v>
          </cell>
          <cell r="H2838">
            <v>664</v>
          </cell>
        </row>
        <row r="2839">
          <cell r="A2839" t="str">
            <v>103.043</v>
          </cell>
          <cell r="B2839" t="str">
            <v>I702</v>
          </cell>
          <cell r="C2839" t="str">
            <v xml:space="preserve"> Siamesa 4X2.1-2X2.1-2 en bronce, con tapas y cadenas     </v>
          </cell>
          <cell r="D2839" t="str">
            <v>Insumo</v>
          </cell>
          <cell r="E2839" t="str">
            <v>UND</v>
          </cell>
          <cell r="F2839">
            <v>1</v>
          </cell>
          <cell r="G2839">
            <v>304150</v>
          </cell>
          <cell r="H2839">
            <v>304150</v>
          </cell>
        </row>
        <row r="2841">
          <cell r="A2841" t="str">
            <v>103.044</v>
          </cell>
          <cell r="B2841" t="str">
            <v>-</v>
          </cell>
          <cell r="C2841" t="str">
            <v xml:space="preserve">SUMINISTRO, TRANSPORTE E INSTALACION SISMORESISTENTE 4 VIAS 4PULG  </v>
          </cell>
          <cell r="D2841" t="str">
            <v>Actividad</v>
          </cell>
          <cell r="E2841" t="str">
            <v>UND</v>
          </cell>
          <cell r="H2841">
            <v>116559</v>
          </cell>
        </row>
        <row r="2842">
          <cell r="A2842" t="str">
            <v>103.044</v>
          </cell>
          <cell r="B2842" t="str">
            <v>C23</v>
          </cell>
          <cell r="C2842" t="str">
            <v>CUADRILLA BB TIPO 4 (1 OFICIAL + 4 AYUDANTE) (Instalaciones)</v>
          </cell>
          <cell r="D2842" t="str">
            <v>Cuadrilla</v>
          </cell>
          <cell r="E2842" t="str">
            <v>HR</v>
          </cell>
          <cell r="F2842">
            <v>0.2</v>
          </cell>
          <cell r="G2842">
            <v>39593</v>
          </cell>
          <cell r="H2842">
            <v>7919</v>
          </cell>
        </row>
        <row r="2843">
          <cell r="A2843" t="str">
            <v>103.044</v>
          </cell>
          <cell r="B2843" t="str">
            <v>E12</v>
          </cell>
          <cell r="C2843" t="str">
            <v>EQUIPO DE TRANSPORTE</v>
          </cell>
          <cell r="D2843" t="str">
            <v>Equipos</v>
          </cell>
          <cell r="E2843" t="str">
            <v>DIA</v>
          </cell>
          <cell r="F2843">
            <v>1.6E-2</v>
          </cell>
          <cell r="G2843">
            <v>131205</v>
          </cell>
          <cell r="H2843">
            <v>2099</v>
          </cell>
        </row>
        <row r="2844">
          <cell r="A2844" t="str">
            <v>103.044</v>
          </cell>
          <cell r="B2844" t="str">
            <v>H2</v>
          </cell>
          <cell r="C2844" t="str">
            <v>EQUIPO BASICO (HERRAMIENTA MENOR)</v>
          </cell>
          <cell r="D2844" t="str">
            <v>Herramienta</v>
          </cell>
          <cell r="E2844" t="str">
            <v>UND</v>
          </cell>
          <cell r="F2844">
            <v>0.2</v>
          </cell>
          <cell r="G2844">
            <v>2536</v>
          </cell>
          <cell r="H2844">
            <v>507</v>
          </cell>
        </row>
        <row r="2845">
          <cell r="A2845" t="str">
            <v>103.044</v>
          </cell>
          <cell r="B2845" t="str">
            <v>I1565</v>
          </cell>
          <cell r="C2845" t="str">
            <v>ACARREO INTERNO</v>
          </cell>
          <cell r="D2845" t="str">
            <v>Insumo</v>
          </cell>
          <cell r="E2845" t="str">
            <v>UND</v>
          </cell>
          <cell r="F2845">
            <v>0.5</v>
          </cell>
          <cell r="G2845">
            <v>1327</v>
          </cell>
          <cell r="H2845">
            <v>664</v>
          </cell>
        </row>
        <row r="2846">
          <cell r="A2846" t="str">
            <v>103.044</v>
          </cell>
          <cell r="B2846" t="str">
            <v>I702</v>
          </cell>
          <cell r="C2846" t="str">
            <v xml:space="preserve">SISMORESISTENTE 4 VIAS 4PULG  </v>
          </cell>
          <cell r="D2846" t="str">
            <v>Insumo</v>
          </cell>
          <cell r="E2846" t="str">
            <v>UND</v>
          </cell>
          <cell r="F2846">
            <v>1</v>
          </cell>
          <cell r="G2846">
            <v>105370</v>
          </cell>
          <cell r="H2846">
            <v>105370</v>
          </cell>
        </row>
        <row r="2848">
          <cell r="A2848" t="str">
            <v>103.045</v>
          </cell>
          <cell r="B2848" t="str">
            <v>-</v>
          </cell>
          <cell r="C2848" t="str">
            <v xml:space="preserve">SUMINISTRO, TRANSPORTE E INSTALACION Soporte SR Lateral de 2"     </v>
          </cell>
          <cell r="D2848" t="str">
            <v>Actividad</v>
          </cell>
          <cell r="E2848" t="str">
            <v>UND</v>
          </cell>
          <cell r="H2848">
            <v>52939</v>
          </cell>
        </row>
        <row r="2849">
          <cell r="A2849" t="str">
            <v>103.045</v>
          </cell>
          <cell r="B2849" t="str">
            <v>C23</v>
          </cell>
          <cell r="C2849" t="str">
            <v>CUADRILLA BB TIPO 4 (1 OFICIAL + 4 AYUDANTE) (Instalaciones)</v>
          </cell>
          <cell r="D2849" t="str">
            <v>Cuadrilla</v>
          </cell>
          <cell r="E2849" t="str">
            <v>HR</v>
          </cell>
          <cell r="F2849">
            <v>0.2</v>
          </cell>
          <cell r="G2849">
            <v>39593</v>
          </cell>
          <cell r="H2849">
            <v>7919</v>
          </cell>
        </row>
        <row r="2850">
          <cell r="A2850" t="str">
            <v>103.045</v>
          </cell>
          <cell r="B2850" t="str">
            <v>E12</v>
          </cell>
          <cell r="C2850" t="str">
            <v>EQUIPO DE TRANSPORTE</v>
          </cell>
          <cell r="D2850" t="str">
            <v>Equipos</v>
          </cell>
          <cell r="E2850" t="str">
            <v>DIA</v>
          </cell>
          <cell r="F2850">
            <v>1.6E-2</v>
          </cell>
          <cell r="G2850">
            <v>131205</v>
          </cell>
          <cell r="H2850">
            <v>2099</v>
          </cell>
        </row>
        <row r="2851">
          <cell r="A2851" t="str">
            <v>103.045</v>
          </cell>
          <cell r="B2851" t="str">
            <v>H2</v>
          </cell>
          <cell r="C2851" t="str">
            <v>EQUIPO BASICO (HERRAMIENTA MENOR)</v>
          </cell>
          <cell r="D2851" t="str">
            <v>Herramienta</v>
          </cell>
          <cell r="E2851" t="str">
            <v>UND</v>
          </cell>
          <cell r="F2851">
            <v>0.2</v>
          </cell>
          <cell r="G2851">
            <v>2536</v>
          </cell>
          <cell r="H2851">
            <v>507</v>
          </cell>
        </row>
        <row r="2852">
          <cell r="A2852" t="str">
            <v>103.045</v>
          </cell>
          <cell r="B2852" t="str">
            <v>I1565</v>
          </cell>
          <cell r="C2852" t="str">
            <v>ACARREO INTERNO</v>
          </cell>
          <cell r="D2852" t="str">
            <v>Insumo</v>
          </cell>
          <cell r="E2852" t="str">
            <v>UND</v>
          </cell>
          <cell r="F2852">
            <v>0.5</v>
          </cell>
          <cell r="G2852">
            <v>1327</v>
          </cell>
          <cell r="H2852">
            <v>664</v>
          </cell>
        </row>
        <row r="2853">
          <cell r="A2853" t="str">
            <v>103.045</v>
          </cell>
          <cell r="B2853" t="str">
            <v>I702</v>
          </cell>
          <cell r="C2853" t="str">
            <v xml:space="preserve">Soporte SR Lateral de 2"     </v>
          </cell>
          <cell r="D2853" t="str">
            <v>Insumo</v>
          </cell>
          <cell r="E2853" t="str">
            <v>UND</v>
          </cell>
          <cell r="F2853">
            <v>1</v>
          </cell>
          <cell r="G2853">
            <v>41750</v>
          </cell>
          <cell r="H2853">
            <v>41750</v>
          </cell>
        </row>
        <row r="2855">
          <cell r="A2855" t="str">
            <v>103.046</v>
          </cell>
          <cell r="B2855" t="str">
            <v>-</v>
          </cell>
          <cell r="C2855" t="str">
            <v xml:space="preserve">SUMINISTRO, TRANSPORTE E INSTALACION Soporte SR Lateral de 4"     </v>
          </cell>
          <cell r="D2855" t="str">
            <v>Actividad</v>
          </cell>
          <cell r="E2855" t="str">
            <v>UND</v>
          </cell>
          <cell r="H2855">
            <v>54489</v>
          </cell>
        </row>
        <row r="2856">
          <cell r="A2856" t="str">
            <v>103.046</v>
          </cell>
          <cell r="B2856" t="str">
            <v>C23</v>
          </cell>
          <cell r="C2856" t="str">
            <v>CUADRILLA BB TIPO 4 (1 OFICIAL + 4 AYUDANTE) (Instalaciones)</v>
          </cell>
          <cell r="D2856" t="str">
            <v>Cuadrilla</v>
          </cell>
          <cell r="E2856" t="str">
            <v>HR</v>
          </cell>
          <cell r="F2856">
            <v>0.2</v>
          </cell>
          <cell r="G2856">
            <v>39593</v>
          </cell>
          <cell r="H2856">
            <v>7919</v>
          </cell>
        </row>
        <row r="2857">
          <cell r="A2857" t="str">
            <v>103.046</v>
          </cell>
          <cell r="B2857" t="str">
            <v>E12</v>
          </cell>
          <cell r="C2857" t="str">
            <v>EQUIPO DE TRANSPORTE</v>
          </cell>
          <cell r="D2857" t="str">
            <v>Equipos</v>
          </cell>
          <cell r="E2857" t="str">
            <v>DIA</v>
          </cell>
          <cell r="F2857">
            <v>1.6E-2</v>
          </cell>
          <cell r="G2857">
            <v>131205</v>
          </cell>
          <cell r="H2857">
            <v>2099</v>
          </cell>
        </row>
        <row r="2858">
          <cell r="A2858" t="str">
            <v>103.046</v>
          </cell>
          <cell r="B2858" t="str">
            <v>H2</v>
          </cell>
          <cell r="C2858" t="str">
            <v>EQUIPO BASICO (HERRAMIENTA MENOR)</v>
          </cell>
          <cell r="D2858" t="str">
            <v>Herramienta</v>
          </cell>
          <cell r="E2858" t="str">
            <v>UND</v>
          </cell>
          <cell r="F2858">
            <v>0.2</v>
          </cell>
          <cell r="G2858">
            <v>2536</v>
          </cell>
          <cell r="H2858">
            <v>507</v>
          </cell>
        </row>
        <row r="2859">
          <cell r="A2859" t="str">
            <v>103.046</v>
          </cell>
          <cell r="B2859" t="str">
            <v>I1565</v>
          </cell>
          <cell r="C2859" t="str">
            <v>ACARREO INTERNO</v>
          </cell>
          <cell r="D2859" t="str">
            <v>Insumo</v>
          </cell>
          <cell r="E2859" t="str">
            <v>UND</v>
          </cell>
          <cell r="F2859">
            <v>0.5</v>
          </cell>
          <cell r="G2859">
            <v>1327</v>
          </cell>
          <cell r="H2859">
            <v>664</v>
          </cell>
        </row>
        <row r="2860">
          <cell r="A2860" t="str">
            <v>103.046</v>
          </cell>
          <cell r="B2860" t="str">
            <v>I702</v>
          </cell>
          <cell r="C2860" t="str">
            <v xml:space="preserve">Soporte SR Lateral de 4"     </v>
          </cell>
          <cell r="D2860" t="str">
            <v>Insumo</v>
          </cell>
          <cell r="E2860" t="str">
            <v>UND</v>
          </cell>
          <cell r="F2860">
            <v>1</v>
          </cell>
          <cell r="G2860">
            <v>43300</v>
          </cell>
          <cell r="H2860">
            <v>43300</v>
          </cell>
        </row>
        <row r="2862">
          <cell r="A2862" t="str">
            <v>103.047</v>
          </cell>
          <cell r="B2862" t="str">
            <v>-</v>
          </cell>
          <cell r="C2862" t="str">
            <v xml:space="preserve">SUMINISTRO, TRANSPORTE E INSTALACION Soporte SR Longitudinal de 2"   </v>
          </cell>
          <cell r="D2862" t="str">
            <v>Actividad</v>
          </cell>
          <cell r="E2862" t="str">
            <v>UND</v>
          </cell>
          <cell r="H2862">
            <v>65719</v>
          </cell>
        </row>
        <row r="2863">
          <cell r="A2863" t="str">
            <v>103.047</v>
          </cell>
          <cell r="B2863" t="str">
            <v>C23</v>
          </cell>
          <cell r="C2863" t="str">
            <v>CUADRILLA BB TIPO 4 (1 OFICIAL + 4 AYUDANTE) (Instalaciones)</v>
          </cell>
          <cell r="D2863" t="str">
            <v>Cuadrilla</v>
          </cell>
          <cell r="E2863" t="str">
            <v>HR</v>
          </cell>
          <cell r="F2863">
            <v>0.2</v>
          </cell>
          <cell r="G2863">
            <v>39593</v>
          </cell>
          <cell r="H2863">
            <v>7919</v>
          </cell>
        </row>
        <row r="2864">
          <cell r="A2864" t="str">
            <v>103.047</v>
          </cell>
          <cell r="B2864" t="str">
            <v>E12</v>
          </cell>
          <cell r="C2864" t="str">
            <v>EQUIPO DE TRANSPORTE</v>
          </cell>
          <cell r="D2864" t="str">
            <v>Equipos</v>
          </cell>
          <cell r="E2864" t="str">
            <v>DIA</v>
          </cell>
          <cell r="F2864">
            <v>1.6E-2</v>
          </cell>
          <cell r="G2864">
            <v>131205</v>
          </cell>
          <cell r="H2864">
            <v>2099</v>
          </cell>
        </row>
        <row r="2865">
          <cell r="A2865" t="str">
            <v>103.047</v>
          </cell>
          <cell r="B2865" t="str">
            <v>H2</v>
          </cell>
          <cell r="C2865" t="str">
            <v>EQUIPO BASICO (HERRAMIENTA MENOR)</v>
          </cell>
          <cell r="D2865" t="str">
            <v>Herramienta</v>
          </cell>
          <cell r="E2865" t="str">
            <v>UND</v>
          </cell>
          <cell r="F2865">
            <v>0.2</v>
          </cell>
          <cell r="G2865">
            <v>2536</v>
          </cell>
          <cell r="H2865">
            <v>507</v>
          </cell>
        </row>
        <row r="2866">
          <cell r="A2866" t="str">
            <v>103.047</v>
          </cell>
          <cell r="B2866" t="str">
            <v>I1565</v>
          </cell>
          <cell r="C2866" t="str">
            <v>ACARREO INTERNO</v>
          </cell>
          <cell r="D2866" t="str">
            <v>Insumo</v>
          </cell>
          <cell r="E2866" t="str">
            <v>UND</v>
          </cell>
          <cell r="F2866">
            <v>0.5</v>
          </cell>
          <cell r="G2866">
            <v>1327</v>
          </cell>
          <cell r="H2866">
            <v>664</v>
          </cell>
        </row>
        <row r="2867">
          <cell r="A2867" t="str">
            <v>103.047</v>
          </cell>
          <cell r="B2867" t="str">
            <v>I702</v>
          </cell>
          <cell r="C2867" t="str">
            <v xml:space="preserve">Soporte SR Longitudinal de 2"   </v>
          </cell>
          <cell r="D2867" t="str">
            <v>Insumo</v>
          </cell>
          <cell r="E2867" t="str">
            <v>UND</v>
          </cell>
          <cell r="F2867">
            <v>1</v>
          </cell>
          <cell r="G2867">
            <v>54530</v>
          </cell>
          <cell r="H2867">
            <v>54530</v>
          </cell>
        </row>
        <row r="2869">
          <cell r="A2869" t="str">
            <v>103.048</v>
          </cell>
          <cell r="B2869" t="str">
            <v>-</v>
          </cell>
          <cell r="C2869" t="str">
            <v xml:space="preserve">SUMINISTRO, TRANSPORTE E INSTALACION Soporte SR Longitudinal de 4"   </v>
          </cell>
          <cell r="D2869" t="str">
            <v>Actividad</v>
          </cell>
          <cell r="E2869" t="str">
            <v>UND</v>
          </cell>
          <cell r="H2869">
            <v>73259</v>
          </cell>
        </row>
        <row r="2870">
          <cell r="A2870" t="str">
            <v>103.048</v>
          </cell>
          <cell r="B2870" t="str">
            <v>C23</v>
          </cell>
          <cell r="C2870" t="str">
            <v>CUADRILLA BB TIPO 4 (1 OFICIAL + 4 AYUDANTE) (Instalaciones)</v>
          </cell>
          <cell r="D2870" t="str">
            <v>Cuadrilla</v>
          </cell>
          <cell r="E2870" t="str">
            <v>HR</v>
          </cell>
          <cell r="F2870">
            <v>0.2</v>
          </cell>
          <cell r="G2870">
            <v>39593</v>
          </cell>
          <cell r="H2870">
            <v>7919</v>
          </cell>
        </row>
        <row r="2871">
          <cell r="A2871" t="str">
            <v>103.048</v>
          </cell>
          <cell r="B2871" t="str">
            <v>E12</v>
          </cell>
          <cell r="C2871" t="str">
            <v>EQUIPO DE TRANSPORTE</v>
          </cell>
          <cell r="D2871" t="str">
            <v>Equipos</v>
          </cell>
          <cell r="E2871" t="str">
            <v>DIA</v>
          </cell>
          <cell r="F2871">
            <v>1.6E-2</v>
          </cell>
          <cell r="G2871">
            <v>131205</v>
          </cell>
          <cell r="H2871">
            <v>2099</v>
          </cell>
        </row>
        <row r="2872">
          <cell r="A2872" t="str">
            <v>103.048</v>
          </cell>
          <cell r="B2872" t="str">
            <v>H2</v>
          </cell>
          <cell r="C2872" t="str">
            <v>EQUIPO BASICO (HERRAMIENTA MENOR)</v>
          </cell>
          <cell r="D2872" t="str">
            <v>Herramienta</v>
          </cell>
          <cell r="E2872" t="str">
            <v>UND</v>
          </cell>
          <cell r="F2872">
            <v>0.2</v>
          </cell>
          <cell r="G2872">
            <v>2536</v>
          </cell>
          <cell r="H2872">
            <v>507</v>
          </cell>
        </row>
        <row r="2873">
          <cell r="A2873" t="str">
            <v>103.048</v>
          </cell>
          <cell r="B2873" t="str">
            <v>I1565</v>
          </cell>
          <cell r="C2873" t="str">
            <v>ACARREO INTERNO</v>
          </cell>
          <cell r="D2873" t="str">
            <v>Insumo</v>
          </cell>
          <cell r="E2873" t="str">
            <v>UND</v>
          </cell>
          <cell r="F2873">
            <v>0.5</v>
          </cell>
          <cell r="G2873">
            <v>1327</v>
          </cell>
          <cell r="H2873">
            <v>664</v>
          </cell>
        </row>
        <row r="2874">
          <cell r="A2874" t="str">
            <v>103.048</v>
          </cell>
          <cell r="B2874" t="str">
            <v>I702</v>
          </cell>
          <cell r="C2874" t="str">
            <v xml:space="preserve">Soporte SR Longitudinal de 4"   </v>
          </cell>
          <cell r="D2874" t="str">
            <v>Insumo</v>
          </cell>
          <cell r="E2874" t="str">
            <v>UND</v>
          </cell>
          <cell r="F2874">
            <v>1</v>
          </cell>
          <cell r="G2874">
            <v>62070</v>
          </cell>
          <cell r="H2874">
            <v>62070</v>
          </cell>
        </row>
        <row r="2876">
          <cell r="A2876" t="str">
            <v>103.049</v>
          </cell>
          <cell r="B2876" t="str">
            <v>-</v>
          </cell>
          <cell r="C2876" t="str">
            <v xml:space="preserve">SUMINISTRO, TRANSPORTE E INSTALACION Soporte tipo pera 1"     </v>
          </cell>
          <cell r="D2876" t="str">
            <v>Actividad</v>
          </cell>
          <cell r="E2876" t="str">
            <v>UND</v>
          </cell>
          <cell r="H2876">
            <v>12139</v>
          </cell>
        </row>
        <row r="2877">
          <cell r="A2877" t="str">
            <v>103.049</v>
          </cell>
          <cell r="B2877" t="str">
            <v>C23</v>
          </cell>
          <cell r="C2877" t="str">
            <v>CUADRILLA BB TIPO 4 (1 OFICIAL + 4 AYUDANTE) (Instalaciones)</v>
          </cell>
          <cell r="D2877" t="str">
            <v>Cuadrilla</v>
          </cell>
          <cell r="E2877" t="str">
            <v>HR</v>
          </cell>
          <cell r="F2877">
            <v>0.2</v>
          </cell>
          <cell r="G2877">
            <v>39593</v>
          </cell>
          <cell r="H2877">
            <v>7919</v>
          </cell>
        </row>
        <row r="2878">
          <cell r="A2878" t="str">
            <v>103.049</v>
          </cell>
          <cell r="B2878" t="str">
            <v>E12</v>
          </cell>
          <cell r="C2878" t="str">
            <v>EQUIPO DE TRANSPORTE</v>
          </cell>
          <cell r="D2878" t="str">
            <v>Equipos</v>
          </cell>
          <cell r="E2878" t="str">
            <v>DIA</v>
          </cell>
          <cell r="F2878">
            <v>1.6E-2</v>
          </cell>
          <cell r="G2878">
            <v>131205</v>
          </cell>
          <cell r="H2878">
            <v>2099</v>
          </cell>
        </row>
        <row r="2879">
          <cell r="A2879" t="str">
            <v>103.049</v>
          </cell>
          <cell r="B2879" t="str">
            <v>H2</v>
          </cell>
          <cell r="C2879" t="str">
            <v>EQUIPO BASICO (HERRAMIENTA MENOR)</v>
          </cell>
          <cell r="D2879" t="str">
            <v>Herramienta</v>
          </cell>
          <cell r="E2879" t="str">
            <v>UND</v>
          </cell>
          <cell r="F2879">
            <v>0.2</v>
          </cell>
          <cell r="G2879">
            <v>2536</v>
          </cell>
          <cell r="H2879">
            <v>507</v>
          </cell>
        </row>
        <row r="2880">
          <cell r="A2880" t="str">
            <v>103.049</v>
          </cell>
          <cell r="B2880" t="str">
            <v>I1565</v>
          </cell>
          <cell r="C2880" t="str">
            <v>ACARREO INTERNO</v>
          </cell>
          <cell r="D2880" t="str">
            <v>Insumo</v>
          </cell>
          <cell r="E2880" t="str">
            <v>UND</v>
          </cell>
          <cell r="F2880">
            <v>0.5</v>
          </cell>
          <cell r="G2880">
            <v>1327</v>
          </cell>
          <cell r="H2880">
            <v>664</v>
          </cell>
        </row>
        <row r="2881">
          <cell r="A2881" t="str">
            <v>103.049</v>
          </cell>
          <cell r="B2881" t="str">
            <v>I702</v>
          </cell>
          <cell r="C2881" t="str">
            <v xml:space="preserve">Soporte tipo pera 1"     </v>
          </cell>
          <cell r="D2881" t="str">
            <v>Insumo</v>
          </cell>
          <cell r="E2881" t="str">
            <v>UND</v>
          </cell>
          <cell r="F2881">
            <v>1</v>
          </cell>
          <cell r="G2881">
            <v>950</v>
          </cell>
          <cell r="H2881">
            <v>950</v>
          </cell>
        </row>
        <row r="2883">
          <cell r="A2883" t="str">
            <v>103.050</v>
          </cell>
          <cell r="B2883" t="str">
            <v>-</v>
          </cell>
          <cell r="C2883" t="str">
            <v xml:space="preserve">SUMINISTRO, TRANSPORTE E INSTALACION Soporte tipo pera 1 1/4"    </v>
          </cell>
          <cell r="D2883" t="str">
            <v>Actividad</v>
          </cell>
          <cell r="E2883" t="str">
            <v>UND</v>
          </cell>
          <cell r="H2883">
            <v>12239</v>
          </cell>
        </row>
        <row r="2884">
          <cell r="A2884" t="str">
            <v>103.050</v>
          </cell>
          <cell r="B2884" t="str">
            <v>C23</v>
          </cell>
          <cell r="C2884" t="str">
            <v>CUADRILLA BB TIPO 4 (1 OFICIAL + 4 AYUDANTE) (Instalaciones)</v>
          </cell>
          <cell r="D2884" t="str">
            <v>Cuadrilla</v>
          </cell>
          <cell r="E2884" t="str">
            <v>HR</v>
          </cell>
          <cell r="F2884">
            <v>0.2</v>
          </cell>
          <cell r="G2884">
            <v>39593</v>
          </cell>
          <cell r="H2884">
            <v>7919</v>
          </cell>
        </row>
        <row r="2885">
          <cell r="A2885" t="str">
            <v>103.050</v>
          </cell>
          <cell r="B2885" t="str">
            <v>E12</v>
          </cell>
          <cell r="C2885" t="str">
            <v>EQUIPO DE TRANSPORTE</v>
          </cell>
          <cell r="D2885" t="str">
            <v>Equipos</v>
          </cell>
          <cell r="E2885" t="str">
            <v>DIA</v>
          </cell>
          <cell r="F2885">
            <v>1.6E-2</v>
          </cell>
          <cell r="G2885">
            <v>131205</v>
          </cell>
          <cell r="H2885">
            <v>2099</v>
          </cell>
        </row>
        <row r="2886">
          <cell r="A2886" t="str">
            <v>103.050</v>
          </cell>
          <cell r="B2886" t="str">
            <v>H2</v>
          </cell>
          <cell r="C2886" t="str">
            <v>EQUIPO BASICO (HERRAMIENTA MENOR)</v>
          </cell>
          <cell r="D2886" t="str">
            <v>Herramienta</v>
          </cell>
          <cell r="E2886" t="str">
            <v>UND</v>
          </cell>
          <cell r="F2886">
            <v>0.2</v>
          </cell>
          <cell r="G2886">
            <v>2536</v>
          </cell>
          <cell r="H2886">
            <v>507</v>
          </cell>
        </row>
        <row r="2887">
          <cell r="A2887" t="str">
            <v>103.050</v>
          </cell>
          <cell r="B2887" t="str">
            <v>I1565</v>
          </cell>
          <cell r="C2887" t="str">
            <v>ACARREO INTERNO</v>
          </cell>
          <cell r="D2887" t="str">
            <v>Insumo</v>
          </cell>
          <cell r="E2887" t="str">
            <v>UND</v>
          </cell>
          <cell r="F2887">
            <v>0.5</v>
          </cell>
          <cell r="G2887">
            <v>1327</v>
          </cell>
          <cell r="H2887">
            <v>664</v>
          </cell>
        </row>
        <row r="2888">
          <cell r="A2888" t="str">
            <v>103.050</v>
          </cell>
          <cell r="B2888" t="str">
            <v>I702</v>
          </cell>
          <cell r="C2888" t="str">
            <v xml:space="preserve">Soporte tipo pera 1 1/4"    </v>
          </cell>
          <cell r="D2888" t="str">
            <v>Insumo</v>
          </cell>
          <cell r="E2888" t="str">
            <v>UND</v>
          </cell>
          <cell r="F2888">
            <v>1</v>
          </cell>
          <cell r="G2888">
            <v>1050</v>
          </cell>
          <cell r="H2888">
            <v>1050</v>
          </cell>
        </row>
        <row r="2890">
          <cell r="A2890" t="str">
            <v>103.051</v>
          </cell>
          <cell r="B2890" t="str">
            <v>-</v>
          </cell>
          <cell r="C2890" t="str">
            <v xml:space="preserve">Suministro, transporte e instalación unidad Soporte tipo pera 1 1/2"   </v>
          </cell>
          <cell r="D2890" t="str">
            <v>Actividad</v>
          </cell>
          <cell r="E2890" t="str">
            <v>UND</v>
          </cell>
          <cell r="H2890">
            <v>12289</v>
          </cell>
        </row>
        <row r="2891">
          <cell r="A2891" t="str">
            <v>103.051</v>
          </cell>
          <cell r="B2891" t="str">
            <v>C23</v>
          </cell>
          <cell r="C2891" t="str">
            <v>CUADRILLA BB TIPO 4 (1 OFICIAL + 4 AYUDANTE) (Instalaciones)</v>
          </cell>
          <cell r="D2891" t="str">
            <v>Cuadrilla</v>
          </cell>
          <cell r="E2891" t="str">
            <v>HR</v>
          </cell>
          <cell r="F2891">
            <v>0.2</v>
          </cell>
          <cell r="G2891">
            <v>39593</v>
          </cell>
          <cell r="H2891">
            <v>7919</v>
          </cell>
        </row>
        <row r="2892">
          <cell r="A2892" t="str">
            <v>103.051</v>
          </cell>
          <cell r="B2892" t="str">
            <v>E12</v>
          </cell>
          <cell r="C2892" t="str">
            <v>EQUIPO DE TRANSPORTE</v>
          </cell>
          <cell r="D2892" t="str">
            <v>Equipos</v>
          </cell>
          <cell r="E2892" t="str">
            <v>DIA</v>
          </cell>
          <cell r="F2892">
            <v>1.6E-2</v>
          </cell>
          <cell r="G2892">
            <v>131205</v>
          </cell>
          <cell r="H2892">
            <v>2099</v>
          </cell>
        </row>
        <row r="2893">
          <cell r="A2893" t="str">
            <v>103.051</v>
          </cell>
          <cell r="B2893" t="str">
            <v>H2</v>
          </cell>
          <cell r="C2893" t="str">
            <v>EQUIPO BASICO (HERRAMIENTA MENOR)</v>
          </cell>
          <cell r="D2893" t="str">
            <v>Herramienta</v>
          </cell>
          <cell r="E2893" t="str">
            <v>UND</v>
          </cell>
          <cell r="F2893">
            <v>0.2</v>
          </cell>
          <cell r="G2893">
            <v>2536</v>
          </cell>
          <cell r="H2893">
            <v>507</v>
          </cell>
        </row>
        <row r="2894">
          <cell r="A2894" t="str">
            <v>103.051</v>
          </cell>
          <cell r="B2894" t="str">
            <v>I1565</v>
          </cell>
          <cell r="C2894" t="str">
            <v>ACARREO INTERNO</v>
          </cell>
          <cell r="D2894" t="str">
            <v>Insumo</v>
          </cell>
          <cell r="E2894" t="str">
            <v>UND</v>
          </cell>
          <cell r="F2894">
            <v>0.5</v>
          </cell>
          <cell r="G2894">
            <v>1327</v>
          </cell>
          <cell r="H2894">
            <v>664</v>
          </cell>
        </row>
        <row r="2895">
          <cell r="A2895" t="str">
            <v>103.051</v>
          </cell>
          <cell r="B2895" t="str">
            <v>I702</v>
          </cell>
          <cell r="C2895" t="str">
            <v xml:space="preserve">Soporte tipo pera 1 1/2"   </v>
          </cell>
          <cell r="D2895" t="str">
            <v>Insumo</v>
          </cell>
          <cell r="E2895" t="str">
            <v>UND</v>
          </cell>
          <cell r="F2895">
            <v>1</v>
          </cell>
          <cell r="G2895">
            <v>1100</v>
          </cell>
          <cell r="H2895">
            <v>1100</v>
          </cell>
        </row>
        <row r="2897">
          <cell r="A2897" t="str">
            <v>103.052</v>
          </cell>
          <cell r="B2897" t="str">
            <v>-</v>
          </cell>
          <cell r="C2897" t="str">
            <v xml:space="preserve">SUMINISTRO, TRANSPORTE E INSTALACION Soporte tipo pera 4"   </v>
          </cell>
          <cell r="D2897" t="str">
            <v>Actividad</v>
          </cell>
          <cell r="E2897" t="str">
            <v>UND</v>
          </cell>
          <cell r="H2897">
            <v>14039</v>
          </cell>
        </row>
        <row r="2898">
          <cell r="A2898" t="str">
            <v>103.052</v>
          </cell>
          <cell r="B2898" t="str">
            <v>C23</v>
          </cell>
          <cell r="C2898" t="str">
            <v>CUADRILLA BB TIPO 4 (1 OFICIAL + 4 AYUDANTE) (Instalaciones)</v>
          </cell>
          <cell r="D2898" t="str">
            <v>Cuadrilla</v>
          </cell>
          <cell r="E2898" t="str">
            <v>HR</v>
          </cell>
          <cell r="F2898">
            <v>0.2</v>
          </cell>
          <cell r="G2898">
            <v>39593</v>
          </cell>
          <cell r="H2898">
            <v>7919</v>
          </cell>
        </row>
        <row r="2899">
          <cell r="A2899" t="str">
            <v>103.052</v>
          </cell>
          <cell r="B2899" t="str">
            <v>E12</v>
          </cell>
          <cell r="C2899" t="str">
            <v>EQUIPO DE TRANSPORTE</v>
          </cell>
          <cell r="D2899" t="str">
            <v>Equipos</v>
          </cell>
          <cell r="E2899" t="str">
            <v>DIA</v>
          </cell>
          <cell r="F2899">
            <v>1.6E-2</v>
          </cell>
          <cell r="G2899">
            <v>131205</v>
          </cell>
          <cell r="H2899">
            <v>2099</v>
          </cell>
        </row>
        <row r="2900">
          <cell r="A2900" t="str">
            <v>103.052</v>
          </cell>
          <cell r="B2900" t="str">
            <v>H2</v>
          </cell>
          <cell r="C2900" t="str">
            <v>EQUIPO BASICO (HERRAMIENTA MENOR)</v>
          </cell>
          <cell r="D2900" t="str">
            <v>Herramienta</v>
          </cell>
          <cell r="E2900" t="str">
            <v>UND</v>
          </cell>
          <cell r="F2900">
            <v>0.2</v>
          </cell>
          <cell r="G2900">
            <v>2536</v>
          </cell>
          <cell r="H2900">
            <v>507</v>
          </cell>
        </row>
        <row r="2901">
          <cell r="A2901" t="str">
            <v>103.052</v>
          </cell>
          <cell r="B2901" t="str">
            <v>I1565</v>
          </cell>
          <cell r="C2901" t="str">
            <v>ACARREO INTERNO</v>
          </cell>
          <cell r="D2901" t="str">
            <v>Insumo</v>
          </cell>
          <cell r="E2901" t="str">
            <v>UND</v>
          </cell>
          <cell r="F2901">
            <v>0.5</v>
          </cell>
          <cell r="G2901">
            <v>1327</v>
          </cell>
          <cell r="H2901">
            <v>664</v>
          </cell>
        </row>
        <row r="2902">
          <cell r="A2902" t="str">
            <v>103.052</v>
          </cell>
          <cell r="B2902" t="str">
            <v>I702</v>
          </cell>
          <cell r="C2902" t="str">
            <v xml:space="preserve">Soporte tipo pera 4"    </v>
          </cell>
          <cell r="D2902" t="str">
            <v>Insumo</v>
          </cell>
          <cell r="E2902" t="str">
            <v>UND</v>
          </cell>
          <cell r="F2902">
            <v>1</v>
          </cell>
          <cell r="G2902">
            <v>2850</v>
          </cell>
          <cell r="H2902">
            <v>2850</v>
          </cell>
        </row>
        <row r="2904">
          <cell r="A2904" t="str">
            <v>103.053</v>
          </cell>
          <cell r="B2904" t="str">
            <v>-</v>
          </cell>
          <cell r="C2904" t="str">
            <v xml:space="preserve">SUMINISTRO, TRANSPORTE E INSTALACION Soporte tipo pera 2"   </v>
          </cell>
          <cell r="D2904" t="str">
            <v>Actividad</v>
          </cell>
          <cell r="E2904" t="str">
            <v>UND</v>
          </cell>
          <cell r="H2904">
            <v>12539</v>
          </cell>
        </row>
        <row r="2905">
          <cell r="A2905" t="str">
            <v>103.053</v>
          </cell>
          <cell r="B2905" t="str">
            <v>C23</v>
          </cell>
          <cell r="C2905" t="str">
            <v>CUADRILLA BB TIPO 4 (1 OFICIAL + 4 AYUDANTE) (Instalaciones)</v>
          </cell>
          <cell r="D2905" t="str">
            <v>Cuadrilla</v>
          </cell>
          <cell r="E2905" t="str">
            <v>HR</v>
          </cell>
          <cell r="F2905">
            <v>0.2</v>
          </cell>
          <cell r="G2905">
            <v>39593</v>
          </cell>
          <cell r="H2905">
            <v>7919</v>
          </cell>
        </row>
        <row r="2906">
          <cell r="A2906" t="str">
            <v>103.053</v>
          </cell>
          <cell r="B2906" t="str">
            <v>E12</v>
          </cell>
          <cell r="C2906" t="str">
            <v>EQUIPO DE TRANSPORTE</v>
          </cell>
          <cell r="D2906" t="str">
            <v>Equipos</v>
          </cell>
          <cell r="E2906" t="str">
            <v>DIA</v>
          </cell>
          <cell r="F2906">
            <v>1.6E-2</v>
          </cell>
          <cell r="G2906">
            <v>131205</v>
          </cell>
          <cell r="H2906">
            <v>2099</v>
          </cell>
        </row>
        <row r="2907">
          <cell r="A2907" t="str">
            <v>103.053</v>
          </cell>
          <cell r="B2907" t="str">
            <v>H2</v>
          </cell>
          <cell r="C2907" t="str">
            <v>EQUIPO BASICO (HERRAMIENTA MENOR)</v>
          </cell>
          <cell r="D2907" t="str">
            <v>Herramienta</v>
          </cell>
          <cell r="E2907" t="str">
            <v>UND</v>
          </cell>
          <cell r="F2907">
            <v>0.2</v>
          </cell>
          <cell r="G2907">
            <v>2536</v>
          </cell>
          <cell r="H2907">
            <v>507</v>
          </cell>
        </row>
        <row r="2908">
          <cell r="A2908" t="str">
            <v>103.053</v>
          </cell>
          <cell r="B2908" t="str">
            <v>I1565</v>
          </cell>
          <cell r="C2908" t="str">
            <v>ACARREO INTERNO</v>
          </cell>
          <cell r="D2908" t="str">
            <v>Insumo</v>
          </cell>
          <cell r="E2908" t="str">
            <v>UND</v>
          </cell>
          <cell r="F2908">
            <v>0.5</v>
          </cell>
          <cell r="G2908">
            <v>1327</v>
          </cell>
          <cell r="H2908">
            <v>664</v>
          </cell>
        </row>
        <row r="2909">
          <cell r="A2909" t="str">
            <v>103.053</v>
          </cell>
          <cell r="B2909" t="str">
            <v>I702</v>
          </cell>
          <cell r="C2909" t="str">
            <v xml:space="preserve">Soporte tipo pera 2"    </v>
          </cell>
          <cell r="D2909" t="str">
            <v>Insumo</v>
          </cell>
          <cell r="E2909" t="str">
            <v>UND</v>
          </cell>
          <cell r="F2909">
            <v>1</v>
          </cell>
          <cell r="G2909">
            <v>1350</v>
          </cell>
          <cell r="H2909">
            <v>1350</v>
          </cell>
        </row>
        <row r="2911">
          <cell r="A2911" t="str">
            <v>103.054</v>
          </cell>
          <cell r="B2911" t="str">
            <v>-</v>
          </cell>
          <cell r="C2911" t="str">
            <v xml:space="preserve">SUMINISTRO, TRANSPORTE E INSTALACION Soporte SR Longitudinal de 4"   </v>
          </cell>
          <cell r="D2911" t="str">
            <v>Actividad</v>
          </cell>
          <cell r="E2911" t="str">
            <v>UND</v>
          </cell>
          <cell r="H2911">
            <v>73259</v>
          </cell>
        </row>
        <row r="2912">
          <cell r="A2912" t="str">
            <v>103.054</v>
          </cell>
          <cell r="B2912" t="str">
            <v>C23</v>
          </cell>
          <cell r="C2912" t="str">
            <v>CUADRILLA BB TIPO 4 (1 OFICIAL + 4 AYUDANTE) (Instalaciones)</v>
          </cell>
          <cell r="D2912" t="str">
            <v>Cuadrilla</v>
          </cell>
          <cell r="E2912" t="str">
            <v>HR</v>
          </cell>
          <cell r="F2912">
            <v>0.2</v>
          </cell>
          <cell r="G2912">
            <v>39593</v>
          </cell>
          <cell r="H2912">
            <v>7919</v>
          </cell>
        </row>
        <row r="2913">
          <cell r="A2913" t="str">
            <v>103.054</v>
          </cell>
          <cell r="B2913" t="str">
            <v>E12</v>
          </cell>
          <cell r="C2913" t="str">
            <v>EQUIPO DE TRANSPORTE</v>
          </cell>
          <cell r="D2913" t="str">
            <v>Equipos</v>
          </cell>
          <cell r="E2913" t="str">
            <v>DIA</v>
          </cell>
          <cell r="F2913">
            <v>1.6E-2</v>
          </cell>
          <cell r="G2913">
            <v>131205</v>
          </cell>
          <cell r="H2913">
            <v>2099</v>
          </cell>
        </row>
        <row r="2914">
          <cell r="A2914" t="str">
            <v>103.054</v>
          </cell>
          <cell r="B2914" t="str">
            <v>H2</v>
          </cell>
          <cell r="C2914" t="str">
            <v>EQUIPO BASICO (HERRAMIENTA MENOR)</v>
          </cell>
          <cell r="D2914" t="str">
            <v>Herramienta</v>
          </cell>
          <cell r="E2914" t="str">
            <v>UND</v>
          </cell>
          <cell r="F2914">
            <v>0.2</v>
          </cell>
          <cell r="G2914">
            <v>2536</v>
          </cell>
          <cell r="H2914">
            <v>507</v>
          </cell>
        </row>
        <row r="2915">
          <cell r="A2915" t="str">
            <v>103.054</v>
          </cell>
          <cell r="B2915" t="str">
            <v>I1565</v>
          </cell>
          <cell r="C2915" t="str">
            <v>ACARREO INTERNO</v>
          </cell>
          <cell r="D2915" t="str">
            <v>Insumo</v>
          </cell>
          <cell r="E2915" t="str">
            <v>UND</v>
          </cell>
          <cell r="F2915">
            <v>0.5</v>
          </cell>
          <cell r="G2915">
            <v>1327</v>
          </cell>
          <cell r="H2915">
            <v>664</v>
          </cell>
        </row>
        <row r="2916">
          <cell r="A2916" t="str">
            <v>103.054</v>
          </cell>
          <cell r="B2916" t="str">
            <v>I702</v>
          </cell>
          <cell r="C2916" t="str">
            <v xml:space="preserve">Soporte SR Longitudinal de 4"   </v>
          </cell>
          <cell r="D2916" t="str">
            <v>Insumo</v>
          </cell>
          <cell r="E2916" t="str">
            <v>UND</v>
          </cell>
          <cell r="F2916">
            <v>1</v>
          </cell>
          <cell r="G2916">
            <v>62070</v>
          </cell>
          <cell r="H2916">
            <v>62070</v>
          </cell>
        </row>
        <row r="2918">
          <cell r="A2918" t="str">
            <v>103.055</v>
          </cell>
          <cell r="B2918" t="str">
            <v>-</v>
          </cell>
          <cell r="C2918" t="str">
            <v xml:space="preserve">SUMINISTRO, TRANSPORTE E INSTALACION Valvula Mariposa Ran Sup Ind de 2"   </v>
          </cell>
          <cell r="D2918" t="str">
            <v>Actividad</v>
          </cell>
          <cell r="E2918" t="str">
            <v>UND</v>
          </cell>
          <cell r="H2918">
            <v>364289</v>
          </cell>
        </row>
        <row r="2919">
          <cell r="A2919" t="str">
            <v>103.055</v>
          </cell>
          <cell r="B2919" t="str">
            <v>C23</v>
          </cell>
          <cell r="C2919" t="str">
            <v>CUADRILLA BB TIPO 4 (1 OFICIAL + 4 AYUDANTE) (Instalaciones)</v>
          </cell>
          <cell r="D2919" t="str">
            <v>Cuadrilla</v>
          </cell>
          <cell r="E2919" t="str">
            <v>HR</v>
          </cell>
          <cell r="F2919">
            <v>0.2</v>
          </cell>
          <cell r="G2919">
            <v>39593</v>
          </cell>
          <cell r="H2919">
            <v>7919</v>
          </cell>
        </row>
        <row r="2920">
          <cell r="A2920" t="str">
            <v>103.055</v>
          </cell>
          <cell r="B2920" t="str">
            <v>E12</v>
          </cell>
          <cell r="C2920" t="str">
            <v>EQUIPO DE TRANSPORTE</v>
          </cell>
          <cell r="D2920" t="str">
            <v>Equipos</v>
          </cell>
          <cell r="E2920" t="str">
            <v>DIA</v>
          </cell>
          <cell r="F2920">
            <v>1.6E-2</v>
          </cell>
          <cell r="G2920">
            <v>131205</v>
          </cell>
          <cell r="H2920">
            <v>2099</v>
          </cell>
        </row>
        <row r="2921">
          <cell r="A2921" t="str">
            <v>103.055</v>
          </cell>
          <cell r="B2921" t="str">
            <v>H2</v>
          </cell>
          <cell r="C2921" t="str">
            <v>EQUIPO BASICO (HERRAMIENTA MENOR)</v>
          </cell>
          <cell r="D2921" t="str">
            <v>Herramienta</v>
          </cell>
          <cell r="E2921" t="str">
            <v>UND</v>
          </cell>
          <cell r="F2921">
            <v>0.2</v>
          </cell>
          <cell r="G2921">
            <v>2536</v>
          </cell>
          <cell r="H2921">
            <v>507</v>
          </cell>
        </row>
        <row r="2922">
          <cell r="A2922" t="str">
            <v>103.055</v>
          </cell>
          <cell r="B2922" t="str">
            <v>I1565</v>
          </cell>
          <cell r="C2922" t="str">
            <v>ACARREO INTERNO</v>
          </cell>
          <cell r="D2922" t="str">
            <v>Insumo</v>
          </cell>
          <cell r="E2922" t="str">
            <v>UND</v>
          </cell>
          <cell r="F2922">
            <v>0.5</v>
          </cell>
          <cell r="G2922">
            <v>1327</v>
          </cell>
          <cell r="H2922">
            <v>664</v>
          </cell>
        </row>
        <row r="2923">
          <cell r="A2923" t="str">
            <v>103.055</v>
          </cell>
          <cell r="B2923" t="str">
            <v>I702</v>
          </cell>
          <cell r="C2923" t="str">
            <v xml:space="preserve">Valvula Mariposa Ran Sup Ind de 2"   </v>
          </cell>
          <cell r="D2923" t="str">
            <v>Insumo</v>
          </cell>
          <cell r="E2923" t="str">
            <v>UND</v>
          </cell>
          <cell r="F2923">
            <v>1</v>
          </cell>
          <cell r="G2923">
            <v>353100</v>
          </cell>
          <cell r="H2923">
            <v>353100</v>
          </cell>
        </row>
        <row r="2925">
          <cell r="A2925" t="str">
            <v>103.056</v>
          </cell>
          <cell r="B2925" t="str">
            <v>-</v>
          </cell>
          <cell r="C2925" t="str">
            <v xml:space="preserve">SUMINISTRO, TRANSPORTE E INSTALACION Valvula de bola 1/2"   </v>
          </cell>
          <cell r="D2925" t="str">
            <v>Actividad</v>
          </cell>
          <cell r="E2925" t="str">
            <v>UND</v>
          </cell>
          <cell r="H2925">
            <v>21359</v>
          </cell>
        </row>
        <row r="2926">
          <cell r="A2926" t="str">
            <v>103.056</v>
          </cell>
          <cell r="B2926" t="str">
            <v>C23</v>
          </cell>
          <cell r="C2926" t="str">
            <v>CUADRILLA BB TIPO 4 (1 OFICIAL + 4 AYUDANTE) (Instalaciones)</v>
          </cell>
          <cell r="D2926" t="str">
            <v>Cuadrilla</v>
          </cell>
          <cell r="E2926" t="str">
            <v>HR</v>
          </cell>
          <cell r="F2926">
            <v>0.2</v>
          </cell>
          <cell r="G2926">
            <v>39593</v>
          </cell>
          <cell r="H2926">
            <v>7919</v>
          </cell>
        </row>
        <row r="2927">
          <cell r="A2927" t="str">
            <v>103.056</v>
          </cell>
          <cell r="B2927" t="str">
            <v>E12</v>
          </cell>
          <cell r="C2927" t="str">
            <v>EQUIPO DE TRANSPORTE</v>
          </cell>
          <cell r="D2927" t="str">
            <v>Equipos</v>
          </cell>
          <cell r="E2927" t="str">
            <v>DIA</v>
          </cell>
          <cell r="F2927">
            <v>1.6E-2</v>
          </cell>
          <cell r="G2927">
            <v>131205</v>
          </cell>
          <cell r="H2927">
            <v>2099</v>
          </cell>
        </row>
        <row r="2928">
          <cell r="A2928" t="str">
            <v>103.056</v>
          </cell>
          <cell r="B2928" t="str">
            <v>H2</v>
          </cell>
          <cell r="C2928" t="str">
            <v>EQUIPO BASICO (HERRAMIENTA MENOR)</v>
          </cell>
          <cell r="D2928" t="str">
            <v>Herramienta</v>
          </cell>
          <cell r="E2928" t="str">
            <v>UND</v>
          </cell>
          <cell r="F2928">
            <v>0.2</v>
          </cell>
          <cell r="G2928">
            <v>2536</v>
          </cell>
          <cell r="H2928">
            <v>507</v>
          </cell>
        </row>
        <row r="2929">
          <cell r="A2929" t="str">
            <v>103.056</v>
          </cell>
          <cell r="B2929" t="str">
            <v>I1565</v>
          </cell>
          <cell r="C2929" t="str">
            <v>ACARREO INTERNO</v>
          </cell>
          <cell r="D2929" t="str">
            <v>Insumo</v>
          </cell>
          <cell r="E2929" t="str">
            <v>UND</v>
          </cell>
          <cell r="F2929">
            <v>0.5</v>
          </cell>
          <cell r="G2929">
            <v>1327</v>
          </cell>
          <cell r="H2929">
            <v>664</v>
          </cell>
        </row>
        <row r="2930">
          <cell r="A2930" t="str">
            <v>103.056</v>
          </cell>
          <cell r="B2930" t="str">
            <v>I702</v>
          </cell>
          <cell r="C2930" t="str">
            <v xml:space="preserve">Valvula de bola 1/2"   </v>
          </cell>
          <cell r="D2930" t="str">
            <v>Insumo</v>
          </cell>
          <cell r="E2930" t="str">
            <v>UND</v>
          </cell>
          <cell r="F2930">
            <v>1</v>
          </cell>
          <cell r="G2930">
            <v>10170</v>
          </cell>
          <cell r="H2930">
            <v>10170</v>
          </cell>
        </row>
        <row r="2932">
          <cell r="A2932" t="str">
            <v>103.057</v>
          </cell>
          <cell r="B2932" t="str">
            <v>-</v>
          </cell>
          <cell r="C2932" t="str">
            <v xml:space="preserve">SUMINISTRO, TRANSPORTE E INSTALACION Valvula Desaireadora 1"    </v>
          </cell>
          <cell r="D2932" t="str">
            <v>Actividad</v>
          </cell>
          <cell r="E2932" t="str">
            <v>UND</v>
          </cell>
          <cell r="H2932">
            <v>397939</v>
          </cell>
        </row>
        <row r="2933">
          <cell r="A2933" t="str">
            <v>103.057</v>
          </cell>
          <cell r="B2933" t="str">
            <v>C23</v>
          </cell>
          <cell r="C2933" t="str">
            <v>CUADRILLA BB TIPO 4 (1 OFICIAL + 4 AYUDANTE) (Instalaciones)</v>
          </cell>
          <cell r="D2933" t="str">
            <v>Cuadrilla</v>
          </cell>
          <cell r="E2933" t="str">
            <v>HR</v>
          </cell>
          <cell r="F2933">
            <v>0.2</v>
          </cell>
          <cell r="G2933">
            <v>39593</v>
          </cell>
          <cell r="H2933">
            <v>7919</v>
          </cell>
        </row>
        <row r="2934">
          <cell r="A2934" t="str">
            <v>103.057</v>
          </cell>
          <cell r="B2934" t="str">
            <v>E12</v>
          </cell>
          <cell r="C2934" t="str">
            <v>EQUIPO DE TRANSPORTE</v>
          </cell>
          <cell r="D2934" t="str">
            <v>Equipos</v>
          </cell>
          <cell r="E2934" t="str">
            <v>DIA</v>
          </cell>
          <cell r="F2934">
            <v>1.6E-2</v>
          </cell>
          <cell r="G2934">
            <v>131205</v>
          </cell>
          <cell r="H2934">
            <v>2099</v>
          </cell>
        </row>
        <row r="2935">
          <cell r="A2935" t="str">
            <v>103.057</v>
          </cell>
          <cell r="B2935" t="str">
            <v>H2</v>
          </cell>
          <cell r="C2935" t="str">
            <v>EQUIPO BASICO (HERRAMIENTA MENOR)</v>
          </cell>
          <cell r="D2935" t="str">
            <v>Herramienta</v>
          </cell>
          <cell r="E2935" t="str">
            <v>UND</v>
          </cell>
          <cell r="F2935">
            <v>0.2</v>
          </cell>
          <cell r="G2935">
            <v>2536</v>
          </cell>
          <cell r="H2935">
            <v>507</v>
          </cell>
        </row>
        <row r="2936">
          <cell r="A2936" t="str">
            <v>103.057</v>
          </cell>
          <cell r="B2936" t="str">
            <v>I1565</v>
          </cell>
          <cell r="C2936" t="str">
            <v>ACARREO INTERNO</v>
          </cell>
          <cell r="D2936" t="str">
            <v>Insumo</v>
          </cell>
          <cell r="E2936" t="str">
            <v>UND</v>
          </cell>
          <cell r="F2936">
            <v>0.5</v>
          </cell>
          <cell r="G2936">
            <v>1327</v>
          </cell>
          <cell r="H2936">
            <v>664</v>
          </cell>
        </row>
        <row r="2937">
          <cell r="A2937" t="str">
            <v>103.057</v>
          </cell>
          <cell r="B2937" t="str">
            <v>I702</v>
          </cell>
          <cell r="C2937" t="str">
            <v xml:space="preserve">Valvula Desaireadora 1"    </v>
          </cell>
          <cell r="D2937" t="str">
            <v>Insumo</v>
          </cell>
          <cell r="E2937" t="str">
            <v>UND</v>
          </cell>
          <cell r="F2937">
            <v>1</v>
          </cell>
          <cell r="G2937">
            <v>386750</v>
          </cell>
          <cell r="H2937">
            <v>386750</v>
          </cell>
        </row>
        <row r="2939">
          <cell r="A2939" t="str">
            <v>103.058</v>
          </cell>
          <cell r="B2939" t="str">
            <v>-</v>
          </cell>
          <cell r="C2939" t="str">
            <v xml:space="preserve">SUMINISTRO, TRANSPORTE E INSTALACION Acople Flexible 4"    </v>
          </cell>
          <cell r="D2939" t="str">
            <v>Actividad</v>
          </cell>
          <cell r="E2939" t="str">
            <v>UND</v>
          </cell>
          <cell r="H2939">
            <v>27429</v>
          </cell>
        </row>
        <row r="2940">
          <cell r="A2940" t="str">
            <v>103.058</v>
          </cell>
          <cell r="B2940" t="str">
            <v>C23</v>
          </cell>
          <cell r="C2940" t="str">
            <v>CUADRILLA BB TIPO 4 (1 OFICIAL + 4 AYUDANTE) (Instalaciones)</v>
          </cell>
          <cell r="D2940" t="str">
            <v>Cuadrilla</v>
          </cell>
          <cell r="E2940" t="str">
            <v>HR</v>
          </cell>
          <cell r="F2940">
            <v>0.2</v>
          </cell>
          <cell r="G2940">
            <v>39593</v>
          </cell>
          <cell r="H2940">
            <v>7919</v>
          </cell>
        </row>
        <row r="2941">
          <cell r="A2941" t="str">
            <v>103.058</v>
          </cell>
          <cell r="B2941" t="str">
            <v>E12</v>
          </cell>
          <cell r="C2941" t="str">
            <v>EQUIPO DE TRANSPORTE</v>
          </cell>
          <cell r="D2941" t="str">
            <v>Equipos</v>
          </cell>
          <cell r="E2941" t="str">
            <v>DIA</v>
          </cell>
          <cell r="F2941">
            <v>1.6E-2</v>
          </cell>
          <cell r="G2941">
            <v>131205</v>
          </cell>
          <cell r="H2941">
            <v>2099</v>
          </cell>
        </row>
        <row r="2942">
          <cell r="A2942" t="str">
            <v>103.058</v>
          </cell>
          <cell r="B2942" t="str">
            <v>H2</v>
          </cell>
          <cell r="C2942" t="str">
            <v>EQUIPO BASICO (HERRAMIENTA MENOR)</v>
          </cell>
          <cell r="D2942" t="str">
            <v>Herramienta</v>
          </cell>
          <cell r="E2942" t="str">
            <v>UND</v>
          </cell>
          <cell r="F2942">
            <v>0.2</v>
          </cell>
          <cell r="G2942">
            <v>2536</v>
          </cell>
          <cell r="H2942">
            <v>507</v>
          </cell>
        </row>
        <row r="2943">
          <cell r="A2943" t="str">
            <v>103.058</v>
          </cell>
          <cell r="B2943" t="str">
            <v>I1565</v>
          </cell>
          <cell r="C2943" t="str">
            <v>ACARREO INTERNO</v>
          </cell>
          <cell r="D2943" t="str">
            <v>Insumo</v>
          </cell>
          <cell r="E2943" t="str">
            <v>UND</v>
          </cell>
          <cell r="F2943">
            <v>0.5</v>
          </cell>
          <cell r="G2943">
            <v>1327</v>
          </cell>
          <cell r="H2943">
            <v>664</v>
          </cell>
        </row>
        <row r="2944">
          <cell r="A2944" t="str">
            <v>103.058</v>
          </cell>
          <cell r="B2944" t="str">
            <v>I702</v>
          </cell>
          <cell r="C2944" t="str">
            <v xml:space="preserve">Acople Flexible 4"    </v>
          </cell>
          <cell r="D2944" t="str">
            <v>Insumo</v>
          </cell>
          <cell r="E2944" t="str">
            <v>UND</v>
          </cell>
          <cell r="F2944">
            <v>1</v>
          </cell>
          <cell r="G2944">
            <v>16240</v>
          </cell>
          <cell r="H2944">
            <v>16240</v>
          </cell>
        </row>
        <row r="2946">
          <cell r="A2946" t="str">
            <v>103.059</v>
          </cell>
          <cell r="B2946" t="str">
            <v>-</v>
          </cell>
          <cell r="C2946" t="str">
            <v xml:space="preserve">SUMINISTRO, TRANSPORTE E INSTALACION Acople Flexible 2"   </v>
          </cell>
          <cell r="D2946" t="str">
            <v>Actividad</v>
          </cell>
          <cell r="E2946" t="str">
            <v>UND</v>
          </cell>
          <cell r="H2946">
            <v>19769</v>
          </cell>
        </row>
        <row r="2947">
          <cell r="A2947" t="str">
            <v>103.059</v>
          </cell>
          <cell r="B2947" t="str">
            <v>C23</v>
          </cell>
          <cell r="C2947" t="str">
            <v>CUADRILLA BB TIPO 4 (1 OFICIAL + 4 AYUDANTE) (Instalaciones)</v>
          </cell>
          <cell r="D2947" t="str">
            <v>Cuadrilla</v>
          </cell>
          <cell r="E2947" t="str">
            <v>HR</v>
          </cell>
          <cell r="F2947">
            <v>0.2</v>
          </cell>
          <cell r="G2947">
            <v>39593</v>
          </cell>
          <cell r="H2947">
            <v>7919</v>
          </cell>
        </row>
        <row r="2948">
          <cell r="A2948" t="str">
            <v>103.059</v>
          </cell>
          <cell r="B2948" t="str">
            <v>E12</v>
          </cell>
          <cell r="C2948" t="str">
            <v>EQUIPO DE TRANSPORTE</v>
          </cell>
          <cell r="D2948" t="str">
            <v>Equipos</v>
          </cell>
          <cell r="E2948" t="str">
            <v>DIA</v>
          </cell>
          <cell r="F2948">
            <v>1.6E-2</v>
          </cell>
          <cell r="G2948">
            <v>131205</v>
          </cell>
          <cell r="H2948">
            <v>2099</v>
          </cell>
        </row>
        <row r="2949">
          <cell r="A2949" t="str">
            <v>103.059</v>
          </cell>
          <cell r="B2949" t="str">
            <v>H2</v>
          </cell>
          <cell r="C2949" t="str">
            <v>EQUIPO BASICO (HERRAMIENTA MENOR)</v>
          </cell>
          <cell r="D2949" t="str">
            <v>Herramienta</v>
          </cell>
          <cell r="E2949" t="str">
            <v>UND</v>
          </cell>
          <cell r="F2949">
            <v>0.2</v>
          </cell>
          <cell r="G2949">
            <v>2536</v>
          </cell>
          <cell r="H2949">
            <v>507</v>
          </cell>
        </row>
        <row r="2950">
          <cell r="A2950" t="str">
            <v>103.059</v>
          </cell>
          <cell r="B2950" t="str">
            <v>I1565</v>
          </cell>
          <cell r="C2950" t="str">
            <v>ACARREO INTERNO</v>
          </cell>
          <cell r="D2950" t="str">
            <v>Insumo</v>
          </cell>
          <cell r="E2950" t="str">
            <v>UND</v>
          </cell>
          <cell r="F2950">
            <v>0.5</v>
          </cell>
          <cell r="G2950">
            <v>1327</v>
          </cell>
          <cell r="H2950">
            <v>664</v>
          </cell>
        </row>
        <row r="2951">
          <cell r="A2951" t="str">
            <v>103.059</v>
          </cell>
          <cell r="B2951" t="str">
            <v>I702</v>
          </cell>
          <cell r="C2951" t="str">
            <v xml:space="preserve">Soporte tipo pera 1"     </v>
          </cell>
          <cell r="D2951" t="str">
            <v>Insumo</v>
          </cell>
          <cell r="E2951" t="str">
            <v>UND</v>
          </cell>
          <cell r="F2951">
            <v>1</v>
          </cell>
          <cell r="G2951">
            <v>8580</v>
          </cell>
          <cell r="H2951">
            <v>8580</v>
          </cell>
        </row>
        <row r="2953">
          <cell r="A2953" t="str">
            <v>103.060</v>
          </cell>
          <cell r="B2953" t="str">
            <v>-</v>
          </cell>
          <cell r="C2953" t="str">
            <v xml:space="preserve">SUMINISTRO, TRANSPORTE E INSTALACION Acople Flexible 1 1/2"    </v>
          </cell>
          <cell r="D2953" t="str">
            <v>Actividad</v>
          </cell>
          <cell r="E2953" t="str">
            <v>UND</v>
          </cell>
          <cell r="H2953">
            <v>17939</v>
          </cell>
        </row>
        <row r="2954">
          <cell r="A2954" t="str">
            <v>103.060</v>
          </cell>
          <cell r="B2954" t="str">
            <v>C23</v>
          </cell>
          <cell r="C2954" t="str">
            <v>CUADRILLA BB TIPO 4 (1 OFICIAL + 4 AYUDANTE) (Instalaciones)</v>
          </cell>
          <cell r="D2954" t="str">
            <v>Cuadrilla</v>
          </cell>
          <cell r="E2954" t="str">
            <v>HR</v>
          </cell>
          <cell r="F2954">
            <v>0.2</v>
          </cell>
          <cell r="G2954">
            <v>39593</v>
          </cell>
          <cell r="H2954">
            <v>7919</v>
          </cell>
        </row>
        <row r="2955">
          <cell r="A2955" t="str">
            <v>103.060</v>
          </cell>
          <cell r="B2955" t="str">
            <v>E12</v>
          </cell>
          <cell r="C2955" t="str">
            <v>EQUIPO DE TRANSPORTE</v>
          </cell>
          <cell r="D2955" t="str">
            <v>Equipos</v>
          </cell>
          <cell r="E2955" t="str">
            <v>DIA</v>
          </cell>
          <cell r="F2955">
            <v>1.6E-2</v>
          </cell>
          <cell r="G2955">
            <v>131205</v>
          </cell>
          <cell r="H2955">
            <v>2099</v>
          </cell>
        </row>
        <row r="2956">
          <cell r="A2956" t="str">
            <v>103.060</v>
          </cell>
          <cell r="B2956" t="str">
            <v>H2</v>
          </cell>
          <cell r="C2956" t="str">
            <v>EQUIPO BASICO (HERRAMIENTA MENOR)</v>
          </cell>
          <cell r="D2956" t="str">
            <v>Herramienta</v>
          </cell>
          <cell r="E2956" t="str">
            <v>UND</v>
          </cell>
          <cell r="F2956">
            <v>0.2</v>
          </cell>
          <cell r="G2956">
            <v>2536</v>
          </cell>
          <cell r="H2956">
            <v>507</v>
          </cell>
        </row>
        <row r="2957">
          <cell r="A2957" t="str">
            <v>103.060</v>
          </cell>
          <cell r="B2957" t="str">
            <v>I1565</v>
          </cell>
          <cell r="C2957" t="str">
            <v>ACARREO INTERNO</v>
          </cell>
          <cell r="D2957" t="str">
            <v>Insumo</v>
          </cell>
          <cell r="E2957" t="str">
            <v>UND</v>
          </cell>
          <cell r="F2957">
            <v>0.5</v>
          </cell>
          <cell r="G2957">
            <v>1327</v>
          </cell>
          <cell r="H2957">
            <v>664</v>
          </cell>
        </row>
        <row r="2958">
          <cell r="A2958" t="str">
            <v>103.060</v>
          </cell>
          <cell r="B2958" t="str">
            <v>I702</v>
          </cell>
          <cell r="C2958" t="str">
            <v xml:space="preserve">Acople Flexible 1 1/2"    </v>
          </cell>
          <cell r="D2958" t="str">
            <v>Insumo</v>
          </cell>
          <cell r="E2958" t="str">
            <v>UND</v>
          </cell>
          <cell r="F2958">
            <v>1</v>
          </cell>
          <cell r="G2958">
            <v>6750</v>
          </cell>
          <cell r="H2958">
            <v>6750</v>
          </cell>
        </row>
        <row r="2960">
          <cell r="A2960" t="str">
            <v>103.061</v>
          </cell>
          <cell r="B2960" t="str">
            <v>-</v>
          </cell>
          <cell r="C2960" t="str">
            <v xml:space="preserve">SUMINISTRO, TRANSPORTE E INSTALACION  Acople Flexible 1 1/4"   </v>
          </cell>
          <cell r="D2960" t="str">
            <v>Actividad</v>
          </cell>
          <cell r="E2960" t="str">
            <v>UND</v>
          </cell>
          <cell r="H2960">
            <v>17739</v>
          </cell>
        </row>
        <row r="2961">
          <cell r="A2961" t="str">
            <v>103.061</v>
          </cell>
          <cell r="B2961" t="str">
            <v>C23</v>
          </cell>
          <cell r="C2961" t="str">
            <v>CUADRILLA BB TIPO 4 (1 OFICIAL + 4 AYUDANTE) (Instalaciones)</v>
          </cell>
          <cell r="D2961" t="str">
            <v>Cuadrilla</v>
          </cell>
          <cell r="E2961" t="str">
            <v>HR</v>
          </cell>
          <cell r="F2961">
            <v>0.2</v>
          </cell>
          <cell r="G2961">
            <v>39593</v>
          </cell>
          <cell r="H2961">
            <v>7919</v>
          </cell>
        </row>
        <row r="2962">
          <cell r="A2962" t="str">
            <v>103.061</v>
          </cell>
          <cell r="B2962" t="str">
            <v>E12</v>
          </cell>
          <cell r="C2962" t="str">
            <v>EQUIPO DE TRANSPORTE</v>
          </cell>
          <cell r="D2962" t="str">
            <v>Equipos</v>
          </cell>
          <cell r="E2962" t="str">
            <v>DIA</v>
          </cell>
          <cell r="F2962">
            <v>1.6E-2</v>
          </cell>
          <cell r="G2962">
            <v>131205</v>
          </cell>
          <cell r="H2962">
            <v>2099</v>
          </cell>
        </row>
        <row r="2963">
          <cell r="A2963" t="str">
            <v>103.061</v>
          </cell>
          <cell r="B2963" t="str">
            <v>H2</v>
          </cell>
          <cell r="C2963" t="str">
            <v>EQUIPO BASICO (HERRAMIENTA MENOR)</v>
          </cell>
          <cell r="D2963" t="str">
            <v>Herramienta</v>
          </cell>
          <cell r="E2963" t="str">
            <v>UND</v>
          </cell>
          <cell r="F2963">
            <v>0.2</v>
          </cell>
          <cell r="G2963">
            <v>2536</v>
          </cell>
          <cell r="H2963">
            <v>507</v>
          </cell>
        </row>
        <row r="2964">
          <cell r="A2964" t="str">
            <v>103.061</v>
          </cell>
          <cell r="B2964" t="str">
            <v>I1565</v>
          </cell>
          <cell r="C2964" t="str">
            <v>ACARREO INTERNO</v>
          </cell>
          <cell r="D2964" t="str">
            <v>Insumo</v>
          </cell>
          <cell r="E2964" t="str">
            <v>UND</v>
          </cell>
          <cell r="F2964">
            <v>0.5</v>
          </cell>
          <cell r="G2964">
            <v>1327</v>
          </cell>
          <cell r="H2964">
            <v>664</v>
          </cell>
        </row>
        <row r="2965">
          <cell r="A2965" t="str">
            <v>103.061</v>
          </cell>
          <cell r="B2965" t="str">
            <v>I702</v>
          </cell>
          <cell r="C2965" t="str">
            <v xml:space="preserve"> Acople Flexible 1 1/4"   </v>
          </cell>
          <cell r="D2965" t="str">
            <v>Insumo</v>
          </cell>
          <cell r="E2965" t="str">
            <v>UND</v>
          </cell>
          <cell r="F2965">
            <v>1</v>
          </cell>
          <cell r="G2965">
            <v>6550</v>
          </cell>
          <cell r="H2965">
            <v>6550</v>
          </cell>
        </row>
        <row r="2967">
          <cell r="A2967" t="str">
            <v>103.062</v>
          </cell>
          <cell r="B2967" t="str">
            <v>-</v>
          </cell>
          <cell r="C2967" t="str">
            <v>SUMINISTRO, TRANSPORTE E INSTALACION DE SOPORTE TIPO MENSULA GALVANIZADO PARA TUBERIA DE 4"</v>
          </cell>
          <cell r="D2967" t="str">
            <v>Actividad</v>
          </cell>
          <cell r="E2967" t="str">
            <v>UND</v>
          </cell>
          <cell r="H2967">
            <v>108039</v>
          </cell>
        </row>
        <row r="2968">
          <cell r="A2968" t="str">
            <v>103.062</v>
          </cell>
          <cell r="B2968" t="str">
            <v>C23</v>
          </cell>
          <cell r="C2968" t="str">
            <v>CUADRILLA BB TIPO 4 (1 OFICIAL + 4 AYUDANTE) (Instalaciones)</v>
          </cell>
          <cell r="D2968" t="str">
            <v>Cuadrilla</v>
          </cell>
          <cell r="E2968" t="str">
            <v>HR</v>
          </cell>
          <cell r="F2968">
            <v>0.2</v>
          </cell>
          <cell r="G2968">
            <v>39593</v>
          </cell>
          <cell r="H2968">
            <v>7919</v>
          </cell>
        </row>
        <row r="2969">
          <cell r="A2969" t="str">
            <v>103.062</v>
          </cell>
          <cell r="B2969" t="str">
            <v>E12</v>
          </cell>
          <cell r="C2969" t="str">
            <v>EQUIPO DE TRANSPORTE</v>
          </cell>
          <cell r="D2969" t="str">
            <v>Equipos</v>
          </cell>
          <cell r="E2969" t="str">
            <v>DIA</v>
          </cell>
          <cell r="F2969">
            <v>1.6E-2</v>
          </cell>
          <cell r="G2969">
            <v>131205</v>
          </cell>
          <cell r="H2969">
            <v>2099</v>
          </cell>
        </row>
        <row r="2970">
          <cell r="A2970" t="str">
            <v>103.062</v>
          </cell>
          <cell r="B2970" t="str">
            <v>H2</v>
          </cell>
          <cell r="C2970" t="str">
            <v>EQUIPO BASICO (HERRAMIENTA MENOR)</v>
          </cell>
          <cell r="D2970" t="str">
            <v>Herramienta</v>
          </cell>
          <cell r="E2970" t="str">
            <v>UND</v>
          </cell>
          <cell r="F2970">
            <v>0.2</v>
          </cell>
          <cell r="G2970">
            <v>2536</v>
          </cell>
          <cell r="H2970">
            <v>507</v>
          </cell>
        </row>
        <row r="2971">
          <cell r="A2971" t="str">
            <v>103.062</v>
          </cell>
          <cell r="B2971" t="str">
            <v>I1565</v>
          </cell>
          <cell r="C2971" t="str">
            <v>ACARREO INTERNO</v>
          </cell>
          <cell r="D2971" t="str">
            <v>Insumo</v>
          </cell>
          <cell r="E2971" t="str">
            <v>UND</v>
          </cell>
          <cell r="F2971">
            <v>0.5</v>
          </cell>
          <cell r="G2971">
            <v>1327</v>
          </cell>
          <cell r="H2971">
            <v>664</v>
          </cell>
        </row>
        <row r="2972">
          <cell r="A2972" t="str">
            <v>103.062</v>
          </cell>
          <cell r="B2972" t="str">
            <v>I702</v>
          </cell>
          <cell r="C2972" t="str">
            <v>SOPORTE TIPO MENSULA GALVANIZADO PARA TUBERIA DE 4"</v>
          </cell>
          <cell r="D2972" t="str">
            <v>Insumo</v>
          </cell>
          <cell r="E2972" t="str">
            <v>UND</v>
          </cell>
          <cell r="F2972">
            <v>1</v>
          </cell>
          <cell r="G2972">
            <v>96850</v>
          </cell>
          <cell r="H2972">
            <v>96850</v>
          </cell>
        </row>
        <row r="2974">
          <cell r="A2974" t="str">
            <v>103.063</v>
          </cell>
          <cell r="B2974" t="str">
            <v>-</v>
          </cell>
          <cell r="C2974" t="str">
            <v>SUMINISTRO, TRANSPORTE E INSTALACION DE SOPORTE TIPO MECANO VERTICAL PARA TUBERIA DE 4"</v>
          </cell>
          <cell r="D2974" t="str">
            <v>Actividad</v>
          </cell>
          <cell r="E2974" t="str">
            <v>UND</v>
          </cell>
          <cell r="H2974">
            <v>103539</v>
          </cell>
        </row>
        <row r="2975">
          <cell r="A2975" t="str">
            <v>103.063</v>
          </cell>
          <cell r="B2975" t="str">
            <v>C23</v>
          </cell>
          <cell r="C2975" t="str">
            <v>CUADRILLA BB TIPO 4 (1 OFICIAL + 4 AYUDANTE) (Instalaciones)</v>
          </cell>
          <cell r="D2975" t="str">
            <v>Cuadrilla</v>
          </cell>
          <cell r="E2975" t="str">
            <v>HR</v>
          </cell>
          <cell r="F2975">
            <v>0.2</v>
          </cell>
          <cell r="G2975">
            <v>39593</v>
          </cell>
          <cell r="H2975">
            <v>7919</v>
          </cell>
        </row>
        <row r="2976">
          <cell r="A2976" t="str">
            <v>103.063</v>
          </cell>
          <cell r="B2976" t="str">
            <v>E12</v>
          </cell>
          <cell r="C2976" t="str">
            <v>EQUIPO DE TRANSPORTE</v>
          </cell>
          <cell r="D2976" t="str">
            <v>Equipos</v>
          </cell>
          <cell r="E2976" t="str">
            <v>DIA</v>
          </cell>
          <cell r="F2976">
            <v>1.6E-2</v>
          </cell>
          <cell r="G2976">
            <v>131205</v>
          </cell>
          <cell r="H2976">
            <v>2099</v>
          </cell>
        </row>
        <row r="2977">
          <cell r="A2977" t="str">
            <v>103.063</v>
          </cell>
          <cell r="B2977" t="str">
            <v>H2</v>
          </cell>
          <cell r="C2977" t="str">
            <v>EQUIPO BASICO (HERRAMIENTA MENOR)</v>
          </cell>
          <cell r="D2977" t="str">
            <v>Herramienta</v>
          </cell>
          <cell r="E2977" t="str">
            <v>UND</v>
          </cell>
          <cell r="F2977">
            <v>0.2</v>
          </cell>
          <cell r="G2977">
            <v>2536</v>
          </cell>
          <cell r="H2977">
            <v>507</v>
          </cell>
        </row>
        <row r="2978">
          <cell r="A2978" t="str">
            <v>103.063</v>
          </cell>
          <cell r="B2978" t="str">
            <v>I1565</v>
          </cell>
          <cell r="C2978" t="str">
            <v>ACARREO INTERNO</v>
          </cell>
          <cell r="D2978" t="str">
            <v>Insumo</v>
          </cell>
          <cell r="E2978" t="str">
            <v>UND</v>
          </cell>
          <cell r="F2978">
            <v>0.5</v>
          </cell>
          <cell r="G2978">
            <v>1327</v>
          </cell>
          <cell r="H2978">
            <v>664</v>
          </cell>
        </row>
        <row r="2979">
          <cell r="A2979" t="str">
            <v>103.063</v>
          </cell>
          <cell r="B2979" t="str">
            <v>I702</v>
          </cell>
          <cell r="C2979" t="str">
            <v>SOPORTE TIPO MECANO VERTICAL PARA TUBERIA DE 4"</v>
          </cell>
          <cell r="D2979" t="str">
            <v>Insumo</v>
          </cell>
          <cell r="E2979" t="str">
            <v>UND</v>
          </cell>
          <cell r="F2979">
            <v>1</v>
          </cell>
          <cell r="G2979">
            <v>92350</v>
          </cell>
          <cell r="H2979">
            <v>92350</v>
          </cell>
        </row>
        <row r="2981">
          <cell r="A2981" t="str">
            <v>103.064</v>
          </cell>
          <cell r="B2981" t="str">
            <v>-</v>
          </cell>
          <cell r="C2981" t="str">
            <v>SUMINISTRO, TRANSPORTE E INSTALACION DE VALVULA DE PRUEBA Y DRENAJE EN BRONCE DE 1" CERTIFICADA Y APROBADA</v>
          </cell>
          <cell r="D2981" t="str">
            <v>Actividad</v>
          </cell>
          <cell r="E2981" t="str">
            <v>UND</v>
          </cell>
          <cell r="H2981">
            <v>321189</v>
          </cell>
        </row>
        <row r="2982">
          <cell r="A2982" t="str">
            <v>103.064</v>
          </cell>
          <cell r="B2982" t="str">
            <v>C23</v>
          </cell>
          <cell r="C2982" t="str">
            <v>CUADRILLA BB TIPO 4 (1 OFICIAL + 4 AYUDANTE) (Instalaciones)</v>
          </cell>
          <cell r="D2982" t="str">
            <v>Cuadrilla</v>
          </cell>
          <cell r="E2982" t="str">
            <v>HR</v>
          </cell>
          <cell r="F2982">
            <v>0.2</v>
          </cell>
          <cell r="G2982">
            <v>39593</v>
          </cell>
          <cell r="H2982">
            <v>7919</v>
          </cell>
        </row>
        <row r="2983">
          <cell r="A2983" t="str">
            <v>103.064</v>
          </cell>
          <cell r="B2983" t="str">
            <v>E12</v>
          </cell>
          <cell r="C2983" t="str">
            <v>EQUIPO DE TRANSPORTE</v>
          </cell>
          <cell r="D2983" t="str">
            <v>Equipos</v>
          </cell>
          <cell r="E2983" t="str">
            <v>DIA</v>
          </cell>
          <cell r="F2983">
            <v>1.6E-2</v>
          </cell>
          <cell r="G2983">
            <v>131205</v>
          </cell>
          <cell r="H2983">
            <v>2099</v>
          </cell>
        </row>
        <row r="2984">
          <cell r="A2984" t="str">
            <v>103.064</v>
          </cell>
          <cell r="B2984" t="str">
            <v>H2</v>
          </cell>
          <cell r="C2984" t="str">
            <v>EQUIPO BASICO (HERRAMIENTA MENOR)</v>
          </cell>
          <cell r="D2984" t="str">
            <v>Herramienta</v>
          </cell>
          <cell r="E2984" t="str">
            <v>UND</v>
          </cell>
          <cell r="F2984">
            <v>0.2</v>
          </cell>
          <cell r="G2984">
            <v>2536</v>
          </cell>
          <cell r="H2984">
            <v>507</v>
          </cell>
        </row>
        <row r="2985">
          <cell r="A2985" t="str">
            <v>103.064</v>
          </cell>
          <cell r="B2985" t="str">
            <v>I1565</v>
          </cell>
          <cell r="C2985" t="str">
            <v>ACARREO INTERNO</v>
          </cell>
          <cell r="D2985" t="str">
            <v>Insumo</v>
          </cell>
          <cell r="E2985" t="str">
            <v>UND</v>
          </cell>
          <cell r="F2985">
            <v>0.5</v>
          </cell>
          <cell r="G2985">
            <v>1327</v>
          </cell>
          <cell r="H2985">
            <v>664</v>
          </cell>
        </row>
        <row r="2986">
          <cell r="A2986" t="str">
            <v>103.064</v>
          </cell>
          <cell r="B2986" t="str">
            <v>I702</v>
          </cell>
          <cell r="C2986" t="str">
            <v>VALVULA DE PRUEBA Y DRENAJE EN BRONCE DE 1" CERTIFICADA Y APROBADA</v>
          </cell>
          <cell r="D2986" t="str">
            <v>Insumo</v>
          </cell>
          <cell r="E2986" t="str">
            <v>UND</v>
          </cell>
          <cell r="F2986">
            <v>1</v>
          </cell>
          <cell r="G2986">
            <v>310000</v>
          </cell>
          <cell r="H2986">
            <v>310000</v>
          </cell>
        </row>
        <row r="2988">
          <cell r="A2988" t="str">
            <v>103.065</v>
          </cell>
          <cell r="B2988" t="str">
            <v>-</v>
          </cell>
          <cell r="C2988" t="str">
            <v>SUMINISTRO, TRANSPORTE E INSTALACION DE FLANCHE RANURADO DE 4" PARA EL KIT DE TRANSICION</v>
          </cell>
          <cell r="D2988" t="str">
            <v>Actividad</v>
          </cell>
          <cell r="E2988" t="str">
            <v>UND</v>
          </cell>
          <cell r="H2988">
            <v>55389</v>
          </cell>
        </row>
        <row r="2989">
          <cell r="A2989" t="str">
            <v>103.065</v>
          </cell>
          <cell r="B2989" t="str">
            <v>C23</v>
          </cell>
          <cell r="C2989" t="str">
            <v>CUADRILLA BB TIPO 4 (1 OFICIAL + 4 AYUDANTE) (Instalaciones)</v>
          </cell>
          <cell r="D2989" t="str">
            <v>Cuadrilla</v>
          </cell>
          <cell r="E2989" t="str">
            <v>HR</v>
          </cell>
          <cell r="F2989">
            <v>0.2</v>
          </cell>
          <cell r="G2989">
            <v>39593</v>
          </cell>
          <cell r="H2989">
            <v>7919</v>
          </cell>
        </row>
        <row r="2990">
          <cell r="A2990" t="str">
            <v>103.065</v>
          </cell>
          <cell r="B2990" t="str">
            <v>E12</v>
          </cell>
          <cell r="C2990" t="str">
            <v>EQUIPO DE TRANSPORTE</v>
          </cell>
          <cell r="D2990" t="str">
            <v>Equipos</v>
          </cell>
          <cell r="E2990" t="str">
            <v>DIA</v>
          </cell>
          <cell r="F2990">
            <v>1.6E-2</v>
          </cell>
          <cell r="G2990">
            <v>131205</v>
          </cell>
          <cell r="H2990">
            <v>2099</v>
          </cell>
        </row>
        <row r="2991">
          <cell r="A2991" t="str">
            <v>103.065</v>
          </cell>
          <cell r="B2991" t="str">
            <v>H2</v>
          </cell>
          <cell r="C2991" t="str">
            <v>EQUIPO BASICO (HERRAMIENTA MENOR)</v>
          </cell>
          <cell r="D2991" t="str">
            <v>Herramienta</v>
          </cell>
          <cell r="E2991" t="str">
            <v>UND</v>
          </cell>
          <cell r="F2991">
            <v>0.2</v>
          </cell>
          <cell r="G2991">
            <v>2536</v>
          </cell>
          <cell r="H2991">
            <v>507</v>
          </cell>
        </row>
        <row r="2992">
          <cell r="A2992" t="str">
            <v>103.065</v>
          </cell>
          <cell r="B2992" t="str">
            <v>I1565</v>
          </cell>
          <cell r="C2992" t="str">
            <v>ACARREO INTERNO</v>
          </cell>
          <cell r="D2992" t="str">
            <v>Insumo</v>
          </cell>
          <cell r="E2992" t="str">
            <v>UND</v>
          </cell>
          <cell r="F2992">
            <v>0.5</v>
          </cell>
          <cell r="G2992">
            <v>1327</v>
          </cell>
          <cell r="H2992">
            <v>664</v>
          </cell>
        </row>
        <row r="2993">
          <cell r="A2993" t="str">
            <v>103.065</v>
          </cell>
          <cell r="B2993" t="str">
            <v>I702</v>
          </cell>
          <cell r="C2993" t="str">
            <v>FLANCHE RANURADO DE 4" PARA EL KIT DE TRANSICION</v>
          </cell>
          <cell r="D2993" t="str">
            <v>Insumo</v>
          </cell>
          <cell r="E2993" t="str">
            <v>UND</v>
          </cell>
          <cell r="F2993">
            <v>1</v>
          </cell>
          <cell r="G2993">
            <v>44200</v>
          </cell>
          <cell r="H2993">
            <v>44200</v>
          </cell>
        </row>
        <row r="2995">
          <cell r="A2995" t="str">
            <v>103.066</v>
          </cell>
          <cell r="B2995" t="str">
            <v>-</v>
          </cell>
          <cell r="C2995" t="str">
            <v xml:space="preserve">SUMINISTRO, TRANSPORTE E INSTALACION DE BOMBA CENTRIFUGA TIPO END SUCTION UL-FM ACCIONADA POR MOTOR ELECTRICO DE 250 GPM A 125 PSI MODELO ESF50/20 DE 3600 RPM Y 40 HP Y/O SIMILAR COMPLETA CON TABLERO Y BOMBA JOCKEY MODELO BLT2-11 DE 15 GPM Y 135 PSI Y/O SIMILAR </v>
          </cell>
          <cell r="D2995" t="str">
            <v>Actividad</v>
          </cell>
          <cell r="E2995" t="str">
            <v>UND</v>
          </cell>
          <cell r="H2995">
            <v>74932875</v>
          </cell>
        </row>
        <row r="2996">
          <cell r="A2996" t="str">
            <v>103.066</v>
          </cell>
          <cell r="B2996" t="str">
            <v>C23</v>
          </cell>
          <cell r="C2996" t="str">
            <v>CUADRILLA BB TIPO 4 (1 OFICIAL + 4 AYUDANTE) (Instalaciones)</v>
          </cell>
          <cell r="D2996" t="str">
            <v>Cuadrilla</v>
          </cell>
          <cell r="E2996" t="str">
            <v>HR</v>
          </cell>
          <cell r="F2996">
            <v>0.2</v>
          </cell>
          <cell r="G2996">
            <v>39593</v>
          </cell>
          <cell r="H2996">
            <v>7919</v>
          </cell>
        </row>
        <row r="2997">
          <cell r="A2997" t="str">
            <v>103.066</v>
          </cell>
          <cell r="B2997" t="str">
            <v>E12</v>
          </cell>
          <cell r="C2997" t="str">
            <v>EQUIPO DE TRANSPORTE</v>
          </cell>
          <cell r="D2997" t="str">
            <v>Equipos</v>
          </cell>
          <cell r="E2997" t="str">
            <v>DIA</v>
          </cell>
          <cell r="F2997">
            <v>1.6E-2</v>
          </cell>
          <cell r="G2997">
            <v>131205</v>
          </cell>
          <cell r="H2997">
            <v>2099</v>
          </cell>
        </row>
        <row r="2998">
          <cell r="A2998" t="str">
            <v>103.066</v>
          </cell>
          <cell r="B2998" t="str">
            <v>H2</v>
          </cell>
          <cell r="C2998" t="str">
            <v>EQUIPO BASICO (HERRAMIENTA MENOR)</v>
          </cell>
          <cell r="D2998" t="str">
            <v>Herramienta</v>
          </cell>
          <cell r="E2998" t="str">
            <v>UND</v>
          </cell>
          <cell r="F2998">
            <v>0.2</v>
          </cell>
          <cell r="G2998">
            <v>2536</v>
          </cell>
          <cell r="H2998">
            <v>507</v>
          </cell>
        </row>
        <row r="2999">
          <cell r="A2999" t="str">
            <v>103.066</v>
          </cell>
          <cell r="B2999" t="str">
            <v>I1565</v>
          </cell>
          <cell r="C2999" t="str">
            <v>ACARREO INTERNO</v>
          </cell>
          <cell r="D2999" t="str">
            <v>Insumo</v>
          </cell>
          <cell r="E2999" t="str">
            <v>UND</v>
          </cell>
          <cell r="F2999">
            <v>0.5</v>
          </cell>
          <cell r="G2999">
            <v>1327</v>
          </cell>
          <cell r="H2999">
            <v>664</v>
          </cell>
        </row>
        <row r="3000">
          <cell r="A3000" t="str">
            <v>103.066</v>
          </cell>
          <cell r="B3000" t="str">
            <v>I702</v>
          </cell>
          <cell r="C3000" t="str">
            <v xml:space="preserve">BOMBA CENTRIFUGA TIPO END SUCTION UL-FM ACCIONADA POR MOTOR ELECTRICO DE 250 GPM A 125 PSI MODELO ESF50/20 DE 3600 RPM Y 40 HP Y/O SIMILAR COMPLETA CON TABLERO Y BOMBA JOCKEY MODELO BLT2-11 DE 15 GPM Y 135 PSI Y/O SIMILAR </v>
          </cell>
          <cell r="D3000" t="str">
            <v>Insumo</v>
          </cell>
          <cell r="E3000" t="str">
            <v>UND</v>
          </cell>
          <cell r="F3000">
            <v>1</v>
          </cell>
          <cell r="G3000">
            <v>74921686</v>
          </cell>
          <cell r="H3000">
            <v>74921686</v>
          </cell>
        </row>
        <row r="3068">
          <cell r="A3068" t="str">
            <v>013</v>
          </cell>
          <cell r="C3068" t="str">
            <v>CANCHA VOLEY PLAYA</v>
          </cell>
          <cell r="D3068" t="str">
            <v>Capitulo</v>
          </cell>
        </row>
        <row r="3070">
          <cell r="A3070" t="str">
            <v>002A.022A</v>
          </cell>
          <cell r="B3070" t="str">
            <v>-</v>
          </cell>
          <cell r="C3070" t="str">
            <v>SUMINISTRO, TRANSPORTE E INSTALACIÓN ARENA SÍLICE PARA VOLEY PLAYA</v>
          </cell>
          <cell r="D3070" t="str">
            <v>Actividad</v>
          </cell>
          <cell r="E3070" t="str">
            <v>M3</v>
          </cell>
          <cell r="H3070">
            <v>143348</v>
          </cell>
        </row>
        <row r="3071">
          <cell r="A3071" t="str">
            <v>002A.022.A</v>
          </cell>
          <cell r="B3071" t="str">
            <v>C15</v>
          </cell>
          <cell r="C3071" t="str">
            <v>CUADRILLA AA TIPO 3 (1 OFICIAL + 3 AYUDANTE) (Albañileria)</v>
          </cell>
          <cell r="D3071" t="str">
            <v>Cuadrilla</v>
          </cell>
          <cell r="E3071" t="str">
            <v>HR</v>
          </cell>
          <cell r="F3071">
            <v>0.2</v>
          </cell>
          <cell r="G3071">
            <v>29568</v>
          </cell>
          <cell r="H3071">
            <v>5914</v>
          </cell>
        </row>
        <row r="3072">
          <cell r="A3072" t="str">
            <v>002A.022.A</v>
          </cell>
          <cell r="B3072" t="str">
            <v>H2</v>
          </cell>
          <cell r="C3072" t="str">
            <v>EQUIPO BASICO (HERRAMIENTA MENOR)</v>
          </cell>
          <cell r="D3072" t="str">
            <v>Herramienta</v>
          </cell>
          <cell r="E3072" t="str">
            <v>UND</v>
          </cell>
          <cell r="F3072">
            <v>0.5</v>
          </cell>
          <cell r="G3072">
            <v>2536</v>
          </cell>
          <cell r="H3072">
            <v>1268</v>
          </cell>
        </row>
        <row r="3073">
          <cell r="A3073" t="str">
            <v>002A.022.A</v>
          </cell>
          <cell r="B3073" t="str">
            <v>E24</v>
          </cell>
          <cell r="C3073" t="str">
            <v>VOLQUETA 14 M3 (TRANSPORTE 300 KM)</v>
          </cell>
          <cell r="D3073" t="str">
            <v>Equipos</v>
          </cell>
          <cell r="E3073" t="str">
            <v>VJE</v>
          </cell>
          <cell r="F3073">
            <v>7.1428571428571425E-2</v>
          </cell>
          <cell r="G3073">
            <v>450000</v>
          </cell>
          <cell r="H3073">
            <v>32143</v>
          </cell>
        </row>
        <row r="3074">
          <cell r="A3074" t="str">
            <v>002A.022.A</v>
          </cell>
          <cell r="B3074" t="str">
            <v>I51A</v>
          </cell>
          <cell r="C3074" t="str">
            <v>ARENA SÍLICE CALIBRE PARA VOLEYPLAYA EN PUERTA DE CANTERA</v>
          </cell>
          <cell r="D3074" t="str">
            <v>Insumo</v>
          </cell>
          <cell r="E3074" t="str">
            <v>M3</v>
          </cell>
          <cell r="F3074">
            <v>1.05</v>
          </cell>
          <cell r="G3074">
            <v>99069.75</v>
          </cell>
          <cell r="H3074">
            <v>104023</v>
          </cell>
        </row>
        <row r="3077">
          <cell r="A3077" t="str">
            <v>032.020C</v>
          </cell>
          <cell r="B3077" t="str">
            <v>-</v>
          </cell>
          <cell r="C3077" t="str">
            <v>SUMINISTRO, TRANSPORTE E INSTALACIÓN A TODO COSTO DE MALLA EN CUERDA TIPO TERLENKA O NYLON PARA CERRAMIENTO SUPERIOR Y/O LATERAL DE CANCHA, INCLUYE TEMPLETES EN GUAYA DE ACERO</v>
          </cell>
          <cell r="D3077" t="str">
            <v>Actividad</v>
          </cell>
          <cell r="E3077" t="str">
            <v>M2</v>
          </cell>
          <cell r="H3077">
            <v>13045</v>
          </cell>
        </row>
        <row r="3078">
          <cell r="A3078" t="str">
            <v>032.020.C</v>
          </cell>
          <cell r="B3078" t="str">
            <v>I169A</v>
          </cell>
          <cell r="C3078" t="str">
            <v>MALLA EN CUERDA TIPO TERLENKA PARA CERRAMIENTO SUPERIOR DE CANCHA</v>
          </cell>
          <cell r="D3078" t="str">
            <v>Insumo</v>
          </cell>
          <cell r="E3078" t="str">
            <v>M2</v>
          </cell>
          <cell r="F3078">
            <v>1.1000000000000001</v>
          </cell>
          <cell r="G3078">
            <v>4064.4</v>
          </cell>
          <cell r="H3078">
            <v>4471</v>
          </cell>
        </row>
        <row r="3079">
          <cell r="A3079" t="str">
            <v>032.020.C</v>
          </cell>
          <cell r="B3079" t="str">
            <v>C18</v>
          </cell>
          <cell r="C3079" t="str">
            <v>CUADRILLA DD TIPO 3 (1 OFICIAL + 3 AYUDANTE) (Carpinteria)</v>
          </cell>
          <cell r="D3079" t="str">
            <v>Cuadrilla</v>
          </cell>
          <cell r="E3079" t="str">
            <v>HR</v>
          </cell>
          <cell r="F3079">
            <v>0.05</v>
          </cell>
          <cell r="G3079">
            <v>33999</v>
          </cell>
          <cell r="H3079">
            <v>1700</v>
          </cell>
        </row>
        <row r="3080">
          <cell r="A3080" t="str">
            <v>032.020.C</v>
          </cell>
          <cell r="B3080" t="str">
            <v>E12</v>
          </cell>
          <cell r="C3080" t="str">
            <v>EQUIPO DE TRANSPORTE</v>
          </cell>
          <cell r="D3080" t="str">
            <v>Equipos</v>
          </cell>
          <cell r="E3080" t="str">
            <v>DIA</v>
          </cell>
          <cell r="F3080">
            <v>1.5E-3</v>
          </cell>
          <cell r="G3080">
            <v>131205</v>
          </cell>
          <cell r="H3080">
            <v>197</v>
          </cell>
        </row>
        <row r="3081">
          <cell r="A3081" t="str">
            <v>032.020.C</v>
          </cell>
          <cell r="B3081" t="str">
            <v>H2</v>
          </cell>
          <cell r="C3081" t="str">
            <v>EQUIPO BASICO (HERRAMIENTA MENOR)</v>
          </cell>
          <cell r="D3081" t="str">
            <v>Herramienta</v>
          </cell>
          <cell r="E3081" t="str">
            <v>UND</v>
          </cell>
          <cell r="F3081">
            <v>0.05</v>
          </cell>
          <cell r="G3081">
            <v>2536</v>
          </cell>
          <cell r="H3081">
            <v>127</v>
          </cell>
        </row>
        <row r="3082">
          <cell r="A3082" t="str">
            <v>032.020.C</v>
          </cell>
          <cell r="B3082" t="str">
            <v>I1204</v>
          </cell>
          <cell r="C3082" t="str">
            <v>CABLE SUPER GX DE 9,53 MM (3/8") GALVANIZADO O CABLE PARA RETENIDA DE 3/8 GALVANIZADO</v>
          </cell>
          <cell r="D3082" t="str">
            <v>Insumo</v>
          </cell>
          <cell r="E3082" t="str">
            <v>M</v>
          </cell>
          <cell r="F3082">
            <v>1</v>
          </cell>
          <cell r="G3082">
            <v>3409</v>
          </cell>
          <cell r="H3082">
            <v>3409</v>
          </cell>
        </row>
        <row r="3083">
          <cell r="A3083" t="str">
            <v>032.020.C</v>
          </cell>
          <cell r="B3083" t="str">
            <v>I1268</v>
          </cell>
          <cell r="C3083" t="str">
            <v xml:space="preserve">GRAPA PRENSADORA DE TRES TORNILLOS </v>
          </cell>
          <cell r="D3083" t="str">
            <v>Insumo</v>
          </cell>
          <cell r="E3083" t="str">
            <v>UND</v>
          </cell>
          <cell r="F3083">
            <v>0.2</v>
          </cell>
          <cell r="G3083">
            <v>10522</v>
          </cell>
          <cell r="H3083">
            <v>2104</v>
          </cell>
        </row>
        <row r="3084">
          <cell r="A3084" t="str">
            <v>032.020.C</v>
          </cell>
          <cell r="B3084" t="str">
            <v>I521</v>
          </cell>
          <cell r="C3084" t="str">
            <v>ABRAZADERA EN ACERO</v>
          </cell>
          <cell r="D3084" t="str">
            <v>Insumo</v>
          </cell>
          <cell r="E3084" t="str">
            <v>UND</v>
          </cell>
          <cell r="F3084">
            <v>0.5</v>
          </cell>
          <cell r="G3084">
            <v>2074</v>
          </cell>
          <cell r="H3084">
            <v>1037</v>
          </cell>
        </row>
        <row r="3087">
          <cell r="A3087" t="str">
            <v>004.008</v>
          </cell>
          <cell r="B3087" t="str">
            <v>-</v>
          </cell>
          <cell r="C3087" t="str">
            <v>SUMINISTRO, TRANSPORTE E INSTALACIÓN GEOTEXTIL NO TEJIDO 3000</v>
          </cell>
          <cell r="D3087" t="str">
            <v>Actividad</v>
          </cell>
          <cell r="E3087" t="str">
            <v>M2</v>
          </cell>
          <cell r="H3087">
            <v>8465</v>
          </cell>
        </row>
        <row r="3088">
          <cell r="A3088" t="str">
            <v>004.008</v>
          </cell>
          <cell r="B3088" t="str">
            <v>C1</v>
          </cell>
          <cell r="C3088" t="str">
            <v>CUADRILLA AA TIPO 1 (1 OFICIAL + 1 AYUDANTE) (Albañilería)</v>
          </cell>
          <cell r="D3088" t="str">
            <v>Cuadrilla</v>
          </cell>
          <cell r="E3088" t="str">
            <v>HR</v>
          </cell>
          <cell r="F3088">
            <v>3.4000000000000002E-2</v>
          </cell>
          <cell r="G3088">
            <v>16712</v>
          </cell>
          <cell r="H3088">
            <v>568</v>
          </cell>
        </row>
        <row r="3089">
          <cell r="A3089" t="str">
            <v>004.008</v>
          </cell>
          <cell r="B3089" t="str">
            <v>E12</v>
          </cell>
          <cell r="C3089" t="str">
            <v>EQUIPO DE TRANSPORTE</v>
          </cell>
          <cell r="D3089" t="str">
            <v>Equipos</v>
          </cell>
          <cell r="E3089" t="str">
            <v>DÍA</v>
          </cell>
          <cell r="F3089">
            <v>2E-3</v>
          </cell>
          <cell r="G3089">
            <v>131205</v>
          </cell>
          <cell r="H3089">
            <v>262</v>
          </cell>
        </row>
        <row r="3090">
          <cell r="A3090" t="str">
            <v>004.008</v>
          </cell>
          <cell r="B3090" t="str">
            <v>I1565</v>
          </cell>
          <cell r="C3090" t="str">
            <v>ACARREO INTERNO</v>
          </cell>
          <cell r="D3090" t="str">
            <v>Insumo</v>
          </cell>
          <cell r="E3090" t="str">
            <v>UND</v>
          </cell>
          <cell r="F3090">
            <v>3.0000000000000001E-3</v>
          </cell>
          <cell r="G3090">
            <v>1327</v>
          </cell>
          <cell r="H3090">
            <v>4</v>
          </cell>
        </row>
        <row r="3091">
          <cell r="A3091" t="str">
            <v>004.008</v>
          </cell>
          <cell r="B3091" t="str">
            <v>I515</v>
          </cell>
          <cell r="C3091" t="str">
            <v>GEOTEXTIL NO TEJIDO 3000 PAVCO O SIMILAR</v>
          </cell>
          <cell r="D3091" t="str">
            <v>Insumo</v>
          </cell>
          <cell r="E3091" t="str">
            <v>M2</v>
          </cell>
          <cell r="F3091">
            <v>1.034</v>
          </cell>
          <cell r="G3091">
            <v>7380</v>
          </cell>
          <cell r="H3091">
            <v>7631</v>
          </cell>
        </row>
        <row r="3094">
          <cell r="A3094" t="str">
            <v>003.099</v>
          </cell>
          <cell r="B3094" t="str">
            <v>-</v>
          </cell>
          <cell r="C3094" t="str">
            <v>SUMINISTRO, TRANSPORTE E INSTALACIÓN FILTRO DRENAJE (0.30 x 0.30 m.) Tubo Drenaje Corrugado de 4" con filtro. Incluye relleno piedra filtro, Geotextil NT 3000</v>
          </cell>
          <cell r="D3094" t="str">
            <v>Actividad</v>
          </cell>
          <cell r="E3094" t="str">
            <v>ML</v>
          </cell>
          <cell r="H3094">
            <v>54261</v>
          </cell>
        </row>
        <row r="3095">
          <cell r="A3095" t="str">
            <v>003.099</v>
          </cell>
          <cell r="B3095" t="str">
            <v>C2</v>
          </cell>
          <cell r="C3095" t="str">
            <v>CUADRILLA BB TIPO 1 (1 OFICIAL + 1 AYUDANTE) (Instalaciones)</v>
          </cell>
          <cell r="D3095" t="str">
            <v>Cuadrilla</v>
          </cell>
          <cell r="E3095" t="str">
            <v>HR</v>
          </cell>
          <cell r="F3095">
            <v>0.36</v>
          </cell>
          <cell r="G3095">
            <v>18383</v>
          </cell>
          <cell r="H3095">
            <v>6618</v>
          </cell>
        </row>
        <row r="3096">
          <cell r="A3096" t="str">
            <v>003.099</v>
          </cell>
          <cell r="B3096" t="str">
            <v>E12</v>
          </cell>
          <cell r="C3096" t="str">
            <v>EQUIPO DE TRANSPORTE</v>
          </cell>
          <cell r="D3096" t="str">
            <v>Equipos</v>
          </cell>
          <cell r="E3096" t="str">
            <v>DÍA</v>
          </cell>
          <cell r="F3096">
            <v>7.0000000000000001E-3</v>
          </cell>
          <cell r="G3096">
            <v>131205</v>
          </cell>
          <cell r="H3096">
            <v>918</v>
          </cell>
        </row>
        <row r="3097">
          <cell r="A3097" t="str">
            <v>003.099</v>
          </cell>
          <cell r="B3097" t="str">
            <v>H2</v>
          </cell>
          <cell r="C3097" t="str">
            <v>EQUIPO BÁSICO (HERRAMIENTA MENOR)</v>
          </cell>
          <cell r="D3097" t="str">
            <v>Herramienta</v>
          </cell>
          <cell r="E3097" t="str">
            <v>UND</v>
          </cell>
          <cell r="F3097">
            <v>0.2</v>
          </cell>
          <cell r="G3097">
            <v>2536</v>
          </cell>
          <cell r="H3097">
            <v>507</v>
          </cell>
        </row>
        <row r="3098">
          <cell r="A3098" t="str">
            <v>003.099</v>
          </cell>
          <cell r="B3098" t="str">
            <v>I1565</v>
          </cell>
          <cell r="C3098" t="str">
            <v>ACARREO INTERNO</v>
          </cell>
          <cell r="D3098" t="str">
            <v>Insumo</v>
          </cell>
          <cell r="E3098" t="str">
            <v>UND</v>
          </cell>
          <cell r="F3098">
            <v>0.1</v>
          </cell>
          <cell r="G3098">
            <v>1327</v>
          </cell>
          <cell r="H3098">
            <v>133</v>
          </cell>
        </row>
        <row r="3099">
          <cell r="A3099" t="str">
            <v>003.099</v>
          </cell>
          <cell r="B3099" t="str">
            <v>I48</v>
          </cell>
          <cell r="C3099" t="str">
            <v>PIEDRA FILTRO</v>
          </cell>
          <cell r="D3099" t="str">
            <v>Insumo</v>
          </cell>
          <cell r="E3099" t="str">
            <v>M3</v>
          </cell>
          <cell r="F3099">
            <v>0.10349999999999999</v>
          </cell>
          <cell r="G3099">
            <v>58335</v>
          </cell>
          <cell r="H3099">
            <v>6038</v>
          </cell>
        </row>
        <row r="3100">
          <cell r="A3100" t="str">
            <v>003.099</v>
          </cell>
          <cell r="B3100" t="str">
            <v>I513</v>
          </cell>
          <cell r="C3100" t="str">
            <v>GEOTEXTIL NO TEJIDO 3000 PAVCO O SIMILAR</v>
          </cell>
          <cell r="D3100" t="str">
            <v>Insumo</v>
          </cell>
          <cell r="E3100" t="str">
            <v>M2</v>
          </cell>
          <cell r="F3100">
            <v>1.3</v>
          </cell>
          <cell r="G3100">
            <v>7380</v>
          </cell>
          <cell r="H3100">
            <v>9594</v>
          </cell>
        </row>
        <row r="3101">
          <cell r="A3101" t="str">
            <v>003.099</v>
          </cell>
          <cell r="B3101" t="str">
            <v>I731</v>
          </cell>
          <cell r="C3101" t="str">
            <v>TUBO DRENAJE CORRUGADA PVC 100 MM ( 4") SIN FILTRO. TRAMOS DE 5 M. CON UNIÓN.</v>
          </cell>
          <cell r="D3101" t="str">
            <v>Insumo</v>
          </cell>
          <cell r="E3101" t="str">
            <v>M</v>
          </cell>
          <cell r="F3101">
            <v>1.01</v>
          </cell>
          <cell r="G3101">
            <v>30151</v>
          </cell>
          <cell r="H3101">
            <v>30453</v>
          </cell>
        </row>
        <row r="3104">
          <cell r="A3104" t="str">
            <v>021.059</v>
          </cell>
          <cell r="B3104" t="str">
            <v>-</v>
          </cell>
          <cell r="C3104" t="str">
            <v>SUMINISTRO, TRANSPORTE E INSTALACION BORDILLO BASE PARA MUROS PREFABRICADOS H= ENTRE 0,15 Y 0,20M Y A= ENTRE 0,13 Y 0,18M</v>
          </cell>
          <cell r="D3104" t="str">
            <v>Actividad</v>
          </cell>
          <cell r="E3104" t="str">
            <v>ML</v>
          </cell>
          <cell r="H3104">
            <v>56516</v>
          </cell>
        </row>
        <row r="3105">
          <cell r="A3105" t="str">
            <v>021.059</v>
          </cell>
          <cell r="B3105" t="str">
            <v>AB5</v>
          </cell>
          <cell r="C3105" t="str">
            <v>CONCRETO 3000 psi - 21 Mpa</v>
          </cell>
          <cell r="D3105" t="str">
            <v>Analisis</v>
          </cell>
          <cell r="E3105" t="str">
            <v>M3</v>
          </cell>
          <cell r="F3105">
            <v>3.5999999999999997E-2</v>
          </cell>
          <cell r="G3105">
            <v>421155</v>
          </cell>
          <cell r="H3105">
            <v>15162</v>
          </cell>
        </row>
        <row r="3106">
          <cell r="A3106" t="str">
            <v>021.059</v>
          </cell>
          <cell r="B3106" t="str">
            <v>C15</v>
          </cell>
          <cell r="C3106" t="str">
            <v>CUADRILLA AA TIPO 3 (1 OFICIAL + 3 AYUDANTE) (Albañileria)</v>
          </cell>
          <cell r="D3106" t="str">
            <v>Cuadrilla</v>
          </cell>
          <cell r="E3106" t="str">
            <v>HR</v>
          </cell>
          <cell r="F3106">
            <v>0.7</v>
          </cell>
          <cell r="G3106">
            <v>29568</v>
          </cell>
          <cell r="H3106">
            <v>20698</v>
          </cell>
        </row>
        <row r="3107">
          <cell r="A3107" t="str">
            <v>021.059</v>
          </cell>
          <cell r="B3107" t="str">
            <v>E12</v>
          </cell>
          <cell r="C3107" t="str">
            <v>EQUIPO DE TRANSPORTE</v>
          </cell>
          <cell r="D3107" t="str">
            <v>Equipos</v>
          </cell>
          <cell r="E3107" t="str">
            <v>DIA</v>
          </cell>
          <cell r="F3107">
            <v>8.9999999999999993E-3</v>
          </cell>
          <cell r="G3107">
            <v>131205</v>
          </cell>
          <cell r="H3107">
            <v>1181</v>
          </cell>
        </row>
        <row r="3108">
          <cell r="A3108" t="str">
            <v>021.059</v>
          </cell>
          <cell r="B3108" t="str">
            <v>E52</v>
          </cell>
          <cell r="C3108" t="str">
            <v>VIBRADOR</v>
          </cell>
          <cell r="D3108" t="str">
            <v>Equipos</v>
          </cell>
          <cell r="E3108" t="str">
            <v>HR</v>
          </cell>
          <cell r="F3108">
            <v>0.5</v>
          </cell>
          <cell r="G3108">
            <v>5905</v>
          </cell>
          <cell r="H3108">
            <v>2953</v>
          </cell>
        </row>
        <row r="3109">
          <cell r="A3109" t="str">
            <v>021.059</v>
          </cell>
          <cell r="B3109" t="str">
            <v>H2</v>
          </cell>
          <cell r="C3109" t="str">
            <v>EQUIPO BASICO (HERRAMIENTA MENOR)</v>
          </cell>
          <cell r="D3109" t="str">
            <v>Herramienta</v>
          </cell>
          <cell r="E3109" t="str">
            <v>UND</v>
          </cell>
          <cell r="F3109">
            <v>0.2</v>
          </cell>
          <cell r="G3109">
            <v>2536</v>
          </cell>
          <cell r="H3109">
            <v>507</v>
          </cell>
        </row>
        <row r="3110">
          <cell r="A3110" t="str">
            <v>021.059</v>
          </cell>
          <cell r="B3110" t="str">
            <v>I1565</v>
          </cell>
          <cell r="C3110" t="str">
            <v>ACARREO INTERNO</v>
          </cell>
          <cell r="D3110" t="str">
            <v>Insumo</v>
          </cell>
          <cell r="E3110" t="str">
            <v>UND</v>
          </cell>
          <cell r="F3110">
            <v>1.2</v>
          </cell>
          <cell r="G3110">
            <v>1327</v>
          </cell>
          <cell r="H3110">
            <v>1592</v>
          </cell>
        </row>
        <row r="3111">
          <cell r="A3111" t="str">
            <v>021.059</v>
          </cell>
          <cell r="B3111" t="str">
            <v>I425</v>
          </cell>
          <cell r="C3111" t="str">
            <v>PUNTILLA CON CABEZA 2"</v>
          </cell>
          <cell r="D3111" t="str">
            <v>Insumo</v>
          </cell>
          <cell r="E3111" t="str">
            <v>LB</v>
          </cell>
          <cell r="F3111">
            <v>0.1</v>
          </cell>
          <cell r="G3111">
            <v>3585</v>
          </cell>
          <cell r="H3111">
            <v>359</v>
          </cell>
        </row>
        <row r="3112">
          <cell r="A3112" t="str">
            <v>021.059</v>
          </cell>
          <cell r="B3112" t="str">
            <v>I957</v>
          </cell>
          <cell r="C3112" t="str">
            <v>LISTON 2 X 4</v>
          </cell>
          <cell r="D3112" t="str">
            <v>Insumo</v>
          </cell>
          <cell r="E3112" t="str">
            <v>M</v>
          </cell>
          <cell r="F3112">
            <v>2.145</v>
          </cell>
          <cell r="G3112">
            <v>3244</v>
          </cell>
          <cell r="H3112">
            <v>6958</v>
          </cell>
        </row>
        <row r="3113">
          <cell r="A3113" t="str">
            <v>021.059</v>
          </cell>
          <cell r="B3113" t="str">
            <v>I990</v>
          </cell>
          <cell r="C3113" t="str">
            <v>TABLA 1"X10"X3M</v>
          </cell>
          <cell r="D3113" t="str">
            <v>Insumo</v>
          </cell>
          <cell r="E3113" t="str">
            <v>UND</v>
          </cell>
          <cell r="F3113">
            <v>0.67</v>
          </cell>
          <cell r="G3113">
            <v>10606</v>
          </cell>
          <cell r="H3113">
            <v>7106</v>
          </cell>
        </row>
        <row r="3115">
          <cell r="A3115" t="str">
            <v>014</v>
          </cell>
          <cell r="C3115" t="str">
            <v>COMPONENTE ESTRUCTURAL (CONCRETOS Y ACEROS</v>
          </cell>
          <cell r="D3115" t="str">
            <v>Capitulo</v>
          </cell>
        </row>
        <row r="3116">
          <cell r="A3116" t="str">
            <v>032.010</v>
          </cell>
          <cell r="B3116" t="str">
            <v>-</v>
          </cell>
          <cell r="C3116" t="str">
            <v>SUMINISTRO, TRANSPORTE E INSTALACION VIGA CANALES CONCRETO 3000 PSI 0,135M3/ML</v>
          </cell>
          <cell r="D3116" t="str">
            <v>Actividad</v>
          </cell>
          <cell r="E3116" t="str">
            <v>ML</v>
          </cell>
          <cell r="H3116">
            <v>122202</v>
          </cell>
        </row>
        <row r="3117">
          <cell r="A3117" t="str">
            <v>032.010</v>
          </cell>
          <cell r="B3117" t="str">
            <v>AB5</v>
          </cell>
          <cell r="C3117" t="str">
            <v>CONCRETO 3000 psi - 21 Mpa</v>
          </cell>
          <cell r="D3117" t="str">
            <v>Analisis</v>
          </cell>
          <cell r="E3117" t="str">
            <v>M3</v>
          </cell>
          <cell r="F3117">
            <v>0.14499999999999999</v>
          </cell>
          <cell r="G3117">
            <v>421155</v>
          </cell>
          <cell r="H3117">
            <v>61067</v>
          </cell>
        </row>
        <row r="3118">
          <cell r="A3118" t="str">
            <v>032.010</v>
          </cell>
          <cell r="B3118" t="str">
            <v>C36</v>
          </cell>
          <cell r="C3118" t="str">
            <v>CUADRILLA AA TIPO 6 (1 OFICIAL + 6 AYUDANTE) (Albañileria)</v>
          </cell>
          <cell r="D3118" t="str">
            <v>Cuadrilla</v>
          </cell>
          <cell r="E3118" t="str">
            <v>HR</v>
          </cell>
          <cell r="F3118">
            <v>0.63500000000000001</v>
          </cell>
          <cell r="G3118">
            <v>48852</v>
          </cell>
          <cell r="H3118">
            <v>31021</v>
          </cell>
        </row>
        <row r="3119">
          <cell r="A3119" t="str">
            <v>032.010</v>
          </cell>
          <cell r="B3119" t="str">
            <v>E1</v>
          </cell>
          <cell r="C3119" t="str">
            <v>ANDAMIO METALICO CERTIFICADO, INCLUYE ESCALERILLA CON BARANDAS Y PLATAFORMAS DE TRABAJO</v>
          </cell>
          <cell r="D3119" t="str">
            <v>Equipos</v>
          </cell>
          <cell r="E3119" t="str">
            <v>UND</v>
          </cell>
          <cell r="F3119">
            <v>0.41399999999999998</v>
          </cell>
          <cell r="G3119">
            <v>7257</v>
          </cell>
          <cell r="H3119">
            <v>3004</v>
          </cell>
        </row>
        <row r="3120">
          <cell r="A3120" t="str">
            <v>032.010</v>
          </cell>
          <cell r="B3120" t="str">
            <v>E110</v>
          </cell>
          <cell r="C3120" t="str">
            <v xml:space="preserve">FORMALETA BORDE VIGAS AEREAS INCLUYE PARAL </v>
          </cell>
          <cell r="D3120" t="str">
            <v>Equipos</v>
          </cell>
          <cell r="E3120" t="str">
            <v>UND</v>
          </cell>
          <cell r="F3120">
            <v>0.82799999999999996</v>
          </cell>
          <cell r="G3120">
            <v>13080</v>
          </cell>
          <cell r="H3120">
            <v>10830</v>
          </cell>
        </row>
        <row r="3121">
          <cell r="A3121" t="str">
            <v>032.010</v>
          </cell>
          <cell r="B3121" t="str">
            <v>E12</v>
          </cell>
          <cell r="C3121" t="str">
            <v>EQUIPO DE TRANSPORTE</v>
          </cell>
          <cell r="D3121" t="str">
            <v>Equipos</v>
          </cell>
          <cell r="E3121" t="str">
            <v>DIA</v>
          </cell>
          <cell r="F3121">
            <v>1.2E-2</v>
          </cell>
          <cell r="G3121">
            <v>131205</v>
          </cell>
          <cell r="H3121">
            <v>1574</v>
          </cell>
        </row>
        <row r="3122">
          <cell r="A3122" t="str">
            <v>032.010</v>
          </cell>
          <cell r="B3122" t="str">
            <v>E21</v>
          </cell>
          <cell r="C3122" t="str">
            <v>VIBRADOR A GASOLINA</v>
          </cell>
          <cell r="D3122" t="str">
            <v>Equipos</v>
          </cell>
          <cell r="E3122" t="str">
            <v>DIA</v>
          </cell>
          <cell r="F3122">
            <v>0.01</v>
          </cell>
          <cell r="G3122">
            <v>51948</v>
          </cell>
          <cell r="H3122">
            <v>519</v>
          </cell>
        </row>
        <row r="3123">
          <cell r="A3123" t="str">
            <v>032.010</v>
          </cell>
          <cell r="B3123" t="str">
            <v>E9</v>
          </cell>
          <cell r="C3123" t="str">
            <v>PLUMA  GRUA 250KG CON BALDE</v>
          </cell>
          <cell r="D3123" t="str">
            <v>Equipos</v>
          </cell>
          <cell r="E3123" t="str">
            <v>DIA</v>
          </cell>
          <cell r="F3123">
            <v>0.13800000000000001</v>
          </cell>
          <cell r="G3123">
            <v>30440</v>
          </cell>
          <cell r="H3123">
            <v>4201</v>
          </cell>
        </row>
        <row r="3124">
          <cell r="A3124" t="str">
            <v>032.010</v>
          </cell>
          <cell r="B3124" t="str">
            <v>H2</v>
          </cell>
          <cell r="C3124" t="str">
            <v>EQUIPO BASICO (HERRAMIENTA MENOR)</v>
          </cell>
          <cell r="D3124" t="str">
            <v>Herramienta</v>
          </cell>
          <cell r="E3124" t="str">
            <v>UND</v>
          </cell>
          <cell r="F3124">
            <v>0.63500000000000001</v>
          </cell>
          <cell r="G3124">
            <v>2536</v>
          </cell>
          <cell r="H3124">
            <v>1610</v>
          </cell>
        </row>
        <row r="3125">
          <cell r="A3125" t="str">
            <v>032.010</v>
          </cell>
          <cell r="B3125" t="str">
            <v>I1565</v>
          </cell>
          <cell r="C3125" t="str">
            <v>ACARREO INTERNO</v>
          </cell>
          <cell r="D3125" t="str">
            <v>Insumo</v>
          </cell>
          <cell r="E3125" t="str">
            <v>UND</v>
          </cell>
          <cell r="F3125">
            <v>1.6559999999999999</v>
          </cell>
          <cell r="G3125">
            <v>1327</v>
          </cell>
          <cell r="H3125">
            <v>2198</v>
          </cell>
        </row>
        <row r="3126">
          <cell r="A3126" t="str">
            <v>032.010</v>
          </cell>
          <cell r="B3126" t="str">
            <v>I3</v>
          </cell>
          <cell r="C3126" t="str">
            <v>ALAMBRE NEGRO NO. 18</v>
          </cell>
          <cell r="D3126" t="str">
            <v>Insumo</v>
          </cell>
          <cell r="E3126" t="str">
            <v>KG</v>
          </cell>
          <cell r="F3126">
            <v>6.9000000000000006E-2</v>
          </cell>
          <cell r="G3126">
            <v>4323</v>
          </cell>
          <cell r="H3126">
            <v>298</v>
          </cell>
        </row>
        <row r="3127">
          <cell r="A3127" t="str">
            <v>032.010</v>
          </cell>
          <cell r="B3127" t="str">
            <v>I425</v>
          </cell>
          <cell r="C3127" t="str">
            <v>PUNTILLA CON CABEZA 2"</v>
          </cell>
          <cell r="D3127" t="str">
            <v>Insumo</v>
          </cell>
          <cell r="E3127" t="str">
            <v>LB</v>
          </cell>
          <cell r="F3127">
            <v>0.1104</v>
          </cell>
          <cell r="G3127">
            <v>3585</v>
          </cell>
          <cell r="H3127">
            <v>396</v>
          </cell>
        </row>
        <row r="3128">
          <cell r="A3128" t="str">
            <v>032.010</v>
          </cell>
          <cell r="B3128" t="str">
            <v>I441</v>
          </cell>
          <cell r="C3128" t="str">
            <v xml:space="preserve">SIKA ANTISOL ROJO </v>
          </cell>
          <cell r="D3128" t="str">
            <v>Insumo</v>
          </cell>
          <cell r="E3128" t="str">
            <v>KG</v>
          </cell>
          <cell r="F3128">
            <v>0.24840000000000001</v>
          </cell>
          <cell r="G3128">
            <v>14890</v>
          </cell>
          <cell r="H3128">
            <v>3699</v>
          </cell>
        </row>
        <row r="3129">
          <cell r="A3129" t="str">
            <v>032.010</v>
          </cell>
          <cell r="B3129" t="str">
            <v>I442</v>
          </cell>
          <cell r="C3129" t="str">
            <v xml:space="preserve">SIKA SEPAROL </v>
          </cell>
          <cell r="D3129" t="str">
            <v>Insumo</v>
          </cell>
          <cell r="E3129" t="str">
            <v>KG</v>
          </cell>
          <cell r="F3129">
            <v>9.2460000000000001E-2</v>
          </cell>
          <cell r="G3129">
            <v>19302</v>
          </cell>
          <cell r="H3129">
            <v>1785</v>
          </cell>
        </row>
        <row r="3131">
          <cell r="A3131" t="str">
            <v>005.073</v>
          </cell>
          <cell r="B3131" t="str">
            <v>-</v>
          </cell>
          <cell r="C3131" t="str">
            <v>SUMINISTRO, TRANSPORTE E INSTALACION ESTRUCTURA Perfil Lámina Delgada PHR ASTM A500 Grado 50. Calibre según diseño (Incluye vigas, cerchas, correas, anticorrosivo y esmalte)</v>
          </cell>
          <cell r="D3131" t="str">
            <v>Actividad</v>
          </cell>
          <cell r="E3131" t="str">
            <v>KG</v>
          </cell>
          <cell r="H3131">
            <v>14322</v>
          </cell>
        </row>
        <row r="3132">
          <cell r="A3132" t="str">
            <v>005.073</v>
          </cell>
          <cell r="B3132" t="str">
            <v>C18</v>
          </cell>
          <cell r="C3132" t="str">
            <v>CUADRILLA DD TIPO 3 (1 OFICIAL + 3 AYUDANTE) (Carpinteria)</v>
          </cell>
          <cell r="D3132" t="str">
            <v>Cuadrilla</v>
          </cell>
          <cell r="E3132" t="str">
            <v>HR</v>
          </cell>
          <cell r="F3132">
            <v>0.09</v>
          </cell>
          <cell r="G3132">
            <v>33999</v>
          </cell>
          <cell r="H3132">
            <v>3060</v>
          </cell>
        </row>
        <row r="3133">
          <cell r="A3133" t="str">
            <v>005.073</v>
          </cell>
          <cell r="B3133" t="str">
            <v>E1</v>
          </cell>
          <cell r="C3133" t="str">
            <v>ANDAMIO METALICO CERTIFICADO, INCLUYE ESCALERILLA CON BARANDAS Y PLATAFORMAS DE TRABAJO</v>
          </cell>
          <cell r="D3133" t="str">
            <v>Equipos</v>
          </cell>
          <cell r="E3133" t="str">
            <v>UND</v>
          </cell>
          <cell r="F3133">
            <v>0.05</v>
          </cell>
          <cell r="G3133">
            <v>7257</v>
          </cell>
          <cell r="H3133">
            <v>363</v>
          </cell>
        </row>
        <row r="3134">
          <cell r="A3134" t="str">
            <v>005.073</v>
          </cell>
          <cell r="B3134" t="str">
            <v>E12</v>
          </cell>
          <cell r="C3134" t="str">
            <v>EQUIPO DE TRANSPORTE</v>
          </cell>
          <cell r="D3134" t="str">
            <v>Equipos</v>
          </cell>
          <cell r="E3134" t="str">
            <v>DIA</v>
          </cell>
          <cell r="F3134">
            <v>1.6000000000000001E-3</v>
          </cell>
          <cell r="G3134">
            <v>131205</v>
          </cell>
          <cell r="H3134">
            <v>210</v>
          </cell>
        </row>
        <row r="3135">
          <cell r="A3135" t="str">
            <v>005.073</v>
          </cell>
          <cell r="B3135" t="str">
            <v>E59</v>
          </cell>
          <cell r="C3135" t="str">
            <v>EQUIPO DE SOLDADURA</v>
          </cell>
          <cell r="D3135" t="str">
            <v>Equipos</v>
          </cell>
          <cell r="E3135" t="str">
            <v>HR</v>
          </cell>
          <cell r="F3135">
            <v>0.01</v>
          </cell>
          <cell r="G3135">
            <v>32800</v>
          </cell>
          <cell r="H3135">
            <v>328</v>
          </cell>
        </row>
        <row r="3136">
          <cell r="A3136" t="str">
            <v>005.073</v>
          </cell>
          <cell r="B3136" t="str">
            <v>E78</v>
          </cell>
          <cell r="C3136" t="str">
            <v>COMPRESOR</v>
          </cell>
          <cell r="D3136" t="str">
            <v>Equipos</v>
          </cell>
          <cell r="E3136" t="str">
            <v>HR</v>
          </cell>
          <cell r="F3136">
            <v>0.01</v>
          </cell>
          <cell r="G3136">
            <v>45659</v>
          </cell>
          <cell r="H3136">
            <v>457</v>
          </cell>
        </row>
        <row r="3137">
          <cell r="A3137" t="str">
            <v>005.073</v>
          </cell>
          <cell r="B3137" t="str">
            <v>H2</v>
          </cell>
          <cell r="C3137" t="str">
            <v>EQUIPO BASICO (HERRAMIENTA MENOR)</v>
          </cell>
          <cell r="D3137" t="str">
            <v>Herramienta</v>
          </cell>
          <cell r="E3137" t="str">
            <v>UND</v>
          </cell>
          <cell r="F3137">
            <v>0.09</v>
          </cell>
          <cell r="G3137">
            <v>2536</v>
          </cell>
          <cell r="H3137">
            <v>228</v>
          </cell>
        </row>
        <row r="3138">
          <cell r="A3138" t="str">
            <v>005.073</v>
          </cell>
          <cell r="B3138" t="str">
            <v>I1001</v>
          </cell>
          <cell r="C3138" t="str">
            <v>ANTICORROSIVO PREMIUM - TIPO PINTUCO REF. 513 O SIMILAR</v>
          </cell>
          <cell r="D3138" t="str">
            <v>Insumo</v>
          </cell>
          <cell r="E3138" t="str">
            <v>GAL</v>
          </cell>
          <cell r="F3138">
            <v>1.4999999999999999E-2</v>
          </cell>
          <cell r="G3138">
            <v>61233</v>
          </cell>
          <cell r="H3138">
            <v>918</v>
          </cell>
        </row>
        <row r="3139">
          <cell r="A3139" t="str">
            <v>005.073</v>
          </cell>
          <cell r="B3139" t="str">
            <v>I1002</v>
          </cell>
          <cell r="C3139" t="str">
            <v>ESMALTE SINTETICO PINTULUX - TIPO PINTUCO REF. SEGÚN COLOR DISEÑO O SIMILAR</v>
          </cell>
          <cell r="D3139" t="str">
            <v>Insumo</v>
          </cell>
          <cell r="E3139" t="str">
            <v>GAL</v>
          </cell>
          <cell r="F3139">
            <v>1.4999999999999999E-2</v>
          </cell>
          <cell r="G3139">
            <v>88789</v>
          </cell>
          <cell r="H3139">
            <v>1332</v>
          </cell>
        </row>
        <row r="3140">
          <cell r="A3140" t="str">
            <v>005.073</v>
          </cell>
          <cell r="B3140" t="str">
            <v>I1565</v>
          </cell>
          <cell r="C3140" t="str">
            <v>ACARREO INTERNO</v>
          </cell>
          <cell r="D3140" t="str">
            <v>Insumo</v>
          </cell>
          <cell r="E3140" t="str">
            <v>UND</v>
          </cell>
          <cell r="F3140">
            <v>0.1</v>
          </cell>
          <cell r="G3140">
            <v>1327</v>
          </cell>
          <cell r="H3140">
            <v>133</v>
          </cell>
        </row>
        <row r="3141">
          <cell r="A3141" t="str">
            <v>005.073</v>
          </cell>
          <cell r="B3141" t="str">
            <v>I291</v>
          </cell>
          <cell r="C3141" t="str">
            <v>PERFIL ACERO ESTRUCTURAL PHR ASTM A500 GRADO 50 - TIPO ACESCO O SIMILAR</v>
          </cell>
          <cell r="D3141" t="str">
            <v>Insumo</v>
          </cell>
          <cell r="E3141" t="str">
            <v>KG</v>
          </cell>
          <cell r="F3141">
            <v>1</v>
          </cell>
          <cell r="G3141">
            <v>4066</v>
          </cell>
          <cell r="H3141">
            <v>4066</v>
          </cell>
        </row>
        <row r="3142">
          <cell r="A3142" t="str">
            <v>005.073</v>
          </cell>
          <cell r="B3142" t="str">
            <v>I435</v>
          </cell>
          <cell r="C3142" t="str">
            <v>SOLDADURA ELECTRICA TIPO WESTARCO SUPER E- 6013  DE 1/8 O SIMILAR.</v>
          </cell>
          <cell r="D3142" t="str">
            <v>Insumo</v>
          </cell>
          <cell r="E3142" t="str">
            <v>KG</v>
          </cell>
          <cell r="F3142">
            <v>0.3</v>
          </cell>
          <cell r="G3142">
            <v>10755</v>
          </cell>
          <cell r="H3142">
            <v>3227</v>
          </cell>
        </row>
        <row r="3144">
          <cell r="A3144" t="str">
            <v>015</v>
          </cell>
          <cell r="C3144" t="str">
            <v>CUMPLIMIENTO PROTOCOLO BIOSEGURIDAD</v>
          </cell>
          <cell r="D3144" t="str">
            <v>Capitulo</v>
          </cell>
        </row>
        <row r="3146">
          <cell r="A3146" t="str">
            <v>040.006</v>
          </cell>
          <cell r="B3146" t="str">
            <v>-</v>
          </cell>
          <cell r="C3146" t="str">
            <v>PROTOCOLO DE BIOSEGURIDAD</v>
          </cell>
          <cell r="D3146" t="str">
            <v>Actividad</v>
          </cell>
          <cell r="E3146" t="str">
            <v>GLB</v>
          </cell>
          <cell r="H3146">
            <v>14413766.4</v>
          </cell>
        </row>
        <row r="3147">
          <cell r="A3147" t="str">
            <v>040.006</v>
          </cell>
          <cell r="B3147" t="str">
            <v>I218</v>
          </cell>
          <cell r="C3147" t="str">
            <v>TAPABOCAS DESECHABLES</v>
          </cell>
          <cell r="D3147" t="str">
            <v>Insumo</v>
          </cell>
          <cell r="E3147" t="str">
            <v>UN</v>
          </cell>
          <cell r="F3147">
            <v>1</v>
          </cell>
          <cell r="G3147">
            <v>1300</v>
          </cell>
          <cell r="H3147">
            <v>1300</v>
          </cell>
        </row>
        <row r="3148">
          <cell r="C3148" t="str">
            <v>GUANTES DE LATEX</v>
          </cell>
          <cell r="D3148" t="str">
            <v>Insumo</v>
          </cell>
          <cell r="E3148" t="str">
            <v>PAR</v>
          </cell>
          <cell r="F3148">
            <v>1</v>
          </cell>
          <cell r="G3148">
            <v>530</v>
          </cell>
          <cell r="H3148">
            <v>530</v>
          </cell>
        </row>
        <row r="3149">
          <cell r="C3149" t="str">
            <v>JABON LIQUIDO</v>
          </cell>
          <cell r="D3149" t="str">
            <v>Insumo</v>
          </cell>
          <cell r="E3149" t="str">
            <v>LT</v>
          </cell>
          <cell r="F3149">
            <v>0.03</v>
          </cell>
          <cell r="G3149">
            <v>7200</v>
          </cell>
          <cell r="H3149">
            <v>216</v>
          </cell>
        </row>
        <row r="3150">
          <cell r="C3150" t="str">
            <v>TOALLAS DE PAPEL</v>
          </cell>
          <cell r="D3150" t="str">
            <v>Insumo</v>
          </cell>
          <cell r="E3150" t="str">
            <v>UN</v>
          </cell>
          <cell r="F3150">
            <v>4</v>
          </cell>
          <cell r="G3150">
            <v>50</v>
          </cell>
          <cell r="H3150">
            <v>200</v>
          </cell>
        </row>
        <row r="3151">
          <cell r="C3151" t="str">
            <v>GEL ANTIBACTERIAL (Con alcohol mayor al 70%)</v>
          </cell>
          <cell r="D3151" t="str">
            <v>Insumo</v>
          </cell>
          <cell r="E3151" t="str">
            <v>LT</v>
          </cell>
          <cell r="F3151">
            <v>0.01</v>
          </cell>
          <cell r="G3151">
            <v>19123</v>
          </cell>
          <cell r="H3151">
            <v>191.23000000000002</v>
          </cell>
        </row>
        <row r="3152">
          <cell r="C3152" t="str">
            <v>DESINFECTANTE CON AMONIO</v>
          </cell>
          <cell r="D3152" t="str">
            <v>Insumo</v>
          </cell>
          <cell r="E3152" t="str">
            <v>LT</v>
          </cell>
          <cell r="F3152">
            <v>1.4999999999999999E-2</v>
          </cell>
          <cell r="G3152">
            <v>8000</v>
          </cell>
          <cell r="H3152">
            <v>120</v>
          </cell>
        </row>
        <row r="3153">
          <cell r="C3153" t="str">
            <v xml:space="preserve">AGUA PARA MEZCLA CON DESINFECTANTE </v>
          </cell>
          <cell r="D3153" t="str">
            <v>Insumo</v>
          </cell>
          <cell r="E3153" t="str">
            <v>LT</v>
          </cell>
          <cell r="F3153">
            <v>0.06</v>
          </cell>
          <cell r="G3153">
            <v>2.5</v>
          </cell>
          <cell r="H3153">
            <v>0.15</v>
          </cell>
        </row>
        <row r="3154">
          <cell r="C3154" t="str">
            <v>BOLSAS ROJAS (30 UNIDADES)</v>
          </cell>
          <cell r="D3154" t="str">
            <v>Insumo</v>
          </cell>
          <cell r="E3154" t="str">
            <v>UN</v>
          </cell>
          <cell r="F3154">
            <v>0.2</v>
          </cell>
          <cell r="G3154">
            <v>550</v>
          </cell>
          <cell r="H3154">
            <v>110</v>
          </cell>
        </row>
        <row r="3155">
          <cell r="C3155" t="str">
            <v>AGUA PARA LAVADO DE MANOS</v>
          </cell>
          <cell r="D3155" t="str">
            <v>Insumo</v>
          </cell>
          <cell r="E3155" t="str">
            <v>LT</v>
          </cell>
          <cell r="F3155">
            <v>25</v>
          </cell>
          <cell r="G3155">
            <v>2.5</v>
          </cell>
          <cell r="H3155">
            <v>62.5</v>
          </cell>
        </row>
        <row r="3156">
          <cell r="H3156">
            <v>2729.88</v>
          </cell>
        </row>
        <row r="3158">
          <cell r="F3158" t="str">
            <v>Días promedio laborales/mes</v>
          </cell>
          <cell r="H3158">
            <v>22</v>
          </cell>
        </row>
        <row r="3159">
          <cell r="F3159" t="str">
            <v>No. Trabajadores</v>
          </cell>
          <cell r="H3159">
            <v>30</v>
          </cell>
        </row>
        <row r="3160">
          <cell r="F3160" t="str">
            <v>Duración del Proyecto (meses)</v>
          </cell>
          <cell r="H3160">
            <v>8</v>
          </cell>
        </row>
        <row r="3161">
          <cell r="F3161" t="str">
            <v>TOTAL ITEM</v>
          </cell>
          <cell r="H3161">
            <v>14413766.4</v>
          </cell>
        </row>
        <row r="3171">
          <cell r="A3171" t="str">
            <v xml:space="preserve">Nombre.    MELISSA RIOS ESTRADA </v>
          </cell>
        </row>
        <row r="3172">
          <cell r="A3172" t="str">
            <v>Profesión   INGENIERA CIVIL</v>
          </cell>
        </row>
        <row r="3173">
          <cell r="A3173" t="str">
            <v>M.P No.      05202-373967 ANT,</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ACLARACIONES"/>
      <sheetName val="ENTIDADES"/>
      <sheetName val="DATOS INICIALES"/>
      <sheetName val="PRESUPUESTO"/>
      <sheetName val="MEMORIAS"/>
      <sheetName val="APU"/>
      <sheetName val="AIU"/>
      <sheetName val="LEGALIZACIÓN OBRA"/>
      <sheetName val="PMA"/>
      <sheetName val="PMT"/>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2023"/>
      <sheetName val="FACTOR PRESTACIONAL"/>
      <sheetName val="INTERVENTORÍA"/>
      <sheetName val="FM INTERVENTORÍA"/>
      <sheetName val="TASAS_INTERVENTORIA"/>
      <sheetName val="PÓLIZAS INTERVENTORÍ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row r="6">
          <cell r="B6">
            <v>6.9</v>
          </cell>
        </row>
        <row r="7">
          <cell r="B7">
            <v>29.8</v>
          </cell>
        </row>
        <row r="9">
          <cell r="B9">
            <v>21.66</v>
          </cell>
        </row>
        <row r="10">
          <cell r="B10">
            <v>3.32</v>
          </cell>
        </row>
        <row r="11">
          <cell r="B11">
            <v>25.85</v>
          </cell>
        </row>
        <row r="12">
          <cell r="B12">
            <v>6.97</v>
          </cell>
        </row>
        <row r="13">
          <cell r="B13">
            <v>24.13</v>
          </cell>
        </row>
        <row r="15">
          <cell r="B15">
            <v>127</v>
          </cell>
        </row>
        <row r="16">
          <cell r="B16">
            <v>116</v>
          </cell>
        </row>
        <row r="17">
          <cell r="B17">
            <v>101.3</v>
          </cell>
        </row>
        <row r="18">
          <cell r="B18">
            <v>102.6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A1" t="str">
            <v>DEPARTAMENTO DE ANTIOQUIA</v>
          </cell>
          <cell r="F1" t="str">
            <v/>
          </cell>
        </row>
        <row r="2">
          <cell r="A2" t="str">
            <v>MUNICIPIO DE CIUDAD BOLÍVAR</v>
          </cell>
        </row>
        <row r="3">
          <cell r="A3" t="str">
            <v>PROYECTO: MEJORAMIENTO DE VÍAS TERCIARIAS, PARA LA REACTIVACIÓN ECONÓMICA, EN LOS MUNICIPIOS DE CIUDAD BOLÍVAR, HISPANIA, SALGAR Y BETANIA, EN EL DEPARTAMENTO DE ANTIOQUIA.</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 (MUNICIPIO DE BETANIA)</v>
          </cell>
          <cell r="E8" t="str">
            <v>M3</v>
          </cell>
          <cell r="F8" t="str">
            <v>N.D.</v>
          </cell>
          <cell r="G8">
            <v>368855</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53440</v>
          </cell>
          <cell r="F14">
            <v>9</v>
          </cell>
          <cell r="G14">
            <v>5937.7777777777774</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46441.333333333328</v>
          </cell>
          <cell r="G18">
            <v>2322.0666666666666</v>
          </cell>
        </row>
        <row r="19">
          <cell r="F19" t="str">
            <v>SUBTOTAL</v>
          </cell>
          <cell r="G19">
            <v>8259.8444444444431</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 Incluye transporte. (MUNICIPIO DE BETANIA)</v>
          </cell>
          <cell r="C23" t="str">
            <v>SC</v>
          </cell>
          <cell r="D23">
            <v>4.83</v>
          </cell>
          <cell r="F23">
            <v>32850</v>
          </cell>
          <cell r="G23">
            <v>158665.5</v>
          </cell>
        </row>
        <row r="24">
          <cell r="A24" t="str">
            <v>MA009</v>
          </cell>
          <cell r="B24" t="str">
            <v>ARENA FINA PARA CONCRETOS</v>
          </cell>
          <cell r="C24" t="str">
            <v>M3</v>
          </cell>
          <cell r="D24">
            <v>0.57999999999999996</v>
          </cell>
          <cell r="F24">
            <v>57049</v>
          </cell>
          <cell r="G24">
            <v>33088.42</v>
          </cell>
        </row>
        <row r="25">
          <cell r="A25" t="str">
            <v>MA010</v>
          </cell>
          <cell r="B25" t="str">
            <v>TRITURADO 3/4"</v>
          </cell>
          <cell r="C25" t="str">
            <v>M3</v>
          </cell>
          <cell r="D25">
            <v>0.97</v>
          </cell>
          <cell r="F25">
            <v>54880</v>
          </cell>
          <cell r="G25">
            <v>53233.599999999999</v>
          </cell>
        </row>
        <row r="26">
          <cell r="A26" t="str">
            <v>MA011</v>
          </cell>
          <cell r="B26" t="str">
            <v>AGUA</v>
          </cell>
          <cell r="C26" t="str">
            <v>LT</v>
          </cell>
          <cell r="D26">
            <v>170</v>
          </cell>
          <cell r="E26">
            <v>0.1</v>
          </cell>
          <cell r="F26">
            <v>50</v>
          </cell>
          <cell r="G26">
            <v>9350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254337.52</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1.5499999999999998</v>
          </cell>
          <cell r="E34">
            <v>29.8</v>
          </cell>
          <cell r="F34">
            <v>1295</v>
          </cell>
          <cell r="G34">
            <v>59816.049999999996</v>
          </cell>
        </row>
        <row r="35">
          <cell r="A35" t="str">
            <v/>
          </cell>
          <cell r="F35" t="str">
            <v/>
          </cell>
          <cell r="G35" t="str">
            <v/>
          </cell>
        </row>
        <row r="36">
          <cell r="A36" t="str">
            <v/>
          </cell>
          <cell r="F36" t="str">
            <v/>
          </cell>
          <cell r="G36" t="str">
            <v/>
          </cell>
        </row>
        <row r="37">
          <cell r="F37" t="str">
            <v>SUBTOTAL</v>
          </cell>
          <cell r="G37">
            <v>59816.049999999996</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100807</v>
          </cell>
          <cell r="F41">
            <v>9</v>
          </cell>
          <cell r="G41">
            <v>11200.777777777777</v>
          </cell>
        </row>
        <row r="42">
          <cell r="A42" t="str">
            <v>MO032</v>
          </cell>
          <cell r="B42" t="str">
            <v>AYUDANTE RASO</v>
          </cell>
          <cell r="D42">
            <v>5</v>
          </cell>
          <cell r="E42">
            <v>63433</v>
          </cell>
          <cell r="F42">
            <v>9</v>
          </cell>
          <cell r="G42">
            <v>35240.555555555555</v>
          </cell>
        </row>
        <row r="43">
          <cell r="A43" t="str">
            <v/>
          </cell>
          <cell r="E43" t="str">
            <v/>
          </cell>
          <cell r="F43" t="str">
            <v/>
          </cell>
          <cell r="G43" t="str">
            <v/>
          </cell>
        </row>
        <row r="44">
          <cell r="A44" t="str">
            <v/>
          </cell>
          <cell r="E44" t="str">
            <v/>
          </cell>
          <cell r="F44" t="str">
            <v/>
          </cell>
          <cell r="G44" t="str">
            <v/>
          </cell>
        </row>
        <row r="45">
          <cell r="F45" t="str">
            <v>SUBTOTAL</v>
          </cell>
          <cell r="G45">
            <v>46441.333333333328</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368855</v>
          </cell>
        </row>
        <row r="56">
          <cell r="A56" t="str">
            <v>2. COSTOS INDIRECTOS</v>
          </cell>
        </row>
        <row r="58">
          <cell r="A58" t="str">
            <v>DESCRIPCIÓN</v>
          </cell>
          <cell r="F58" t="str">
            <v>PORCENTAJE</v>
          </cell>
          <cell r="G58" t="str">
            <v>VALOR TOTAL</v>
          </cell>
        </row>
        <row r="59">
          <cell r="A59" t="str">
            <v>ADMINISTRACION</v>
          </cell>
          <cell r="F59">
            <v>0.25440000000000002</v>
          </cell>
          <cell r="G59">
            <v>93836.712</v>
          </cell>
        </row>
        <row r="60">
          <cell r="A60" t="str">
            <v>IMPREVISTOS</v>
          </cell>
          <cell r="F60">
            <v>0.01</v>
          </cell>
          <cell r="G60">
            <v>3688.55</v>
          </cell>
        </row>
        <row r="61">
          <cell r="A61" t="str">
            <v>UTILIDADES</v>
          </cell>
          <cell r="F61">
            <v>0.05</v>
          </cell>
          <cell r="G61">
            <v>18442.75</v>
          </cell>
        </row>
        <row r="62">
          <cell r="A62" t="str">
            <v>TOTAL COSTO INDIRECTO</v>
          </cell>
          <cell r="F62">
            <v>0.31440000000000001</v>
          </cell>
          <cell r="G62">
            <v>115968</v>
          </cell>
        </row>
        <row r="64">
          <cell r="A64" t="str">
            <v>PRECIO UNITARIO TOTAL APROXIMADO AL PESO</v>
          </cell>
          <cell r="G64">
            <v>484823</v>
          </cell>
        </row>
        <row r="66">
          <cell r="B66" t="str">
            <v>RESPONSABLE: HAROLDO A. ARTEAGA ESPINOSA</v>
          </cell>
        </row>
        <row r="67">
          <cell r="B67" t="str">
            <v>ASESOR DE PROYECTOS</v>
          </cell>
        </row>
        <row r="68">
          <cell r="B68" t="str">
            <v/>
          </cell>
        </row>
        <row r="69">
          <cell r="B69" t="str">
            <v>M.P. 22202-175769 COR</v>
          </cell>
          <cell r="D69" t="str">
            <v>FIRMA RESPONSABLE</v>
          </cell>
        </row>
        <row r="70">
          <cell r="A70" t="str">
            <v>DEPARTAMENTO DE ANTIOQUIA</v>
          </cell>
          <cell r="F70" t="str">
            <v/>
          </cell>
        </row>
        <row r="71">
          <cell r="A71" t="str">
            <v>MUNICIPIO DE CIUDAD BOLÍVAR</v>
          </cell>
        </row>
        <row r="72">
          <cell r="A72" t="str">
            <v>PROYECTO: MEJORAMIENTO DE VÍAS TERCIARIAS, PARA LA REACTIVACIÓN ECONÓMICA, EN LOS MUNICIPIOS DE CIUDAD BOLÍVAR, HISPANIA, SALGAR Y BETANIA, EN EL DEPARTAMENTO DE ANTIOQUIA.</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 (MUNICIPIO DE BETANIA)</v>
          </cell>
          <cell r="E77" t="str">
            <v>M3</v>
          </cell>
          <cell r="F77" t="str">
            <v>N.D.</v>
          </cell>
          <cell r="G77">
            <v>403614</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53440</v>
          </cell>
          <cell r="F83">
            <v>8</v>
          </cell>
          <cell r="G83">
            <v>6680</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36388.25</v>
          </cell>
          <cell r="G87">
            <v>1819.4125000000001</v>
          </cell>
        </row>
        <row r="88">
          <cell r="F88" t="str">
            <v>SUBTOTAL</v>
          </cell>
          <cell r="G88">
            <v>8499.4125000000004</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 Incluye transporte. (MUNICIPIO DE BETANIA)</v>
          </cell>
          <cell r="C92" t="str">
            <v>SC</v>
          </cell>
          <cell r="D92">
            <v>6</v>
          </cell>
          <cell r="E92">
            <v>0.05</v>
          </cell>
          <cell r="F92">
            <v>32850</v>
          </cell>
          <cell r="G92">
            <v>206955</v>
          </cell>
        </row>
        <row r="93">
          <cell r="A93" t="str">
            <v>MA009</v>
          </cell>
          <cell r="B93" t="str">
            <v>ARENA FINA PARA CONCRETOS</v>
          </cell>
          <cell r="C93" t="str">
            <v>M3</v>
          </cell>
          <cell r="D93">
            <v>0.48</v>
          </cell>
          <cell r="E93">
            <v>0.05</v>
          </cell>
          <cell r="F93">
            <v>57049</v>
          </cell>
          <cell r="G93">
            <v>28752.696</v>
          </cell>
        </row>
        <row r="94">
          <cell r="A94" t="str">
            <v>MA010</v>
          </cell>
          <cell r="B94" t="str">
            <v>TRITURADO 3/4"</v>
          </cell>
          <cell r="C94" t="str">
            <v>M3</v>
          </cell>
          <cell r="D94">
            <v>0.96</v>
          </cell>
          <cell r="E94">
            <v>0.05</v>
          </cell>
          <cell r="F94">
            <v>54880</v>
          </cell>
          <cell r="G94">
            <v>55319.040000000001</v>
          </cell>
        </row>
        <row r="95">
          <cell r="A95" t="str">
            <v>MA011</v>
          </cell>
          <cell r="B95" t="str">
            <v>AGUA</v>
          </cell>
          <cell r="C95" t="str">
            <v>LT</v>
          </cell>
          <cell r="D95">
            <v>170</v>
          </cell>
          <cell r="E95">
            <v>0.1</v>
          </cell>
          <cell r="F95">
            <v>50</v>
          </cell>
          <cell r="G95">
            <v>9350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300376.73599999998</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29.8</v>
          </cell>
          <cell r="F103">
            <v>1295</v>
          </cell>
          <cell r="G103">
            <v>58349.592000000004</v>
          </cell>
        </row>
        <row r="104">
          <cell r="A104" t="str">
            <v/>
          </cell>
          <cell r="F104" t="str">
            <v/>
          </cell>
          <cell r="G104" t="str">
            <v/>
          </cell>
        </row>
        <row r="105">
          <cell r="A105" t="str">
            <v/>
          </cell>
          <cell r="F105" t="str">
            <v/>
          </cell>
          <cell r="G105" t="str">
            <v/>
          </cell>
        </row>
        <row r="106">
          <cell r="F106" t="str">
            <v>SUBTOTAL</v>
          </cell>
          <cell r="G106">
            <v>58349.592000000004</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100807</v>
          </cell>
          <cell r="F110">
            <v>8</v>
          </cell>
          <cell r="G110">
            <v>12600.875</v>
          </cell>
        </row>
        <row r="111">
          <cell r="A111" t="str">
            <v>MO032</v>
          </cell>
          <cell r="B111" t="str">
            <v>AYUDANTE RASO</v>
          </cell>
          <cell r="D111">
            <v>3</v>
          </cell>
          <cell r="E111">
            <v>63433</v>
          </cell>
          <cell r="F111">
            <v>8</v>
          </cell>
          <cell r="G111">
            <v>23787.375</v>
          </cell>
        </row>
        <row r="112">
          <cell r="A112" t="str">
            <v/>
          </cell>
          <cell r="E112" t="str">
            <v/>
          </cell>
          <cell r="F112" t="str">
            <v/>
          </cell>
          <cell r="G112" t="str">
            <v/>
          </cell>
        </row>
        <row r="113">
          <cell r="A113" t="str">
            <v/>
          </cell>
          <cell r="E113" t="str">
            <v/>
          </cell>
          <cell r="F113" t="str">
            <v/>
          </cell>
          <cell r="G113" t="str">
            <v/>
          </cell>
        </row>
        <row r="114">
          <cell r="F114" t="str">
            <v>SUBTOTAL</v>
          </cell>
          <cell r="G114">
            <v>36388.25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403614</v>
          </cell>
        </row>
        <row r="125">
          <cell r="A125" t="str">
            <v>2. COSTOS INDIRECTOS</v>
          </cell>
        </row>
        <row r="127">
          <cell r="A127" t="str">
            <v>DESCRIPCIÓN</v>
          </cell>
          <cell r="F127" t="str">
            <v>PORCENTAJE</v>
          </cell>
          <cell r="G127" t="str">
            <v>VALOR TOTAL</v>
          </cell>
        </row>
        <row r="128">
          <cell r="A128" t="str">
            <v>ADMINISTRACION</v>
          </cell>
          <cell r="F128">
            <v>0.25440000000000002</v>
          </cell>
          <cell r="G128">
            <v>102679.40160000001</v>
          </cell>
        </row>
        <row r="129">
          <cell r="A129" t="str">
            <v>IMPREVISTOS</v>
          </cell>
          <cell r="F129">
            <v>0.01</v>
          </cell>
          <cell r="G129">
            <v>4036.14</v>
          </cell>
        </row>
        <row r="130">
          <cell r="A130" t="str">
            <v>UTILIDADES</v>
          </cell>
          <cell r="F130">
            <v>0.05</v>
          </cell>
          <cell r="G130">
            <v>20180.7</v>
          </cell>
        </row>
        <row r="131">
          <cell r="A131" t="str">
            <v>TOTAL COSTO INDIRECTO</v>
          </cell>
          <cell r="F131">
            <v>0.31440000000000001</v>
          </cell>
          <cell r="G131">
            <v>126896</v>
          </cell>
        </row>
        <row r="133">
          <cell r="A133" t="str">
            <v>PRECIO UNITARIO TOTAL APROXIMADO AL PESO</v>
          </cell>
          <cell r="G133">
            <v>530510</v>
          </cell>
        </row>
        <row r="135">
          <cell r="B135" t="str">
            <v>RESPONSABLE: HAROLDO A. ARTEAGA ESPINOSA</v>
          </cell>
        </row>
        <row r="136">
          <cell r="B136" t="str">
            <v>ASESOR DE PROYECTOS</v>
          </cell>
        </row>
        <row r="137">
          <cell r="B137" t="str">
            <v/>
          </cell>
        </row>
        <row r="138">
          <cell r="B138" t="str">
            <v>M.P. 22202-175769 COR</v>
          </cell>
          <cell r="D138" t="str">
            <v>FIRMA RESPONSABLE</v>
          </cell>
        </row>
        <row r="139">
          <cell r="A139" t="str">
            <v>DEPARTAMENTO DE ANTIOQUIA</v>
          </cell>
          <cell r="F139" t="str">
            <v/>
          </cell>
        </row>
        <row r="140">
          <cell r="A140" t="str">
            <v>MUNICIPIO DE CIUDAD BOLÍVAR</v>
          </cell>
        </row>
        <row r="141">
          <cell r="A141" t="str">
            <v>PROYECTO: MEJORAMIENTO DE VÍAS TERCIARIAS, PARA LA REACTIVACIÓN ECONÓMICA, EN LOS MUNICIPIOS DE CIUDAD BOLÍVAR, HISPANIA, SALGAR Y BETANIA, EN EL DEPARTAMENTO DE ANTIOQUIA.</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 (MUNICIPIO DE BETANIA)</v>
          </cell>
          <cell r="E146" t="str">
            <v>M3</v>
          </cell>
          <cell r="F146" t="str">
            <v>N.D.</v>
          </cell>
          <cell r="G146">
            <v>454749</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53440</v>
          </cell>
          <cell r="F152">
            <v>7.5</v>
          </cell>
          <cell r="G152">
            <v>7125.333333333333</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55729.599999999999</v>
          </cell>
          <cell r="G156">
            <v>2786.48</v>
          </cell>
        </row>
        <row r="157">
          <cell r="F157" t="str">
            <v>SUBTOTAL</v>
          </cell>
          <cell r="G157">
            <v>9911.8133333333335</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 Incluye transporte. (MUNICIPIO DE BETANIA)</v>
          </cell>
          <cell r="C161" t="str">
            <v>SC</v>
          </cell>
          <cell r="D161">
            <v>7.35</v>
          </cell>
          <cell r="F161">
            <v>32850</v>
          </cell>
          <cell r="G161">
            <v>241447.5</v>
          </cell>
        </row>
        <row r="162">
          <cell r="A162" t="str">
            <v>MA009</v>
          </cell>
          <cell r="B162" t="str">
            <v>ARENA FINA PARA CONCRETOS</v>
          </cell>
          <cell r="C162" t="str">
            <v>M3</v>
          </cell>
          <cell r="D162">
            <v>0.57999999999999996</v>
          </cell>
          <cell r="F162">
            <v>57049</v>
          </cell>
          <cell r="G162">
            <v>33088.42</v>
          </cell>
        </row>
        <row r="163">
          <cell r="A163" t="str">
            <v>MA010</v>
          </cell>
          <cell r="B163" t="str">
            <v>TRITURADO 3/4"</v>
          </cell>
          <cell r="C163" t="str">
            <v>M3</v>
          </cell>
          <cell r="D163">
            <v>0.89</v>
          </cell>
          <cell r="F163">
            <v>54880</v>
          </cell>
          <cell r="G163">
            <v>48843.200000000004</v>
          </cell>
        </row>
        <row r="164">
          <cell r="A164" t="str">
            <v>MA011</v>
          </cell>
          <cell r="B164" t="str">
            <v>AGUA</v>
          </cell>
          <cell r="C164" t="str">
            <v>LT</v>
          </cell>
          <cell r="D164">
            <v>180</v>
          </cell>
          <cell r="F164">
            <v>50</v>
          </cell>
          <cell r="G164">
            <v>9000</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332379.12</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29.8</v>
          </cell>
          <cell r="F172">
            <v>1295</v>
          </cell>
          <cell r="G172">
            <v>56728.77</v>
          </cell>
        </row>
        <row r="173">
          <cell r="A173" t="str">
            <v/>
          </cell>
          <cell r="F173" t="str">
            <v/>
          </cell>
          <cell r="G173" t="str">
            <v/>
          </cell>
        </row>
        <row r="174">
          <cell r="A174" t="str">
            <v/>
          </cell>
          <cell r="F174" t="str">
            <v/>
          </cell>
          <cell r="G174" t="str">
            <v/>
          </cell>
        </row>
        <row r="175">
          <cell r="F175" t="str">
            <v>SUBTOTAL</v>
          </cell>
          <cell r="G175">
            <v>56728.77</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100807</v>
          </cell>
          <cell r="F179">
            <v>7.5</v>
          </cell>
          <cell r="G179">
            <v>13440.933333333332</v>
          </cell>
        </row>
        <row r="180">
          <cell r="A180" t="str">
            <v>MO032</v>
          </cell>
          <cell r="B180" t="str">
            <v>AYUDANTE RASO</v>
          </cell>
          <cell r="D180">
            <v>5</v>
          </cell>
          <cell r="E180">
            <v>63433</v>
          </cell>
          <cell r="F180">
            <v>7.5</v>
          </cell>
          <cell r="G180">
            <v>42288.666666666664</v>
          </cell>
        </row>
        <row r="181">
          <cell r="A181" t="str">
            <v/>
          </cell>
          <cell r="E181" t="str">
            <v/>
          </cell>
          <cell r="F181" t="str">
            <v/>
          </cell>
          <cell r="G181" t="str">
            <v/>
          </cell>
        </row>
        <row r="182">
          <cell r="A182" t="str">
            <v/>
          </cell>
          <cell r="E182" t="str">
            <v/>
          </cell>
          <cell r="F182" t="str">
            <v/>
          </cell>
          <cell r="G182" t="str">
            <v/>
          </cell>
        </row>
        <row r="183">
          <cell r="F183" t="str">
            <v>SUBTOTAL</v>
          </cell>
          <cell r="G183">
            <v>55729.599999999999</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454749</v>
          </cell>
        </row>
        <row r="194">
          <cell r="A194" t="str">
            <v>2. COSTOS INDIRECTOS</v>
          </cell>
        </row>
        <row r="196">
          <cell r="A196" t="str">
            <v>DESCRIPCIÓN</v>
          </cell>
          <cell r="F196" t="str">
            <v>PORCENTAJE</v>
          </cell>
          <cell r="G196" t="str">
            <v>VALOR TOTAL</v>
          </cell>
        </row>
        <row r="197">
          <cell r="A197" t="str">
            <v>ADMINISTRACION</v>
          </cell>
          <cell r="F197">
            <v>0.25440000000000002</v>
          </cell>
          <cell r="G197">
            <v>115688.1456</v>
          </cell>
        </row>
        <row r="198">
          <cell r="A198" t="str">
            <v>IMPREVISTOS</v>
          </cell>
          <cell r="F198">
            <v>0.01</v>
          </cell>
          <cell r="G198">
            <v>4547.49</v>
          </cell>
        </row>
        <row r="199">
          <cell r="A199" t="str">
            <v>UTILIDADES</v>
          </cell>
          <cell r="F199">
            <v>0.05</v>
          </cell>
          <cell r="G199">
            <v>22737.45</v>
          </cell>
        </row>
        <row r="200">
          <cell r="A200" t="str">
            <v>TOTAL COSTO INDIRECTO</v>
          </cell>
          <cell r="F200">
            <v>0.31440000000000001</v>
          </cell>
          <cell r="G200">
            <v>142973</v>
          </cell>
        </row>
        <row r="202">
          <cell r="A202" t="str">
            <v>PRECIO UNITARIO TOTAL APROXIMADO AL PESO</v>
          </cell>
          <cell r="G202">
            <v>597722</v>
          </cell>
        </row>
        <row r="204">
          <cell r="B204" t="str">
            <v>RESPONSABLE: HAROLDO A. ARTEAGA ESPINOSA</v>
          </cell>
        </row>
        <row r="205">
          <cell r="B205" t="str">
            <v>ASESOR DE PROYECTOS</v>
          </cell>
        </row>
        <row r="206">
          <cell r="B206" t="str">
            <v/>
          </cell>
        </row>
        <row r="207">
          <cell r="B207" t="str">
            <v>M.P. 22202-175769 COR</v>
          </cell>
          <cell r="D207" t="str">
            <v>FIRMA RESPONSABLE</v>
          </cell>
        </row>
        <row r="208">
          <cell r="A208" t="str">
            <v>DEPARTAMENTO DE ANTIOQUIA</v>
          </cell>
          <cell r="F208" t="str">
            <v/>
          </cell>
        </row>
        <row r="209">
          <cell r="A209" t="str">
            <v>MUNICIPIO DE CIUDAD BOLÍVAR</v>
          </cell>
        </row>
        <row r="210">
          <cell r="A210" t="str">
            <v>PROYECTO: MEJORAMIENTO DE VÍAS TERCIARIAS, PARA LA REACTIVACIÓN ECONÓMICA, EN LOS MUNICIPIOS DE CIUDAD BOLÍVAR, HISPANIA, SALGAR Y BETANIA, EN EL DEPARTAMENTO DE ANTIOQUIA.</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3500 PSI (245 MPA) EN OBRA (MUNICIPIO DE BETANIA)</v>
          </cell>
          <cell r="E215" t="str">
            <v>M3</v>
          </cell>
          <cell r="F215" t="str">
            <v>N.D.</v>
          </cell>
          <cell r="G215">
            <v>451224</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53440</v>
          </cell>
          <cell r="F221">
            <v>8</v>
          </cell>
          <cell r="G221">
            <v>6680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36388.25</v>
          </cell>
          <cell r="G225">
            <v>1819.4125000000001</v>
          </cell>
        </row>
        <row r="226">
          <cell r="F226" t="str">
            <v>SUBTOTAL</v>
          </cell>
          <cell r="G226">
            <v>8499.4125000000004</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 Incluye transporte. (MUNICIPIO DE BETANIA)</v>
          </cell>
          <cell r="C230" t="str">
            <v>SC</v>
          </cell>
          <cell r="D230">
            <v>7.6</v>
          </cell>
          <cell r="E230">
            <v>0.05</v>
          </cell>
          <cell r="F230">
            <v>32850</v>
          </cell>
          <cell r="G230">
            <v>262143</v>
          </cell>
        </row>
        <row r="231">
          <cell r="A231" t="str">
            <v>MA009</v>
          </cell>
          <cell r="B231" t="str">
            <v>ARENA FINA PARA CONCRETOS</v>
          </cell>
          <cell r="C231" t="str">
            <v>M3</v>
          </cell>
          <cell r="D231">
            <v>0.6</v>
          </cell>
          <cell r="E231">
            <v>0.05</v>
          </cell>
          <cell r="F231">
            <v>57049</v>
          </cell>
          <cell r="G231">
            <v>35940.870000000003</v>
          </cell>
        </row>
        <row r="232">
          <cell r="A232" t="str">
            <v>MA010</v>
          </cell>
          <cell r="B232" t="str">
            <v>TRITURADO 3/4"</v>
          </cell>
          <cell r="C232" t="str">
            <v>M3</v>
          </cell>
          <cell r="D232">
            <v>0.76</v>
          </cell>
          <cell r="E232">
            <v>0.05</v>
          </cell>
          <cell r="F232">
            <v>54880</v>
          </cell>
          <cell r="G232">
            <v>43794.240000000005</v>
          </cell>
        </row>
        <row r="233">
          <cell r="A233" t="str">
            <v>MA011</v>
          </cell>
          <cell r="B233" t="str">
            <v>AGUA</v>
          </cell>
          <cell r="C233" t="str">
            <v>LT</v>
          </cell>
          <cell r="D233">
            <v>170</v>
          </cell>
          <cell r="E233">
            <v>0.1</v>
          </cell>
          <cell r="F233">
            <v>50</v>
          </cell>
          <cell r="G233">
            <v>9350</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351228.11</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29.8</v>
          </cell>
          <cell r="F241">
            <v>1295</v>
          </cell>
          <cell r="G241">
            <v>55107.948000000004</v>
          </cell>
        </row>
        <row r="242">
          <cell r="A242" t="str">
            <v/>
          </cell>
          <cell r="F242" t="str">
            <v/>
          </cell>
          <cell r="G242" t="str">
            <v/>
          </cell>
        </row>
        <row r="243">
          <cell r="A243" t="str">
            <v/>
          </cell>
          <cell r="F243" t="str">
            <v/>
          </cell>
          <cell r="G243" t="str">
            <v/>
          </cell>
        </row>
        <row r="244">
          <cell r="F244" t="str">
            <v>SUBTOTAL</v>
          </cell>
          <cell r="G244">
            <v>55107.948000000004</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100807</v>
          </cell>
          <cell r="F248">
            <v>8</v>
          </cell>
          <cell r="G248">
            <v>12600.875</v>
          </cell>
        </row>
        <row r="249">
          <cell r="A249" t="str">
            <v>MO032</v>
          </cell>
          <cell r="B249" t="str">
            <v>AYUDANTE RASO</v>
          </cell>
          <cell r="D249">
            <v>3</v>
          </cell>
          <cell r="E249">
            <v>63433</v>
          </cell>
          <cell r="F249">
            <v>8</v>
          </cell>
          <cell r="G249">
            <v>23787.375</v>
          </cell>
        </row>
        <row r="250">
          <cell r="A250" t="str">
            <v/>
          </cell>
          <cell r="E250" t="str">
            <v/>
          </cell>
          <cell r="F250" t="str">
            <v/>
          </cell>
          <cell r="G250" t="str">
            <v/>
          </cell>
        </row>
        <row r="251">
          <cell r="A251" t="str">
            <v/>
          </cell>
          <cell r="E251" t="str">
            <v/>
          </cell>
          <cell r="F251" t="str">
            <v/>
          </cell>
          <cell r="G251" t="str">
            <v/>
          </cell>
        </row>
        <row r="252">
          <cell r="F252" t="str">
            <v>SUBTOTAL</v>
          </cell>
          <cell r="G252">
            <v>36388.25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451224</v>
          </cell>
        </row>
        <row r="263">
          <cell r="A263" t="str">
            <v>2. COSTOS INDIRECTOS</v>
          </cell>
        </row>
        <row r="265">
          <cell r="A265" t="str">
            <v>DESCRIPCIÓN</v>
          </cell>
          <cell r="F265" t="str">
            <v>PORCENTAJE</v>
          </cell>
          <cell r="G265" t="str">
            <v>VALOR TOTAL</v>
          </cell>
        </row>
        <row r="266">
          <cell r="A266" t="str">
            <v>ADMINISTRACION</v>
          </cell>
          <cell r="F266">
            <v>0.25440000000000002</v>
          </cell>
          <cell r="G266">
            <v>114791.38560000001</v>
          </cell>
        </row>
        <row r="267">
          <cell r="A267" t="str">
            <v>IMPREVISTOS</v>
          </cell>
          <cell r="F267">
            <v>0.01</v>
          </cell>
          <cell r="G267">
            <v>4512.24</v>
          </cell>
        </row>
        <row r="268">
          <cell r="A268" t="str">
            <v>UTILIDADES</v>
          </cell>
          <cell r="F268">
            <v>0.05</v>
          </cell>
          <cell r="G268">
            <v>22561.200000000001</v>
          </cell>
        </row>
        <row r="269">
          <cell r="A269" t="str">
            <v>TOTAL COSTO INDIRECTO</v>
          </cell>
          <cell r="F269">
            <v>0.31440000000000001</v>
          </cell>
          <cell r="G269">
            <v>141865</v>
          </cell>
        </row>
        <row r="271">
          <cell r="A271" t="str">
            <v>PRECIO UNITARIO TOTAL APROXIMADO AL PESO</v>
          </cell>
          <cell r="G271">
            <v>593089</v>
          </cell>
        </row>
        <row r="273">
          <cell r="B273" t="str">
            <v>RESPONSABLE: HAROLDO A. ARTEAGA ESPINOSA</v>
          </cell>
        </row>
        <row r="274">
          <cell r="B274" t="str">
            <v>ASESOR DE PROYECTOS</v>
          </cell>
        </row>
        <row r="275">
          <cell r="B275" t="str">
            <v/>
          </cell>
        </row>
        <row r="276">
          <cell r="B276" t="str">
            <v>M.P. 22202-175769 COR</v>
          </cell>
          <cell r="D276" t="str">
            <v>FIRMA RESPONSABLE</v>
          </cell>
        </row>
        <row r="277">
          <cell r="A277" t="str">
            <v>DEPARTAMENTO DE ANTIOQUIA</v>
          </cell>
          <cell r="F277" t="str">
            <v/>
          </cell>
        </row>
        <row r="278">
          <cell r="A278" t="str">
            <v>MUNICIPIO DE CIUDAD BOLÍVAR</v>
          </cell>
        </row>
        <row r="279">
          <cell r="A279" t="str">
            <v>PROYECTO: MEJORAMIENTO DE VÍAS TERCIARIAS, PARA LA REACTIVACIÓN ECONÓMICA, EN LOS MUNICIPIOS DE CIUDAD BOLÍVAR, HISPANIA, SALGAR Y BETANIA, EN EL DEPARTAMENTO DE ANTIOQUIA.</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 (MUNICIPIO DE BETANIA)</v>
          </cell>
          <cell r="E284" t="str">
            <v>M3</v>
          </cell>
          <cell r="F284" t="str">
            <v>N.D.</v>
          </cell>
          <cell r="G284">
            <v>507855</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53440</v>
          </cell>
          <cell r="F290">
            <v>6.5</v>
          </cell>
          <cell r="G290">
            <v>8221.538461538461</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64303.38461538461</v>
          </cell>
          <cell r="G294">
            <v>3215.1692307692306</v>
          </cell>
        </row>
        <row r="295">
          <cell r="F295" t="str">
            <v>SUBTOTAL</v>
          </cell>
          <cell r="G295">
            <v>11436.707692307691</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 Incluye transporte. (MUNICIPIO DE BETANIA)</v>
          </cell>
          <cell r="C299" t="str">
            <v>SC</v>
          </cell>
          <cell r="D299">
            <v>8.82</v>
          </cell>
          <cell r="F299">
            <v>32850</v>
          </cell>
          <cell r="G299">
            <v>289737</v>
          </cell>
        </row>
        <row r="300">
          <cell r="A300" t="str">
            <v>MA009</v>
          </cell>
          <cell r="B300" t="str">
            <v>ARENA FINA PARA CONCRETOS</v>
          </cell>
          <cell r="C300" t="str">
            <v>M3</v>
          </cell>
          <cell r="D300">
            <v>0.7</v>
          </cell>
          <cell r="F300">
            <v>57049</v>
          </cell>
          <cell r="G300">
            <v>39934.299999999996</v>
          </cell>
        </row>
        <row r="301">
          <cell r="A301" t="str">
            <v>MA010</v>
          </cell>
          <cell r="B301" t="str">
            <v>TRITURADO 3/4"</v>
          </cell>
          <cell r="C301" t="str">
            <v>M3</v>
          </cell>
          <cell r="D301">
            <v>0.7</v>
          </cell>
          <cell r="F301">
            <v>54880</v>
          </cell>
          <cell r="G301">
            <v>38416</v>
          </cell>
        </row>
        <row r="302">
          <cell r="A302" t="str">
            <v>MA011</v>
          </cell>
          <cell r="B302" t="str">
            <v>AGUA</v>
          </cell>
          <cell r="C302" t="str">
            <v>LT</v>
          </cell>
          <cell r="D302">
            <v>200</v>
          </cell>
          <cell r="F302">
            <v>50</v>
          </cell>
          <cell r="G302">
            <v>10000</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378087.3</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v>
          </cell>
          <cell r="E310">
            <v>29.8</v>
          </cell>
          <cell r="F310">
            <v>1295</v>
          </cell>
          <cell r="G310">
            <v>54027.4</v>
          </cell>
        </row>
        <row r="311">
          <cell r="A311" t="str">
            <v/>
          </cell>
          <cell r="F311" t="str">
            <v/>
          </cell>
          <cell r="G311" t="str">
            <v/>
          </cell>
        </row>
        <row r="312">
          <cell r="A312" t="str">
            <v/>
          </cell>
          <cell r="F312" t="str">
            <v/>
          </cell>
          <cell r="G312" t="str">
            <v/>
          </cell>
        </row>
        <row r="313">
          <cell r="F313" t="str">
            <v>SUBTOTAL</v>
          </cell>
          <cell r="G313">
            <v>54027.4</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100807</v>
          </cell>
          <cell r="F317">
            <v>6.5</v>
          </cell>
          <cell r="G317">
            <v>15508.76923076923</v>
          </cell>
        </row>
        <row r="318">
          <cell r="A318" t="str">
            <v>MO032</v>
          </cell>
          <cell r="B318" t="str">
            <v>AYUDANTE RASO</v>
          </cell>
          <cell r="D318">
            <v>5</v>
          </cell>
          <cell r="E318">
            <v>63433</v>
          </cell>
          <cell r="F318">
            <v>6.5</v>
          </cell>
          <cell r="G318">
            <v>48794.615384615383</v>
          </cell>
        </row>
        <row r="319">
          <cell r="A319" t="str">
            <v/>
          </cell>
          <cell r="E319" t="str">
            <v/>
          </cell>
          <cell r="F319" t="str">
            <v/>
          </cell>
          <cell r="G319" t="str">
            <v/>
          </cell>
        </row>
        <row r="320">
          <cell r="A320" t="str">
            <v/>
          </cell>
          <cell r="E320" t="str">
            <v/>
          </cell>
          <cell r="F320" t="str">
            <v/>
          </cell>
          <cell r="G320" t="str">
            <v/>
          </cell>
        </row>
        <row r="321">
          <cell r="F321" t="str">
            <v>SUBTOTAL</v>
          </cell>
          <cell r="G321">
            <v>64303.38461538461</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507855</v>
          </cell>
        </row>
        <row r="332">
          <cell r="A332" t="str">
            <v>2. COSTOS INDIRECTOS</v>
          </cell>
        </row>
        <row r="334">
          <cell r="A334" t="str">
            <v>DESCRIPCIÓN</v>
          </cell>
          <cell r="F334" t="str">
            <v>PORCENTAJE</v>
          </cell>
          <cell r="G334" t="str">
            <v>VALOR TOTAL</v>
          </cell>
        </row>
        <row r="335">
          <cell r="A335" t="str">
            <v>ADMINISTRACION</v>
          </cell>
          <cell r="F335">
            <v>0.25440000000000002</v>
          </cell>
          <cell r="G335">
            <v>129198.31200000001</v>
          </cell>
        </row>
        <row r="336">
          <cell r="A336" t="str">
            <v>IMPREVISTOS</v>
          </cell>
          <cell r="F336">
            <v>0.01</v>
          </cell>
          <cell r="G336">
            <v>5078.55</v>
          </cell>
        </row>
        <row r="337">
          <cell r="A337" t="str">
            <v>UTILIDADES</v>
          </cell>
          <cell r="F337">
            <v>0.05</v>
          </cell>
          <cell r="G337">
            <v>25392.75</v>
          </cell>
        </row>
        <row r="338">
          <cell r="A338" t="str">
            <v>TOTAL COSTO INDIRECTO</v>
          </cell>
          <cell r="F338">
            <v>0.31440000000000001</v>
          </cell>
          <cell r="G338">
            <v>159670</v>
          </cell>
        </row>
        <row r="340">
          <cell r="A340" t="str">
            <v>PRECIO UNITARIO TOTAL APROXIMADO AL PESO</v>
          </cell>
          <cell r="G340">
            <v>667525</v>
          </cell>
        </row>
        <row r="342">
          <cell r="B342" t="str">
            <v>RESPONSABLE: HAROLDO A. ARTEAGA ESPINOSA</v>
          </cell>
        </row>
        <row r="343">
          <cell r="B343" t="str">
            <v>ASESOR DE PROYECTOS</v>
          </cell>
        </row>
        <row r="344">
          <cell r="B344" t="str">
            <v/>
          </cell>
        </row>
        <row r="345">
          <cell r="B345" t="str">
            <v>M.P. 22202-175769 COR</v>
          </cell>
          <cell r="D345" t="str">
            <v>FIRMA RESPONSABLE</v>
          </cell>
        </row>
        <row r="346">
          <cell r="A346" t="str">
            <v>DEPARTAMENTO DE ANTIOQUIA</v>
          </cell>
          <cell r="F346" t="str">
            <v/>
          </cell>
        </row>
        <row r="347">
          <cell r="A347" t="str">
            <v>MUNICIPIO DE CIUDAD BOLÍVAR</v>
          </cell>
        </row>
        <row r="348">
          <cell r="A348" t="str">
            <v>PROYECTO: MEJORAMIENTO DE VÍAS TERCIARIAS, PARA LA REACTIVACIÓN ECONÓMICA, EN LOS MUNICIPIOS DE CIUDAD BOLÍVAR, HISPANIA, SALGAR Y BETANIA, EN EL DEPARTAMENTO DE ANTIOQUIA.</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 (MUNICIPIO DE BETANIA)</v>
          </cell>
          <cell r="E353" t="str">
            <v>M3</v>
          </cell>
          <cell r="F353" t="str">
            <v>N.D.</v>
          </cell>
          <cell r="G353">
            <v>491978</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53440</v>
          </cell>
          <cell r="F359">
            <v>8</v>
          </cell>
          <cell r="G359">
            <v>6680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28459.125</v>
          </cell>
          <cell r="G363">
            <v>1422.9562500000002</v>
          </cell>
        </row>
        <row r="364">
          <cell r="F364" t="str">
            <v>SUBTOTAL</v>
          </cell>
          <cell r="G364">
            <v>8102.9562500000002</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 Incluye transporte. (MUNICIPIO DE BETANIA)</v>
          </cell>
          <cell r="C368" t="str">
            <v>SC</v>
          </cell>
          <cell r="D368">
            <v>10.199999999999999</v>
          </cell>
          <cell r="E368">
            <v>0.05</v>
          </cell>
          <cell r="F368">
            <v>32850</v>
          </cell>
          <cell r="G368">
            <v>351823.5</v>
          </cell>
        </row>
        <row r="369">
          <cell r="A369" t="str">
            <v>MA008</v>
          </cell>
          <cell r="B369" t="str">
            <v xml:space="preserve">ARENA DE REVOQUE </v>
          </cell>
          <cell r="C369" t="str">
            <v>M3</v>
          </cell>
          <cell r="D369">
            <v>0.97</v>
          </cell>
          <cell r="E369">
            <v>0.05</v>
          </cell>
          <cell r="F369">
            <v>51240</v>
          </cell>
          <cell r="G369">
            <v>52187.939999999995</v>
          </cell>
        </row>
        <row r="370">
          <cell r="A370" t="str">
            <v>MA011</v>
          </cell>
          <cell r="B370" t="str">
            <v>AGUA</v>
          </cell>
          <cell r="C370" t="str">
            <v>LT</v>
          </cell>
          <cell r="D370">
            <v>220</v>
          </cell>
          <cell r="E370">
            <v>0.1</v>
          </cell>
          <cell r="F370">
            <v>50</v>
          </cell>
          <cell r="G370">
            <v>12100.000000000002</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416111.44</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29.8</v>
          </cell>
          <cell r="F379">
            <v>1295</v>
          </cell>
          <cell r="G379">
            <v>39304.933499999999</v>
          </cell>
        </row>
        <row r="380">
          <cell r="A380" t="str">
            <v/>
          </cell>
          <cell r="F380" t="str">
            <v/>
          </cell>
          <cell r="G380" t="str">
            <v/>
          </cell>
        </row>
        <row r="381">
          <cell r="A381" t="str">
            <v/>
          </cell>
          <cell r="F381" t="str">
            <v/>
          </cell>
          <cell r="G381" t="str">
            <v/>
          </cell>
        </row>
        <row r="382">
          <cell r="F382" t="str">
            <v>SUBTOTAL</v>
          </cell>
          <cell r="G382">
            <v>39304.933499999999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100807</v>
          </cell>
          <cell r="F386">
            <v>8</v>
          </cell>
          <cell r="G386">
            <v>12600.875</v>
          </cell>
        </row>
        <row r="387">
          <cell r="A387" t="str">
            <v>MO032</v>
          </cell>
          <cell r="B387" t="str">
            <v>AYUDANTE RASO</v>
          </cell>
          <cell r="D387">
            <v>2</v>
          </cell>
          <cell r="E387">
            <v>63433</v>
          </cell>
          <cell r="F387">
            <v>8</v>
          </cell>
          <cell r="G387">
            <v>15858.25</v>
          </cell>
        </row>
        <row r="388">
          <cell r="A388" t="str">
            <v/>
          </cell>
          <cell r="E388" t="str">
            <v/>
          </cell>
          <cell r="F388" t="str">
            <v/>
          </cell>
          <cell r="G388" t="str">
            <v/>
          </cell>
        </row>
        <row r="389">
          <cell r="A389" t="str">
            <v/>
          </cell>
          <cell r="E389" t="str">
            <v/>
          </cell>
          <cell r="F389" t="str">
            <v/>
          </cell>
          <cell r="G389" t="str">
            <v/>
          </cell>
        </row>
        <row r="390">
          <cell r="F390" t="str">
            <v>SUBTOTAL</v>
          </cell>
          <cell r="G390">
            <v>28459.125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491978</v>
          </cell>
        </row>
        <row r="401">
          <cell r="A401" t="str">
            <v>2. COSTOS INDIRECTOS</v>
          </cell>
        </row>
        <row r="403">
          <cell r="A403" t="str">
            <v>DESCRIPCIÓN</v>
          </cell>
          <cell r="F403" t="str">
            <v>PORCENTAJE</v>
          </cell>
          <cell r="G403" t="str">
            <v>VALOR TOTAL</v>
          </cell>
        </row>
        <row r="404">
          <cell r="A404" t="str">
            <v>ADMINISTRACION</v>
          </cell>
          <cell r="F404">
            <v>0.25440000000000002</v>
          </cell>
          <cell r="G404">
            <v>125159.2032</v>
          </cell>
        </row>
        <row r="405">
          <cell r="A405" t="str">
            <v>IMPREVISTOS</v>
          </cell>
          <cell r="F405">
            <v>0.01</v>
          </cell>
          <cell r="G405">
            <v>4919.78</v>
          </cell>
        </row>
        <row r="406">
          <cell r="A406" t="str">
            <v>UTILIDADES</v>
          </cell>
          <cell r="F406">
            <v>0.05</v>
          </cell>
          <cell r="G406">
            <v>24598.9</v>
          </cell>
        </row>
        <row r="407">
          <cell r="A407" t="str">
            <v>TOTAL COSTO INDIRECTO</v>
          </cell>
          <cell r="F407">
            <v>0.31440000000000001</v>
          </cell>
          <cell r="G407">
            <v>154678</v>
          </cell>
        </row>
        <row r="409">
          <cell r="A409" t="str">
            <v>PRECIO UNITARIO TOTAL APROXIMADO AL PESO</v>
          </cell>
          <cell r="G409">
            <v>646656</v>
          </cell>
        </row>
        <row r="411">
          <cell r="B411" t="str">
            <v>RESPONSABLE: HAROLDO A. ARTEAGA ESPINOSA</v>
          </cell>
        </row>
        <row r="412">
          <cell r="B412" t="str">
            <v>ASESOR DE PROYECTOS</v>
          </cell>
        </row>
        <row r="413">
          <cell r="B413" t="str">
            <v/>
          </cell>
        </row>
        <row r="414">
          <cell r="B414" t="str">
            <v>M.P. 22202-175769 COR</v>
          </cell>
          <cell r="D414" t="str">
            <v>FIRMA RESPONSABLE</v>
          </cell>
        </row>
        <row r="415">
          <cell r="A415" t="str">
            <v>DEPARTAMENTO DE ANTIOQUIA</v>
          </cell>
          <cell r="F415" t="str">
            <v/>
          </cell>
        </row>
        <row r="416">
          <cell r="A416" t="str">
            <v>MUNICIPIO DE CIUDAD BOLÍVAR</v>
          </cell>
        </row>
        <row r="417">
          <cell r="A417" t="str">
            <v>PROYECTO: MEJORAMIENTO DE VÍAS TERCIARIAS, PARA LA REACTIVACIÓN ECONÓMICA, EN LOS MUNICIPIOS DE CIUDAD BOLÍVAR, HISPANIA, SALGAR Y BETANIA, EN EL DEPARTAMENTO DE ANTIOQUIA.</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 (MUNICIPIO DE BETANIA)</v>
          </cell>
          <cell r="E422" t="str">
            <v>M3</v>
          </cell>
          <cell r="F422" t="str">
            <v>N.D.</v>
          </cell>
          <cell r="G422">
            <v>497895</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53440</v>
          </cell>
          <cell r="F428">
            <v>8</v>
          </cell>
          <cell r="G428">
            <v>6680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28459.125</v>
          </cell>
          <cell r="G432">
            <v>1422.9562500000002</v>
          </cell>
        </row>
        <row r="433">
          <cell r="F433" t="str">
            <v>SUBTOTAL</v>
          </cell>
          <cell r="G433">
            <v>8102.9562500000002</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 Incluye transporte. (MUNICIPIO DE BETANIA)</v>
          </cell>
          <cell r="C437" t="str">
            <v>SC</v>
          </cell>
          <cell r="D437">
            <v>10.199999999999999</v>
          </cell>
          <cell r="E437">
            <v>0.05</v>
          </cell>
          <cell r="F437">
            <v>32850</v>
          </cell>
          <cell r="G437">
            <v>351823.5</v>
          </cell>
        </row>
        <row r="438">
          <cell r="A438" t="str">
            <v>MA009</v>
          </cell>
          <cell r="B438" t="str">
            <v>ARENA FINA PARA CONCRETOS</v>
          </cell>
          <cell r="C438" t="str">
            <v>M3</v>
          </cell>
          <cell r="D438">
            <v>0.97</v>
          </cell>
          <cell r="E438">
            <v>0.05</v>
          </cell>
          <cell r="F438">
            <v>57049</v>
          </cell>
          <cell r="G438">
            <v>58104.406500000005</v>
          </cell>
        </row>
        <row r="439">
          <cell r="A439" t="str">
            <v>MA011</v>
          </cell>
          <cell r="B439" t="str">
            <v>AGUA</v>
          </cell>
          <cell r="C439" t="str">
            <v>LT</v>
          </cell>
          <cell r="D439">
            <v>220</v>
          </cell>
          <cell r="E439">
            <v>0.1</v>
          </cell>
          <cell r="F439">
            <v>50</v>
          </cell>
          <cell r="G439">
            <v>12100.000000000002</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422027.90649999998</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29.8</v>
          </cell>
          <cell r="F448">
            <v>1295</v>
          </cell>
          <cell r="G448">
            <v>39304.933499999999</v>
          </cell>
        </row>
        <row r="449">
          <cell r="A449" t="str">
            <v/>
          </cell>
          <cell r="F449" t="str">
            <v/>
          </cell>
          <cell r="G449" t="str">
            <v/>
          </cell>
        </row>
        <row r="450">
          <cell r="A450" t="str">
            <v/>
          </cell>
          <cell r="F450" t="str">
            <v/>
          </cell>
          <cell r="G450" t="str">
            <v/>
          </cell>
        </row>
        <row r="451">
          <cell r="F451" t="str">
            <v>SUBTOTAL</v>
          </cell>
          <cell r="G451">
            <v>39304.933499999999</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100807</v>
          </cell>
          <cell r="F455">
            <v>8</v>
          </cell>
          <cell r="G455">
            <v>12600.875</v>
          </cell>
        </row>
        <row r="456">
          <cell r="A456" t="str">
            <v>MO032</v>
          </cell>
          <cell r="B456" t="str">
            <v>AYUDANTE RASO</v>
          </cell>
          <cell r="D456">
            <v>2</v>
          </cell>
          <cell r="E456">
            <v>63433</v>
          </cell>
          <cell r="F456">
            <v>8</v>
          </cell>
          <cell r="G456">
            <v>15858.25</v>
          </cell>
        </row>
        <row r="457">
          <cell r="A457" t="str">
            <v/>
          </cell>
          <cell r="E457" t="str">
            <v/>
          </cell>
          <cell r="F457" t="str">
            <v/>
          </cell>
          <cell r="G457" t="str">
            <v/>
          </cell>
        </row>
        <row r="458">
          <cell r="A458" t="str">
            <v/>
          </cell>
          <cell r="E458" t="str">
            <v/>
          </cell>
          <cell r="F458" t="str">
            <v/>
          </cell>
          <cell r="G458" t="str">
            <v/>
          </cell>
        </row>
        <row r="459">
          <cell r="F459" t="str">
            <v>SUBTOTAL</v>
          </cell>
          <cell r="G459">
            <v>28459.125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497895</v>
          </cell>
        </row>
        <row r="470">
          <cell r="A470" t="str">
            <v>2. COSTOS INDIRECTOS</v>
          </cell>
        </row>
        <row r="472">
          <cell r="A472" t="str">
            <v>DESCRIPCIÓN</v>
          </cell>
          <cell r="F472" t="str">
            <v>PORCENTAJE</v>
          </cell>
          <cell r="G472" t="str">
            <v>VALOR TOTAL</v>
          </cell>
        </row>
        <row r="473">
          <cell r="A473" t="str">
            <v>ADMINISTRACION</v>
          </cell>
          <cell r="F473">
            <v>0.25440000000000002</v>
          </cell>
          <cell r="G473">
            <v>126664.48800000001</v>
          </cell>
        </row>
        <row r="474">
          <cell r="A474" t="str">
            <v>IMPREVISTOS</v>
          </cell>
          <cell r="F474">
            <v>0.01</v>
          </cell>
          <cell r="G474">
            <v>4978.95</v>
          </cell>
        </row>
        <row r="475">
          <cell r="A475" t="str">
            <v>UTILIDADES</v>
          </cell>
          <cell r="F475">
            <v>0.05</v>
          </cell>
          <cell r="G475">
            <v>24894.75</v>
          </cell>
        </row>
        <row r="476">
          <cell r="A476" t="str">
            <v>TOTAL COSTO INDIRECTO</v>
          </cell>
          <cell r="F476">
            <v>0.31440000000000001</v>
          </cell>
          <cell r="G476">
            <v>156538</v>
          </cell>
        </row>
        <row r="478">
          <cell r="A478" t="str">
            <v>PRECIO UNITARIO TOTAL APROXIMADO AL PESO</v>
          </cell>
          <cell r="G478">
            <v>654433</v>
          </cell>
        </row>
        <row r="480">
          <cell r="B480" t="str">
            <v>RESPONSABLE: HAROLDO A. ARTEAGA ESPINOSA</v>
          </cell>
        </row>
        <row r="481">
          <cell r="B481" t="str">
            <v>ASESOR DE PROYECTOS</v>
          </cell>
        </row>
        <row r="482">
          <cell r="B482" t="str">
            <v/>
          </cell>
        </row>
        <row r="483">
          <cell r="B483" t="str">
            <v>M.P. 22202-175769 COR</v>
          </cell>
          <cell r="D483" t="str">
            <v>FIRMA RESPONSABLE</v>
          </cell>
        </row>
        <row r="484">
          <cell r="A484" t="str">
            <v>DEPARTAMENTO DE ANTIOQUIA</v>
          </cell>
          <cell r="F484" t="str">
            <v/>
          </cell>
        </row>
        <row r="485">
          <cell r="A485" t="str">
            <v>MUNICIPIO DE CIUDAD BOLÍVAR</v>
          </cell>
        </row>
        <row r="486">
          <cell r="A486" t="str">
            <v>PROYECTO: MEJORAMIENTO DE VÍAS TERCIARIAS, PARA LA REACTIVACIÓN ECONÓMICA, EN LOS MUNICIPIOS DE CIUDAD BOLÍVAR, HISPANIA, SALGAR Y BETANIA, EN EL DEPARTAMENTO DE ANTIOQUIA.</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(PEGA) (MUNICIPIO DE BETANIA)</v>
          </cell>
          <cell r="E491" t="str">
            <v>M3</v>
          </cell>
          <cell r="F491" t="str">
            <v>N.D.</v>
          </cell>
          <cell r="G491">
            <v>488910</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53440</v>
          </cell>
          <cell r="F497">
            <v>6</v>
          </cell>
          <cell r="G497">
            <v>8906.6666666666661</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59089.833333333328</v>
          </cell>
          <cell r="G501">
            <v>2954.4916666666668</v>
          </cell>
        </row>
        <row r="502">
          <cell r="F502" t="str">
            <v>SUBTOTAL</v>
          </cell>
          <cell r="G502">
            <v>11861.158333333333</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 Incluye transporte. (MUNICIPIO DE BETANIA)</v>
          </cell>
          <cell r="C506" t="str">
            <v>SC</v>
          </cell>
          <cell r="D506">
            <v>9.4499999999999993</v>
          </cell>
          <cell r="F506">
            <v>32850</v>
          </cell>
          <cell r="G506">
            <v>310432.5</v>
          </cell>
        </row>
        <row r="507">
          <cell r="A507" t="str">
            <v>MA007</v>
          </cell>
          <cell r="B507" t="str">
            <v xml:space="preserve">ARENA DE PEGA </v>
          </cell>
          <cell r="C507" t="str">
            <v>M3</v>
          </cell>
          <cell r="D507">
            <v>1.1599999999999999</v>
          </cell>
          <cell r="F507">
            <v>46130</v>
          </cell>
          <cell r="G507">
            <v>53510.799999999996</v>
          </cell>
        </row>
        <row r="508">
          <cell r="A508" t="str">
            <v>MA011</v>
          </cell>
          <cell r="B508" t="str">
            <v>AGUA</v>
          </cell>
          <cell r="C508" t="str">
            <v>LT</v>
          </cell>
          <cell r="D508">
            <v>185</v>
          </cell>
          <cell r="F508">
            <v>50</v>
          </cell>
          <cell r="G508">
            <v>9250</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373193.3</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1.1599999999999999</v>
          </cell>
          <cell r="E517">
            <v>29.8</v>
          </cell>
          <cell r="F517">
            <v>1295</v>
          </cell>
          <cell r="G517">
            <v>44765.56</v>
          </cell>
        </row>
        <row r="518">
          <cell r="A518" t="str">
            <v/>
          </cell>
          <cell r="F518" t="str">
            <v/>
          </cell>
          <cell r="G518" t="str">
            <v/>
          </cell>
        </row>
        <row r="519">
          <cell r="A519" t="str">
            <v/>
          </cell>
          <cell r="F519" t="str">
            <v/>
          </cell>
          <cell r="G519" t="str">
            <v/>
          </cell>
        </row>
        <row r="520">
          <cell r="F520" t="str">
            <v>SUBTOTAL</v>
          </cell>
          <cell r="G520">
            <v>44765.56</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100807</v>
          </cell>
          <cell r="F524">
            <v>6</v>
          </cell>
          <cell r="G524">
            <v>16801.166666666668</v>
          </cell>
        </row>
        <row r="525">
          <cell r="A525" t="str">
            <v>MO032</v>
          </cell>
          <cell r="B525" t="str">
            <v>AYUDANTE RASO</v>
          </cell>
          <cell r="D525">
            <v>4</v>
          </cell>
          <cell r="E525">
            <v>63433</v>
          </cell>
          <cell r="F525">
            <v>6</v>
          </cell>
          <cell r="G525">
            <v>42288.666666666664</v>
          </cell>
        </row>
        <row r="526">
          <cell r="A526" t="str">
            <v/>
          </cell>
          <cell r="E526" t="str">
            <v/>
          </cell>
          <cell r="F526" t="str">
            <v/>
          </cell>
          <cell r="G526" t="str">
            <v/>
          </cell>
        </row>
        <row r="527">
          <cell r="A527" t="str">
            <v/>
          </cell>
          <cell r="E527" t="str">
            <v/>
          </cell>
          <cell r="F527" t="str">
            <v/>
          </cell>
          <cell r="G527" t="str">
            <v/>
          </cell>
        </row>
        <row r="528">
          <cell r="F528" t="str">
            <v>SUBTOTAL</v>
          </cell>
          <cell r="G528">
            <v>59089.833333333328</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488910</v>
          </cell>
        </row>
        <row r="539">
          <cell r="A539" t="str">
            <v>2. COSTOS INDIRECTOS</v>
          </cell>
        </row>
        <row r="541">
          <cell r="A541" t="str">
            <v>DESCRIPCIÓN</v>
          </cell>
          <cell r="F541" t="str">
            <v>PORCENTAJE</v>
          </cell>
          <cell r="G541" t="str">
            <v>VALOR TOTAL</v>
          </cell>
        </row>
        <row r="542">
          <cell r="A542" t="str">
            <v>ADMINISTRACION</v>
          </cell>
          <cell r="F542">
            <v>0.25440000000000002</v>
          </cell>
          <cell r="G542">
            <v>124378.70400000001</v>
          </cell>
        </row>
        <row r="543">
          <cell r="A543" t="str">
            <v>IMPREVISTOS</v>
          </cell>
          <cell r="F543">
            <v>0.01</v>
          </cell>
          <cell r="G543">
            <v>4889.1000000000004</v>
          </cell>
        </row>
        <row r="544">
          <cell r="A544" t="str">
            <v>UTILIDADES</v>
          </cell>
          <cell r="F544">
            <v>0.05</v>
          </cell>
          <cell r="G544">
            <v>24445.5</v>
          </cell>
        </row>
        <row r="545">
          <cell r="A545" t="str">
            <v>TOTAL COSTO INDIRECTO</v>
          </cell>
          <cell r="F545">
            <v>0.31440000000000001</v>
          </cell>
          <cell r="G545">
            <v>153713</v>
          </cell>
        </row>
        <row r="547">
          <cell r="A547" t="str">
            <v>PRECIO UNITARIO TOTAL APROXIMADO AL PESO</v>
          </cell>
          <cell r="G547">
            <v>642623</v>
          </cell>
        </row>
        <row r="549">
          <cell r="B549" t="str">
            <v>RESPONSABLE: HAROLDO A. ARTEAGA ESPINOSA</v>
          </cell>
        </row>
        <row r="550">
          <cell r="B550" t="str">
            <v>ASESOR DE PROYECTOS</v>
          </cell>
        </row>
        <row r="551">
          <cell r="B551" t="str">
            <v/>
          </cell>
        </row>
        <row r="552">
          <cell r="B552" t="str">
            <v>M.P. 22202-175769 COR</v>
          </cell>
          <cell r="D552" t="str">
            <v>FIRMA RESPONSABLE</v>
          </cell>
        </row>
        <row r="553">
          <cell r="A553" t="str">
            <v>DEPARTAMENTO DE ANTIOQUIA</v>
          </cell>
          <cell r="F553" t="str">
            <v/>
          </cell>
        </row>
        <row r="554">
          <cell r="A554" t="str">
            <v>MUNICIPIO DE CIUDAD BOLÍVAR</v>
          </cell>
        </row>
        <row r="555">
          <cell r="A555" t="str">
            <v>PROYECTO: MEJORAMIENTO DE VÍAS TERCIARIAS, PARA LA REACTIVACIÓN ECONÓMICA, EN LOS MUNICIPIOS DE CIUDAD BOLÍVAR, HISPANIA, SALGAR Y BETANIA, EN EL DEPARTAMENTO DE ANTIOQUIA.</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 (MUNICIPIO DE BETANIA)</v>
          </cell>
          <cell r="E560" t="str">
            <v>M3</v>
          </cell>
          <cell r="F560" t="str">
            <v>N.D.</v>
          </cell>
          <cell r="G560">
            <v>469389</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53440</v>
          </cell>
          <cell r="F566">
            <v>8</v>
          </cell>
          <cell r="G566">
            <v>6680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28459.125</v>
          </cell>
          <cell r="G570">
            <v>1422.9562500000002</v>
          </cell>
        </row>
        <row r="571">
          <cell r="F571" t="str">
            <v>SUBTOTAL</v>
          </cell>
          <cell r="G571">
            <v>8102.9562500000002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 Incluye transporte. (MUNICIPIO DE BETANIA)</v>
          </cell>
          <cell r="C575" t="str">
            <v>SC</v>
          </cell>
          <cell r="D575">
            <v>9.08</v>
          </cell>
          <cell r="E575">
            <v>0.05</v>
          </cell>
          <cell r="F575">
            <v>32850</v>
          </cell>
          <cell r="G575">
            <v>313191.90000000002</v>
          </cell>
        </row>
        <row r="576">
          <cell r="A576" t="str">
            <v>MA009</v>
          </cell>
          <cell r="B576" t="str">
            <v>ARENA FINA PARA CONCRETOS</v>
          </cell>
          <cell r="C576" t="str">
            <v>M3</v>
          </cell>
          <cell r="D576">
            <v>1.0900000000000001</v>
          </cell>
          <cell r="E576">
            <v>0.05</v>
          </cell>
          <cell r="F576">
            <v>57049</v>
          </cell>
          <cell r="G576">
            <v>65292.580500000004</v>
          </cell>
        </row>
        <row r="577">
          <cell r="A577" t="str">
            <v>MA011</v>
          </cell>
          <cell r="B577" t="str">
            <v>AGUA</v>
          </cell>
          <cell r="C577" t="str">
            <v>LT</v>
          </cell>
          <cell r="D577">
            <v>185</v>
          </cell>
          <cell r="E577">
            <v>0.1</v>
          </cell>
          <cell r="F577">
            <v>50</v>
          </cell>
          <cell r="G577">
            <v>10175</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388659.48050000001</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29.8</v>
          </cell>
          <cell r="F586">
            <v>1295</v>
          </cell>
          <cell r="G586">
            <v>44167.399500000007</v>
          </cell>
        </row>
        <row r="587">
          <cell r="A587" t="str">
            <v/>
          </cell>
          <cell r="F587" t="str">
            <v/>
          </cell>
          <cell r="G587" t="str">
            <v/>
          </cell>
        </row>
        <row r="588">
          <cell r="A588" t="str">
            <v/>
          </cell>
          <cell r="F588" t="str">
            <v/>
          </cell>
          <cell r="G588" t="str">
            <v/>
          </cell>
        </row>
        <row r="589">
          <cell r="F589" t="str">
            <v>SUBTOTAL</v>
          </cell>
          <cell r="G589">
            <v>44167.399500000007</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100807</v>
          </cell>
          <cell r="F593">
            <v>8</v>
          </cell>
          <cell r="G593">
            <v>12600.875</v>
          </cell>
        </row>
        <row r="594">
          <cell r="A594" t="str">
            <v>MO032</v>
          </cell>
          <cell r="B594" t="str">
            <v>AYUDANTE RASO</v>
          </cell>
          <cell r="D594">
            <v>2</v>
          </cell>
          <cell r="E594">
            <v>63433</v>
          </cell>
          <cell r="F594">
            <v>8</v>
          </cell>
          <cell r="G594">
            <v>15858.25</v>
          </cell>
        </row>
        <row r="595">
          <cell r="A595" t="str">
            <v/>
          </cell>
          <cell r="E595" t="str">
            <v/>
          </cell>
          <cell r="F595" t="str">
            <v/>
          </cell>
          <cell r="G595" t="str">
            <v/>
          </cell>
        </row>
        <row r="596">
          <cell r="A596" t="str">
            <v/>
          </cell>
          <cell r="E596" t="str">
            <v/>
          </cell>
          <cell r="F596" t="str">
            <v/>
          </cell>
          <cell r="G596" t="str">
            <v/>
          </cell>
        </row>
        <row r="597">
          <cell r="F597" t="str">
            <v>SUBTOTAL</v>
          </cell>
          <cell r="G597">
            <v>28459.125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469389</v>
          </cell>
        </row>
        <row r="608">
          <cell r="A608" t="str">
            <v>2. COSTOS INDIRECTOS</v>
          </cell>
        </row>
        <row r="610">
          <cell r="A610" t="str">
            <v>DESCRIPCIÓN</v>
          </cell>
          <cell r="F610" t="str">
            <v>PORCENTAJE</v>
          </cell>
          <cell r="G610" t="str">
            <v>VALOR TOTAL</v>
          </cell>
        </row>
        <row r="611">
          <cell r="A611" t="str">
            <v>ADMINISTRACION</v>
          </cell>
          <cell r="F611">
            <v>0.25440000000000002</v>
          </cell>
          <cell r="G611">
            <v>119412.5616</v>
          </cell>
        </row>
        <row r="612">
          <cell r="A612" t="str">
            <v>IMPREVISTOS</v>
          </cell>
          <cell r="F612">
            <v>0.01</v>
          </cell>
          <cell r="G612">
            <v>4693.8900000000003</v>
          </cell>
        </row>
        <row r="613">
          <cell r="A613" t="str">
            <v>UTILIDADES</v>
          </cell>
          <cell r="F613">
            <v>0.05</v>
          </cell>
          <cell r="G613">
            <v>23469.45</v>
          </cell>
        </row>
        <row r="614">
          <cell r="A614" t="str">
            <v>TOTAL COSTO INDIRECTO</v>
          </cell>
          <cell r="F614">
            <v>0.31440000000000001</v>
          </cell>
          <cell r="G614">
            <v>147576</v>
          </cell>
        </row>
        <row r="616">
          <cell r="A616" t="str">
            <v>PRECIO UNITARIO TOTAL APROXIMADO AL PESO</v>
          </cell>
          <cell r="G616">
            <v>616965</v>
          </cell>
        </row>
        <row r="618">
          <cell r="B618" t="str">
            <v>RESPONSABLE: HAROLDO A. ARTEAGA ESPINOSA</v>
          </cell>
        </row>
        <row r="619">
          <cell r="B619" t="str">
            <v>ASESOR DE PROYECTOS</v>
          </cell>
        </row>
        <row r="620">
          <cell r="B620" t="str">
            <v/>
          </cell>
        </row>
        <row r="621">
          <cell r="B621" t="str">
            <v>M.P. 22202-175769 COR</v>
          </cell>
          <cell r="D621" t="str">
            <v>FIRMA RESPONSABLE</v>
          </cell>
        </row>
        <row r="622">
          <cell r="A622" t="str">
            <v>DEPARTAMENTO DE ANTIOQUIA</v>
          </cell>
          <cell r="F622" t="str">
            <v/>
          </cell>
        </row>
        <row r="623">
          <cell r="A623" t="str">
            <v>MUNICIPIO DE CIUDAD BOLÍVAR</v>
          </cell>
        </row>
        <row r="624">
          <cell r="A624" t="str">
            <v>PROYECTO: MEJORAMIENTO DE VÍAS TERCIARIAS, PARA LA REACTIVACIÓN ECONÓMICA, EN LOS MUNICIPIOS DE CIUDAD BOLÍVAR, HISPANIA, SALGAR Y BETANIA, EN EL DEPARTAMENTO DE ANTIOQUIA.</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(REVOQUE) (MUNICIPIO DE BETANIA)</v>
          </cell>
          <cell r="E629" t="str">
            <v>M3</v>
          </cell>
          <cell r="F629" t="str">
            <v>N.D.</v>
          </cell>
          <cell r="G629">
            <v>456892</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53440</v>
          </cell>
          <cell r="F635">
            <v>8</v>
          </cell>
          <cell r="G635">
            <v>6680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28459.125</v>
          </cell>
          <cell r="G639">
            <v>1422.9562500000002</v>
          </cell>
        </row>
        <row r="640">
          <cell r="F640" t="str">
            <v>SUBTOTAL</v>
          </cell>
          <cell r="G640">
            <v>8102.9562500000002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 Incluye transporte. (MUNICIPIO DE BETANIA)</v>
          </cell>
          <cell r="C644" t="str">
            <v>SC</v>
          </cell>
          <cell r="D644">
            <v>9.08</v>
          </cell>
          <cell r="E644">
            <v>0.05</v>
          </cell>
          <cell r="F644">
            <v>32850</v>
          </cell>
          <cell r="G644">
            <v>313191.90000000002</v>
          </cell>
        </row>
        <row r="645">
          <cell r="A645" t="str">
            <v>MA007</v>
          </cell>
          <cell r="B645" t="str">
            <v xml:space="preserve">ARENA DE PEGA </v>
          </cell>
          <cell r="C645" t="str">
            <v>M3</v>
          </cell>
          <cell r="D645">
            <v>1.0900000000000001</v>
          </cell>
          <cell r="E645">
            <v>0.05</v>
          </cell>
          <cell r="F645">
            <v>46130</v>
          </cell>
          <cell r="G645">
            <v>52795.785000000003</v>
          </cell>
        </row>
        <row r="646">
          <cell r="A646" t="str">
            <v>MA011</v>
          </cell>
          <cell r="B646" t="str">
            <v>AGUA</v>
          </cell>
          <cell r="C646" t="str">
            <v>LT</v>
          </cell>
          <cell r="D646">
            <v>185</v>
          </cell>
          <cell r="E646">
            <v>0.1</v>
          </cell>
          <cell r="F646">
            <v>50</v>
          </cell>
          <cell r="G646">
            <v>10175</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376162.68500000006</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29.8</v>
          </cell>
          <cell r="F655">
            <v>1295</v>
          </cell>
          <cell r="G655">
            <v>44167.399500000007</v>
          </cell>
        </row>
        <row r="656">
          <cell r="A656" t="str">
            <v/>
          </cell>
          <cell r="F656" t="str">
            <v/>
          </cell>
          <cell r="G656" t="str">
            <v/>
          </cell>
        </row>
        <row r="657">
          <cell r="A657" t="str">
            <v/>
          </cell>
          <cell r="F657" t="str">
            <v/>
          </cell>
          <cell r="G657" t="str">
            <v/>
          </cell>
        </row>
        <row r="658">
          <cell r="F658" t="str">
            <v>SUBTOTAL</v>
          </cell>
          <cell r="G658">
            <v>44167.399500000007</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100807</v>
          </cell>
          <cell r="F662">
            <v>8</v>
          </cell>
          <cell r="G662">
            <v>12600.875</v>
          </cell>
        </row>
        <row r="663">
          <cell r="A663" t="str">
            <v>MO032</v>
          </cell>
          <cell r="B663" t="str">
            <v>AYUDANTE RASO</v>
          </cell>
          <cell r="D663">
            <v>2</v>
          </cell>
          <cell r="E663">
            <v>63433</v>
          </cell>
          <cell r="F663">
            <v>8</v>
          </cell>
          <cell r="G663">
            <v>15858.25</v>
          </cell>
        </row>
        <row r="664">
          <cell r="A664" t="str">
            <v/>
          </cell>
          <cell r="E664" t="str">
            <v/>
          </cell>
          <cell r="F664" t="str">
            <v/>
          </cell>
          <cell r="G664" t="str">
            <v/>
          </cell>
        </row>
        <row r="665">
          <cell r="A665" t="str">
            <v/>
          </cell>
          <cell r="E665" t="str">
            <v/>
          </cell>
          <cell r="F665" t="str">
            <v/>
          </cell>
          <cell r="G665" t="str">
            <v/>
          </cell>
        </row>
        <row r="666">
          <cell r="F666" t="str">
            <v>SUBTOTAL</v>
          </cell>
          <cell r="G666">
            <v>28459.125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456892</v>
          </cell>
        </row>
        <row r="677">
          <cell r="A677" t="str">
            <v>2. COSTOS INDIRECTOS</v>
          </cell>
        </row>
        <row r="679">
          <cell r="A679" t="str">
            <v>DESCRIPCIÓN</v>
          </cell>
          <cell r="F679" t="str">
            <v>PORCENTAJE</v>
          </cell>
          <cell r="G679" t="str">
            <v>VALOR TOTAL</v>
          </cell>
        </row>
        <row r="680">
          <cell r="A680" t="str">
            <v>ADMINISTRACION</v>
          </cell>
          <cell r="F680">
            <v>0.25440000000000002</v>
          </cell>
          <cell r="G680">
            <v>116233.3248</v>
          </cell>
        </row>
        <row r="681">
          <cell r="A681" t="str">
            <v>IMPREVISTOS</v>
          </cell>
          <cell r="F681">
            <v>0.01</v>
          </cell>
          <cell r="G681">
            <v>4568.92</v>
          </cell>
        </row>
        <row r="682">
          <cell r="A682" t="str">
            <v>UTILIDADES</v>
          </cell>
          <cell r="F682">
            <v>0.05</v>
          </cell>
          <cell r="G682">
            <v>22844.600000000002</v>
          </cell>
        </row>
        <row r="683">
          <cell r="A683" t="str">
            <v>TOTAL COSTO INDIRECTO</v>
          </cell>
          <cell r="F683">
            <v>0.31440000000000001</v>
          </cell>
          <cell r="G683">
            <v>143647</v>
          </cell>
        </row>
        <row r="685">
          <cell r="A685" t="str">
            <v>PRECIO UNITARIO TOTAL APROXIMADO AL PESO</v>
          </cell>
          <cell r="G685">
            <v>600539</v>
          </cell>
        </row>
        <row r="687">
          <cell r="B687" t="str">
            <v>RESPONSABLE: HAROLDO A. ARTEAGA ESPINOSA</v>
          </cell>
        </row>
        <row r="688">
          <cell r="B688" t="str">
            <v>ASESOR DE PROYECTOS</v>
          </cell>
        </row>
        <row r="689">
          <cell r="B689" t="str">
            <v/>
          </cell>
        </row>
        <row r="690">
          <cell r="B690" t="str">
            <v>M.P. 22202-175769 COR</v>
          </cell>
          <cell r="D690" t="str">
            <v>FIRMA RESPONSABLE</v>
          </cell>
        </row>
        <row r="691">
          <cell r="A691" t="str">
            <v>DEPARTAMENTO DE ANTIOQUIA</v>
          </cell>
          <cell r="F691" t="str">
            <v/>
          </cell>
        </row>
        <row r="692">
          <cell r="A692" t="str">
            <v>MUNICIPIO DE CIUDAD BOLÍVAR</v>
          </cell>
        </row>
        <row r="693">
          <cell r="A693" t="str">
            <v>PROYECTO: MEJORAMIENTO DE VÍAS TERCIARIAS, PARA LA REACTIVACIÓN ECONÓMICA, EN LOS MUNICIPIOS DE CIUDAD BOLÍVAR, HISPANIA, SALGAR Y BETANIA, EN EL DEPARTAMENTO DE ANTIOQUIA.</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 (MUNICIPIO DE BETANIA)</v>
          </cell>
          <cell r="E698" t="str">
            <v>M3</v>
          </cell>
          <cell r="F698" t="str">
            <v>N.D.</v>
          </cell>
          <cell r="G698">
            <v>406432</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53440</v>
          </cell>
          <cell r="F704">
            <v>8</v>
          </cell>
          <cell r="G704">
            <v>6680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28459.125</v>
          </cell>
          <cell r="G708">
            <v>1422.9562500000002</v>
          </cell>
        </row>
        <row r="709">
          <cell r="F709" t="str">
            <v>SUBTOTAL</v>
          </cell>
          <cell r="G709">
            <v>8102.9562500000002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 Incluye transporte. (MUNICIPIO DE BETANIA)</v>
          </cell>
          <cell r="C713" t="str">
            <v>SC</v>
          </cell>
          <cell r="D713">
            <v>7.28</v>
          </cell>
          <cell r="E713">
            <v>0.05</v>
          </cell>
          <cell r="F713">
            <v>32850</v>
          </cell>
          <cell r="G713">
            <v>251105.40000000002</v>
          </cell>
        </row>
        <row r="714">
          <cell r="A714" t="str">
            <v>MA008</v>
          </cell>
          <cell r="B714" t="str">
            <v xml:space="preserve">ARENA DE REVOQUE </v>
          </cell>
          <cell r="C714" t="str">
            <v>M3</v>
          </cell>
          <cell r="D714">
            <v>1.1599999999999999</v>
          </cell>
          <cell r="E714">
            <v>0.05</v>
          </cell>
          <cell r="F714">
            <v>51240</v>
          </cell>
          <cell r="G714">
            <v>62410.32</v>
          </cell>
        </row>
        <row r="715">
          <cell r="A715" t="str">
            <v>MA011</v>
          </cell>
          <cell r="B715" t="str">
            <v>AGUA</v>
          </cell>
          <cell r="C715" t="str">
            <v>LT</v>
          </cell>
          <cell r="D715">
            <v>170</v>
          </cell>
          <cell r="E715">
            <v>0.1</v>
          </cell>
          <cell r="F715">
            <v>50</v>
          </cell>
          <cell r="G715">
            <v>9350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322865.72000000003</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29.8</v>
          </cell>
          <cell r="F724">
            <v>1295</v>
          </cell>
          <cell r="G724">
            <v>47003.837999999996</v>
          </cell>
        </row>
        <row r="725">
          <cell r="A725" t="str">
            <v/>
          </cell>
          <cell r="F725" t="str">
            <v/>
          </cell>
          <cell r="G725" t="str">
            <v/>
          </cell>
        </row>
        <row r="726">
          <cell r="A726" t="str">
            <v/>
          </cell>
          <cell r="F726" t="str">
            <v/>
          </cell>
          <cell r="G726" t="str">
            <v/>
          </cell>
        </row>
        <row r="727">
          <cell r="F727" t="str">
            <v>SUBTOTAL</v>
          </cell>
          <cell r="G727">
            <v>47003.837999999996</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100807</v>
          </cell>
          <cell r="F731">
            <v>8</v>
          </cell>
          <cell r="G731">
            <v>12600.875</v>
          </cell>
        </row>
        <row r="732">
          <cell r="A732" t="str">
            <v>MO032</v>
          </cell>
          <cell r="B732" t="str">
            <v>AYUDANTE RASO</v>
          </cell>
          <cell r="D732">
            <v>2</v>
          </cell>
          <cell r="E732">
            <v>63433</v>
          </cell>
          <cell r="F732">
            <v>8</v>
          </cell>
          <cell r="G732">
            <v>15858.25</v>
          </cell>
        </row>
        <row r="733">
          <cell r="A733" t="str">
            <v/>
          </cell>
          <cell r="E733" t="str">
            <v/>
          </cell>
          <cell r="F733" t="str">
            <v/>
          </cell>
          <cell r="G733" t="str">
            <v/>
          </cell>
        </row>
        <row r="734">
          <cell r="A734" t="str">
            <v/>
          </cell>
          <cell r="E734" t="str">
            <v/>
          </cell>
          <cell r="F734" t="str">
            <v/>
          </cell>
          <cell r="G734" t="str">
            <v/>
          </cell>
        </row>
        <row r="735">
          <cell r="F735" t="str">
            <v>SUBTOTAL</v>
          </cell>
          <cell r="G735">
            <v>28459.125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406432</v>
          </cell>
        </row>
        <row r="746">
          <cell r="A746" t="str">
            <v>2. COSTOS INDIRECTOS</v>
          </cell>
        </row>
        <row r="748">
          <cell r="A748" t="str">
            <v>DESCRIPCIÓN</v>
          </cell>
          <cell r="F748" t="str">
            <v>PORCENTAJE</v>
          </cell>
          <cell r="G748" t="str">
            <v>VALOR TOTAL</v>
          </cell>
        </row>
        <row r="749">
          <cell r="A749" t="str">
            <v>ADMINISTRACION</v>
          </cell>
          <cell r="F749">
            <v>0.25440000000000002</v>
          </cell>
          <cell r="G749">
            <v>103396.30080000001</v>
          </cell>
        </row>
        <row r="750">
          <cell r="A750" t="str">
            <v>IMPREVISTOS</v>
          </cell>
          <cell r="F750">
            <v>0.01</v>
          </cell>
          <cell r="G750">
            <v>4064.32</v>
          </cell>
        </row>
        <row r="751">
          <cell r="A751" t="str">
            <v>UTILIDADES</v>
          </cell>
          <cell r="F751">
            <v>0.05</v>
          </cell>
          <cell r="G751">
            <v>20321.600000000002</v>
          </cell>
        </row>
        <row r="752">
          <cell r="A752" t="str">
            <v>TOTAL COSTO INDIRECTO</v>
          </cell>
          <cell r="F752">
            <v>0.31440000000000001</v>
          </cell>
          <cell r="G752">
            <v>127782</v>
          </cell>
        </row>
        <row r="754">
          <cell r="A754" t="str">
            <v>PRECIO UNITARIO TOTAL APROXIMADO AL PESO</v>
          </cell>
          <cell r="G754">
            <v>534214</v>
          </cell>
        </row>
        <row r="756">
          <cell r="B756" t="str">
            <v>RESPONSABLE: HAROLDO A. ARTEAGA ESPINOSA</v>
          </cell>
        </row>
        <row r="757">
          <cell r="B757" t="str">
            <v>ASESOR DE PROYECTOS</v>
          </cell>
        </row>
        <row r="758">
          <cell r="B758" t="str">
            <v/>
          </cell>
        </row>
        <row r="759">
          <cell r="B759" t="str">
            <v>M.P. 22202-175769 COR</v>
          </cell>
          <cell r="D759" t="str">
            <v>FIRMA RESPONSABLE</v>
          </cell>
        </row>
        <row r="760">
          <cell r="A760" t="str">
            <v>DEPARTAMENTO DE ANTIOQUIA</v>
          </cell>
          <cell r="F760" t="str">
            <v/>
          </cell>
        </row>
        <row r="761">
          <cell r="A761" t="str">
            <v>MUNICIPIO DE CIUDAD BOLÍVAR</v>
          </cell>
        </row>
        <row r="762">
          <cell r="A762" t="str">
            <v>PROYECTO: MEJORAMIENTO DE VÍAS TERCIARIAS, PARA LA REACTIVACIÓN ECONÓMICA, EN LOS MUNICIPIOS DE CIUDAD BOLÍVAR, HISPANIA, SALGAR Y BETANIA, EN EL DEPARTAMENTO DE ANTIOQUIA.</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 (MUNICIPIO DE BETANIA)</v>
          </cell>
          <cell r="E767" t="str">
            <v>M3</v>
          </cell>
          <cell r="F767" t="str">
            <v>N.D.</v>
          </cell>
          <cell r="G767">
            <v>413507</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53440</v>
          </cell>
          <cell r="F773">
            <v>8</v>
          </cell>
          <cell r="G773">
            <v>6680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28459.125</v>
          </cell>
          <cell r="G777">
            <v>1422.9562500000002</v>
          </cell>
        </row>
        <row r="778">
          <cell r="F778" t="str">
            <v>SUBTOTAL</v>
          </cell>
          <cell r="G778">
            <v>8102.9562500000002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 Incluye transporte. (MUNICIPIO DE BETANIA)</v>
          </cell>
          <cell r="C782" t="str">
            <v>SC</v>
          </cell>
          <cell r="D782">
            <v>7.28</v>
          </cell>
          <cell r="E782">
            <v>0.05</v>
          </cell>
          <cell r="F782">
            <v>32850</v>
          </cell>
          <cell r="G782">
            <v>251105.40000000002</v>
          </cell>
        </row>
        <row r="783">
          <cell r="A783" t="str">
            <v>MA009</v>
          </cell>
          <cell r="B783" t="str">
            <v>ARENA FINA PARA CONCRETOS</v>
          </cell>
          <cell r="C783" t="str">
            <v>M3</v>
          </cell>
          <cell r="D783">
            <v>1.1599999999999999</v>
          </cell>
          <cell r="E783">
            <v>0.05</v>
          </cell>
          <cell r="F783">
            <v>57049</v>
          </cell>
          <cell r="G783">
            <v>69485.682000000001</v>
          </cell>
        </row>
        <row r="784">
          <cell r="A784" t="str">
            <v>MA011</v>
          </cell>
          <cell r="B784" t="str">
            <v>AGUA</v>
          </cell>
          <cell r="C784" t="str">
            <v>LT</v>
          </cell>
          <cell r="D784">
            <v>170</v>
          </cell>
          <cell r="E784">
            <v>0.1</v>
          </cell>
          <cell r="F784">
            <v>50</v>
          </cell>
          <cell r="G784">
            <v>9350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329941.08200000005</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29.8</v>
          </cell>
          <cell r="F793">
            <v>1295</v>
          </cell>
          <cell r="G793">
            <v>47003.837999999996</v>
          </cell>
        </row>
        <row r="794">
          <cell r="A794" t="str">
            <v/>
          </cell>
          <cell r="F794" t="str">
            <v/>
          </cell>
          <cell r="G794" t="str">
            <v/>
          </cell>
        </row>
        <row r="795">
          <cell r="A795" t="str">
            <v/>
          </cell>
          <cell r="F795" t="str">
            <v/>
          </cell>
          <cell r="G795" t="str">
            <v/>
          </cell>
        </row>
        <row r="796">
          <cell r="F796" t="str">
            <v>SUBTOTAL</v>
          </cell>
          <cell r="G796">
            <v>47003.837999999996</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100807</v>
          </cell>
          <cell r="F800">
            <v>8</v>
          </cell>
          <cell r="G800">
            <v>12600.875</v>
          </cell>
        </row>
        <row r="801">
          <cell r="A801" t="str">
            <v>MO032</v>
          </cell>
          <cell r="B801" t="str">
            <v>AYUDANTE RASO</v>
          </cell>
          <cell r="D801">
            <v>2</v>
          </cell>
          <cell r="E801">
            <v>63433</v>
          </cell>
          <cell r="F801">
            <v>8</v>
          </cell>
          <cell r="G801">
            <v>15858.25</v>
          </cell>
        </row>
        <row r="802">
          <cell r="A802" t="str">
            <v/>
          </cell>
          <cell r="E802" t="str">
            <v/>
          </cell>
          <cell r="F802" t="str">
            <v/>
          </cell>
          <cell r="G802" t="str">
            <v/>
          </cell>
        </row>
        <row r="803">
          <cell r="A803" t="str">
            <v/>
          </cell>
          <cell r="E803" t="str">
            <v/>
          </cell>
          <cell r="F803" t="str">
            <v/>
          </cell>
          <cell r="G803" t="str">
            <v/>
          </cell>
        </row>
        <row r="804">
          <cell r="F804" t="str">
            <v>SUBTOTAL</v>
          </cell>
          <cell r="G804">
            <v>28459.125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413507</v>
          </cell>
        </row>
        <row r="815">
          <cell r="A815" t="str">
            <v>2. COSTOS INDIRECTOS</v>
          </cell>
        </row>
        <row r="817">
          <cell r="A817" t="str">
            <v>DESCRIPCIÓN</v>
          </cell>
          <cell r="F817" t="str">
            <v>PORCENTAJE</v>
          </cell>
          <cell r="G817" t="str">
            <v>VALOR TOTAL</v>
          </cell>
        </row>
        <row r="818">
          <cell r="A818" t="str">
            <v>ADMINISTRACION</v>
          </cell>
          <cell r="F818">
            <v>0.25440000000000002</v>
          </cell>
          <cell r="G818">
            <v>105196.1808</v>
          </cell>
        </row>
        <row r="819">
          <cell r="A819" t="str">
            <v>IMPREVISTOS</v>
          </cell>
          <cell r="F819">
            <v>0.01</v>
          </cell>
          <cell r="G819">
            <v>4135.07</v>
          </cell>
        </row>
        <row r="820">
          <cell r="A820" t="str">
            <v>UTILIDADES</v>
          </cell>
          <cell r="F820">
            <v>0.05</v>
          </cell>
          <cell r="G820">
            <v>20675.350000000002</v>
          </cell>
        </row>
        <row r="821">
          <cell r="A821" t="str">
            <v>TOTAL COSTO INDIRECTO</v>
          </cell>
          <cell r="F821">
            <v>0.31440000000000001</v>
          </cell>
          <cell r="G821">
            <v>130007</v>
          </cell>
        </row>
        <row r="823">
          <cell r="A823" t="str">
            <v>PRECIO UNITARIO TOTAL APROXIMADO AL PESO</v>
          </cell>
          <cell r="G823">
            <v>543514</v>
          </cell>
        </row>
        <row r="825">
          <cell r="B825" t="str">
            <v>RESPONSABLE: HAROLDO A. ARTEAGA ESPINOSA</v>
          </cell>
        </row>
        <row r="826">
          <cell r="B826" t="str">
            <v>ASESOR DE PROYECTOS</v>
          </cell>
        </row>
        <row r="827">
          <cell r="B827" t="str">
            <v/>
          </cell>
        </row>
        <row r="828">
          <cell r="B828" t="str">
            <v>M.P. 22202-175769 COR</v>
          </cell>
          <cell r="D828" t="str">
            <v>FIRMA RESPONSABLE</v>
          </cell>
        </row>
        <row r="829">
          <cell r="A829" t="str">
            <v>DEPARTAMENTO DE ANTIOQUIA</v>
          </cell>
          <cell r="F829" t="str">
            <v/>
          </cell>
        </row>
        <row r="830">
          <cell r="A830" t="str">
            <v>MUNICIPIO DE CIUDAD BOLÍVAR</v>
          </cell>
        </row>
        <row r="831">
          <cell r="A831" t="str">
            <v>PROYECTO: MEJORAMIENTO DE VÍAS TERCIARIAS, PARA LA REACTIVACIÓN ECONÓMICA, EN LOS MUNICIPIOS DE CIUDAD BOLÍVAR, HISPANIA, SALGAR Y BETANIA, EN EL DEPARTAMENTO DE ANTIOQUIA.</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 (MUNICIPIO DE BETANIA)</v>
          </cell>
          <cell r="E836" t="str">
            <v>M3</v>
          </cell>
          <cell r="F836" t="str">
            <v>N.D.</v>
          </cell>
          <cell r="G836">
            <v>400208</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53440</v>
          </cell>
          <cell r="F842">
            <v>8</v>
          </cell>
          <cell r="G842">
            <v>6680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28459.125</v>
          </cell>
          <cell r="G846">
            <v>1422.9562500000002</v>
          </cell>
        </row>
        <row r="847">
          <cell r="F847" t="str">
            <v>SUBTOTAL</v>
          </cell>
          <cell r="G847">
            <v>8102.9562500000002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 Incluye transporte. (MUNICIPIO DE BETANIA)</v>
          </cell>
          <cell r="C851" t="str">
            <v>SC</v>
          </cell>
          <cell r="D851">
            <v>7.28</v>
          </cell>
          <cell r="E851">
            <v>0.05</v>
          </cell>
          <cell r="F851">
            <v>32850</v>
          </cell>
          <cell r="G851">
            <v>251105.40000000002</v>
          </cell>
        </row>
        <row r="852">
          <cell r="A852" t="str">
            <v>MA007</v>
          </cell>
          <cell r="B852" t="str">
            <v xml:space="preserve">ARENA DE PEGA </v>
          </cell>
          <cell r="C852" t="str">
            <v>M3</v>
          </cell>
          <cell r="D852">
            <v>1.1599999999999999</v>
          </cell>
          <cell r="E852">
            <v>0.05</v>
          </cell>
          <cell r="F852">
            <v>46130</v>
          </cell>
          <cell r="G852">
            <v>56186.34</v>
          </cell>
        </row>
        <row r="853">
          <cell r="A853" t="str">
            <v>MA011</v>
          </cell>
          <cell r="B853" t="str">
            <v>AGUA</v>
          </cell>
          <cell r="C853" t="str">
            <v>LT</v>
          </cell>
          <cell r="D853">
            <v>170</v>
          </cell>
          <cell r="E853">
            <v>0.1</v>
          </cell>
          <cell r="F853">
            <v>50</v>
          </cell>
          <cell r="G853">
            <v>9350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316641.74</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29.8</v>
          </cell>
          <cell r="F862">
            <v>1295</v>
          </cell>
          <cell r="G862">
            <v>47003.837999999996</v>
          </cell>
        </row>
        <row r="863">
          <cell r="A863" t="str">
            <v/>
          </cell>
          <cell r="F863" t="str">
            <v/>
          </cell>
          <cell r="G863" t="str">
            <v/>
          </cell>
        </row>
        <row r="864">
          <cell r="A864" t="str">
            <v/>
          </cell>
          <cell r="F864" t="str">
            <v/>
          </cell>
          <cell r="G864" t="str">
            <v/>
          </cell>
        </row>
        <row r="865">
          <cell r="F865" t="str">
            <v>SUBTOTAL</v>
          </cell>
          <cell r="G865">
            <v>47003.837999999996</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100807</v>
          </cell>
          <cell r="F869">
            <v>8</v>
          </cell>
          <cell r="G869">
            <v>12600.875</v>
          </cell>
        </row>
        <row r="870">
          <cell r="A870" t="str">
            <v>MO032</v>
          </cell>
          <cell r="B870" t="str">
            <v>AYUDANTE RASO</v>
          </cell>
          <cell r="D870">
            <v>2</v>
          </cell>
          <cell r="E870">
            <v>63433</v>
          </cell>
          <cell r="F870">
            <v>8</v>
          </cell>
          <cell r="G870">
            <v>15858.25</v>
          </cell>
        </row>
        <row r="871">
          <cell r="A871" t="str">
            <v/>
          </cell>
          <cell r="E871" t="str">
            <v/>
          </cell>
          <cell r="F871" t="str">
            <v/>
          </cell>
          <cell r="G871" t="str">
            <v/>
          </cell>
        </row>
        <row r="872">
          <cell r="A872" t="str">
            <v/>
          </cell>
          <cell r="E872" t="str">
            <v/>
          </cell>
          <cell r="F872" t="str">
            <v/>
          </cell>
          <cell r="G872" t="str">
            <v/>
          </cell>
        </row>
        <row r="873">
          <cell r="F873" t="str">
            <v>SUBTOTAL</v>
          </cell>
          <cell r="G873">
            <v>28459.125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400208</v>
          </cell>
        </row>
        <row r="884">
          <cell r="A884" t="str">
            <v>2. COSTOS INDIRECTOS</v>
          </cell>
        </row>
        <row r="886">
          <cell r="A886" t="str">
            <v>DESCRIPCIÓN</v>
          </cell>
          <cell r="F886" t="str">
            <v>PORCENTAJE</v>
          </cell>
          <cell r="G886" t="str">
            <v>VALOR TOTAL</v>
          </cell>
        </row>
        <row r="887">
          <cell r="A887" t="str">
            <v>ADMINISTRACION</v>
          </cell>
          <cell r="F887">
            <v>0.25440000000000002</v>
          </cell>
          <cell r="G887">
            <v>101812.9152</v>
          </cell>
        </row>
        <row r="888">
          <cell r="A888" t="str">
            <v>IMPREVISTOS</v>
          </cell>
          <cell r="F888">
            <v>0.01</v>
          </cell>
          <cell r="G888">
            <v>4002.08</v>
          </cell>
        </row>
        <row r="889">
          <cell r="A889" t="str">
            <v>UTILIDADES</v>
          </cell>
          <cell r="F889">
            <v>0.05</v>
          </cell>
          <cell r="G889">
            <v>20010.400000000001</v>
          </cell>
        </row>
        <row r="890">
          <cell r="A890" t="str">
            <v>TOTAL COSTO INDIRECTO</v>
          </cell>
          <cell r="F890">
            <v>0.31440000000000001</v>
          </cell>
          <cell r="G890">
            <v>125825</v>
          </cell>
        </row>
        <row r="892">
          <cell r="A892" t="str">
            <v>PRECIO UNITARIO TOTAL APROXIMADO AL PESO</v>
          </cell>
          <cell r="G892">
            <v>526033</v>
          </cell>
        </row>
        <row r="894">
          <cell r="B894" t="str">
            <v>RESPONSABLE: HAROLDO A. ARTEAGA ESPINOSA</v>
          </cell>
        </row>
        <row r="895">
          <cell r="B895" t="str">
            <v>ASESOR DE PROYECTOS</v>
          </cell>
        </row>
        <row r="896">
          <cell r="B896" t="str">
            <v/>
          </cell>
        </row>
        <row r="897">
          <cell r="B897" t="str">
            <v>M.P. 22202-175769 COR</v>
          </cell>
          <cell r="D897" t="str">
            <v>FIRMA RESPONSABLE</v>
          </cell>
        </row>
        <row r="898">
          <cell r="A898" t="str">
            <v>DEPARTAMENTO DE ANTIOQUIA</v>
          </cell>
          <cell r="F898" t="str">
            <v/>
          </cell>
        </row>
        <row r="899">
          <cell r="A899" t="str">
            <v>MUNICIPIO DE CIUDAD BOLÍVAR</v>
          </cell>
        </row>
        <row r="900">
          <cell r="A900" t="str">
            <v>PROYECTO: MEJORAMIENTO DE VÍAS TERCIARIAS, PARA LA REACTIVACIÓN ECONÓMICA, EN LOS MUNICIPIOS DE CIUDAD BOLÍVAR, HISPANIA, SALGAR Y BETANIA, EN EL DEPARTAMENTO DE ANTIOQUIA.</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 (MUNICIPIO DE BETANIA)</v>
          </cell>
          <cell r="E905" t="str">
            <v>M3</v>
          </cell>
          <cell r="F905" t="str">
            <v>N.D.</v>
          </cell>
          <cell r="G905">
            <v>364447</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53440</v>
          </cell>
          <cell r="F911">
            <v>8</v>
          </cell>
          <cell r="G911">
            <v>6680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28459.125</v>
          </cell>
          <cell r="G915">
            <v>1422.9562500000002</v>
          </cell>
        </row>
        <row r="916">
          <cell r="F916" t="str">
            <v>SUBTOTAL</v>
          </cell>
          <cell r="G916">
            <v>8102.9562500000002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 Incluye transporte. (MUNICIPIO DE BETANIA)</v>
          </cell>
          <cell r="C920" t="str">
            <v>SC</v>
          </cell>
          <cell r="D920">
            <v>6.04</v>
          </cell>
          <cell r="E920">
            <v>0.05</v>
          </cell>
          <cell r="F920">
            <v>32850</v>
          </cell>
          <cell r="G920">
            <v>208334.7</v>
          </cell>
        </row>
        <row r="921">
          <cell r="A921" t="str">
            <v>MA008</v>
          </cell>
          <cell r="B921" t="str">
            <v xml:space="preserve">ARENA DE REVOQUE </v>
          </cell>
          <cell r="C921" t="str">
            <v>M3</v>
          </cell>
          <cell r="D921">
            <v>1.18</v>
          </cell>
          <cell r="E921">
            <v>0.05</v>
          </cell>
          <cell r="F921">
            <v>51240</v>
          </cell>
          <cell r="G921">
            <v>63486.36</v>
          </cell>
        </row>
        <row r="922">
          <cell r="A922" t="str">
            <v>MA011</v>
          </cell>
          <cell r="B922" t="str">
            <v>AGUA</v>
          </cell>
          <cell r="C922" t="str">
            <v>LT</v>
          </cell>
          <cell r="D922">
            <v>150</v>
          </cell>
          <cell r="E922">
            <v>0.1</v>
          </cell>
          <cell r="F922">
            <v>50</v>
          </cell>
          <cell r="G922">
            <v>8250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280071.06</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29.8</v>
          </cell>
          <cell r="F931">
            <v>1295</v>
          </cell>
          <cell r="G931">
            <v>47814.248999999996</v>
          </cell>
        </row>
        <row r="932">
          <cell r="A932" t="str">
            <v/>
          </cell>
          <cell r="F932" t="str">
            <v/>
          </cell>
          <cell r="G932" t="str">
            <v/>
          </cell>
        </row>
        <row r="933">
          <cell r="A933" t="str">
            <v/>
          </cell>
          <cell r="F933" t="str">
            <v/>
          </cell>
          <cell r="G933" t="str">
            <v/>
          </cell>
        </row>
        <row r="934">
          <cell r="F934" t="str">
            <v>SUBTOTAL</v>
          </cell>
          <cell r="G934">
            <v>47814.248999999996</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100807</v>
          </cell>
          <cell r="F938">
            <v>8</v>
          </cell>
          <cell r="G938">
            <v>12600.875</v>
          </cell>
        </row>
        <row r="939">
          <cell r="A939" t="str">
            <v>MO032</v>
          </cell>
          <cell r="B939" t="str">
            <v>AYUDANTE RASO</v>
          </cell>
          <cell r="D939">
            <v>2</v>
          </cell>
          <cell r="E939">
            <v>63433</v>
          </cell>
          <cell r="F939">
            <v>8</v>
          </cell>
          <cell r="G939">
            <v>15858.25</v>
          </cell>
        </row>
        <row r="940">
          <cell r="A940" t="str">
            <v/>
          </cell>
          <cell r="E940" t="str">
            <v/>
          </cell>
          <cell r="F940" t="str">
            <v/>
          </cell>
          <cell r="G940" t="str">
            <v/>
          </cell>
        </row>
        <row r="941">
          <cell r="A941" t="str">
            <v/>
          </cell>
          <cell r="E941" t="str">
            <v/>
          </cell>
          <cell r="F941" t="str">
            <v/>
          </cell>
          <cell r="G941" t="str">
            <v/>
          </cell>
        </row>
        <row r="942">
          <cell r="F942" t="str">
            <v>SUBTOTAL</v>
          </cell>
          <cell r="G942">
            <v>28459.125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364447</v>
          </cell>
        </row>
        <row r="953">
          <cell r="A953" t="str">
            <v>2. COSTOS INDIRECTOS</v>
          </cell>
        </row>
        <row r="955">
          <cell r="A955" t="str">
            <v>DESCRIPCIÓN</v>
          </cell>
          <cell r="F955" t="str">
            <v>PORCENTAJE</v>
          </cell>
          <cell r="G955" t="str">
            <v>VALOR TOTAL</v>
          </cell>
        </row>
        <row r="956">
          <cell r="A956" t="str">
            <v>ADMINISTRACION</v>
          </cell>
          <cell r="F956">
            <v>0.25440000000000002</v>
          </cell>
          <cell r="G956">
            <v>92715.316800000001</v>
          </cell>
        </row>
        <row r="957">
          <cell r="A957" t="str">
            <v>IMPREVISTOS</v>
          </cell>
          <cell r="F957">
            <v>0.01</v>
          </cell>
          <cell r="G957">
            <v>3644.4700000000003</v>
          </cell>
        </row>
        <row r="958">
          <cell r="A958" t="str">
            <v>UTILIDADES</v>
          </cell>
          <cell r="F958">
            <v>0.05</v>
          </cell>
          <cell r="G958">
            <v>18222.350000000002</v>
          </cell>
        </row>
        <row r="959">
          <cell r="A959" t="str">
            <v>TOTAL COSTO INDIRECTO</v>
          </cell>
          <cell r="F959">
            <v>0.31440000000000001</v>
          </cell>
          <cell r="G959">
            <v>114582</v>
          </cell>
        </row>
        <row r="961">
          <cell r="A961" t="str">
            <v>PRECIO UNITARIO TOTAL APROXIMADO AL PESO</v>
          </cell>
          <cell r="G961">
            <v>479029</v>
          </cell>
        </row>
        <row r="963">
          <cell r="B963" t="str">
            <v>RESPONSABLE: HAROLDO A. ARTEAGA ESPINOSA</v>
          </cell>
        </row>
        <row r="964">
          <cell r="B964" t="str">
            <v>ASESOR DE PROYECTOS</v>
          </cell>
        </row>
        <row r="965">
          <cell r="B965" t="str">
            <v/>
          </cell>
        </row>
        <row r="966">
          <cell r="B966" t="str">
            <v>M.P. 22202-175769 COR</v>
          </cell>
          <cell r="D966" t="str">
            <v>FIRMA RESPONSABLE</v>
          </cell>
        </row>
        <row r="967">
          <cell r="A967" t="str">
            <v>DEPARTAMENTO DE ANTIOQUIA</v>
          </cell>
          <cell r="F967" t="str">
            <v/>
          </cell>
        </row>
        <row r="968">
          <cell r="A968" t="str">
            <v>MUNICIPIO DE CIUDAD BOLÍVAR</v>
          </cell>
        </row>
        <row r="969">
          <cell r="A969" t="str">
            <v>PROYECTO: MEJORAMIENTO DE VÍAS TERCIARIAS, PARA LA REACTIVACIÓN ECONÓMICA, EN LOS MUNICIPIOS DE CIUDAD BOLÍVAR, HISPANIA, SALGAR Y BETANIA, EN EL DEPARTAMENTO DE ANTIOQUIA.</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 (MUNICIPIO DE BETANIA)</v>
          </cell>
          <cell r="E974" t="str">
            <v>M3</v>
          </cell>
          <cell r="F974" t="str">
            <v>N.D.</v>
          </cell>
          <cell r="G974">
            <v>358116</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53440</v>
          </cell>
          <cell r="F980">
            <v>8</v>
          </cell>
          <cell r="G980">
            <v>6680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28459.125</v>
          </cell>
          <cell r="G984">
            <v>1422.9562500000002</v>
          </cell>
        </row>
        <row r="985">
          <cell r="F985" t="str">
            <v>SUBTOTAL</v>
          </cell>
          <cell r="G985">
            <v>8102.9562500000002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 Incluye transporte. (MUNICIPIO DE BETANIA)</v>
          </cell>
          <cell r="C989" t="str">
            <v>SC</v>
          </cell>
          <cell r="D989">
            <v>6.04</v>
          </cell>
          <cell r="E989">
            <v>0.05</v>
          </cell>
          <cell r="F989">
            <v>32850</v>
          </cell>
          <cell r="G989">
            <v>208334.7</v>
          </cell>
        </row>
        <row r="990">
          <cell r="A990" t="str">
            <v>MA007</v>
          </cell>
          <cell r="B990" t="str">
            <v xml:space="preserve">ARENA DE PEGA </v>
          </cell>
          <cell r="C990" t="str">
            <v>M3</v>
          </cell>
          <cell r="D990">
            <v>1.18</v>
          </cell>
          <cell r="E990">
            <v>0.05</v>
          </cell>
          <cell r="F990">
            <v>46130</v>
          </cell>
          <cell r="G990">
            <v>57155.07</v>
          </cell>
        </row>
        <row r="991">
          <cell r="A991" t="str">
            <v>MA011</v>
          </cell>
          <cell r="B991" t="str">
            <v>AGUA</v>
          </cell>
          <cell r="C991" t="str">
            <v>LT</v>
          </cell>
          <cell r="D991">
            <v>150</v>
          </cell>
          <cell r="E991">
            <v>0.1</v>
          </cell>
          <cell r="F991">
            <v>50</v>
          </cell>
          <cell r="G991">
            <v>8250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273739.77</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29.8</v>
          </cell>
          <cell r="F1000">
            <v>1295</v>
          </cell>
          <cell r="G1000">
            <v>47814.248999999996</v>
          </cell>
        </row>
        <row r="1001">
          <cell r="A1001" t="str">
            <v/>
          </cell>
          <cell r="F1001" t="str">
            <v/>
          </cell>
          <cell r="G1001" t="str">
            <v/>
          </cell>
        </row>
        <row r="1002">
          <cell r="A1002" t="str">
            <v/>
          </cell>
          <cell r="F1002" t="str">
            <v/>
          </cell>
          <cell r="G1002" t="str">
            <v/>
          </cell>
        </row>
        <row r="1003">
          <cell r="F1003" t="str">
            <v>SUBTOTAL</v>
          </cell>
          <cell r="G1003">
            <v>47814.248999999996</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100807</v>
          </cell>
          <cell r="F1007">
            <v>8</v>
          </cell>
          <cell r="G1007">
            <v>12600.875</v>
          </cell>
        </row>
        <row r="1008">
          <cell r="A1008" t="str">
            <v>MO032</v>
          </cell>
          <cell r="B1008" t="str">
            <v>AYUDANTE RASO</v>
          </cell>
          <cell r="D1008">
            <v>2</v>
          </cell>
          <cell r="E1008">
            <v>63433</v>
          </cell>
          <cell r="F1008">
            <v>8</v>
          </cell>
          <cell r="G1008">
            <v>15858.25</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28459.125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358116</v>
          </cell>
        </row>
        <row r="1022">
          <cell r="A1022" t="str">
            <v>2. COSTOS INDIRECTOS</v>
          </cell>
        </row>
        <row r="1024">
          <cell r="A1024" t="str">
            <v>DESCRIPCIÓN</v>
          </cell>
          <cell r="F1024" t="str">
            <v>PORCENTAJE</v>
          </cell>
          <cell r="G1024" t="str">
            <v>VALOR TOTAL</v>
          </cell>
        </row>
        <row r="1025">
          <cell r="A1025" t="str">
            <v>ADMINISTRACION</v>
          </cell>
          <cell r="F1025">
            <v>0.25440000000000002</v>
          </cell>
          <cell r="G1025">
            <v>91104.710400000011</v>
          </cell>
        </row>
        <row r="1026">
          <cell r="A1026" t="str">
            <v>IMPREVISTOS</v>
          </cell>
          <cell r="F1026">
            <v>0.01</v>
          </cell>
          <cell r="G1026">
            <v>3581.16</v>
          </cell>
        </row>
        <row r="1027">
          <cell r="A1027" t="str">
            <v>UTILIDADES</v>
          </cell>
          <cell r="F1027">
            <v>0.05</v>
          </cell>
          <cell r="G1027">
            <v>17905.8</v>
          </cell>
        </row>
        <row r="1028">
          <cell r="A1028" t="str">
            <v>TOTAL COSTO INDIRECTO</v>
          </cell>
          <cell r="F1028">
            <v>0.31440000000000001</v>
          </cell>
          <cell r="G1028">
            <v>112592</v>
          </cell>
        </row>
        <row r="1030">
          <cell r="A1030" t="str">
            <v>PRECIO UNITARIO TOTAL APROXIMADO AL PESO</v>
          </cell>
          <cell r="G1030">
            <v>470708</v>
          </cell>
        </row>
        <row r="1032">
          <cell r="B1032" t="str">
            <v>RESPONSABLE: HAROLDO A. ARTEAGA ESPINOSA</v>
          </cell>
        </row>
        <row r="1033">
          <cell r="B1033" t="str">
            <v>ASESOR DE PROYECTOS</v>
          </cell>
        </row>
        <row r="1034">
          <cell r="B1034" t="str">
            <v/>
          </cell>
        </row>
        <row r="1035">
          <cell r="B1035" t="str">
            <v>M.P. 22202-175769 COR</v>
          </cell>
          <cell r="D1035" t="str">
            <v>FIRMA RESPONSABLE</v>
          </cell>
        </row>
        <row r="1036">
          <cell r="A1036" t="str">
            <v>DEPARTAMENTO DE ANTIOQUIA</v>
          </cell>
          <cell r="F1036" t="str">
            <v/>
          </cell>
        </row>
        <row r="1037">
          <cell r="A1037" t="str">
            <v>MUNICIPIO DE CIUDAD BOLÍVAR</v>
          </cell>
        </row>
        <row r="1038">
          <cell r="A1038" t="str">
            <v>PROYECTO: MEJORAMIENTO DE VÍAS TERCIARIAS, PARA LA REACTIVACIÓN ECONÓMICA, EN LOS MUNICIPIOS DE CIUDAD BOLÍVAR, HISPANIA, SALGAR Y BETANIA, EN EL DEPARTAMENTO DE ANTIOQUIA.</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 (MUNICIPIO DE BETANIA)</v>
          </cell>
          <cell r="E1043" t="str">
            <v>M3</v>
          </cell>
          <cell r="F1043" t="str">
            <v>N.D.</v>
          </cell>
          <cell r="G1043">
            <v>330372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53440</v>
          </cell>
          <cell r="F1049">
            <v>8</v>
          </cell>
          <cell r="G1049">
            <v>6680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28459.125</v>
          </cell>
          <cell r="G1053">
            <v>1422.9562500000002</v>
          </cell>
        </row>
        <row r="1054">
          <cell r="F1054" t="str">
            <v>SUBTOTAL</v>
          </cell>
          <cell r="G1054">
            <v>8102.9562500000002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 Incluye transporte. (MUNICIPIO DE BETANIA)</v>
          </cell>
          <cell r="C1058" t="str">
            <v>SC</v>
          </cell>
          <cell r="D1058">
            <v>5.2</v>
          </cell>
          <cell r="E1058">
            <v>0.05</v>
          </cell>
          <cell r="F1058">
            <v>32850</v>
          </cell>
          <cell r="G1058">
            <v>179361</v>
          </cell>
        </row>
        <row r="1059">
          <cell r="A1059" t="str">
            <v>MA007</v>
          </cell>
          <cell r="B1059" t="str">
            <v xml:space="preserve">ARENA DE PEGA </v>
          </cell>
          <cell r="C1059" t="str">
            <v>M3</v>
          </cell>
          <cell r="D1059">
            <v>1.2</v>
          </cell>
          <cell r="E1059">
            <v>0.05</v>
          </cell>
          <cell r="F1059">
            <v>46130</v>
          </cell>
          <cell r="G1059">
            <v>58123.8</v>
          </cell>
        </row>
        <row r="1060">
          <cell r="A1060" t="str">
            <v>MA011</v>
          </cell>
          <cell r="B1060" t="str">
            <v>AGUA</v>
          </cell>
          <cell r="C1060" t="str">
            <v>LT</v>
          </cell>
          <cell r="D1060">
            <v>140</v>
          </cell>
          <cell r="E1060">
            <v>0.1</v>
          </cell>
          <cell r="F1060">
            <v>50</v>
          </cell>
          <cell r="G1060">
            <v>7700.0000000000009</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245184.8</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29.8</v>
          </cell>
          <cell r="F1069">
            <v>1295</v>
          </cell>
          <cell r="G1069">
            <v>48624.66</v>
          </cell>
        </row>
        <row r="1070">
          <cell r="A1070" t="str">
            <v/>
          </cell>
          <cell r="F1070" t="str">
            <v/>
          </cell>
          <cell r="G1070" t="str">
            <v/>
          </cell>
        </row>
        <row r="1071">
          <cell r="A1071" t="str">
            <v/>
          </cell>
          <cell r="F1071" t="str">
            <v/>
          </cell>
          <cell r="G1071" t="str">
            <v/>
          </cell>
        </row>
        <row r="1072">
          <cell r="F1072" t="str">
            <v>SUBTOTAL</v>
          </cell>
          <cell r="G1072">
            <v>48624.66</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100807</v>
          </cell>
          <cell r="F1076">
            <v>8</v>
          </cell>
          <cell r="G1076">
            <v>12600.875</v>
          </cell>
        </row>
        <row r="1077">
          <cell r="A1077" t="str">
            <v>MO032</v>
          </cell>
          <cell r="B1077" t="str">
            <v>AYUDANTE RASO</v>
          </cell>
          <cell r="D1077">
            <v>2</v>
          </cell>
          <cell r="E1077">
            <v>63433</v>
          </cell>
          <cell r="F1077">
            <v>8</v>
          </cell>
          <cell r="G1077">
            <v>15858.25</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28459.125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330372</v>
          </cell>
        </row>
        <row r="1091">
          <cell r="A1091" t="str">
            <v>2. COSTOS INDIRECTOS</v>
          </cell>
        </row>
        <row r="1093">
          <cell r="A1093" t="str">
            <v>DESCRIPCIÓN</v>
          </cell>
          <cell r="F1093" t="str">
            <v>PORCENTAJE</v>
          </cell>
          <cell r="G1093" t="str">
            <v>VALOR TOTAL</v>
          </cell>
        </row>
        <row r="1094">
          <cell r="A1094" t="str">
            <v>ADMINISTRACION</v>
          </cell>
          <cell r="F1094">
            <v>0.25440000000000002</v>
          </cell>
          <cell r="G1094">
            <v>84046.636800000007</v>
          </cell>
        </row>
        <row r="1095">
          <cell r="A1095" t="str">
            <v>IMPREVISTOS</v>
          </cell>
          <cell r="F1095">
            <v>0.01</v>
          </cell>
          <cell r="G1095">
            <v>3303.7200000000003</v>
          </cell>
        </row>
        <row r="1096">
          <cell r="A1096" t="str">
            <v>UTILIDADES</v>
          </cell>
          <cell r="F1096">
            <v>0.05</v>
          </cell>
          <cell r="G1096">
            <v>16518.600000000002</v>
          </cell>
        </row>
        <row r="1097">
          <cell r="A1097" t="str">
            <v>TOTAL COSTO INDIRECTO</v>
          </cell>
          <cell r="F1097">
            <v>0.31440000000000001</v>
          </cell>
          <cell r="G1097">
            <v>103869</v>
          </cell>
        </row>
        <row r="1099">
          <cell r="A1099" t="str">
            <v>PRECIO UNITARIO TOTAL APROXIMADO AL PESO</v>
          </cell>
          <cell r="G1099">
            <v>434241</v>
          </cell>
        </row>
        <row r="1101">
          <cell r="B1101" t="str">
            <v>RESPONSABLE: HAROLDO A. ARTEAGA ESPINOSA</v>
          </cell>
        </row>
        <row r="1102">
          <cell r="B1102" t="str">
            <v>ASESOR DE PROYECTOS</v>
          </cell>
        </row>
        <row r="1103">
          <cell r="B1103" t="str">
            <v/>
          </cell>
        </row>
        <row r="1104">
          <cell r="B1104" t="str">
            <v>M.P. 22202-175769 COR</v>
          </cell>
          <cell r="D1104" t="str">
            <v>FIRMA RESPONSABLE</v>
          </cell>
        </row>
        <row r="1105">
          <cell r="A1105" t="str">
            <v>DEPARTAMENTO DE ANTIOQUIA</v>
          </cell>
          <cell r="F1105" t="str">
            <v/>
          </cell>
        </row>
        <row r="1106">
          <cell r="A1106" t="str">
            <v>MUNICIPIO DE CIUDAD BOLÍVAR</v>
          </cell>
        </row>
        <row r="1107">
          <cell r="A1107" t="str">
            <v>PROYECTO: MEJORAMIENTO DE VÍAS TERCIARIAS, PARA LA REACTIVACIÓN ECONÓMICA, EN LOS MUNICIPIOS DE CIUDAD BOLÍVAR, HISPANIA, SALGAR Y BETANIA, EN EL DEPARTAMENTO DE ANTIOQUIA.</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 (MUNICIPIO DE BETANIA)</v>
          </cell>
          <cell r="E1112" t="str">
            <v>M2</v>
          </cell>
          <cell r="F1112" t="str">
            <v>N.D.</v>
          </cell>
          <cell r="G1112">
            <v>60016</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22800</v>
          </cell>
          <cell r="F1118">
            <v>35.721600000000002</v>
          </cell>
          <cell r="G1118">
            <v>638.26928245095405</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HEQ001</v>
          </cell>
          <cell r="B1122" t="str">
            <v>HERRAMIENTA MENOR (5% DE LA MANO DE OBRA)</v>
          </cell>
          <cell r="D1122" t="str">
            <v>%</v>
          </cell>
          <cell r="E1122">
            <v>0.05</v>
          </cell>
          <cell r="F1122">
            <v>5195.651930484637</v>
          </cell>
          <cell r="G1122">
            <v>259.78259652423185</v>
          </cell>
        </row>
        <row r="1123">
          <cell r="F1123" t="str">
            <v>SUBTOTAL</v>
          </cell>
          <cell r="G1123">
            <v>898.0518789751859</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MA017</v>
          </cell>
          <cell r="B1127" t="str">
            <v>TABLERO AGLOMERADO MDP (SUPER T) 1.83 X 2.44</v>
          </cell>
          <cell r="C1127" t="str">
            <v>UN</v>
          </cell>
          <cell r="D1127">
            <v>0.33333333333333331</v>
          </cell>
          <cell r="E1127">
            <v>0.05</v>
          </cell>
          <cell r="F1127">
            <v>151900</v>
          </cell>
          <cell r="G1127">
            <v>53165</v>
          </cell>
        </row>
        <row r="1128">
          <cell r="A1128" t="str">
            <v>MA018</v>
          </cell>
          <cell r="B1128" t="str">
            <v>CLAVOS COMUNES 1½ A 3½"</v>
          </cell>
          <cell r="C1128" t="str">
            <v>LB</v>
          </cell>
          <cell r="D1128">
            <v>7.4999999999999997E-2</v>
          </cell>
          <cell r="E1128">
            <v>0.05</v>
          </cell>
          <cell r="F1128">
            <v>2500</v>
          </cell>
          <cell r="G1128">
            <v>196.875</v>
          </cell>
        </row>
        <row r="1129">
          <cell r="A1129" t="str">
            <v>MA016</v>
          </cell>
          <cell r="B1129" t="str">
            <v>LARGUERO MADERA COMÚN 4CMX8CMX2.80</v>
          </cell>
          <cell r="C1129" t="str">
            <v>UN</v>
          </cell>
          <cell r="D1129">
            <v>8.3333333333333301E-2</v>
          </cell>
          <cell r="E1129">
            <v>0.05</v>
          </cell>
          <cell r="F1129">
            <v>6400</v>
          </cell>
          <cell r="G1129">
            <v>559.99999999999977</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v>53921.875</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F1138" t="str">
            <v/>
          </cell>
          <cell r="G1138" t="str">
            <v/>
          </cell>
        </row>
        <row r="1139">
          <cell r="A1139" t="str">
            <v/>
          </cell>
          <cell r="F1139" t="str">
            <v/>
          </cell>
          <cell r="G1139" t="str">
            <v/>
          </cell>
        </row>
        <row r="1140">
          <cell r="A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116825</v>
          </cell>
          <cell r="F1145">
            <v>35.721600000000002</v>
          </cell>
          <cell r="G1145">
            <v>3270.4302158917853</v>
          </cell>
        </row>
        <row r="1146">
          <cell r="A1146" t="str">
            <v>MO026</v>
          </cell>
          <cell r="B1146" t="str">
            <v>AYUDANTE CARPINTERO</v>
          </cell>
          <cell r="D1146">
            <v>1</v>
          </cell>
          <cell r="E1146">
            <v>68772</v>
          </cell>
          <cell r="F1146">
            <v>35.721600000000002</v>
          </cell>
          <cell r="G1146">
            <v>1925.2217145928512</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5195.651930484637</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60016</v>
          </cell>
        </row>
        <row r="1160">
          <cell r="A1160" t="str">
            <v>2. COSTOS INDIRECTOS</v>
          </cell>
        </row>
        <row r="1162">
          <cell r="A1162" t="str">
            <v>DESCRIPCIÓN</v>
          </cell>
          <cell r="F1162" t="str">
            <v>PORCENTAJE</v>
          </cell>
          <cell r="G1162" t="str">
            <v>VALOR TOTAL</v>
          </cell>
        </row>
        <row r="1163">
          <cell r="A1163" t="str">
            <v>ADMINISTRACION</v>
          </cell>
          <cell r="F1163">
            <v>0.25440000000000002</v>
          </cell>
          <cell r="G1163">
            <v>15268.070400000001</v>
          </cell>
        </row>
        <row r="1164">
          <cell r="A1164" t="str">
            <v>IMPREVISTOS</v>
          </cell>
          <cell r="F1164">
            <v>0.01</v>
          </cell>
          <cell r="G1164">
            <v>600.16</v>
          </cell>
        </row>
        <row r="1165">
          <cell r="A1165" t="str">
            <v>UTILIDADES</v>
          </cell>
          <cell r="F1165">
            <v>0.05</v>
          </cell>
          <cell r="G1165">
            <v>3000.8</v>
          </cell>
        </row>
        <row r="1166">
          <cell r="A1166" t="str">
            <v>TOTAL COSTO INDIRECTO</v>
          </cell>
          <cell r="F1166">
            <v>0.31440000000000001</v>
          </cell>
          <cell r="G1166">
            <v>18869</v>
          </cell>
        </row>
        <row r="1168">
          <cell r="A1168" t="str">
            <v>PRECIO UNITARIO TOTAL APROXIMADO AL PESO</v>
          </cell>
          <cell r="G1168">
            <v>78885</v>
          </cell>
        </row>
        <row r="1170">
          <cell r="B1170" t="str">
            <v>RESPONSABLE: HAROLDO A. ARTEAGA ESPINOSA</v>
          </cell>
        </row>
        <row r="1171">
          <cell r="B1171" t="str">
            <v>ASESOR DE PROYECTOS</v>
          </cell>
        </row>
        <row r="1172">
          <cell r="B1172" t="str">
            <v/>
          </cell>
        </row>
        <row r="1173">
          <cell r="B1173" t="str">
            <v>M.P. 22202-175769 COR</v>
          </cell>
          <cell r="D1173" t="str">
            <v>FIRMA RESPONSABLE</v>
          </cell>
        </row>
        <row r="1175">
          <cell r="A1175" t="str">
            <v>DEPARTAMENTO DE ANTIOQUIA</v>
          </cell>
          <cell r="F1175" t="str">
            <v/>
          </cell>
        </row>
        <row r="1176">
          <cell r="A1176" t="str">
            <v/>
          </cell>
        </row>
        <row r="1177">
          <cell r="A1177" t="str">
            <v xml:space="preserve">PROYECTO: </v>
          </cell>
        </row>
        <row r="1179">
          <cell r="A1179" t="str">
            <v>ANÁLISIS DE PRECIOS UNITARIOS AUXILIARES</v>
          </cell>
        </row>
        <row r="1181">
          <cell r="A1181" t="str">
            <v>ITEM</v>
          </cell>
          <cell r="B1181" t="str">
            <v>DESCRIPCIÓN</v>
          </cell>
          <cell r="E1181" t="str">
            <v>UNIDAD</v>
          </cell>
          <cell r="F1181" t="str">
            <v>CANTIDAD</v>
          </cell>
          <cell r="G1181" t="str">
            <v>COSTO DIRECTO</v>
          </cell>
        </row>
        <row r="1182">
          <cell r="A1182" t="str">
            <v>SA020</v>
          </cell>
          <cell r="B1182" t="str">
            <v>COMISIÓN TOPOGRÁFICA (1 TOP. + 1 CAD. 1 + 1 CAD. 2). Comisión de topografía para localización, trazado y replanteo con equipo de precisión con estación total, un (1) topógrafo, dos (2) cadeneros</v>
          </cell>
          <cell r="E1182" t="str">
            <v>DÍA</v>
          </cell>
          <cell r="F1182" t="str">
            <v>N.D.</v>
          </cell>
          <cell r="G1182">
            <v>413771</v>
          </cell>
        </row>
        <row r="1184">
          <cell r="A1184" t="str">
            <v>1. COSTOS DIRECTOS</v>
          </cell>
        </row>
        <row r="1186">
          <cell r="A1186" t="str">
            <v>I. EQUIPO</v>
          </cell>
        </row>
        <row r="1187">
          <cell r="A1187" t="str">
            <v>CÓDIGO</v>
          </cell>
          <cell r="B1187" t="str">
            <v>DESCRIPCIÓN</v>
          </cell>
          <cell r="D1187" t="str">
            <v>UNIDAD</v>
          </cell>
          <cell r="E1187" t="str">
            <v>TARIFA</v>
          </cell>
          <cell r="F1187" t="str">
            <v>RENDIMIENTO</v>
          </cell>
          <cell r="G1187" t="str">
            <v>VR. UNITARIO</v>
          </cell>
        </row>
        <row r="1188">
          <cell r="A1188" t="str">
            <v>GE017</v>
          </cell>
          <cell r="B1188" t="str">
            <v>ESTACIÓN TOTAL</v>
          </cell>
          <cell r="D1188" t="str">
            <v>DÍA</v>
          </cell>
          <cell r="E1188">
            <v>78710</v>
          </cell>
          <cell r="F1188">
            <v>1</v>
          </cell>
          <cell r="G1188">
            <v>78710</v>
          </cell>
        </row>
        <row r="1189">
          <cell r="A1189" t="str">
            <v>GE018</v>
          </cell>
          <cell r="B1189" t="str">
            <v>NIVEL DE PRECISIÓN</v>
          </cell>
          <cell r="D1189" t="str">
            <v>DÍA</v>
          </cell>
          <cell r="E1189">
            <v>45260</v>
          </cell>
          <cell r="F1189">
            <v>1</v>
          </cell>
          <cell r="G1189">
            <v>45260</v>
          </cell>
        </row>
        <row r="1190">
          <cell r="A1190" t="str">
            <v/>
          </cell>
          <cell r="D1190" t="str">
            <v/>
          </cell>
          <cell r="E1190" t="str">
            <v/>
          </cell>
          <cell r="F1190">
            <v>1</v>
          </cell>
          <cell r="G1190" t="str">
            <v/>
          </cell>
        </row>
        <row r="1191">
          <cell r="A1191" t="str">
            <v/>
          </cell>
          <cell r="D1191" t="str">
            <v/>
          </cell>
          <cell r="E1191" t="str">
            <v/>
          </cell>
          <cell r="F1191">
            <v>1</v>
          </cell>
          <cell r="G1191" t="str">
            <v/>
          </cell>
        </row>
        <row r="1192">
          <cell r="A1192" t="str">
            <v>HEQ001</v>
          </cell>
          <cell r="B1192" t="str">
            <v>HERRAMIENTA MENOR (5% DE LA MANO DE OBRA)</v>
          </cell>
          <cell r="D1192" t="str">
            <v>%</v>
          </cell>
          <cell r="E1192">
            <v>0.05</v>
          </cell>
          <cell r="F1192">
            <v>247238</v>
          </cell>
          <cell r="G1192">
            <v>12361.900000000001</v>
          </cell>
        </row>
        <row r="1193">
          <cell r="F1193" t="str">
            <v>SUBTOTAL</v>
          </cell>
          <cell r="G1193">
            <v>136331.9</v>
          </cell>
        </row>
        <row r="1195">
          <cell r="A1195" t="str">
            <v>II. MATERIALES</v>
          </cell>
        </row>
        <row r="1196">
          <cell r="A1196" t="str">
            <v>CÓDIGO</v>
          </cell>
          <cell r="B1196" t="str">
            <v>DESCRIPCIÓN</v>
          </cell>
          <cell r="C1196" t="str">
            <v>UNIDAD</v>
          </cell>
          <cell r="D1196" t="str">
            <v>CANTIDAD</v>
          </cell>
          <cell r="E1196" t="str">
            <v>DESP.</v>
          </cell>
          <cell r="F1196" t="str">
            <v>PRECIO UNIT.</v>
          </cell>
          <cell r="G1196" t="str">
            <v>VR. UNITARIO</v>
          </cell>
        </row>
        <row r="1197">
          <cell r="A1197" t="str">
            <v>MA011</v>
          </cell>
          <cell r="B1197" t="str">
            <v>LARGUERO MADERA COMÚN 4CMX8CMX2.80</v>
          </cell>
          <cell r="C1197" t="str">
            <v>LT</v>
          </cell>
          <cell r="D1197">
            <v>4</v>
          </cell>
          <cell r="F1197">
            <v>50</v>
          </cell>
          <cell r="G1197">
            <v>200</v>
          </cell>
        </row>
        <row r="1198">
          <cell r="A1198" t="str">
            <v>MA013</v>
          </cell>
          <cell r="B1198" t="str">
            <v>CLAVOS COMUNES 1½ A 3½"</v>
          </cell>
          <cell r="C1198" t="str">
            <v>M3</v>
          </cell>
          <cell r="D1198">
            <v>0.5</v>
          </cell>
          <cell r="F1198">
            <v>60002</v>
          </cell>
          <cell r="G1198">
            <v>30001</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A1203" t="str">
            <v/>
          </cell>
          <cell r="C1203" t="str">
            <v/>
          </cell>
          <cell r="F1203" t="str">
            <v/>
          </cell>
          <cell r="G1203" t="str">
            <v/>
          </cell>
        </row>
        <row r="1204">
          <cell r="F1204" t="str">
            <v>SUBTOTAL</v>
          </cell>
          <cell r="G1204">
            <v>30201</v>
          </cell>
        </row>
        <row r="1206">
          <cell r="A1206" t="str">
            <v>III. TRANSPORTES</v>
          </cell>
        </row>
        <row r="1207">
          <cell r="A1207" t="str">
            <v>CÓDIGO</v>
          </cell>
          <cell r="B1207" t="str">
            <v>DESCRIPCIÓN</v>
          </cell>
          <cell r="C1207" t="str">
            <v>TIPO</v>
          </cell>
          <cell r="D1207" t="str">
            <v>VOLUMEN/PESO</v>
          </cell>
          <cell r="E1207" t="str">
            <v>DISTANCIA</v>
          </cell>
          <cell r="F1207" t="str">
            <v>TARIFA</v>
          </cell>
          <cell r="G1207" t="str">
            <v>VR. UNITARIO</v>
          </cell>
        </row>
        <row r="1208">
          <cell r="A1208" t="str">
            <v/>
          </cell>
          <cell r="F1208" t="str">
            <v/>
          </cell>
          <cell r="G1208" t="str">
            <v/>
          </cell>
        </row>
        <row r="1209">
          <cell r="A1209" t="str">
            <v/>
          </cell>
          <cell r="F1209" t="str">
            <v/>
          </cell>
          <cell r="G1209" t="str">
            <v/>
          </cell>
        </row>
        <row r="1210">
          <cell r="A1210" t="str">
            <v/>
          </cell>
          <cell r="F1210" t="str">
            <v/>
          </cell>
          <cell r="G1210" t="str">
            <v/>
          </cell>
        </row>
        <row r="1211">
          <cell r="F1211" t="str">
            <v>SUBTOTAL</v>
          </cell>
          <cell r="G1211" t="str">
            <v/>
          </cell>
        </row>
        <row r="1213">
          <cell r="A1213" t="str">
            <v>IV. MANO DE OBRA</v>
          </cell>
        </row>
        <row r="1214">
          <cell r="A1214" t="str">
            <v>CÓDIGO</v>
          </cell>
          <cell r="B1214" t="str">
            <v>CARGOS PERSONAL</v>
          </cell>
          <cell r="D1214" t="str">
            <v>CANTIDAD</v>
          </cell>
          <cell r="E1214" t="str">
            <v>JORNAL TOTAL</v>
          </cell>
          <cell r="F1214" t="str">
            <v>RENDIMIENTO</v>
          </cell>
          <cell r="G1214" t="str">
            <v>VR. UNITARIO</v>
          </cell>
        </row>
        <row r="1215">
          <cell r="A1215" t="str">
            <v>MO016</v>
          </cell>
          <cell r="B1215" t="str">
            <v>TOPÓGRAFO</v>
          </cell>
          <cell r="D1215">
            <v>1</v>
          </cell>
          <cell r="E1215">
            <v>120372</v>
          </cell>
          <cell r="F1215">
            <v>1</v>
          </cell>
          <cell r="G1215">
            <v>120372</v>
          </cell>
        </row>
        <row r="1216">
          <cell r="A1216" t="str">
            <v>MO017</v>
          </cell>
          <cell r="B1216" t="str">
            <v>CADENERO 1</v>
          </cell>
          <cell r="D1216">
            <v>1</v>
          </cell>
          <cell r="E1216">
            <v>63433</v>
          </cell>
          <cell r="F1216">
            <v>1</v>
          </cell>
          <cell r="G1216">
            <v>63433</v>
          </cell>
        </row>
        <row r="1217">
          <cell r="A1217" t="str">
            <v>MO018</v>
          </cell>
          <cell r="B1217" t="str">
            <v>CADENERO 2</v>
          </cell>
          <cell r="D1217">
            <v>1</v>
          </cell>
          <cell r="E1217">
            <v>63433</v>
          </cell>
          <cell r="F1217">
            <v>1</v>
          </cell>
          <cell r="G1217">
            <v>63433</v>
          </cell>
        </row>
        <row r="1218">
          <cell r="A1218" t="str">
            <v/>
          </cell>
          <cell r="E1218" t="str">
            <v/>
          </cell>
          <cell r="F1218" t="str">
            <v/>
          </cell>
          <cell r="G1218" t="str">
            <v/>
          </cell>
        </row>
        <row r="1219">
          <cell r="F1219" t="str">
            <v>SUBTOTAL</v>
          </cell>
          <cell r="G1219">
            <v>247238</v>
          </cell>
        </row>
        <row r="1221">
          <cell r="A1221" t="str">
            <v>V. SERVICIOS</v>
          </cell>
        </row>
        <row r="1222">
          <cell r="A1222" t="str">
            <v>CÓDIGO</v>
          </cell>
          <cell r="B1222" t="str">
            <v>DESCRIPCIÓN</v>
          </cell>
          <cell r="D1222" t="str">
            <v>UNIDAD</v>
          </cell>
          <cell r="E1222" t="str">
            <v>CANTIDAD</v>
          </cell>
          <cell r="F1222" t="str">
            <v>PRECIO UNIT.</v>
          </cell>
          <cell r="G1222" t="str">
            <v>VR. UNITARIO</v>
          </cell>
        </row>
        <row r="1223">
          <cell r="A1223" t="str">
            <v/>
          </cell>
          <cell r="D1223" t="str">
            <v/>
          </cell>
          <cell r="F1223" t="str">
            <v/>
          </cell>
          <cell r="G1223" t="str">
            <v/>
          </cell>
        </row>
        <row r="1224">
          <cell r="A1224" t="str">
            <v/>
          </cell>
          <cell r="D1224" t="str">
            <v/>
          </cell>
          <cell r="F1224" t="str">
            <v/>
          </cell>
          <cell r="G1224" t="str">
            <v/>
          </cell>
        </row>
        <row r="1225">
          <cell r="A1225" t="str">
            <v/>
          </cell>
          <cell r="D1225" t="str">
            <v/>
          </cell>
          <cell r="F1225" t="str">
            <v/>
          </cell>
          <cell r="G1225" t="str">
            <v/>
          </cell>
        </row>
        <row r="1226">
          <cell r="F1226" t="str">
            <v>SUBTOTAL</v>
          </cell>
          <cell r="G1226" t="str">
            <v/>
          </cell>
        </row>
        <row r="1228">
          <cell r="A1228" t="str">
            <v>TOTAL COSTO DIRECTO</v>
          </cell>
          <cell r="G1228">
            <v>413771</v>
          </cell>
        </row>
        <row r="1230">
          <cell r="A1230" t="str">
            <v>2. COSTOS INDIRECTOS</v>
          </cell>
        </row>
        <row r="1232">
          <cell r="A1232" t="str">
            <v>DESCRIPCIÓN</v>
          </cell>
          <cell r="F1232" t="str">
            <v>PORCENTAJE</v>
          </cell>
          <cell r="G1232" t="str">
            <v>VALOR TOTAL</v>
          </cell>
        </row>
        <row r="1233">
          <cell r="A1233" t="str">
            <v>ADMINISTRACION</v>
          </cell>
          <cell r="F1233">
            <v>0</v>
          </cell>
          <cell r="G1233">
            <v>0</v>
          </cell>
        </row>
        <row r="1234">
          <cell r="A1234" t="str">
            <v>IMPREVISTOS</v>
          </cell>
          <cell r="F1234" t="str">
            <v/>
          </cell>
          <cell r="G1234" t="str">
            <v/>
          </cell>
        </row>
        <row r="1235">
          <cell r="A1235" t="str">
            <v>UTILIDADES</v>
          </cell>
          <cell r="F1235" t="str">
            <v/>
          </cell>
          <cell r="G1235" t="str">
            <v/>
          </cell>
        </row>
        <row r="1236">
          <cell r="A1236" t="str">
            <v>TOTAL COSTO INDIRECTO</v>
          </cell>
          <cell r="F1236" t="str">
            <v/>
          </cell>
          <cell r="G1236" t="str">
            <v/>
          </cell>
        </row>
        <row r="1238">
          <cell r="A1238" t="str">
            <v>PRECIO UNITARIO TOTAL APROXIMADO AL PESO</v>
          </cell>
          <cell r="G1238" t="str">
            <v/>
          </cell>
        </row>
        <row r="1240">
          <cell r="B1240" t="str">
            <v/>
          </cell>
        </row>
        <row r="1241">
          <cell r="B1241" t="str">
            <v/>
          </cell>
        </row>
        <row r="1242">
          <cell r="B1242" t="str">
            <v/>
          </cell>
        </row>
        <row r="1243">
          <cell r="B1243" t="str">
            <v/>
          </cell>
          <cell r="D1243" t="str">
            <v>FIRMA RESPONSABLE</v>
          </cell>
        </row>
        <row r="1244">
          <cell r="A1244" t="str">
            <v>DEPARTAMENTO DE ANTIOQUIA</v>
          </cell>
          <cell r="F1244" t="str">
            <v/>
          </cell>
        </row>
        <row r="1245">
          <cell r="A1245" t="str">
            <v/>
          </cell>
        </row>
        <row r="1246">
          <cell r="A1246" t="str">
            <v xml:space="preserve">PROYECTO: </v>
          </cell>
        </row>
        <row r="1248">
          <cell r="A1248" t="str">
            <v>ANÁLISIS DE PRECIOS UNITARIOS AUXILIARES</v>
          </cell>
        </row>
        <row r="1250">
          <cell r="A1250" t="str">
            <v>ITEM</v>
          </cell>
          <cell r="B1250" t="str">
            <v>DESCRIPCIÓN</v>
          </cell>
          <cell r="E1250" t="str">
            <v>UNIDAD</v>
          </cell>
          <cell r="F1250" t="str">
            <v>CANTIDAD</v>
          </cell>
          <cell r="G1250" t="str">
            <v>COSTO DIRECTO</v>
          </cell>
        </row>
        <row r="1251">
          <cell r="A1251" t="str">
            <v>SA021</v>
          </cell>
          <cell r="B1251" t="str">
            <v>COMISIÓN TOPOGRÁFICA (1 TOP. + 1 CAD. 1). Comisión de topografía para localización, trazado y replanteo con equipo de precisión con estación total,  un (1) topógrafo, un (1) cadenero.</v>
          </cell>
          <cell r="E1251" t="str">
            <v>DÍA</v>
          </cell>
          <cell r="F1251" t="str">
            <v>N.D.</v>
          </cell>
          <cell r="G1251">
            <v>347166</v>
          </cell>
        </row>
        <row r="1253">
          <cell r="A1253" t="str">
            <v>1. COSTOS DIRECTOS</v>
          </cell>
        </row>
        <row r="1255">
          <cell r="A1255" t="str">
            <v>I. EQUIPO</v>
          </cell>
        </row>
        <row r="1256">
          <cell r="A1256" t="str">
            <v>CÓDIGO</v>
          </cell>
          <cell r="B1256" t="str">
            <v>DESCRIPCIÓN</v>
          </cell>
          <cell r="D1256" t="str">
            <v>UNIDAD</v>
          </cell>
          <cell r="E1256" t="str">
            <v>TARIFA</v>
          </cell>
          <cell r="F1256" t="str">
            <v>RENDIMIENTO</v>
          </cell>
          <cell r="G1256" t="str">
            <v>VR. UNITARIO</v>
          </cell>
        </row>
        <row r="1257">
          <cell r="A1257" t="str">
            <v>GE017</v>
          </cell>
          <cell r="B1257" t="str">
            <v>ESTACIÓN TOTAL</v>
          </cell>
          <cell r="D1257" t="str">
            <v>DÍA</v>
          </cell>
          <cell r="E1257">
            <v>78710</v>
          </cell>
          <cell r="F1257">
            <v>1</v>
          </cell>
          <cell r="G1257">
            <v>78710</v>
          </cell>
        </row>
        <row r="1258">
          <cell r="A1258" t="str">
            <v>GE018</v>
          </cell>
          <cell r="B1258" t="str">
            <v>NIVEL DE PRECISIÓN</v>
          </cell>
          <cell r="D1258" t="str">
            <v>DÍA</v>
          </cell>
          <cell r="E1258">
            <v>45260</v>
          </cell>
          <cell r="F1258">
            <v>1</v>
          </cell>
          <cell r="G1258">
            <v>45260</v>
          </cell>
        </row>
        <row r="1259">
          <cell r="A1259" t="str">
            <v/>
          </cell>
          <cell r="D1259" t="str">
            <v/>
          </cell>
          <cell r="E1259" t="str">
            <v/>
          </cell>
          <cell r="F1259">
            <v>1</v>
          </cell>
          <cell r="G1259" t="str">
            <v/>
          </cell>
        </row>
        <row r="1260">
          <cell r="A1260" t="str">
            <v/>
          </cell>
          <cell r="D1260" t="str">
            <v/>
          </cell>
          <cell r="E1260" t="str">
            <v/>
          </cell>
          <cell r="F1260">
            <v>1</v>
          </cell>
          <cell r="G1260" t="str">
            <v/>
          </cell>
        </row>
        <row r="1261">
          <cell r="A1261" t="str">
            <v>HEQ001</v>
          </cell>
          <cell r="B1261" t="str">
            <v>HERRAMIENTA MENOR (5% DE LA MANO DE OBRA)</v>
          </cell>
          <cell r="D1261" t="str">
            <v>%</v>
          </cell>
          <cell r="E1261">
            <v>0.05</v>
          </cell>
          <cell r="F1261">
            <v>183805</v>
          </cell>
          <cell r="G1261">
            <v>9190.25</v>
          </cell>
        </row>
        <row r="1262">
          <cell r="F1262" t="str">
            <v>SUBTOTAL</v>
          </cell>
          <cell r="G1262">
            <v>133160.25</v>
          </cell>
        </row>
        <row r="1264">
          <cell r="A1264" t="str">
            <v>II. MATERIALES</v>
          </cell>
        </row>
        <row r="1265">
          <cell r="A1265" t="str">
            <v>CÓDIGO</v>
          </cell>
          <cell r="B1265" t="str">
            <v>DESCRIPCIÓN</v>
          </cell>
          <cell r="C1265" t="str">
            <v>UNIDAD</v>
          </cell>
          <cell r="D1265" t="str">
            <v>CANTIDAD</v>
          </cell>
          <cell r="E1265" t="str">
            <v>DESP.</v>
          </cell>
          <cell r="F1265" t="str">
            <v>PRECIO UNIT.</v>
          </cell>
          <cell r="G1265" t="str">
            <v>VR. UNITARIO</v>
          </cell>
        </row>
        <row r="1266">
          <cell r="A1266" t="str">
            <v>MA011</v>
          </cell>
          <cell r="B1266" t="str">
            <v>LARGUERO MADERA COMÚN 4CMX8CMX2.80</v>
          </cell>
          <cell r="C1266" t="str">
            <v>LT</v>
          </cell>
          <cell r="D1266">
            <v>4</v>
          </cell>
          <cell r="F1266">
            <v>50</v>
          </cell>
          <cell r="G1266">
            <v>200</v>
          </cell>
        </row>
        <row r="1267">
          <cell r="A1267" t="str">
            <v>MA013</v>
          </cell>
          <cell r="B1267" t="str">
            <v>CLAVOS COMUNES 1½ A 3½"</v>
          </cell>
          <cell r="C1267" t="str">
            <v>M3</v>
          </cell>
          <cell r="D1267">
            <v>0.5</v>
          </cell>
          <cell r="F1267">
            <v>60002</v>
          </cell>
          <cell r="G1267">
            <v>30001</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A1272" t="str">
            <v/>
          </cell>
          <cell r="C1272" t="str">
            <v/>
          </cell>
          <cell r="F1272" t="str">
            <v/>
          </cell>
          <cell r="G1272" t="str">
            <v/>
          </cell>
        </row>
        <row r="1273">
          <cell r="F1273" t="str">
            <v>SUBTOTAL</v>
          </cell>
          <cell r="G1273">
            <v>30201</v>
          </cell>
        </row>
        <row r="1275">
          <cell r="A1275" t="str">
            <v>III. TRANSPORTES</v>
          </cell>
        </row>
        <row r="1276">
          <cell r="A1276" t="str">
            <v>CÓDIGO</v>
          </cell>
          <cell r="B1276" t="str">
            <v>DESCRIPCIÓN</v>
          </cell>
          <cell r="C1276" t="str">
            <v>TIPO</v>
          </cell>
          <cell r="D1276" t="str">
            <v>VOLUMEN/PESO</v>
          </cell>
          <cell r="E1276" t="str">
            <v>DISTANCIA</v>
          </cell>
          <cell r="F1276" t="str">
            <v>TARIFA</v>
          </cell>
          <cell r="G1276" t="str">
            <v>VR. UNITARIO</v>
          </cell>
        </row>
        <row r="1277">
          <cell r="A1277" t="str">
            <v/>
          </cell>
          <cell r="F1277" t="str">
            <v/>
          </cell>
          <cell r="G1277" t="str">
            <v/>
          </cell>
        </row>
        <row r="1278">
          <cell r="A1278" t="str">
            <v/>
          </cell>
          <cell r="F1278" t="str">
            <v/>
          </cell>
          <cell r="G1278" t="str">
            <v/>
          </cell>
        </row>
        <row r="1279">
          <cell r="A1279" t="str">
            <v/>
          </cell>
          <cell r="F1279" t="str">
            <v/>
          </cell>
          <cell r="G1279" t="str">
            <v/>
          </cell>
        </row>
        <row r="1280">
          <cell r="F1280" t="str">
            <v>SUBTOTAL</v>
          </cell>
          <cell r="G1280" t="str">
            <v/>
          </cell>
        </row>
        <row r="1282">
          <cell r="A1282" t="str">
            <v>IV. MANO DE OBRA</v>
          </cell>
        </row>
        <row r="1283">
          <cell r="A1283" t="str">
            <v>CÓDIGO</v>
          </cell>
          <cell r="B1283" t="str">
            <v>CARGOS PERSONAL</v>
          </cell>
          <cell r="D1283" t="str">
            <v>CANTIDAD</v>
          </cell>
          <cell r="E1283" t="str">
            <v>JORNAL TOTAL</v>
          </cell>
          <cell r="F1283" t="str">
            <v>RENDIMIENTO</v>
          </cell>
          <cell r="G1283" t="str">
            <v>VR. UNITARIO</v>
          </cell>
        </row>
        <row r="1284">
          <cell r="A1284" t="str">
            <v>MO016</v>
          </cell>
          <cell r="B1284" t="str">
            <v>TOPÓGRAFO</v>
          </cell>
          <cell r="D1284">
            <v>1</v>
          </cell>
          <cell r="E1284">
            <v>120372</v>
          </cell>
          <cell r="F1284">
            <v>1</v>
          </cell>
          <cell r="G1284">
            <v>120372</v>
          </cell>
        </row>
        <row r="1285">
          <cell r="A1285" t="str">
            <v>MO017</v>
          </cell>
          <cell r="B1285" t="str">
            <v>CADENERO 1</v>
          </cell>
          <cell r="D1285">
            <v>1</v>
          </cell>
          <cell r="E1285">
            <v>63433</v>
          </cell>
          <cell r="F1285">
            <v>1</v>
          </cell>
          <cell r="G1285">
            <v>63433</v>
          </cell>
        </row>
        <row r="1286">
          <cell r="A1286" t="str">
            <v/>
          </cell>
          <cell r="E1286" t="str">
            <v/>
          </cell>
          <cell r="F1286" t="str">
            <v/>
          </cell>
          <cell r="G1286" t="str">
            <v/>
          </cell>
        </row>
        <row r="1287">
          <cell r="A1287" t="str">
            <v/>
          </cell>
          <cell r="E1287" t="str">
            <v/>
          </cell>
          <cell r="F1287" t="str">
            <v/>
          </cell>
          <cell r="G1287" t="str">
            <v/>
          </cell>
        </row>
        <row r="1288">
          <cell r="F1288" t="str">
            <v>SUBTOTAL</v>
          </cell>
          <cell r="G1288">
            <v>183805</v>
          </cell>
        </row>
        <row r="1290">
          <cell r="A1290" t="str">
            <v>V. SERVICIOS</v>
          </cell>
        </row>
        <row r="1291">
          <cell r="A1291" t="str">
            <v>CÓDIGO</v>
          </cell>
          <cell r="B1291" t="str">
            <v>DESCRIPCIÓN</v>
          </cell>
          <cell r="D1291" t="str">
            <v>UNIDAD</v>
          </cell>
          <cell r="E1291" t="str">
            <v>CANTIDAD</v>
          </cell>
          <cell r="F1291" t="str">
            <v>PRECIO UNIT.</v>
          </cell>
          <cell r="G1291" t="str">
            <v>VR. UNITARIO</v>
          </cell>
        </row>
        <row r="1292">
          <cell r="A1292" t="str">
            <v/>
          </cell>
          <cell r="D1292" t="str">
            <v/>
          </cell>
          <cell r="F1292" t="str">
            <v/>
          </cell>
          <cell r="G1292" t="str">
            <v/>
          </cell>
        </row>
        <row r="1293">
          <cell r="A1293" t="str">
            <v/>
          </cell>
          <cell r="D1293" t="str">
            <v/>
          </cell>
          <cell r="F1293" t="str">
            <v/>
          </cell>
          <cell r="G1293" t="str">
            <v/>
          </cell>
        </row>
        <row r="1294">
          <cell r="A1294" t="str">
            <v/>
          </cell>
          <cell r="D1294" t="str">
            <v/>
          </cell>
          <cell r="F1294" t="str">
            <v/>
          </cell>
          <cell r="G1294" t="str">
            <v/>
          </cell>
        </row>
        <row r="1295">
          <cell r="F1295" t="str">
            <v>SUBTOTAL</v>
          </cell>
          <cell r="G1295" t="str">
            <v/>
          </cell>
        </row>
        <row r="1297">
          <cell r="A1297" t="str">
            <v>TOTAL COSTO DIRECTO</v>
          </cell>
          <cell r="G1297">
            <v>347166</v>
          </cell>
        </row>
        <row r="1299">
          <cell r="A1299" t="str">
            <v>2. COSTOS INDIRECTOS</v>
          </cell>
        </row>
        <row r="1301">
          <cell r="A1301" t="str">
            <v>DESCRIPCIÓN</v>
          </cell>
          <cell r="F1301" t="str">
            <v>PORCENTAJE</v>
          </cell>
          <cell r="G1301" t="str">
            <v>VALOR TOTAL</v>
          </cell>
        </row>
        <row r="1302">
          <cell r="A1302" t="str">
            <v>ADMINISTRACION</v>
          </cell>
          <cell r="F1302">
            <v>0</v>
          </cell>
          <cell r="G1302">
            <v>0</v>
          </cell>
        </row>
        <row r="1303">
          <cell r="A1303" t="str">
            <v>IMPREVISTOS</v>
          </cell>
          <cell r="F1303" t="str">
            <v/>
          </cell>
          <cell r="G1303" t="str">
            <v/>
          </cell>
        </row>
        <row r="1304">
          <cell r="A1304" t="str">
            <v>UTILIDADES</v>
          </cell>
          <cell r="F1304" t="str">
            <v/>
          </cell>
          <cell r="G1304" t="str">
            <v/>
          </cell>
        </row>
        <row r="1305">
          <cell r="A1305" t="str">
            <v>TOTAL COSTO INDIRECTO</v>
          </cell>
          <cell r="F1305" t="str">
            <v/>
          </cell>
          <cell r="G1305" t="str">
            <v/>
          </cell>
        </row>
        <row r="1307">
          <cell r="A1307" t="str">
            <v>PRECIO UNITARIO TOTAL APROXIMADO AL PESO</v>
          </cell>
          <cell r="G1307" t="str">
            <v/>
          </cell>
        </row>
      </sheetData>
      <sheetData sheetId="19">
        <row r="1">
          <cell r="A1" t="str">
            <v>DEPARTAMENTO DE ANTIOQUIA</v>
          </cell>
          <cell r="F1" t="str">
            <v/>
          </cell>
        </row>
        <row r="2">
          <cell r="A2" t="str">
            <v>MUNICIPIO DE CIUDAD BOLÍVAR</v>
          </cell>
        </row>
        <row r="3">
          <cell r="A3" t="str">
            <v>PROYECTO: MEJORAMIENTO DE VÍAS TERCIARIAS, PARA LA REACTIVACIÓN ECONÓMICA, EN LOS MUNICIPIOS DE CIUDAD BOLÍVAR, HISPANIA, SALGAR Y BETANIA, EN EL DEPARTAMENTO DE ANTIOQUIA.</v>
          </cell>
        </row>
        <row r="5">
          <cell r="A5" t="str">
            <v>ANÁLISIS DE PRECIOS UNITARIOS AUXILIARES</v>
          </cell>
        </row>
        <row r="7">
          <cell r="A7" t="str">
            <v>ITEM</v>
          </cell>
          <cell r="B7" t="str">
            <v>DESCRIPCIÓN</v>
          </cell>
          <cell r="E7" t="str">
            <v>UNIDAD</v>
          </cell>
          <cell r="F7" t="str">
            <v>CANTIDAD</v>
          </cell>
          <cell r="G7" t="str">
            <v>COSTO DIRECTO</v>
          </cell>
        </row>
        <row r="8">
          <cell r="A8" t="str">
            <v>SA018</v>
          </cell>
          <cell r="B8" t="str">
            <v>CONCRETO 2000 PSI (140 MPA) EN OBRA (MUNICIPIO DE CIUDAD BOLIVAR)</v>
          </cell>
          <cell r="E8" t="str">
            <v>M3</v>
          </cell>
          <cell r="F8" t="str">
            <v>N.D.</v>
          </cell>
          <cell r="G8">
            <v>352516</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53440</v>
          </cell>
          <cell r="F14">
            <v>9</v>
          </cell>
          <cell r="G14">
            <v>5937.7777777777774</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46441.333333333328</v>
          </cell>
          <cell r="G18">
            <v>2322.0666666666666</v>
          </cell>
        </row>
        <row r="19">
          <cell r="F19" t="str">
            <v>SUBTOTAL</v>
          </cell>
          <cell r="G19">
            <v>8259.8444444444431</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 Incluye transporte. (MUNICIPIO DE BETANIA)</v>
          </cell>
          <cell r="C23" t="str">
            <v>SC</v>
          </cell>
          <cell r="D23">
            <v>4.83</v>
          </cell>
          <cell r="F23">
            <v>32850</v>
          </cell>
          <cell r="G23">
            <v>158665.5</v>
          </cell>
        </row>
        <row r="24">
          <cell r="A24" t="str">
            <v>MA009</v>
          </cell>
          <cell r="B24" t="str">
            <v>ARENA FINA PARA CONCRETOS</v>
          </cell>
          <cell r="C24" t="str">
            <v>M3</v>
          </cell>
          <cell r="D24">
            <v>0.57999999999999996</v>
          </cell>
          <cell r="F24">
            <v>57049</v>
          </cell>
          <cell r="G24">
            <v>33088.42</v>
          </cell>
        </row>
        <row r="25">
          <cell r="A25" t="str">
            <v>MA010</v>
          </cell>
          <cell r="B25" t="str">
            <v>TRITURADO 3/4"</v>
          </cell>
          <cell r="C25" t="str">
            <v>M3</v>
          </cell>
          <cell r="D25">
            <v>0.97</v>
          </cell>
          <cell r="F25">
            <v>54880</v>
          </cell>
          <cell r="G25">
            <v>53233.599999999999</v>
          </cell>
        </row>
        <row r="26">
          <cell r="A26" t="str">
            <v>MA011</v>
          </cell>
          <cell r="B26" t="str">
            <v>AGUA</v>
          </cell>
          <cell r="C26" t="str">
            <v>LT</v>
          </cell>
          <cell r="D26">
            <v>170</v>
          </cell>
          <cell r="E26">
            <v>0.1</v>
          </cell>
          <cell r="F26">
            <v>50</v>
          </cell>
          <cell r="G26">
            <v>9350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254337.52</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1.5499999999999998</v>
          </cell>
          <cell r="E34">
            <v>21.66</v>
          </cell>
          <cell r="F34">
            <v>1295</v>
          </cell>
          <cell r="G34">
            <v>43477.034999999989</v>
          </cell>
        </row>
        <row r="35">
          <cell r="A35" t="str">
            <v/>
          </cell>
          <cell r="F35" t="str">
            <v/>
          </cell>
          <cell r="G35" t="str">
            <v/>
          </cell>
        </row>
        <row r="36">
          <cell r="A36" t="str">
            <v/>
          </cell>
          <cell r="F36" t="str">
            <v/>
          </cell>
          <cell r="G36" t="str">
            <v/>
          </cell>
        </row>
        <row r="37">
          <cell r="F37" t="str">
            <v>SUBTOTAL</v>
          </cell>
          <cell r="G37">
            <v>43477.034999999989</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100807</v>
          </cell>
          <cell r="F41">
            <v>9</v>
          </cell>
          <cell r="G41">
            <v>11200.777777777777</v>
          </cell>
        </row>
        <row r="42">
          <cell r="A42" t="str">
            <v>MO032</v>
          </cell>
          <cell r="B42" t="str">
            <v>AYUDANTE RASO</v>
          </cell>
          <cell r="D42">
            <v>5</v>
          </cell>
          <cell r="E42">
            <v>63433</v>
          </cell>
          <cell r="F42">
            <v>9</v>
          </cell>
          <cell r="G42">
            <v>35240.555555555555</v>
          </cell>
        </row>
        <row r="43">
          <cell r="A43" t="str">
            <v/>
          </cell>
          <cell r="E43" t="str">
            <v/>
          </cell>
          <cell r="F43" t="str">
            <v/>
          </cell>
          <cell r="G43" t="str">
            <v/>
          </cell>
        </row>
        <row r="44">
          <cell r="A44" t="str">
            <v/>
          </cell>
          <cell r="E44" t="str">
            <v/>
          </cell>
          <cell r="F44" t="str">
            <v/>
          </cell>
          <cell r="G44" t="str">
            <v/>
          </cell>
        </row>
        <row r="45">
          <cell r="F45" t="str">
            <v>SUBTOTAL</v>
          </cell>
          <cell r="G45">
            <v>46441.333333333328</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352516</v>
          </cell>
        </row>
        <row r="56">
          <cell r="A56" t="str">
            <v>2. COSTOS INDIRECTOS</v>
          </cell>
        </row>
        <row r="58">
          <cell r="A58" t="str">
            <v>DESCRIPCIÓN</v>
          </cell>
          <cell r="F58" t="str">
            <v>PORCENTAJE</v>
          </cell>
          <cell r="G58" t="str">
            <v>VALOR TOTAL</v>
          </cell>
        </row>
        <row r="59">
          <cell r="A59" t="str">
            <v>ADMINISTRACION</v>
          </cell>
          <cell r="F59">
            <v>0.25440000000000002</v>
          </cell>
          <cell r="G59">
            <v>89680.070400000011</v>
          </cell>
        </row>
        <row r="60">
          <cell r="A60" t="str">
            <v>IMPREVISTOS</v>
          </cell>
          <cell r="F60">
            <v>0.01</v>
          </cell>
          <cell r="G60">
            <v>3525.16</v>
          </cell>
        </row>
        <row r="61">
          <cell r="A61" t="str">
            <v>UTILIDADES</v>
          </cell>
          <cell r="F61">
            <v>0.05</v>
          </cell>
          <cell r="G61">
            <v>17625.8</v>
          </cell>
        </row>
        <row r="62">
          <cell r="A62" t="str">
            <v>TOTAL COSTO INDIRECTO</v>
          </cell>
          <cell r="F62">
            <v>0.31440000000000001</v>
          </cell>
          <cell r="G62">
            <v>110831</v>
          </cell>
        </row>
        <row r="64">
          <cell r="A64" t="str">
            <v>PRECIO UNITARIO TOTAL APROXIMADO AL PESO</v>
          </cell>
          <cell r="G64">
            <v>463347</v>
          </cell>
        </row>
        <row r="66">
          <cell r="B66" t="str">
            <v>RESPONSABLE: HAROLDO A. ARTEAGA ESPINOSA</v>
          </cell>
        </row>
        <row r="67">
          <cell r="B67" t="str">
            <v>ASESOR DE PROYECTOS</v>
          </cell>
        </row>
        <row r="68">
          <cell r="B68" t="str">
            <v/>
          </cell>
        </row>
        <row r="69">
          <cell r="B69" t="str">
            <v>M.P. 22202-175769 COR</v>
          </cell>
          <cell r="D69" t="str">
            <v>FIRMA RESPONSABLE</v>
          </cell>
        </row>
        <row r="70">
          <cell r="A70" t="str">
            <v>DEPARTAMENTO DE ANTIOQUIA</v>
          </cell>
          <cell r="F70" t="str">
            <v/>
          </cell>
        </row>
        <row r="71">
          <cell r="A71" t="str">
            <v>MUNICIPIO DE CIUDAD BOLÍVAR</v>
          </cell>
        </row>
        <row r="72">
          <cell r="A72" t="str">
            <v>PROYECTO: MEJORAMIENTO DE VÍAS TERCIARIAS, PARA LA REACTIVACIÓN ECONÓMICA, EN LOS MUNICIPIOS DE CIUDAD BOLÍVAR, HISPANIA, SALGAR Y BETANIA, EN EL DEPARTAMENTO DE ANTIOQUIA.</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SA019</v>
          </cell>
          <cell r="B77" t="str">
            <v>CONCRETO 2500 PSI (175 MPA) EN OBRA (MUNICIPIO DE CIUDAD BOLIVAR)</v>
          </cell>
          <cell r="E77" t="str">
            <v>M3</v>
          </cell>
          <cell r="F77" t="str">
            <v>N.D.</v>
          </cell>
          <cell r="G77">
            <v>387676</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53440</v>
          </cell>
          <cell r="F83">
            <v>8</v>
          </cell>
          <cell r="G83">
            <v>6680</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36388.25</v>
          </cell>
          <cell r="G87">
            <v>1819.4125000000001</v>
          </cell>
        </row>
        <row r="88">
          <cell r="F88" t="str">
            <v>SUBTOTAL</v>
          </cell>
          <cell r="G88">
            <v>8499.4125000000004</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MA002</v>
          </cell>
          <cell r="B92" t="str">
            <v>CEMENTO GRIS (50 KG) PORTLAND TIPO I. Incluye transporte. (MUNICIPIO DE CIUDAD BOLIVAR)</v>
          </cell>
          <cell r="C92" t="str">
            <v>SC</v>
          </cell>
          <cell r="D92">
            <v>6</v>
          </cell>
          <cell r="E92">
            <v>0.05</v>
          </cell>
          <cell r="F92">
            <v>32850</v>
          </cell>
          <cell r="G92">
            <v>206955</v>
          </cell>
        </row>
        <row r="93">
          <cell r="A93" t="str">
            <v>MA009</v>
          </cell>
          <cell r="B93" t="str">
            <v>ARENA FINA PARA CONCRETOS</v>
          </cell>
          <cell r="C93" t="str">
            <v>M3</v>
          </cell>
          <cell r="D93">
            <v>0.48</v>
          </cell>
          <cell r="E93">
            <v>0.05</v>
          </cell>
          <cell r="F93">
            <v>57049</v>
          </cell>
          <cell r="G93">
            <v>28752.696</v>
          </cell>
        </row>
        <row r="94">
          <cell r="A94" t="str">
            <v>MA010</v>
          </cell>
          <cell r="B94" t="str">
            <v>TRITURADO 3/4"</v>
          </cell>
          <cell r="C94" t="str">
            <v>M3</v>
          </cell>
          <cell r="D94">
            <v>0.96</v>
          </cell>
          <cell r="E94">
            <v>0.05</v>
          </cell>
          <cell r="F94">
            <v>54880</v>
          </cell>
          <cell r="G94">
            <v>55319.040000000001</v>
          </cell>
        </row>
        <row r="95">
          <cell r="A95" t="str">
            <v>MA011</v>
          </cell>
          <cell r="B95" t="str">
            <v>AGUA</v>
          </cell>
          <cell r="C95" t="str">
            <v>LT</v>
          </cell>
          <cell r="D95">
            <v>170</v>
          </cell>
          <cell r="E95">
            <v>0.1</v>
          </cell>
          <cell r="F95">
            <v>50</v>
          </cell>
          <cell r="G95">
            <v>9350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300376.73599999998</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21.66</v>
          </cell>
          <cell r="F103">
            <v>1295</v>
          </cell>
          <cell r="G103">
            <v>42411.146400000005</v>
          </cell>
        </row>
        <row r="104">
          <cell r="A104" t="str">
            <v/>
          </cell>
          <cell r="F104" t="str">
            <v/>
          </cell>
          <cell r="G104" t="str">
            <v/>
          </cell>
        </row>
        <row r="105">
          <cell r="A105" t="str">
            <v/>
          </cell>
          <cell r="F105" t="str">
            <v/>
          </cell>
          <cell r="G105" t="str">
            <v/>
          </cell>
        </row>
        <row r="106">
          <cell r="F106" t="str">
            <v>SUBTOTAL</v>
          </cell>
          <cell r="G106">
            <v>42411.146400000005</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100807</v>
          </cell>
          <cell r="F110">
            <v>8</v>
          </cell>
          <cell r="G110">
            <v>12600.875</v>
          </cell>
        </row>
        <row r="111">
          <cell r="A111" t="str">
            <v>MO032</v>
          </cell>
          <cell r="B111" t="str">
            <v>AYUDANTE RASO</v>
          </cell>
          <cell r="D111">
            <v>3</v>
          </cell>
          <cell r="E111">
            <v>63433</v>
          </cell>
          <cell r="F111">
            <v>8</v>
          </cell>
          <cell r="G111">
            <v>23787.375</v>
          </cell>
        </row>
        <row r="112">
          <cell r="A112" t="str">
            <v/>
          </cell>
          <cell r="E112" t="str">
            <v/>
          </cell>
          <cell r="F112" t="str">
            <v/>
          </cell>
          <cell r="G112" t="str">
            <v/>
          </cell>
        </row>
        <row r="113">
          <cell r="A113" t="str">
            <v/>
          </cell>
          <cell r="E113" t="str">
            <v/>
          </cell>
          <cell r="F113" t="str">
            <v/>
          </cell>
          <cell r="G113" t="str">
            <v/>
          </cell>
        </row>
        <row r="114">
          <cell r="F114" t="str">
            <v>SUBTOTAL</v>
          </cell>
          <cell r="G114">
            <v>36388.25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387676</v>
          </cell>
        </row>
        <row r="125">
          <cell r="A125" t="str">
            <v>2. COSTOS INDIRECTOS</v>
          </cell>
        </row>
        <row r="127">
          <cell r="A127" t="str">
            <v>DESCRIPCIÓN</v>
          </cell>
          <cell r="F127" t="str">
            <v>PORCENTAJE</v>
          </cell>
          <cell r="G127" t="str">
            <v>VALOR TOTAL</v>
          </cell>
        </row>
        <row r="128">
          <cell r="A128" t="str">
            <v>ADMINISTRACION</v>
          </cell>
          <cell r="F128">
            <v>0.25440000000000002</v>
          </cell>
          <cell r="G128">
            <v>98624.774400000009</v>
          </cell>
        </row>
        <row r="129">
          <cell r="A129" t="str">
            <v>IMPREVISTOS</v>
          </cell>
          <cell r="F129">
            <v>0.01</v>
          </cell>
          <cell r="G129">
            <v>3876.76</v>
          </cell>
        </row>
        <row r="130">
          <cell r="A130" t="str">
            <v>UTILIDADES</v>
          </cell>
          <cell r="F130">
            <v>0.05</v>
          </cell>
          <cell r="G130">
            <v>19383.8</v>
          </cell>
        </row>
        <row r="131">
          <cell r="A131" t="str">
            <v>TOTAL COSTO INDIRECTO</v>
          </cell>
          <cell r="F131">
            <v>0.31440000000000001</v>
          </cell>
          <cell r="G131">
            <v>121885</v>
          </cell>
        </row>
        <row r="133">
          <cell r="A133" t="str">
            <v>PRECIO UNITARIO TOTAL APROXIMADO AL PESO</v>
          </cell>
          <cell r="G133">
            <v>509561</v>
          </cell>
        </row>
        <row r="135">
          <cell r="B135" t="str">
            <v>RESPONSABLE: HAROLDO A. ARTEAGA ESPINOSA</v>
          </cell>
        </row>
        <row r="136">
          <cell r="B136" t="str">
            <v>ASESOR DE PROYECTOS</v>
          </cell>
        </row>
        <row r="137">
          <cell r="B137" t="str">
            <v/>
          </cell>
        </row>
        <row r="138">
          <cell r="B138" t="str">
            <v>M.P. 22202-175769 COR</v>
          </cell>
          <cell r="D138" t="str">
            <v>FIRMA RESPONSABLE</v>
          </cell>
        </row>
        <row r="139">
          <cell r="A139" t="str">
            <v>DEPARTAMENTO DE ANTIOQUIA</v>
          </cell>
          <cell r="F139" t="str">
            <v/>
          </cell>
        </row>
        <row r="140">
          <cell r="A140" t="str">
            <v>MUNICIPIO DE CIUDAD BOLÍVAR</v>
          </cell>
        </row>
        <row r="141">
          <cell r="A141" t="str">
            <v>PROYECTO: MEJORAMIENTO DE VÍAS TERCIARIAS, PARA LA REACTIVACIÓN ECONÓMICA, EN LOS MUNICIPIOS DE CIUDAD BOLÍVAR, HISPANIA, SALGAR Y BETANIA, EN EL DEPARTAMENTO DE ANTIOQUIA.</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SA020</v>
          </cell>
          <cell r="B146" t="str">
            <v>CONCRETO 3000 PSI (210 MPA) EN OBRA (MUNICIPIO DE CIUDAD BOLIVAR)</v>
          </cell>
          <cell r="E146" t="str">
            <v>M3</v>
          </cell>
          <cell r="F146" t="str">
            <v>N.D.</v>
          </cell>
          <cell r="G146">
            <v>439254</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53440</v>
          </cell>
          <cell r="F152">
            <v>7.5</v>
          </cell>
          <cell r="G152">
            <v>7125.333333333333</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55729.599999999999</v>
          </cell>
          <cell r="G156">
            <v>2786.48</v>
          </cell>
        </row>
        <row r="157">
          <cell r="F157" t="str">
            <v>SUBTOTAL</v>
          </cell>
          <cell r="G157">
            <v>9911.8133333333335</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 Incluye transporte. (MUNICIPIO DE BETANIA)</v>
          </cell>
          <cell r="C161" t="str">
            <v>SC</v>
          </cell>
          <cell r="D161">
            <v>7.35</v>
          </cell>
          <cell r="F161">
            <v>32850</v>
          </cell>
          <cell r="G161">
            <v>241447.5</v>
          </cell>
        </row>
        <row r="162">
          <cell r="A162" t="str">
            <v>MA009</v>
          </cell>
          <cell r="B162" t="str">
            <v>ARENA FINA PARA CONCRETOS</v>
          </cell>
          <cell r="C162" t="str">
            <v>M3</v>
          </cell>
          <cell r="D162">
            <v>0.57999999999999996</v>
          </cell>
          <cell r="F162">
            <v>57049</v>
          </cell>
          <cell r="G162">
            <v>33088.42</v>
          </cell>
        </row>
        <row r="163">
          <cell r="A163" t="str">
            <v>MA010</v>
          </cell>
          <cell r="B163" t="str">
            <v>TRITURADO 3/4"</v>
          </cell>
          <cell r="C163" t="str">
            <v>M3</v>
          </cell>
          <cell r="D163">
            <v>0.89</v>
          </cell>
          <cell r="F163">
            <v>54880</v>
          </cell>
          <cell r="G163">
            <v>48843.200000000004</v>
          </cell>
        </row>
        <row r="164">
          <cell r="A164" t="str">
            <v>MA011</v>
          </cell>
          <cell r="B164" t="str">
            <v>AGUA</v>
          </cell>
          <cell r="C164" t="str">
            <v>LT</v>
          </cell>
          <cell r="D164">
            <v>180</v>
          </cell>
          <cell r="F164">
            <v>50</v>
          </cell>
          <cell r="G164">
            <v>9000</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332379.12</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21.66</v>
          </cell>
          <cell r="F172">
            <v>1295</v>
          </cell>
          <cell r="G172">
            <v>41233.059000000001</v>
          </cell>
        </row>
        <row r="173">
          <cell r="A173" t="str">
            <v/>
          </cell>
          <cell r="F173" t="str">
            <v/>
          </cell>
          <cell r="G173" t="str">
            <v/>
          </cell>
        </row>
        <row r="174">
          <cell r="A174" t="str">
            <v/>
          </cell>
          <cell r="F174" t="str">
            <v/>
          </cell>
          <cell r="G174" t="str">
            <v/>
          </cell>
        </row>
        <row r="175">
          <cell r="F175" t="str">
            <v>SUBTOTAL</v>
          </cell>
          <cell r="G175">
            <v>41233.059000000001</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100807</v>
          </cell>
          <cell r="F179">
            <v>7.5</v>
          </cell>
          <cell r="G179">
            <v>13440.933333333332</v>
          </cell>
        </row>
        <row r="180">
          <cell r="A180" t="str">
            <v>MO032</v>
          </cell>
          <cell r="B180" t="str">
            <v>AYUDANTE RASO</v>
          </cell>
          <cell r="D180">
            <v>5</v>
          </cell>
          <cell r="E180">
            <v>63433</v>
          </cell>
          <cell r="F180">
            <v>7.5</v>
          </cell>
          <cell r="G180">
            <v>42288.666666666664</v>
          </cell>
        </row>
        <row r="181">
          <cell r="A181" t="str">
            <v/>
          </cell>
          <cell r="E181" t="str">
            <v/>
          </cell>
          <cell r="F181" t="str">
            <v/>
          </cell>
          <cell r="G181" t="str">
            <v/>
          </cell>
        </row>
        <row r="182">
          <cell r="A182" t="str">
            <v/>
          </cell>
          <cell r="E182" t="str">
            <v/>
          </cell>
          <cell r="F182" t="str">
            <v/>
          </cell>
          <cell r="G182" t="str">
            <v/>
          </cell>
        </row>
        <row r="183">
          <cell r="F183" t="str">
            <v>SUBTOTAL</v>
          </cell>
          <cell r="G183">
            <v>55729.599999999999</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439254</v>
          </cell>
        </row>
        <row r="194">
          <cell r="A194" t="str">
            <v>2. COSTOS INDIRECTOS</v>
          </cell>
        </row>
        <row r="196">
          <cell r="A196" t="str">
            <v>DESCRIPCIÓN</v>
          </cell>
          <cell r="F196" t="str">
            <v>PORCENTAJE</v>
          </cell>
          <cell r="G196" t="str">
            <v>VALOR TOTAL</v>
          </cell>
        </row>
        <row r="197">
          <cell r="A197" t="str">
            <v>ADMINISTRACION</v>
          </cell>
          <cell r="F197">
            <v>0.25440000000000002</v>
          </cell>
          <cell r="G197">
            <v>111746.2176</v>
          </cell>
        </row>
        <row r="198">
          <cell r="A198" t="str">
            <v>IMPREVISTOS</v>
          </cell>
          <cell r="F198">
            <v>0.01</v>
          </cell>
          <cell r="G198">
            <v>4392.54</v>
          </cell>
        </row>
        <row r="199">
          <cell r="A199" t="str">
            <v>UTILIDADES</v>
          </cell>
          <cell r="F199">
            <v>0.05</v>
          </cell>
          <cell r="G199">
            <v>21962.7</v>
          </cell>
        </row>
        <row r="200">
          <cell r="A200" t="str">
            <v>TOTAL COSTO INDIRECTO</v>
          </cell>
          <cell r="F200">
            <v>0.31440000000000001</v>
          </cell>
          <cell r="G200">
            <v>138101</v>
          </cell>
        </row>
        <row r="202">
          <cell r="A202" t="str">
            <v>PRECIO UNITARIO TOTAL APROXIMADO AL PESO</v>
          </cell>
          <cell r="G202">
            <v>577355</v>
          </cell>
        </row>
        <row r="204">
          <cell r="B204" t="str">
            <v>RESPONSABLE: HAROLDO A. ARTEAGA ESPINOSA</v>
          </cell>
        </row>
        <row r="205">
          <cell r="B205" t="str">
            <v>ASESOR DE PROYECTOS</v>
          </cell>
        </row>
        <row r="206">
          <cell r="B206" t="str">
            <v/>
          </cell>
        </row>
        <row r="207">
          <cell r="B207" t="str">
            <v>M.P. 22202-175769 COR</v>
          </cell>
          <cell r="D207" t="str">
            <v>FIRMA RESPONSABLE</v>
          </cell>
        </row>
        <row r="208">
          <cell r="A208" t="str">
            <v>DEPARTAMENTO DE ANTIOQUIA</v>
          </cell>
          <cell r="F208" t="str">
            <v/>
          </cell>
        </row>
        <row r="209">
          <cell r="A209" t="str">
            <v>MUNICIPIO DE CIUDAD BOLÍVAR</v>
          </cell>
        </row>
        <row r="210">
          <cell r="A210" t="str">
            <v>PROYECTO: MEJORAMIENTO DE VÍAS TERCIARIAS, PARA LA REACTIVACIÓN ECONÓMICA, EN LOS MUNICIPIOS DE CIUDAD BOLÍVAR, HISPANIA, SALGAR Y BETANIA, EN EL DEPARTAMENTO DE ANTIOQUIA.</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SA021</v>
          </cell>
          <cell r="B215" t="str">
            <v>CONCRETO 3500 PSI (245 MPA) EN OBRA (MUNICIPIO DE CIUDAD BOLIVAR)</v>
          </cell>
          <cell r="E215" t="str">
            <v>M3</v>
          </cell>
          <cell r="F215" t="str">
            <v>N.D.</v>
          </cell>
          <cell r="G215">
            <v>436171</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53440</v>
          </cell>
          <cell r="F221">
            <v>8</v>
          </cell>
          <cell r="G221">
            <v>6680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36388.25</v>
          </cell>
          <cell r="G225">
            <v>1819.4125000000001</v>
          </cell>
        </row>
        <row r="226">
          <cell r="F226" t="str">
            <v>SUBTOTAL</v>
          </cell>
          <cell r="G226">
            <v>8499.4125000000004</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MA002</v>
          </cell>
          <cell r="B230" t="str">
            <v>CEMENTO GRIS (50 KG) PORTLAND TIPO I. Incluye transporte. (MUNICIPIO DE CIUDAD BOLIVAR)</v>
          </cell>
          <cell r="C230" t="str">
            <v>SC</v>
          </cell>
          <cell r="D230">
            <v>7.6</v>
          </cell>
          <cell r="E230">
            <v>0.05</v>
          </cell>
          <cell r="F230">
            <v>32850</v>
          </cell>
          <cell r="G230">
            <v>262143</v>
          </cell>
        </row>
        <row r="231">
          <cell r="A231" t="str">
            <v>MA009</v>
          </cell>
          <cell r="B231" t="str">
            <v>ARENA FINA PARA CONCRETOS</v>
          </cell>
          <cell r="C231" t="str">
            <v>M3</v>
          </cell>
          <cell r="D231">
            <v>0.6</v>
          </cell>
          <cell r="E231">
            <v>0.05</v>
          </cell>
          <cell r="F231">
            <v>57049</v>
          </cell>
          <cell r="G231">
            <v>35940.870000000003</v>
          </cell>
        </row>
        <row r="232">
          <cell r="A232" t="str">
            <v>MA010</v>
          </cell>
          <cell r="B232" t="str">
            <v>TRITURADO 3/4"</v>
          </cell>
          <cell r="C232" t="str">
            <v>M3</v>
          </cell>
          <cell r="D232">
            <v>0.76</v>
          </cell>
          <cell r="E232">
            <v>0.05</v>
          </cell>
          <cell r="F232">
            <v>54880</v>
          </cell>
          <cell r="G232">
            <v>43794.240000000005</v>
          </cell>
        </row>
        <row r="233">
          <cell r="A233" t="str">
            <v>MA011</v>
          </cell>
          <cell r="B233" t="str">
            <v>AGUA</v>
          </cell>
          <cell r="C233" t="str">
            <v>LT</v>
          </cell>
          <cell r="D233">
            <v>170</v>
          </cell>
          <cell r="E233">
            <v>0.1</v>
          </cell>
          <cell r="F233">
            <v>50</v>
          </cell>
          <cell r="G233">
            <v>9350</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351228.11</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21.66</v>
          </cell>
          <cell r="F241">
            <v>1295</v>
          </cell>
          <cell r="G241">
            <v>40054.971599999997</v>
          </cell>
        </row>
        <row r="242">
          <cell r="A242" t="str">
            <v/>
          </cell>
          <cell r="F242" t="str">
            <v/>
          </cell>
          <cell r="G242" t="str">
            <v/>
          </cell>
        </row>
        <row r="243">
          <cell r="A243" t="str">
            <v/>
          </cell>
          <cell r="F243" t="str">
            <v/>
          </cell>
          <cell r="G243" t="str">
            <v/>
          </cell>
        </row>
        <row r="244">
          <cell r="F244" t="str">
            <v>SUBTOTAL</v>
          </cell>
          <cell r="G244">
            <v>40054.971599999997</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100807</v>
          </cell>
          <cell r="F248">
            <v>8</v>
          </cell>
          <cell r="G248">
            <v>12600.875</v>
          </cell>
        </row>
        <row r="249">
          <cell r="A249" t="str">
            <v>MO032</v>
          </cell>
          <cell r="B249" t="str">
            <v>AYUDANTE RASO</v>
          </cell>
          <cell r="D249">
            <v>3</v>
          </cell>
          <cell r="E249">
            <v>63433</v>
          </cell>
          <cell r="F249">
            <v>8</v>
          </cell>
          <cell r="G249">
            <v>23787.375</v>
          </cell>
        </row>
        <row r="250">
          <cell r="A250" t="str">
            <v/>
          </cell>
          <cell r="E250" t="str">
            <v/>
          </cell>
          <cell r="F250" t="str">
            <v/>
          </cell>
          <cell r="G250" t="str">
            <v/>
          </cell>
        </row>
        <row r="251">
          <cell r="A251" t="str">
            <v/>
          </cell>
          <cell r="E251" t="str">
            <v/>
          </cell>
          <cell r="F251" t="str">
            <v/>
          </cell>
          <cell r="G251" t="str">
            <v/>
          </cell>
        </row>
        <row r="252">
          <cell r="F252" t="str">
            <v>SUBTOTAL</v>
          </cell>
          <cell r="G252">
            <v>36388.25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436171</v>
          </cell>
        </row>
        <row r="263">
          <cell r="A263" t="str">
            <v>2. COSTOS INDIRECTOS</v>
          </cell>
        </row>
        <row r="265">
          <cell r="A265" t="str">
            <v>DESCRIPCIÓN</v>
          </cell>
          <cell r="F265" t="str">
            <v>PORCENTAJE</v>
          </cell>
          <cell r="G265" t="str">
            <v>VALOR TOTAL</v>
          </cell>
        </row>
        <row r="266">
          <cell r="A266" t="str">
            <v>ADMINISTRACION</v>
          </cell>
          <cell r="F266">
            <v>0.25440000000000002</v>
          </cell>
          <cell r="G266">
            <v>110961.90240000001</v>
          </cell>
        </row>
        <row r="267">
          <cell r="A267" t="str">
            <v>IMPREVISTOS</v>
          </cell>
          <cell r="F267">
            <v>0.01</v>
          </cell>
          <cell r="G267">
            <v>4361.71</v>
          </cell>
        </row>
        <row r="268">
          <cell r="A268" t="str">
            <v>UTILIDADES</v>
          </cell>
          <cell r="F268">
            <v>0.05</v>
          </cell>
          <cell r="G268">
            <v>21808.550000000003</v>
          </cell>
        </row>
        <row r="269">
          <cell r="A269" t="str">
            <v>TOTAL COSTO INDIRECTO</v>
          </cell>
          <cell r="F269">
            <v>0.31440000000000001</v>
          </cell>
          <cell r="G269">
            <v>137132</v>
          </cell>
        </row>
        <row r="271">
          <cell r="A271" t="str">
            <v>PRECIO UNITARIO TOTAL APROXIMADO AL PESO</v>
          </cell>
          <cell r="G271">
            <v>573303</v>
          </cell>
        </row>
        <row r="273">
          <cell r="B273" t="str">
            <v>RESPONSABLE: HAROLDO A. ARTEAGA ESPINOSA</v>
          </cell>
        </row>
        <row r="274">
          <cell r="B274" t="str">
            <v>ASESOR DE PROYECTOS</v>
          </cell>
        </row>
        <row r="275">
          <cell r="B275" t="str">
            <v/>
          </cell>
        </row>
        <row r="276">
          <cell r="B276" t="str">
            <v>M.P. 22202-175769 COR</v>
          </cell>
          <cell r="D276" t="str">
            <v>FIRMA RESPONSABLE</v>
          </cell>
        </row>
        <row r="277">
          <cell r="A277" t="str">
            <v>DEPARTAMENTO DE ANTIOQUIA</v>
          </cell>
          <cell r="F277" t="str">
            <v/>
          </cell>
        </row>
        <row r="278">
          <cell r="A278" t="str">
            <v>MUNICIPIO DE CIUDAD BOLÍVAR</v>
          </cell>
        </row>
        <row r="279">
          <cell r="A279" t="str">
            <v>PROYECTO: MEJORAMIENTO DE VÍAS TERCIARIAS, PARA LA REACTIVACIÓN ECONÓMICA, EN LOS MUNICIPIOS DE CIUDAD BOLÍVAR, HISPANIA, SALGAR Y BETANIA, EN EL DEPARTAMENTO DE ANTIOQUIA.</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SA022</v>
          </cell>
          <cell r="B284" t="str">
            <v>CONCRETO 4000 PSI (280 MPA) EN OBRA (MUNICIPIO DE CIUDAD BOLIVAR)</v>
          </cell>
          <cell r="E284" t="str">
            <v>M3</v>
          </cell>
          <cell r="F284" t="str">
            <v>N.D.</v>
          </cell>
          <cell r="G284">
            <v>493097</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53440</v>
          </cell>
          <cell r="F290">
            <v>6.5</v>
          </cell>
          <cell r="G290">
            <v>8221.538461538461</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64303.38461538461</v>
          </cell>
          <cell r="G294">
            <v>3215.1692307692306</v>
          </cell>
        </row>
        <row r="295">
          <cell r="F295" t="str">
            <v>SUBTOTAL</v>
          </cell>
          <cell r="G295">
            <v>11436.707692307691</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MA002</v>
          </cell>
          <cell r="B299" t="str">
            <v>CEMENTO GRIS (50 KG) PORTLAND TIPO I. Incluye transporte. (MUNICIPIO DE CIUDAD BOLIVAR)</v>
          </cell>
          <cell r="C299" t="str">
            <v>SC</v>
          </cell>
          <cell r="D299">
            <v>8.82</v>
          </cell>
          <cell r="F299">
            <v>32850</v>
          </cell>
          <cell r="G299">
            <v>289737</v>
          </cell>
        </row>
        <row r="300">
          <cell r="A300" t="str">
            <v>MA009</v>
          </cell>
          <cell r="B300" t="str">
            <v>ARENA FINA PARA CONCRETOS</v>
          </cell>
          <cell r="C300" t="str">
            <v>M3</v>
          </cell>
          <cell r="D300">
            <v>0.7</v>
          </cell>
          <cell r="F300">
            <v>57049</v>
          </cell>
          <cell r="G300">
            <v>39934.299999999996</v>
          </cell>
        </row>
        <row r="301">
          <cell r="A301" t="str">
            <v>MA010</v>
          </cell>
          <cell r="B301" t="str">
            <v>TRITURADO 3/4"</v>
          </cell>
          <cell r="C301" t="str">
            <v>M3</v>
          </cell>
          <cell r="D301">
            <v>0.7</v>
          </cell>
          <cell r="F301">
            <v>54880</v>
          </cell>
          <cell r="G301">
            <v>38416</v>
          </cell>
        </row>
        <row r="302">
          <cell r="A302" t="str">
            <v>MA011</v>
          </cell>
          <cell r="B302" t="str">
            <v>AGUA</v>
          </cell>
          <cell r="C302" t="str">
            <v>LT</v>
          </cell>
          <cell r="D302">
            <v>200</v>
          </cell>
          <cell r="F302">
            <v>50</v>
          </cell>
          <cell r="G302">
            <v>10000</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378087.3</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v>
          </cell>
          <cell r="E310">
            <v>21.66</v>
          </cell>
          <cell r="F310">
            <v>1295</v>
          </cell>
          <cell r="G310">
            <v>39269.579999999994</v>
          </cell>
        </row>
        <row r="311">
          <cell r="A311" t="str">
            <v/>
          </cell>
          <cell r="F311" t="str">
            <v/>
          </cell>
          <cell r="G311" t="str">
            <v/>
          </cell>
        </row>
        <row r="312">
          <cell r="A312" t="str">
            <v/>
          </cell>
          <cell r="F312" t="str">
            <v/>
          </cell>
          <cell r="G312" t="str">
            <v/>
          </cell>
        </row>
        <row r="313">
          <cell r="F313" t="str">
            <v>SUBTOTAL</v>
          </cell>
          <cell r="G313">
            <v>39269.579999999994</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100807</v>
          </cell>
          <cell r="F317">
            <v>6.5</v>
          </cell>
          <cell r="G317">
            <v>15508.76923076923</v>
          </cell>
        </row>
        <row r="318">
          <cell r="A318" t="str">
            <v>MO032</v>
          </cell>
          <cell r="B318" t="str">
            <v>AYUDANTE RASO</v>
          </cell>
          <cell r="D318">
            <v>5</v>
          </cell>
          <cell r="E318">
            <v>63433</v>
          </cell>
          <cell r="F318">
            <v>6.5</v>
          </cell>
          <cell r="G318">
            <v>48794.615384615383</v>
          </cell>
        </row>
        <row r="319">
          <cell r="A319" t="str">
            <v/>
          </cell>
          <cell r="E319" t="str">
            <v/>
          </cell>
          <cell r="F319" t="str">
            <v/>
          </cell>
          <cell r="G319" t="str">
            <v/>
          </cell>
        </row>
        <row r="320">
          <cell r="A320" t="str">
            <v/>
          </cell>
          <cell r="E320" t="str">
            <v/>
          </cell>
          <cell r="F320" t="str">
            <v/>
          </cell>
          <cell r="G320" t="str">
            <v/>
          </cell>
        </row>
        <row r="321">
          <cell r="F321" t="str">
            <v>SUBTOTAL</v>
          </cell>
          <cell r="G321">
            <v>64303.38461538461</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493097</v>
          </cell>
        </row>
        <row r="332">
          <cell r="A332" t="str">
            <v>2. COSTOS INDIRECTOS</v>
          </cell>
        </row>
        <row r="334">
          <cell r="A334" t="str">
            <v>DESCRIPCIÓN</v>
          </cell>
          <cell r="F334" t="str">
            <v>PORCENTAJE</v>
          </cell>
          <cell r="G334" t="str">
            <v>VALOR TOTAL</v>
          </cell>
        </row>
        <row r="335">
          <cell r="A335" t="str">
            <v>ADMINISTRACION</v>
          </cell>
          <cell r="F335">
            <v>0.25440000000000002</v>
          </cell>
          <cell r="G335">
            <v>125443.87680000001</v>
          </cell>
        </row>
        <row r="336">
          <cell r="A336" t="str">
            <v>IMPREVISTOS</v>
          </cell>
          <cell r="F336">
            <v>0.01</v>
          </cell>
          <cell r="G336">
            <v>4930.97</v>
          </cell>
        </row>
        <row r="337">
          <cell r="A337" t="str">
            <v>UTILIDADES</v>
          </cell>
          <cell r="F337">
            <v>0.05</v>
          </cell>
          <cell r="G337">
            <v>24654.850000000002</v>
          </cell>
        </row>
        <row r="338">
          <cell r="A338" t="str">
            <v>TOTAL COSTO INDIRECTO</v>
          </cell>
          <cell r="F338">
            <v>0.31440000000000001</v>
          </cell>
          <cell r="G338">
            <v>155030</v>
          </cell>
        </row>
        <row r="340">
          <cell r="A340" t="str">
            <v>PRECIO UNITARIO TOTAL APROXIMADO AL PESO</v>
          </cell>
          <cell r="G340">
            <v>648127</v>
          </cell>
        </row>
        <row r="342">
          <cell r="B342" t="str">
            <v>RESPONSABLE: HAROLDO A. ARTEAGA ESPINOSA</v>
          </cell>
        </row>
        <row r="343">
          <cell r="B343" t="str">
            <v>ASESOR DE PROYECTOS</v>
          </cell>
        </row>
        <row r="344">
          <cell r="B344" t="str">
            <v/>
          </cell>
        </row>
        <row r="345">
          <cell r="B345" t="str">
            <v>M.P. 22202-175769 COR</v>
          </cell>
          <cell r="D345" t="str">
            <v>FIRMA RESPONSABLE</v>
          </cell>
        </row>
        <row r="346">
          <cell r="A346" t="str">
            <v>DEPARTAMENTO DE ANTIOQUIA</v>
          </cell>
          <cell r="F346" t="str">
            <v/>
          </cell>
        </row>
        <row r="347">
          <cell r="A347" t="str">
            <v>MUNICIPIO DE CIUDAD BOLÍVAR</v>
          </cell>
        </row>
        <row r="348">
          <cell r="A348" t="str">
            <v>PROYECTO: MEJORAMIENTO DE VÍAS TERCIARIAS, PARA LA REACTIVACIÓN ECONÓMICA, EN LOS MUNICIPIOS DE CIUDAD BOLÍVAR, HISPANIA, SALGAR Y BETANIA, EN EL DEPARTAMENTO DE ANTIOQUIA.</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SA023</v>
          </cell>
          <cell r="B353" t="str">
            <v>MORTERO 1:2 EN OBRA (REVOQUE) (MUNICIPIO DE CIUDAD BOLIVAR)</v>
          </cell>
          <cell r="E353" t="str">
            <v>M3</v>
          </cell>
          <cell r="F353" t="str">
            <v>N.D.</v>
          </cell>
          <cell r="G353">
            <v>481242</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53440</v>
          </cell>
          <cell r="F359">
            <v>8</v>
          </cell>
          <cell r="G359">
            <v>6680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28459.125</v>
          </cell>
          <cell r="G363">
            <v>1422.9562500000002</v>
          </cell>
        </row>
        <row r="364">
          <cell r="F364" t="str">
            <v>SUBTOTAL</v>
          </cell>
          <cell r="G364">
            <v>8102.9562500000002</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MA002</v>
          </cell>
          <cell r="B368" t="str">
            <v>CEMENTO GRIS (50 KG) PORTLAND TIPO I. Incluye transporte. (MUNICIPIO DE CIUDAD BOLIVAR)</v>
          </cell>
          <cell r="C368" t="str">
            <v>SC</v>
          </cell>
          <cell r="D368">
            <v>10.199999999999999</v>
          </cell>
          <cell r="E368">
            <v>0.05</v>
          </cell>
          <cell r="F368">
            <v>32850</v>
          </cell>
          <cell r="G368">
            <v>351823.5</v>
          </cell>
        </row>
        <row r="369">
          <cell r="A369" t="str">
            <v>MA008</v>
          </cell>
          <cell r="B369" t="str">
            <v xml:space="preserve">ARENA DE REVOQUE </v>
          </cell>
          <cell r="C369" t="str">
            <v>M3</v>
          </cell>
          <cell r="D369">
            <v>0.97</v>
          </cell>
          <cell r="E369">
            <v>0.05</v>
          </cell>
          <cell r="F369">
            <v>51240</v>
          </cell>
          <cell r="G369">
            <v>52187.939999999995</v>
          </cell>
        </row>
        <row r="370">
          <cell r="A370" t="str">
            <v>MA011</v>
          </cell>
          <cell r="B370" t="str">
            <v>AGUA</v>
          </cell>
          <cell r="C370" t="str">
            <v>LT</v>
          </cell>
          <cell r="D370">
            <v>220</v>
          </cell>
          <cell r="E370">
            <v>0.1</v>
          </cell>
          <cell r="F370">
            <v>50</v>
          </cell>
          <cell r="G370">
            <v>12100.000000000002</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416111.44</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21.66</v>
          </cell>
          <cell r="F379">
            <v>1295</v>
          </cell>
          <cell r="G379">
            <v>28568.619450000002</v>
          </cell>
        </row>
        <row r="380">
          <cell r="A380" t="str">
            <v/>
          </cell>
          <cell r="F380" t="str">
            <v/>
          </cell>
          <cell r="G380" t="str">
            <v/>
          </cell>
        </row>
        <row r="381">
          <cell r="A381" t="str">
            <v/>
          </cell>
          <cell r="F381" t="str">
            <v/>
          </cell>
          <cell r="G381" t="str">
            <v/>
          </cell>
        </row>
        <row r="382">
          <cell r="F382" t="str">
            <v>SUBTOTAL</v>
          </cell>
          <cell r="G382">
            <v>28568.619450000002</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100807</v>
          </cell>
          <cell r="F386">
            <v>8</v>
          </cell>
          <cell r="G386">
            <v>12600.875</v>
          </cell>
        </row>
        <row r="387">
          <cell r="A387" t="str">
            <v>MO032</v>
          </cell>
          <cell r="B387" t="str">
            <v>AYUDANTE RASO</v>
          </cell>
          <cell r="D387">
            <v>2</v>
          </cell>
          <cell r="E387">
            <v>63433</v>
          </cell>
          <cell r="F387">
            <v>8</v>
          </cell>
          <cell r="G387">
            <v>15858.25</v>
          </cell>
        </row>
        <row r="388">
          <cell r="A388" t="str">
            <v/>
          </cell>
          <cell r="E388" t="str">
            <v/>
          </cell>
          <cell r="F388" t="str">
            <v/>
          </cell>
          <cell r="G388" t="str">
            <v/>
          </cell>
        </row>
        <row r="389">
          <cell r="A389" t="str">
            <v/>
          </cell>
          <cell r="E389" t="str">
            <v/>
          </cell>
          <cell r="F389" t="str">
            <v/>
          </cell>
          <cell r="G389" t="str">
            <v/>
          </cell>
        </row>
        <row r="390">
          <cell r="F390" t="str">
            <v>SUBTOTAL</v>
          </cell>
          <cell r="G390">
            <v>28459.125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481242</v>
          </cell>
        </row>
        <row r="401">
          <cell r="A401" t="str">
            <v>2. COSTOS INDIRECTOS</v>
          </cell>
        </row>
        <row r="403">
          <cell r="A403" t="str">
            <v>DESCRIPCIÓN</v>
          </cell>
          <cell r="F403" t="str">
            <v>PORCENTAJE</v>
          </cell>
          <cell r="G403" t="str">
            <v>VALOR TOTAL</v>
          </cell>
        </row>
        <row r="404">
          <cell r="A404" t="str">
            <v>ADMINISTRACION</v>
          </cell>
          <cell r="F404">
            <v>0.25440000000000002</v>
          </cell>
          <cell r="G404">
            <v>122427.9648</v>
          </cell>
        </row>
        <row r="405">
          <cell r="A405" t="str">
            <v>IMPREVISTOS</v>
          </cell>
          <cell r="F405">
            <v>0.01</v>
          </cell>
          <cell r="G405">
            <v>4812.42</v>
          </cell>
        </row>
        <row r="406">
          <cell r="A406" t="str">
            <v>UTILIDADES</v>
          </cell>
          <cell r="F406">
            <v>0.05</v>
          </cell>
          <cell r="G406">
            <v>24062.100000000002</v>
          </cell>
        </row>
        <row r="407">
          <cell r="A407" t="str">
            <v>TOTAL COSTO INDIRECTO</v>
          </cell>
          <cell r="F407">
            <v>0.31440000000000001</v>
          </cell>
          <cell r="G407">
            <v>151302</v>
          </cell>
        </row>
        <row r="409">
          <cell r="A409" t="str">
            <v>PRECIO UNITARIO TOTAL APROXIMADO AL PESO</v>
          </cell>
          <cell r="G409">
            <v>632544</v>
          </cell>
        </row>
        <row r="411">
          <cell r="B411" t="str">
            <v>RESPONSABLE: HAROLDO A. ARTEAGA ESPINOSA</v>
          </cell>
        </row>
        <row r="412">
          <cell r="B412" t="str">
            <v>ASESOR DE PROYECTOS</v>
          </cell>
        </row>
        <row r="413">
          <cell r="B413" t="str">
            <v/>
          </cell>
        </row>
        <row r="414">
          <cell r="B414" t="str">
            <v>M.P. 22202-175769 COR</v>
          </cell>
          <cell r="D414" t="str">
            <v>FIRMA RESPONSABLE</v>
          </cell>
        </row>
        <row r="415">
          <cell r="A415" t="str">
            <v>DEPARTAMENTO DE ANTIOQUIA</v>
          </cell>
          <cell r="F415" t="str">
            <v/>
          </cell>
        </row>
        <row r="416">
          <cell r="A416" t="str">
            <v>MUNICIPIO DE CIUDAD BOLÍVAR</v>
          </cell>
        </row>
        <row r="417">
          <cell r="A417" t="str">
            <v>PROYECTO: MEJORAMIENTO DE VÍAS TERCIARIAS, PARA LA REACTIVACIÓN ECONÓMICA, EN LOS MUNICIPIOS DE CIUDAD BOLÍVAR, HISPANIA, SALGAR Y BETANIA, EN EL DEPARTAMENTO DE ANTIOQUIA.</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SA024</v>
          </cell>
          <cell r="B422" t="str">
            <v>MORTERO 1:2 EN OBRA (GROUT) (MUNICIPIO DE CIUDAD BOLIVAR)</v>
          </cell>
          <cell r="E422" t="str">
            <v>M3</v>
          </cell>
          <cell r="F422" t="str">
            <v>N.D.</v>
          </cell>
          <cell r="G422">
            <v>487159</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53440</v>
          </cell>
          <cell r="F428">
            <v>8</v>
          </cell>
          <cell r="G428">
            <v>6680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28459.125</v>
          </cell>
          <cell r="G432">
            <v>1422.9562500000002</v>
          </cell>
        </row>
        <row r="433">
          <cell r="F433" t="str">
            <v>SUBTOTAL</v>
          </cell>
          <cell r="G433">
            <v>8102.9562500000002</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MA002</v>
          </cell>
          <cell r="B437" t="str">
            <v>CEMENTO GRIS (50 KG) PORTLAND TIPO I. Incluye transporte. (MUNICIPIO DE CIUDAD BOLIVAR)</v>
          </cell>
          <cell r="C437" t="str">
            <v>SC</v>
          </cell>
          <cell r="D437">
            <v>10.199999999999999</v>
          </cell>
          <cell r="E437">
            <v>0.05</v>
          </cell>
          <cell r="F437">
            <v>32850</v>
          </cell>
          <cell r="G437">
            <v>351823.5</v>
          </cell>
        </row>
        <row r="438">
          <cell r="A438" t="str">
            <v>MA009</v>
          </cell>
          <cell r="B438" t="str">
            <v>ARENA FINA PARA CONCRETOS</v>
          </cell>
          <cell r="C438" t="str">
            <v>M3</v>
          </cell>
          <cell r="D438">
            <v>0.97</v>
          </cell>
          <cell r="E438">
            <v>0.05</v>
          </cell>
          <cell r="F438">
            <v>57049</v>
          </cell>
          <cell r="G438">
            <v>58104.406500000005</v>
          </cell>
        </row>
        <row r="439">
          <cell r="A439" t="str">
            <v>MA011</v>
          </cell>
          <cell r="B439" t="str">
            <v>AGUA</v>
          </cell>
          <cell r="C439" t="str">
            <v>LT</v>
          </cell>
          <cell r="D439">
            <v>220</v>
          </cell>
          <cell r="E439">
            <v>0.1</v>
          </cell>
          <cell r="F439">
            <v>50</v>
          </cell>
          <cell r="G439">
            <v>12100.000000000002</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422027.90649999998</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21.66</v>
          </cell>
          <cell r="F448">
            <v>1295</v>
          </cell>
          <cell r="G448">
            <v>28568.619450000002</v>
          </cell>
        </row>
        <row r="449">
          <cell r="A449" t="str">
            <v/>
          </cell>
          <cell r="F449" t="str">
            <v/>
          </cell>
          <cell r="G449" t="str">
            <v/>
          </cell>
        </row>
        <row r="450">
          <cell r="A450" t="str">
            <v/>
          </cell>
          <cell r="F450" t="str">
            <v/>
          </cell>
          <cell r="G450" t="str">
            <v/>
          </cell>
        </row>
        <row r="451">
          <cell r="F451" t="str">
            <v>SUBTOTAL</v>
          </cell>
          <cell r="G451">
            <v>28568.619450000002</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100807</v>
          </cell>
          <cell r="F455">
            <v>8</v>
          </cell>
          <cell r="G455">
            <v>12600.875</v>
          </cell>
        </row>
        <row r="456">
          <cell r="A456" t="str">
            <v>MO032</v>
          </cell>
          <cell r="B456" t="str">
            <v>AYUDANTE RASO</v>
          </cell>
          <cell r="D456">
            <v>2</v>
          </cell>
          <cell r="E456">
            <v>63433</v>
          </cell>
          <cell r="F456">
            <v>8</v>
          </cell>
          <cell r="G456">
            <v>15858.25</v>
          </cell>
        </row>
        <row r="457">
          <cell r="A457" t="str">
            <v/>
          </cell>
          <cell r="E457" t="str">
            <v/>
          </cell>
          <cell r="F457" t="str">
            <v/>
          </cell>
          <cell r="G457" t="str">
            <v/>
          </cell>
        </row>
        <row r="458">
          <cell r="A458" t="str">
            <v/>
          </cell>
          <cell r="E458" t="str">
            <v/>
          </cell>
          <cell r="F458" t="str">
            <v/>
          </cell>
          <cell r="G458" t="str">
            <v/>
          </cell>
        </row>
        <row r="459">
          <cell r="F459" t="str">
            <v>SUBTOTAL</v>
          </cell>
          <cell r="G459">
            <v>28459.125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487159</v>
          </cell>
        </row>
        <row r="470">
          <cell r="A470" t="str">
            <v>2. COSTOS INDIRECTOS</v>
          </cell>
        </row>
        <row r="472">
          <cell r="A472" t="str">
            <v>DESCRIPCIÓN</v>
          </cell>
          <cell r="F472" t="str">
            <v>PORCENTAJE</v>
          </cell>
          <cell r="G472" t="str">
            <v>VALOR TOTAL</v>
          </cell>
        </row>
        <row r="473">
          <cell r="A473" t="str">
            <v>ADMINISTRACION</v>
          </cell>
          <cell r="F473">
            <v>0.25440000000000002</v>
          </cell>
          <cell r="G473">
            <v>123933.24960000001</v>
          </cell>
        </row>
        <row r="474">
          <cell r="A474" t="str">
            <v>IMPREVISTOS</v>
          </cell>
          <cell r="F474">
            <v>0.01</v>
          </cell>
          <cell r="G474">
            <v>4871.59</v>
          </cell>
        </row>
        <row r="475">
          <cell r="A475" t="str">
            <v>UTILIDADES</v>
          </cell>
          <cell r="F475">
            <v>0.05</v>
          </cell>
          <cell r="G475">
            <v>24357.95</v>
          </cell>
        </row>
        <row r="476">
          <cell r="A476" t="str">
            <v>TOTAL COSTO INDIRECTO</v>
          </cell>
          <cell r="F476">
            <v>0.31440000000000001</v>
          </cell>
          <cell r="G476">
            <v>153163</v>
          </cell>
        </row>
        <row r="478">
          <cell r="A478" t="str">
            <v>PRECIO UNITARIO TOTAL APROXIMADO AL PESO</v>
          </cell>
          <cell r="G478">
            <v>640322</v>
          </cell>
        </row>
        <row r="480">
          <cell r="B480" t="str">
            <v>RESPONSABLE: HAROLDO A. ARTEAGA ESPINOSA</v>
          </cell>
        </row>
        <row r="481">
          <cell r="B481" t="str">
            <v>ASESOR DE PROYECTOS</v>
          </cell>
        </row>
        <row r="482">
          <cell r="B482" t="str">
            <v/>
          </cell>
        </row>
        <row r="483">
          <cell r="B483" t="str">
            <v>M.P. 22202-175769 COR</v>
          </cell>
          <cell r="D483" t="str">
            <v>FIRMA RESPONSABLE</v>
          </cell>
        </row>
        <row r="484">
          <cell r="A484" t="str">
            <v>DEPARTAMENTO DE ANTIOQUIA</v>
          </cell>
          <cell r="F484" t="str">
            <v/>
          </cell>
        </row>
        <row r="485">
          <cell r="A485" t="str">
            <v>MUNICIPIO DE CIUDAD BOLÍVAR</v>
          </cell>
        </row>
        <row r="486">
          <cell r="A486" t="str">
            <v>PROYECTO: MEJORAMIENTO DE VÍAS TERCIARIAS, PARA LA REACTIVACIÓN ECONÓMICA, EN LOS MUNICIPIOS DE CIUDAD BOLÍVAR, HISPANIA, SALGAR Y BETANIA, EN EL DEPARTAMENTO DE ANTIOQUIA.</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SA025</v>
          </cell>
          <cell r="B491" t="str">
            <v>MORTERO 1:3 EN OBRA (PEGA) (MUNICIPIO DE CIUDAD BOLIVAR)</v>
          </cell>
          <cell r="E491" t="str">
            <v>M3</v>
          </cell>
          <cell r="F491" t="str">
            <v>N.D.</v>
          </cell>
          <cell r="G491">
            <v>484669</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53440</v>
          </cell>
          <cell r="F497">
            <v>6</v>
          </cell>
          <cell r="G497">
            <v>8906.6666666666661</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59089.833333333328</v>
          </cell>
          <cell r="G501">
            <v>2954.4916666666668</v>
          </cell>
        </row>
        <row r="502">
          <cell r="F502" t="str">
            <v>SUBTOTAL</v>
          </cell>
          <cell r="G502">
            <v>11861.158333333333</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MA002</v>
          </cell>
          <cell r="B506" t="str">
            <v>CEMENTO GRIS (50 KG) PORTLAND TIPO I. Incluye transporte. (MUNICIPIO DE CIUDAD BOLIVAR)</v>
          </cell>
          <cell r="C506" t="str">
            <v>SC</v>
          </cell>
          <cell r="D506">
            <v>9.08</v>
          </cell>
          <cell r="E506">
            <v>0.05</v>
          </cell>
          <cell r="F506">
            <v>32850</v>
          </cell>
          <cell r="G506">
            <v>313191.90000000002</v>
          </cell>
        </row>
        <row r="507">
          <cell r="A507" t="str">
            <v>MA007</v>
          </cell>
          <cell r="B507" t="str">
            <v xml:space="preserve">ARENA DE PEGA </v>
          </cell>
          <cell r="C507" t="str">
            <v>M3</v>
          </cell>
          <cell r="D507">
            <v>1.1599999999999999</v>
          </cell>
          <cell r="E507">
            <v>0.05</v>
          </cell>
          <cell r="F507">
            <v>46130</v>
          </cell>
          <cell r="G507">
            <v>56186.34</v>
          </cell>
        </row>
        <row r="508">
          <cell r="A508" t="str">
            <v>MA011</v>
          </cell>
          <cell r="B508" t="str">
            <v>AGUA</v>
          </cell>
          <cell r="C508" t="str">
            <v>LT</v>
          </cell>
          <cell r="D508">
            <v>185</v>
          </cell>
          <cell r="E508">
            <v>0.1</v>
          </cell>
          <cell r="F508">
            <v>50</v>
          </cell>
          <cell r="G508">
            <v>10175</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379553.24</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1.218</v>
          </cell>
          <cell r="E517">
            <v>21.66</v>
          </cell>
          <cell r="F517">
            <v>1295</v>
          </cell>
          <cell r="G517">
            <v>34164.534599999999</v>
          </cell>
        </row>
        <row r="518">
          <cell r="A518" t="str">
            <v/>
          </cell>
          <cell r="F518" t="str">
            <v/>
          </cell>
          <cell r="G518" t="str">
            <v/>
          </cell>
        </row>
        <row r="519">
          <cell r="A519" t="str">
            <v/>
          </cell>
          <cell r="F519" t="str">
            <v/>
          </cell>
          <cell r="G519" t="str">
            <v/>
          </cell>
        </row>
        <row r="520">
          <cell r="F520" t="str">
            <v>SUBTOTAL</v>
          </cell>
          <cell r="G520">
            <v>34164.534599999999</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100807</v>
          </cell>
          <cell r="F524">
            <v>6</v>
          </cell>
          <cell r="G524">
            <v>16801.166666666668</v>
          </cell>
        </row>
        <row r="525">
          <cell r="A525" t="str">
            <v>MO032</v>
          </cell>
          <cell r="B525" t="str">
            <v>AYUDANTE RASO</v>
          </cell>
          <cell r="D525">
            <v>4</v>
          </cell>
          <cell r="E525">
            <v>63433</v>
          </cell>
          <cell r="F525">
            <v>6</v>
          </cell>
          <cell r="G525">
            <v>42288.666666666664</v>
          </cell>
        </row>
        <row r="526">
          <cell r="A526" t="str">
            <v/>
          </cell>
          <cell r="E526" t="str">
            <v/>
          </cell>
          <cell r="F526" t="str">
            <v/>
          </cell>
          <cell r="G526" t="str">
            <v/>
          </cell>
        </row>
        <row r="527">
          <cell r="A527" t="str">
            <v/>
          </cell>
          <cell r="E527" t="str">
            <v/>
          </cell>
          <cell r="F527" t="str">
            <v/>
          </cell>
          <cell r="G527" t="str">
            <v/>
          </cell>
        </row>
        <row r="528">
          <cell r="F528" t="str">
            <v>SUBTOTAL</v>
          </cell>
          <cell r="G528">
            <v>59089.833333333328</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484669</v>
          </cell>
        </row>
        <row r="539">
          <cell r="A539" t="str">
            <v>2. COSTOS INDIRECTOS</v>
          </cell>
        </row>
        <row r="541">
          <cell r="A541" t="str">
            <v>DESCRIPCIÓN</v>
          </cell>
          <cell r="F541" t="str">
            <v>PORCENTAJE</v>
          </cell>
          <cell r="G541" t="str">
            <v>VALOR TOTAL</v>
          </cell>
        </row>
        <row r="542">
          <cell r="A542" t="str">
            <v>ADMINISTRACION</v>
          </cell>
          <cell r="F542">
            <v>0.25440000000000002</v>
          </cell>
          <cell r="G542">
            <v>123299.7936</v>
          </cell>
        </row>
        <row r="543">
          <cell r="A543" t="str">
            <v>IMPREVISTOS</v>
          </cell>
          <cell r="F543">
            <v>0.01</v>
          </cell>
          <cell r="G543">
            <v>4846.6900000000005</v>
          </cell>
        </row>
        <row r="544">
          <cell r="A544" t="str">
            <v>UTILIDADES</v>
          </cell>
          <cell r="F544">
            <v>0.05</v>
          </cell>
          <cell r="G544">
            <v>24233.45</v>
          </cell>
        </row>
        <row r="545">
          <cell r="A545" t="str">
            <v>TOTAL COSTO INDIRECTO</v>
          </cell>
          <cell r="F545">
            <v>0.31440000000000001</v>
          </cell>
          <cell r="G545">
            <v>152380</v>
          </cell>
        </row>
        <row r="547">
          <cell r="A547" t="str">
            <v>PRECIO UNITARIO TOTAL APROXIMADO AL PESO</v>
          </cell>
          <cell r="G547">
            <v>637049</v>
          </cell>
        </row>
        <row r="549">
          <cell r="B549" t="str">
            <v>RESPONSABLE: HAROLDO A. ARTEAGA ESPINOSA</v>
          </cell>
        </row>
        <row r="550">
          <cell r="B550" t="str">
            <v>ASESOR DE PROYECTOS</v>
          </cell>
        </row>
        <row r="551">
          <cell r="B551" t="str">
            <v/>
          </cell>
        </row>
        <row r="552">
          <cell r="B552" t="str">
            <v>M.P. 22202-175769 COR</v>
          </cell>
          <cell r="D552" t="str">
            <v>FIRMA RESPONSABLE</v>
          </cell>
        </row>
        <row r="553">
          <cell r="A553" t="str">
            <v>DEPARTAMENTO DE ANTIOQUIA</v>
          </cell>
          <cell r="F553" t="str">
            <v/>
          </cell>
        </row>
        <row r="554">
          <cell r="A554" t="str">
            <v>MUNICIPIO DE CIUDAD BOLÍVAR</v>
          </cell>
        </row>
        <row r="555">
          <cell r="A555" t="str">
            <v>PROYECTO: MEJORAMIENTO DE VÍAS TERCIARIAS, PARA LA REACTIVACIÓN ECONÓMICA, EN LOS MUNICIPIOS DE CIUDAD BOLÍVAR, HISPANIA, SALGAR Y BETANIA, EN EL DEPARTAMENTO DE ANTIOQUIA.</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SA026</v>
          </cell>
          <cell r="B560" t="str">
            <v>MORTERO 1:3 EN OBRA (GROUT) (MUNICIPIO DE CIUDAD BOLIVAR)</v>
          </cell>
          <cell r="E560" t="str">
            <v>M3</v>
          </cell>
          <cell r="F560" t="str">
            <v>N.D.</v>
          </cell>
          <cell r="G560">
            <v>457324</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53440</v>
          </cell>
          <cell r="F566">
            <v>8</v>
          </cell>
          <cell r="G566">
            <v>6680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28459.125</v>
          </cell>
          <cell r="G570">
            <v>1422.9562500000002</v>
          </cell>
        </row>
        <row r="571">
          <cell r="F571" t="str">
            <v>SUBTOTAL</v>
          </cell>
          <cell r="G571">
            <v>8102.9562500000002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MA002</v>
          </cell>
          <cell r="B575" t="str">
            <v>CEMENTO GRIS (50 KG) PORTLAND TIPO I. Incluye transporte. (MUNICIPIO DE CIUDAD BOLIVAR)</v>
          </cell>
          <cell r="C575" t="str">
            <v>SC</v>
          </cell>
          <cell r="D575">
            <v>9.08</v>
          </cell>
          <cell r="E575">
            <v>0.05</v>
          </cell>
          <cell r="F575">
            <v>32850</v>
          </cell>
          <cell r="G575">
            <v>313191.90000000002</v>
          </cell>
        </row>
        <row r="576">
          <cell r="A576" t="str">
            <v>MA009</v>
          </cell>
          <cell r="B576" t="str">
            <v>ARENA FINA PARA CONCRETOS</v>
          </cell>
          <cell r="C576" t="str">
            <v>M3</v>
          </cell>
          <cell r="D576">
            <v>1.0900000000000001</v>
          </cell>
          <cell r="E576">
            <v>0.05</v>
          </cell>
          <cell r="F576">
            <v>57049</v>
          </cell>
          <cell r="G576">
            <v>65292.580500000004</v>
          </cell>
        </row>
        <row r="577">
          <cell r="A577" t="str">
            <v>MA011</v>
          </cell>
          <cell r="B577" t="str">
            <v>AGUA</v>
          </cell>
          <cell r="C577" t="str">
            <v>LT</v>
          </cell>
          <cell r="D577">
            <v>185</v>
          </cell>
          <cell r="E577">
            <v>0.1</v>
          </cell>
          <cell r="F577">
            <v>50</v>
          </cell>
          <cell r="G577">
            <v>10175</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388659.48050000001</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21.66</v>
          </cell>
          <cell r="F586">
            <v>1295</v>
          </cell>
          <cell r="G586">
            <v>32102.881649999999</v>
          </cell>
        </row>
        <row r="587">
          <cell r="A587" t="str">
            <v/>
          </cell>
          <cell r="F587" t="str">
            <v/>
          </cell>
          <cell r="G587" t="str">
            <v/>
          </cell>
        </row>
        <row r="588">
          <cell r="A588" t="str">
            <v/>
          </cell>
          <cell r="F588" t="str">
            <v/>
          </cell>
          <cell r="G588" t="str">
            <v/>
          </cell>
        </row>
        <row r="589">
          <cell r="F589" t="str">
            <v>SUBTOTAL</v>
          </cell>
          <cell r="G589">
            <v>32102.881649999999</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100807</v>
          </cell>
          <cell r="F593">
            <v>8</v>
          </cell>
          <cell r="G593">
            <v>12600.875</v>
          </cell>
        </row>
        <row r="594">
          <cell r="A594" t="str">
            <v>MO032</v>
          </cell>
          <cell r="B594" t="str">
            <v>AYUDANTE RASO</v>
          </cell>
          <cell r="D594">
            <v>2</v>
          </cell>
          <cell r="E594">
            <v>63433</v>
          </cell>
          <cell r="F594">
            <v>8</v>
          </cell>
          <cell r="G594">
            <v>15858.25</v>
          </cell>
        </row>
        <row r="595">
          <cell r="A595" t="str">
            <v/>
          </cell>
          <cell r="E595" t="str">
            <v/>
          </cell>
          <cell r="F595" t="str">
            <v/>
          </cell>
          <cell r="G595" t="str">
            <v/>
          </cell>
        </row>
        <row r="596">
          <cell r="A596" t="str">
            <v/>
          </cell>
          <cell r="E596" t="str">
            <v/>
          </cell>
          <cell r="F596" t="str">
            <v/>
          </cell>
          <cell r="G596" t="str">
            <v/>
          </cell>
        </row>
        <row r="597">
          <cell r="F597" t="str">
            <v>SUBTOTAL</v>
          </cell>
          <cell r="G597">
            <v>28459.125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457324</v>
          </cell>
        </row>
        <row r="608">
          <cell r="A608" t="str">
            <v>2. COSTOS INDIRECTOS</v>
          </cell>
        </row>
        <row r="610">
          <cell r="A610" t="str">
            <v>DESCRIPCIÓN</v>
          </cell>
          <cell r="F610" t="str">
            <v>PORCENTAJE</v>
          </cell>
          <cell r="G610" t="str">
            <v>VALOR TOTAL</v>
          </cell>
        </row>
        <row r="611">
          <cell r="A611" t="str">
            <v>ADMINISTRACION</v>
          </cell>
          <cell r="F611">
            <v>0.25440000000000002</v>
          </cell>
          <cell r="G611">
            <v>116343.22560000001</v>
          </cell>
        </row>
        <row r="612">
          <cell r="A612" t="str">
            <v>IMPREVISTOS</v>
          </cell>
          <cell r="F612">
            <v>0.01</v>
          </cell>
          <cell r="G612">
            <v>4573.24</v>
          </cell>
        </row>
        <row r="613">
          <cell r="A613" t="str">
            <v>UTILIDADES</v>
          </cell>
          <cell r="F613">
            <v>0.05</v>
          </cell>
          <cell r="G613">
            <v>22866.2</v>
          </cell>
        </row>
        <row r="614">
          <cell r="A614" t="str">
            <v>TOTAL COSTO INDIRECTO</v>
          </cell>
          <cell r="F614">
            <v>0.31440000000000001</v>
          </cell>
          <cell r="G614">
            <v>143783</v>
          </cell>
        </row>
        <row r="616">
          <cell r="A616" t="str">
            <v>PRECIO UNITARIO TOTAL APROXIMADO AL PESO</v>
          </cell>
          <cell r="G616">
            <v>601107</v>
          </cell>
        </row>
        <row r="618">
          <cell r="B618" t="str">
            <v>RESPONSABLE: HAROLDO A. ARTEAGA ESPINOSA</v>
          </cell>
        </row>
        <row r="619">
          <cell r="B619" t="str">
            <v>ASESOR DE PROYECTOS</v>
          </cell>
        </row>
        <row r="620">
          <cell r="B620" t="str">
            <v/>
          </cell>
        </row>
        <row r="621">
          <cell r="B621" t="str">
            <v>M.P. 22202-175769 COR</v>
          </cell>
          <cell r="D621" t="str">
            <v>FIRMA RESPONSABLE</v>
          </cell>
        </row>
        <row r="622">
          <cell r="A622" t="str">
            <v>DEPARTAMENTO DE ANTIOQUIA</v>
          </cell>
          <cell r="F622" t="str">
            <v/>
          </cell>
        </row>
        <row r="623">
          <cell r="A623" t="str">
            <v>MUNICIPIO DE CIUDAD BOLÍVAR</v>
          </cell>
        </row>
        <row r="624">
          <cell r="A624" t="str">
            <v>PROYECTO: MEJORAMIENTO DE VÍAS TERCIARIAS, PARA LA REACTIVACIÓN ECONÓMICA, EN LOS MUNICIPIOS DE CIUDAD BOLÍVAR, HISPANIA, SALGAR Y BETANIA, EN EL DEPARTAMENTO DE ANTIOQUIA.</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SA027</v>
          </cell>
          <cell r="B629" t="str">
            <v>MORTERO 1:3 EN OBRA (REVOQUE) (MUNICIPIO DE CIUDAD BOLIVAR)</v>
          </cell>
          <cell r="E629" t="str">
            <v>M3</v>
          </cell>
          <cell r="F629" t="str">
            <v>N.D.</v>
          </cell>
          <cell r="G629">
            <v>444828</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53440</v>
          </cell>
          <cell r="F635">
            <v>8</v>
          </cell>
          <cell r="G635">
            <v>6680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28459.125</v>
          </cell>
          <cell r="G639">
            <v>1422.9562500000002</v>
          </cell>
        </row>
        <row r="640">
          <cell r="F640" t="str">
            <v>SUBTOTAL</v>
          </cell>
          <cell r="G640">
            <v>8102.9562500000002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MA002</v>
          </cell>
          <cell r="B644" t="str">
            <v>CEMENTO GRIS (50 KG) PORTLAND TIPO I. Incluye transporte. (MUNICIPIO DE CIUDAD BOLIVAR)</v>
          </cell>
          <cell r="C644" t="str">
            <v>SC</v>
          </cell>
          <cell r="D644">
            <v>9.08</v>
          </cell>
          <cell r="E644">
            <v>0.05</v>
          </cell>
          <cell r="F644">
            <v>32850</v>
          </cell>
          <cell r="G644">
            <v>313191.90000000002</v>
          </cell>
        </row>
        <row r="645">
          <cell r="A645" t="str">
            <v>MA007</v>
          </cell>
          <cell r="B645" t="str">
            <v xml:space="preserve">ARENA DE PEGA </v>
          </cell>
          <cell r="C645" t="str">
            <v>M3</v>
          </cell>
          <cell r="D645">
            <v>1.0900000000000001</v>
          </cell>
          <cell r="E645">
            <v>0.05</v>
          </cell>
          <cell r="F645">
            <v>46130</v>
          </cell>
          <cell r="G645">
            <v>52795.785000000003</v>
          </cell>
        </row>
        <row r="646">
          <cell r="A646" t="str">
            <v>MA011</v>
          </cell>
          <cell r="B646" t="str">
            <v>AGUA</v>
          </cell>
          <cell r="C646" t="str">
            <v>LT</v>
          </cell>
          <cell r="D646">
            <v>185</v>
          </cell>
          <cell r="E646">
            <v>0.1</v>
          </cell>
          <cell r="F646">
            <v>50</v>
          </cell>
          <cell r="G646">
            <v>10175</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376162.68500000006</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21.66</v>
          </cell>
          <cell r="F655">
            <v>1295</v>
          </cell>
          <cell r="G655">
            <v>32102.881649999999</v>
          </cell>
        </row>
        <row r="656">
          <cell r="A656" t="str">
            <v/>
          </cell>
          <cell r="F656" t="str">
            <v/>
          </cell>
          <cell r="G656" t="str">
            <v/>
          </cell>
        </row>
        <row r="657">
          <cell r="A657" t="str">
            <v/>
          </cell>
          <cell r="F657" t="str">
            <v/>
          </cell>
          <cell r="G657" t="str">
            <v/>
          </cell>
        </row>
        <row r="658">
          <cell r="F658" t="str">
            <v>SUBTOTAL</v>
          </cell>
          <cell r="G658">
            <v>32102.881649999999</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100807</v>
          </cell>
          <cell r="F662">
            <v>8</v>
          </cell>
          <cell r="G662">
            <v>12600.875</v>
          </cell>
        </row>
        <row r="663">
          <cell r="A663" t="str">
            <v>MO032</v>
          </cell>
          <cell r="B663" t="str">
            <v>AYUDANTE RASO</v>
          </cell>
          <cell r="D663">
            <v>2</v>
          </cell>
          <cell r="E663">
            <v>63433</v>
          </cell>
          <cell r="F663">
            <v>8</v>
          </cell>
          <cell r="G663">
            <v>15858.25</v>
          </cell>
        </row>
        <row r="664">
          <cell r="A664" t="str">
            <v/>
          </cell>
          <cell r="E664" t="str">
            <v/>
          </cell>
          <cell r="F664" t="str">
            <v/>
          </cell>
          <cell r="G664" t="str">
            <v/>
          </cell>
        </row>
        <row r="665">
          <cell r="A665" t="str">
            <v/>
          </cell>
          <cell r="E665" t="str">
            <v/>
          </cell>
          <cell r="F665" t="str">
            <v/>
          </cell>
          <cell r="G665" t="str">
            <v/>
          </cell>
        </row>
        <row r="666">
          <cell r="F666" t="str">
            <v>SUBTOTAL</v>
          </cell>
          <cell r="G666">
            <v>28459.125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444828</v>
          </cell>
        </row>
        <row r="677">
          <cell r="A677" t="str">
            <v>2. COSTOS INDIRECTOS</v>
          </cell>
        </row>
        <row r="679">
          <cell r="A679" t="str">
            <v>DESCRIPCIÓN</v>
          </cell>
          <cell r="F679" t="str">
            <v>PORCENTAJE</v>
          </cell>
          <cell r="G679" t="str">
            <v>VALOR TOTAL</v>
          </cell>
        </row>
        <row r="680">
          <cell r="A680" t="str">
            <v>ADMINISTRACION</v>
          </cell>
          <cell r="F680">
            <v>0.25440000000000002</v>
          </cell>
          <cell r="G680">
            <v>113164.24320000001</v>
          </cell>
        </row>
        <row r="681">
          <cell r="A681" t="str">
            <v>IMPREVISTOS</v>
          </cell>
          <cell r="F681">
            <v>0.01</v>
          </cell>
          <cell r="G681">
            <v>4448.28</v>
          </cell>
        </row>
        <row r="682">
          <cell r="A682" t="str">
            <v>UTILIDADES</v>
          </cell>
          <cell r="F682">
            <v>0.05</v>
          </cell>
          <cell r="G682">
            <v>22241.4</v>
          </cell>
        </row>
        <row r="683">
          <cell r="A683" t="str">
            <v>TOTAL COSTO INDIRECTO</v>
          </cell>
          <cell r="F683">
            <v>0.31440000000000001</v>
          </cell>
          <cell r="G683">
            <v>139854</v>
          </cell>
        </row>
        <row r="685">
          <cell r="A685" t="str">
            <v>PRECIO UNITARIO TOTAL APROXIMADO AL PESO</v>
          </cell>
          <cell r="G685">
            <v>584682</v>
          </cell>
        </row>
        <row r="687">
          <cell r="B687" t="str">
            <v>RESPONSABLE: HAROLDO A. ARTEAGA ESPINOSA</v>
          </cell>
        </row>
        <row r="688">
          <cell r="B688" t="str">
            <v>ASESOR DE PROYECTOS</v>
          </cell>
        </row>
        <row r="689">
          <cell r="B689" t="str">
            <v/>
          </cell>
        </row>
        <row r="690">
          <cell r="B690" t="str">
            <v>M.P. 22202-175769 COR</v>
          </cell>
          <cell r="D690" t="str">
            <v>FIRMA RESPONSABLE</v>
          </cell>
        </row>
        <row r="691">
          <cell r="A691" t="str">
            <v>DEPARTAMENTO DE ANTIOQUIA</v>
          </cell>
          <cell r="F691" t="str">
            <v/>
          </cell>
        </row>
        <row r="692">
          <cell r="A692" t="str">
            <v>MUNICIPIO DE CIUDAD BOLÍVAR</v>
          </cell>
        </row>
        <row r="693">
          <cell r="A693" t="str">
            <v>PROYECTO: MEJORAMIENTO DE VÍAS TERCIARIAS, PARA LA REACTIVACIÓN ECONÓMICA, EN LOS MUNICIPIOS DE CIUDAD BOLÍVAR, HISPANIA, SALGAR Y BETANIA, EN EL DEPARTAMENTO DE ANTIOQUIA.</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SA028</v>
          </cell>
          <cell r="B698" t="str">
            <v>MORTERO 1:4 EN OBRA (REVOQUE) (MUNICIPIO DE CIUDAD BOLIVAR)</v>
          </cell>
          <cell r="E698" t="str">
            <v>M3</v>
          </cell>
          <cell r="F698" t="str">
            <v>N.D.</v>
          </cell>
          <cell r="G698">
            <v>393592</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53440</v>
          </cell>
          <cell r="F704">
            <v>8</v>
          </cell>
          <cell r="G704">
            <v>6680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28459.125</v>
          </cell>
          <cell r="G708">
            <v>1422.9562500000002</v>
          </cell>
        </row>
        <row r="709">
          <cell r="F709" t="str">
            <v>SUBTOTAL</v>
          </cell>
          <cell r="G709">
            <v>8102.9562500000002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MA002</v>
          </cell>
          <cell r="B713" t="str">
            <v>CEMENTO GRIS (50 KG) PORTLAND TIPO I. Incluye transporte. (MUNICIPIO DE CIUDAD BOLIVAR)</v>
          </cell>
          <cell r="C713" t="str">
            <v>SC</v>
          </cell>
          <cell r="D713">
            <v>7.28</v>
          </cell>
          <cell r="E713">
            <v>0.05</v>
          </cell>
          <cell r="F713">
            <v>32850</v>
          </cell>
          <cell r="G713">
            <v>251105.40000000002</v>
          </cell>
        </row>
        <row r="714">
          <cell r="A714" t="str">
            <v>MA008</v>
          </cell>
          <cell r="B714" t="str">
            <v xml:space="preserve">ARENA DE REVOQUE </v>
          </cell>
          <cell r="C714" t="str">
            <v>M3</v>
          </cell>
          <cell r="D714">
            <v>1.1599999999999999</v>
          </cell>
          <cell r="E714">
            <v>0.05</v>
          </cell>
          <cell r="F714">
            <v>51240</v>
          </cell>
          <cell r="G714">
            <v>62410.32</v>
          </cell>
        </row>
        <row r="715">
          <cell r="A715" t="str">
            <v>MA011</v>
          </cell>
          <cell r="B715" t="str">
            <v>AGUA</v>
          </cell>
          <cell r="C715" t="str">
            <v>LT</v>
          </cell>
          <cell r="D715">
            <v>170</v>
          </cell>
          <cell r="E715">
            <v>0.1</v>
          </cell>
          <cell r="F715">
            <v>50</v>
          </cell>
          <cell r="G715">
            <v>9350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322865.72000000003</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21.66</v>
          </cell>
          <cell r="F724">
            <v>1295</v>
          </cell>
          <cell r="G724">
            <v>34164.534599999999</v>
          </cell>
        </row>
        <row r="725">
          <cell r="A725" t="str">
            <v/>
          </cell>
          <cell r="F725" t="str">
            <v/>
          </cell>
          <cell r="G725" t="str">
            <v/>
          </cell>
        </row>
        <row r="726">
          <cell r="A726" t="str">
            <v/>
          </cell>
          <cell r="F726" t="str">
            <v/>
          </cell>
          <cell r="G726" t="str">
            <v/>
          </cell>
        </row>
        <row r="727">
          <cell r="F727" t="str">
            <v>SUBTOTAL</v>
          </cell>
          <cell r="G727">
            <v>34164.534599999999</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100807</v>
          </cell>
          <cell r="F731">
            <v>8</v>
          </cell>
          <cell r="G731">
            <v>12600.875</v>
          </cell>
        </row>
        <row r="732">
          <cell r="A732" t="str">
            <v>MO032</v>
          </cell>
          <cell r="B732" t="str">
            <v>AYUDANTE RASO</v>
          </cell>
          <cell r="D732">
            <v>2</v>
          </cell>
          <cell r="E732">
            <v>63433</v>
          </cell>
          <cell r="F732">
            <v>8</v>
          </cell>
          <cell r="G732">
            <v>15858.25</v>
          </cell>
        </row>
        <row r="733">
          <cell r="A733" t="str">
            <v/>
          </cell>
          <cell r="E733" t="str">
            <v/>
          </cell>
          <cell r="F733" t="str">
            <v/>
          </cell>
          <cell r="G733" t="str">
            <v/>
          </cell>
        </row>
        <row r="734">
          <cell r="A734" t="str">
            <v/>
          </cell>
          <cell r="E734" t="str">
            <v/>
          </cell>
          <cell r="F734" t="str">
            <v/>
          </cell>
          <cell r="G734" t="str">
            <v/>
          </cell>
        </row>
        <row r="735">
          <cell r="F735" t="str">
            <v>SUBTOTAL</v>
          </cell>
          <cell r="G735">
            <v>28459.125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393592</v>
          </cell>
        </row>
        <row r="746">
          <cell r="A746" t="str">
            <v>2. COSTOS INDIRECTOS</v>
          </cell>
        </row>
        <row r="748">
          <cell r="A748" t="str">
            <v>DESCRIPCIÓN</v>
          </cell>
          <cell r="F748" t="str">
            <v>PORCENTAJE</v>
          </cell>
          <cell r="G748" t="str">
            <v>VALOR TOTAL</v>
          </cell>
        </row>
        <row r="749">
          <cell r="A749" t="str">
            <v>ADMINISTRACION</v>
          </cell>
          <cell r="F749">
            <v>0.25440000000000002</v>
          </cell>
          <cell r="G749">
            <v>100129.80480000001</v>
          </cell>
        </row>
        <row r="750">
          <cell r="A750" t="str">
            <v>IMPREVISTOS</v>
          </cell>
          <cell r="F750">
            <v>0.01</v>
          </cell>
          <cell r="G750">
            <v>3935.92</v>
          </cell>
        </row>
        <row r="751">
          <cell r="A751" t="str">
            <v>UTILIDADES</v>
          </cell>
          <cell r="F751">
            <v>0.05</v>
          </cell>
          <cell r="G751">
            <v>19679.600000000002</v>
          </cell>
        </row>
        <row r="752">
          <cell r="A752" t="str">
            <v>TOTAL COSTO INDIRECTO</v>
          </cell>
          <cell r="F752">
            <v>0.31440000000000001</v>
          </cell>
          <cell r="G752">
            <v>123745</v>
          </cell>
        </row>
        <row r="754">
          <cell r="A754" t="str">
            <v>PRECIO UNITARIO TOTAL APROXIMADO AL PESO</v>
          </cell>
          <cell r="G754">
            <v>517337</v>
          </cell>
        </row>
        <row r="756">
          <cell r="B756" t="str">
            <v>RESPONSABLE: HAROLDO A. ARTEAGA ESPINOSA</v>
          </cell>
        </row>
        <row r="757">
          <cell r="B757" t="str">
            <v>ASESOR DE PROYECTOS</v>
          </cell>
        </row>
        <row r="758">
          <cell r="B758" t="str">
            <v/>
          </cell>
        </row>
        <row r="759">
          <cell r="B759" t="str">
            <v>M.P. 22202-175769 COR</v>
          </cell>
          <cell r="D759" t="str">
            <v>FIRMA RESPONSABLE</v>
          </cell>
        </row>
        <row r="760">
          <cell r="A760" t="str">
            <v>DEPARTAMENTO DE ANTIOQUIA</v>
          </cell>
          <cell r="F760" t="str">
            <v/>
          </cell>
        </row>
        <row r="761">
          <cell r="A761" t="str">
            <v>MUNICIPIO DE CIUDAD BOLÍVAR</v>
          </cell>
        </row>
        <row r="762">
          <cell r="A762" t="str">
            <v>PROYECTO: MEJORAMIENTO DE VÍAS TERCIARIAS, PARA LA REACTIVACIÓN ECONÓMICA, EN LOS MUNICIPIOS DE CIUDAD BOLÍVAR, HISPANIA, SALGAR Y BETANIA, EN EL DEPARTAMENTO DE ANTIOQUIA.</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SA029</v>
          </cell>
          <cell r="B767" t="str">
            <v>MORTERO 1:4 EN OBRA (GROUT) (MUNICIPIO DE CIUDAD BOLIVAR)</v>
          </cell>
          <cell r="E767" t="str">
            <v>M3</v>
          </cell>
          <cell r="F767" t="str">
            <v>N.D.</v>
          </cell>
          <cell r="G767">
            <v>400668</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53440</v>
          </cell>
          <cell r="F773">
            <v>8</v>
          </cell>
          <cell r="G773">
            <v>6680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28459.125</v>
          </cell>
          <cell r="G777">
            <v>1422.9562500000002</v>
          </cell>
        </row>
        <row r="778">
          <cell r="F778" t="str">
            <v>SUBTOTAL</v>
          </cell>
          <cell r="G778">
            <v>8102.9562500000002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MA002</v>
          </cell>
          <cell r="B782" t="str">
            <v>CEMENTO GRIS (50 KG) PORTLAND TIPO I. Incluye transporte. (MUNICIPIO DE CIUDAD BOLIVAR)</v>
          </cell>
          <cell r="C782" t="str">
            <v>SC</v>
          </cell>
          <cell r="D782">
            <v>7.28</v>
          </cell>
          <cell r="E782">
            <v>0.05</v>
          </cell>
          <cell r="F782">
            <v>32850</v>
          </cell>
          <cell r="G782">
            <v>251105.40000000002</v>
          </cell>
        </row>
        <row r="783">
          <cell r="A783" t="str">
            <v>MA009</v>
          </cell>
          <cell r="B783" t="str">
            <v>ARENA FINA PARA CONCRETOS</v>
          </cell>
          <cell r="C783" t="str">
            <v>M3</v>
          </cell>
          <cell r="D783">
            <v>1.1599999999999999</v>
          </cell>
          <cell r="E783">
            <v>0.05</v>
          </cell>
          <cell r="F783">
            <v>57049</v>
          </cell>
          <cell r="G783">
            <v>69485.682000000001</v>
          </cell>
        </row>
        <row r="784">
          <cell r="A784" t="str">
            <v>MA011</v>
          </cell>
          <cell r="B784" t="str">
            <v>AGUA</v>
          </cell>
          <cell r="C784" t="str">
            <v>LT</v>
          </cell>
          <cell r="D784">
            <v>170</v>
          </cell>
          <cell r="E784">
            <v>0.1</v>
          </cell>
          <cell r="F784">
            <v>50</v>
          </cell>
          <cell r="G784">
            <v>9350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329941.08200000005</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21.66</v>
          </cell>
          <cell r="F793">
            <v>1295</v>
          </cell>
          <cell r="G793">
            <v>34164.534599999999</v>
          </cell>
        </row>
        <row r="794">
          <cell r="A794" t="str">
            <v/>
          </cell>
          <cell r="F794" t="str">
            <v/>
          </cell>
          <cell r="G794" t="str">
            <v/>
          </cell>
        </row>
        <row r="795">
          <cell r="A795" t="str">
            <v/>
          </cell>
          <cell r="F795" t="str">
            <v/>
          </cell>
          <cell r="G795" t="str">
            <v/>
          </cell>
        </row>
        <row r="796">
          <cell r="F796" t="str">
            <v>SUBTOTAL</v>
          </cell>
          <cell r="G796">
            <v>34164.534599999999</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100807</v>
          </cell>
          <cell r="F800">
            <v>8</v>
          </cell>
          <cell r="G800">
            <v>12600.875</v>
          </cell>
        </row>
        <row r="801">
          <cell r="A801" t="str">
            <v>MO032</v>
          </cell>
          <cell r="B801" t="str">
            <v>AYUDANTE RASO</v>
          </cell>
          <cell r="D801">
            <v>2</v>
          </cell>
          <cell r="E801">
            <v>63433</v>
          </cell>
          <cell r="F801">
            <v>8</v>
          </cell>
          <cell r="G801">
            <v>15858.25</v>
          </cell>
        </row>
        <row r="802">
          <cell r="A802" t="str">
            <v/>
          </cell>
          <cell r="E802" t="str">
            <v/>
          </cell>
          <cell r="F802" t="str">
            <v/>
          </cell>
          <cell r="G802" t="str">
            <v/>
          </cell>
        </row>
        <row r="803">
          <cell r="A803" t="str">
            <v/>
          </cell>
          <cell r="E803" t="str">
            <v/>
          </cell>
          <cell r="F803" t="str">
            <v/>
          </cell>
          <cell r="G803" t="str">
            <v/>
          </cell>
        </row>
        <row r="804">
          <cell r="F804" t="str">
            <v>SUBTOTAL</v>
          </cell>
          <cell r="G804">
            <v>28459.125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400668</v>
          </cell>
        </row>
        <row r="815">
          <cell r="A815" t="str">
            <v>2. COSTOS INDIRECTOS</v>
          </cell>
        </row>
        <row r="817">
          <cell r="A817" t="str">
            <v>DESCRIPCIÓN</v>
          </cell>
          <cell r="F817" t="str">
            <v>PORCENTAJE</v>
          </cell>
          <cell r="G817" t="str">
            <v>VALOR TOTAL</v>
          </cell>
        </row>
        <row r="818">
          <cell r="A818" t="str">
            <v>ADMINISTRACION</v>
          </cell>
          <cell r="F818">
            <v>0.25440000000000002</v>
          </cell>
          <cell r="G818">
            <v>101929.93920000001</v>
          </cell>
        </row>
        <row r="819">
          <cell r="A819" t="str">
            <v>IMPREVISTOS</v>
          </cell>
          <cell r="F819">
            <v>0.01</v>
          </cell>
          <cell r="G819">
            <v>4006.6800000000003</v>
          </cell>
        </row>
        <row r="820">
          <cell r="A820" t="str">
            <v>UTILIDADES</v>
          </cell>
          <cell r="F820">
            <v>0.05</v>
          </cell>
          <cell r="G820">
            <v>20033.400000000001</v>
          </cell>
        </row>
        <row r="821">
          <cell r="A821" t="str">
            <v>TOTAL COSTO INDIRECTO</v>
          </cell>
          <cell r="F821">
            <v>0.31440000000000001</v>
          </cell>
          <cell r="G821">
            <v>125970</v>
          </cell>
        </row>
        <row r="823">
          <cell r="A823" t="str">
            <v>PRECIO UNITARIO TOTAL APROXIMADO AL PESO</v>
          </cell>
          <cell r="G823">
            <v>526638</v>
          </cell>
        </row>
        <row r="825">
          <cell r="B825" t="str">
            <v>RESPONSABLE: HAROLDO A. ARTEAGA ESPINOSA</v>
          </cell>
        </row>
        <row r="826">
          <cell r="B826" t="str">
            <v>ASESOR DE PROYECTOS</v>
          </cell>
        </row>
        <row r="827">
          <cell r="B827" t="str">
            <v/>
          </cell>
        </row>
        <row r="828">
          <cell r="B828" t="str">
            <v>M.P. 22202-175769 COR</v>
          </cell>
          <cell r="D828" t="str">
            <v>FIRMA RESPONSABLE</v>
          </cell>
        </row>
        <row r="829">
          <cell r="A829" t="str">
            <v>DEPARTAMENTO DE ANTIOQUIA</v>
          </cell>
          <cell r="F829" t="str">
            <v/>
          </cell>
        </row>
        <row r="830">
          <cell r="A830" t="str">
            <v>MUNICIPIO DE CIUDAD BOLÍVAR</v>
          </cell>
        </row>
        <row r="831">
          <cell r="A831" t="str">
            <v>PROYECTO: MEJORAMIENTO DE VÍAS TERCIARIAS, PARA LA REACTIVACIÓN ECONÓMICA, EN LOS MUNICIPIOS DE CIUDAD BOLÍVAR, HISPANIA, SALGAR Y BETANIA, EN EL DEPARTAMENTO DE ANTIOQUIA.</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SA030</v>
          </cell>
          <cell r="B836" t="str">
            <v>MORTERO 1:4 EN OBRA (PEGA) (MUNICIPIO DE CIUDAD BOLIVAR)</v>
          </cell>
          <cell r="E836" t="str">
            <v>M3</v>
          </cell>
          <cell r="F836" t="str">
            <v>N.D.</v>
          </cell>
          <cell r="G836">
            <v>387368</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53440</v>
          </cell>
          <cell r="F842">
            <v>8</v>
          </cell>
          <cell r="G842">
            <v>6680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28459.125</v>
          </cell>
          <cell r="G846">
            <v>1422.9562500000002</v>
          </cell>
        </row>
        <row r="847">
          <cell r="F847" t="str">
            <v>SUBTOTAL</v>
          </cell>
          <cell r="G847">
            <v>8102.9562500000002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MA002</v>
          </cell>
          <cell r="B851" t="str">
            <v>CEMENTO GRIS (50 KG) PORTLAND TIPO I. Incluye transporte. (MUNICIPIO DE CIUDAD BOLIVAR)</v>
          </cell>
          <cell r="C851" t="str">
            <v>SC</v>
          </cell>
          <cell r="D851">
            <v>7.28</v>
          </cell>
          <cell r="E851">
            <v>0.05</v>
          </cell>
          <cell r="F851">
            <v>32850</v>
          </cell>
          <cell r="G851">
            <v>251105.40000000002</v>
          </cell>
        </row>
        <row r="852">
          <cell r="A852" t="str">
            <v>MA007</v>
          </cell>
          <cell r="B852" t="str">
            <v xml:space="preserve">ARENA DE PEGA </v>
          </cell>
          <cell r="C852" t="str">
            <v>M3</v>
          </cell>
          <cell r="D852">
            <v>1.1599999999999999</v>
          </cell>
          <cell r="E852">
            <v>0.05</v>
          </cell>
          <cell r="F852">
            <v>46130</v>
          </cell>
          <cell r="G852">
            <v>56186.34</v>
          </cell>
        </row>
        <row r="853">
          <cell r="A853" t="str">
            <v>MA011</v>
          </cell>
          <cell r="B853" t="str">
            <v>AGUA</v>
          </cell>
          <cell r="C853" t="str">
            <v>LT</v>
          </cell>
          <cell r="D853">
            <v>170</v>
          </cell>
          <cell r="E853">
            <v>0.1</v>
          </cell>
          <cell r="F853">
            <v>50</v>
          </cell>
          <cell r="G853">
            <v>9350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316641.74</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21.66</v>
          </cell>
          <cell r="F862">
            <v>1295</v>
          </cell>
          <cell r="G862">
            <v>34164.534599999999</v>
          </cell>
        </row>
        <row r="863">
          <cell r="A863" t="str">
            <v/>
          </cell>
          <cell r="F863" t="str">
            <v/>
          </cell>
          <cell r="G863" t="str">
            <v/>
          </cell>
        </row>
        <row r="864">
          <cell r="A864" t="str">
            <v/>
          </cell>
          <cell r="F864" t="str">
            <v/>
          </cell>
          <cell r="G864" t="str">
            <v/>
          </cell>
        </row>
        <row r="865">
          <cell r="F865" t="str">
            <v>SUBTOTAL</v>
          </cell>
          <cell r="G865">
            <v>34164.534599999999</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100807</v>
          </cell>
          <cell r="F869">
            <v>8</v>
          </cell>
          <cell r="G869">
            <v>12600.875</v>
          </cell>
        </row>
        <row r="870">
          <cell r="A870" t="str">
            <v>MO032</v>
          </cell>
          <cell r="B870" t="str">
            <v>AYUDANTE RASO</v>
          </cell>
          <cell r="D870">
            <v>2</v>
          </cell>
          <cell r="E870">
            <v>63433</v>
          </cell>
          <cell r="F870">
            <v>8</v>
          </cell>
          <cell r="G870">
            <v>15858.25</v>
          </cell>
        </row>
        <row r="871">
          <cell r="A871" t="str">
            <v/>
          </cell>
          <cell r="E871" t="str">
            <v/>
          </cell>
          <cell r="F871" t="str">
            <v/>
          </cell>
          <cell r="G871" t="str">
            <v/>
          </cell>
        </row>
        <row r="872">
          <cell r="A872" t="str">
            <v/>
          </cell>
          <cell r="E872" t="str">
            <v/>
          </cell>
          <cell r="F872" t="str">
            <v/>
          </cell>
          <cell r="G872" t="str">
            <v/>
          </cell>
        </row>
        <row r="873">
          <cell r="F873" t="str">
            <v>SUBTOTAL</v>
          </cell>
          <cell r="G873">
            <v>28459.125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387368</v>
          </cell>
        </row>
        <row r="884">
          <cell r="A884" t="str">
            <v>2. COSTOS INDIRECTOS</v>
          </cell>
        </row>
        <row r="886">
          <cell r="A886" t="str">
            <v>DESCRIPCIÓN</v>
          </cell>
          <cell r="F886" t="str">
            <v>PORCENTAJE</v>
          </cell>
          <cell r="G886" t="str">
            <v>VALOR TOTAL</v>
          </cell>
        </row>
        <row r="887">
          <cell r="A887" t="str">
            <v>ADMINISTRACION</v>
          </cell>
          <cell r="F887">
            <v>0.25440000000000002</v>
          </cell>
          <cell r="G887">
            <v>98546.419200000004</v>
          </cell>
        </row>
        <row r="888">
          <cell r="A888" t="str">
            <v>IMPREVISTOS</v>
          </cell>
          <cell r="F888">
            <v>0.01</v>
          </cell>
          <cell r="G888">
            <v>3873.6800000000003</v>
          </cell>
        </row>
        <row r="889">
          <cell r="A889" t="str">
            <v>UTILIDADES</v>
          </cell>
          <cell r="F889">
            <v>0.05</v>
          </cell>
          <cell r="G889">
            <v>19368.400000000001</v>
          </cell>
        </row>
        <row r="890">
          <cell r="A890" t="str">
            <v>TOTAL COSTO INDIRECTO</v>
          </cell>
          <cell r="F890">
            <v>0.31440000000000001</v>
          </cell>
          <cell r="G890">
            <v>121788</v>
          </cell>
        </row>
        <row r="892">
          <cell r="A892" t="str">
            <v>PRECIO UNITARIO TOTAL APROXIMADO AL PESO</v>
          </cell>
          <cell r="G892">
            <v>509156</v>
          </cell>
        </row>
        <row r="894">
          <cell r="B894" t="str">
            <v>RESPONSABLE: HAROLDO A. ARTEAGA ESPINOSA</v>
          </cell>
        </row>
        <row r="895">
          <cell r="B895" t="str">
            <v>ASESOR DE PROYECTOS</v>
          </cell>
        </row>
        <row r="896">
          <cell r="B896" t="str">
            <v/>
          </cell>
        </row>
        <row r="897">
          <cell r="B897" t="str">
            <v>M.P. 22202-175769 COR</v>
          </cell>
          <cell r="D897" t="str">
            <v>FIRMA RESPONSABLE</v>
          </cell>
        </row>
        <row r="898">
          <cell r="A898" t="str">
            <v>DEPARTAMENTO DE ANTIOQUIA</v>
          </cell>
          <cell r="F898" t="str">
            <v/>
          </cell>
        </row>
        <row r="899">
          <cell r="A899" t="str">
            <v>MUNICIPIO DE CIUDAD BOLÍVAR</v>
          </cell>
        </row>
        <row r="900">
          <cell r="A900" t="str">
            <v>PROYECTO: MEJORAMIENTO DE VÍAS TERCIARIAS, PARA LA REACTIVACIÓN ECONÓMICA, EN LOS MUNICIPIOS DE CIUDAD BOLÍVAR, HISPANIA, SALGAR Y BETANIA, EN EL DEPARTAMENTO DE ANTIOQUIA.</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SA031</v>
          </cell>
          <cell r="B905" t="str">
            <v>MORTERO 1:5 EN OBRA (REVOQUE) (MUNICIPIO DE CIUDAD BOLIVAR)</v>
          </cell>
          <cell r="E905" t="str">
            <v>M3</v>
          </cell>
          <cell r="F905" t="str">
            <v>N.D.</v>
          </cell>
          <cell r="G905">
            <v>351387</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53440</v>
          </cell>
          <cell r="F911">
            <v>8</v>
          </cell>
          <cell r="G911">
            <v>6680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28459.125</v>
          </cell>
          <cell r="G915">
            <v>1422.9562500000002</v>
          </cell>
        </row>
        <row r="916">
          <cell r="F916" t="str">
            <v>SUBTOTAL</v>
          </cell>
          <cell r="G916">
            <v>8102.9562500000002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MA002</v>
          </cell>
          <cell r="B920" t="str">
            <v>CEMENTO GRIS (50 KG) PORTLAND TIPO I. Incluye transporte. (MUNICIPIO DE CIUDAD BOLIVAR)</v>
          </cell>
          <cell r="C920" t="str">
            <v>SC</v>
          </cell>
          <cell r="D920">
            <v>6.04</v>
          </cell>
          <cell r="E920">
            <v>0.05</v>
          </cell>
          <cell r="F920">
            <v>32850</v>
          </cell>
          <cell r="G920">
            <v>208334.7</v>
          </cell>
        </row>
        <row r="921">
          <cell r="A921" t="str">
            <v>MA008</v>
          </cell>
          <cell r="B921" t="str">
            <v xml:space="preserve">ARENA DE REVOQUE </v>
          </cell>
          <cell r="C921" t="str">
            <v>M3</v>
          </cell>
          <cell r="D921">
            <v>1.18</v>
          </cell>
          <cell r="E921">
            <v>0.05</v>
          </cell>
          <cell r="F921">
            <v>51240</v>
          </cell>
          <cell r="G921">
            <v>63486.36</v>
          </cell>
        </row>
        <row r="922">
          <cell r="A922" t="str">
            <v>MA011</v>
          </cell>
          <cell r="B922" t="str">
            <v>AGUA</v>
          </cell>
          <cell r="C922" t="str">
            <v>LT</v>
          </cell>
          <cell r="D922">
            <v>150</v>
          </cell>
          <cell r="E922">
            <v>0.1</v>
          </cell>
          <cell r="F922">
            <v>50</v>
          </cell>
          <cell r="G922">
            <v>8250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280071.06</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21.66</v>
          </cell>
          <cell r="F931">
            <v>1295</v>
          </cell>
          <cell r="G931">
            <v>34753.578300000001</v>
          </cell>
        </row>
        <row r="932">
          <cell r="A932" t="str">
            <v/>
          </cell>
          <cell r="F932" t="str">
            <v/>
          </cell>
          <cell r="G932" t="str">
            <v/>
          </cell>
        </row>
        <row r="933">
          <cell r="A933" t="str">
            <v/>
          </cell>
          <cell r="F933" t="str">
            <v/>
          </cell>
          <cell r="G933" t="str">
            <v/>
          </cell>
        </row>
        <row r="934">
          <cell r="F934" t="str">
            <v>SUBTOTAL</v>
          </cell>
          <cell r="G934">
            <v>34753.578300000001</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100807</v>
          </cell>
          <cell r="F938">
            <v>8</v>
          </cell>
          <cell r="G938">
            <v>12600.875</v>
          </cell>
        </row>
        <row r="939">
          <cell r="A939" t="str">
            <v>MO032</v>
          </cell>
          <cell r="B939" t="str">
            <v>AYUDANTE RASO</v>
          </cell>
          <cell r="D939">
            <v>2</v>
          </cell>
          <cell r="E939">
            <v>63433</v>
          </cell>
          <cell r="F939">
            <v>8</v>
          </cell>
          <cell r="G939">
            <v>15858.25</v>
          </cell>
        </row>
        <row r="940">
          <cell r="A940" t="str">
            <v/>
          </cell>
          <cell r="E940" t="str">
            <v/>
          </cell>
          <cell r="F940" t="str">
            <v/>
          </cell>
          <cell r="G940" t="str">
            <v/>
          </cell>
        </row>
        <row r="941">
          <cell r="A941" t="str">
            <v/>
          </cell>
          <cell r="E941" t="str">
            <v/>
          </cell>
          <cell r="F941" t="str">
            <v/>
          </cell>
          <cell r="G941" t="str">
            <v/>
          </cell>
        </row>
        <row r="942">
          <cell r="F942" t="str">
            <v>SUBTOTAL</v>
          </cell>
          <cell r="G942">
            <v>28459.125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351387</v>
          </cell>
        </row>
        <row r="953">
          <cell r="A953" t="str">
            <v>2. COSTOS INDIRECTOS</v>
          </cell>
        </row>
        <row r="955">
          <cell r="A955" t="str">
            <v>DESCRIPCIÓN</v>
          </cell>
          <cell r="F955" t="str">
            <v>PORCENTAJE</v>
          </cell>
          <cell r="G955" t="str">
            <v>VALOR TOTAL</v>
          </cell>
        </row>
        <row r="956">
          <cell r="A956" t="str">
            <v>ADMINISTRACION</v>
          </cell>
          <cell r="F956">
            <v>0.25440000000000002</v>
          </cell>
          <cell r="G956">
            <v>89392.852800000008</v>
          </cell>
        </row>
        <row r="957">
          <cell r="A957" t="str">
            <v>IMPREVISTOS</v>
          </cell>
          <cell r="F957">
            <v>0.01</v>
          </cell>
          <cell r="G957">
            <v>3513.87</v>
          </cell>
        </row>
        <row r="958">
          <cell r="A958" t="str">
            <v>UTILIDADES</v>
          </cell>
          <cell r="F958">
            <v>0.05</v>
          </cell>
          <cell r="G958">
            <v>17569.350000000002</v>
          </cell>
        </row>
        <row r="959">
          <cell r="A959" t="str">
            <v>TOTAL COSTO INDIRECTO</v>
          </cell>
          <cell r="F959">
            <v>0.31440000000000001</v>
          </cell>
          <cell r="G959">
            <v>110476</v>
          </cell>
        </row>
        <row r="961">
          <cell r="A961" t="str">
            <v>PRECIO UNITARIO TOTAL APROXIMADO AL PESO</v>
          </cell>
          <cell r="G961">
            <v>461863</v>
          </cell>
        </row>
        <row r="963">
          <cell r="B963" t="str">
            <v>RESPONSABLE: HAROLDO A. ARTEAGA ESPINOSA</v>
          </cell>
        </row>
        <row r="964">
          <cell r="B964" t="str">
            <v>ASESOR DE PROYECTOS</v>
          </cell>
        </row>
        <row r="965">
          <cell r="B965" t="str">
            <v/>
          </cell>
        </row>
        <row r="966">
          <cell r="B966" t="str">
            <v>M.P. 22202-175769 COR</v>
          </cell>
          <cell r="D966" t="str">
            <v>FIRMA RESPONSABLE</v>
          </cell>
        </row>
        <row r="967">
          <cell r="A967" t="str">
            <v>DEPARTAMENTO DE ANTIOQUIA</v>
          </cell>
          <cell r="F967" t="str">
            <v/>
          </cell>
        </row>
        <row r="968">
          <cell r="A968" t="str">
            <v>MUNICIPIO DE CIUDAD BOLÍVAR</v>
          </cell>
        </row>
        <row r="969">
          <cell r="A969" t="str">
            <v>PROYECTO: MEJORAMIENTO DE VÍAS TERCIARIAS, PARA LA REACTIVACIÓN ECONÓMICA, EN LOS MUNICIPIOS DE CIUDAD BOLÍVAR, HISPANIA, SALGAR Y BETANIA, EN EL DEPARTAMENTO DE ANTIOQUIA.</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SA032</v>
          </cell>
          <cell r="B974" t="str">
            <v>MORTERO 1:5 EN OBRA (PEGA) (MUNICIPIO DE CIUDAD BOLIVAR)</v>
          </cell>
          <cell r="E974" t="str">
            <v>M3</v>
          </cell>
          <cell r="F974" t="str">
            <v>N.D.</v>
          </cell>
          <cell r="G974">
            <v>345055</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53440</v>
          </cell>
          <cell r="F980">
            <v>8</v>
          </cell>
          <cell r="G980">
            <v>6680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28459.125</v>
          </cell>
          <cell r="G984">
            <v>1422.9562500000002</v>
          </cell>
        </row>
        <row r="985">
          <cell r="F985" t="str">
            <v>SUBTOTAL</v>
          </cell>
          <cell r="G985">
            <v>8102.9562500000002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MA002</v>
          </cell>
          <cell r="B989" t="str">
            <v>CEMENTO GRIS (50 KG) PORTLAND TIPO I. Incluye transporte. (MUNICIPIO DE CIUDAD BOLIVAR)</v>
          </cell>
          <cell r="C989" t="str">
            <v>SC</v>
          </cell>
          <cell r="D989">
            <v>6.04</v>
          </cell>
          <cell r="E989">
            <v>0.05</v>
          </cell>
          <cell r="F989">
            <v>32850</v>
          </cell>
          <cell r="G989">
            <v>208334.7</v>
          </cell>
        </row>
        <row r="990">
          <cell r="A990" t="str">
            <v>MA007</v>
          </cell>
          <cell r="B990" t="str">
            <v xml:space="preserve">ARENA DE PEGA </v>
          </cell>
          <cell r="C990" t="str">
            <v>M3</v>
          </cell>
          <cell r="D990">
            <v>1.18</v>
          </cell>
          <cell r="E990">
            <v>0.05</v>
          </cell>
          <cell r="F990">
            <v>46130</v>
          </cell>
          <cell r="G990">
            <v>57155.07</v>
          </cell>
        </row>
        <row r="991">
          <cell r="A991" t="str">
            <v>MA011</v>
          </cell>
          <cell r="B991" t="str">
            <v>AGUA</v>
          </cell>
          <cell r="C991" t="str">
            <v>LT</v>
          </cell>
          <cell r="D991">
            <v>150</v>
          </cell>
          <cell r="E991">
            <v>0.1</v>
          </cell>
          <cell r="F991">
            <v>50</v>
          </cell>
          <cell r="G991">
            <v>8250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273739.77</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21.66</v>
          </cell>
          <cell r="F1000">
            <v>1295</v>
          </cell>
          <cell r="G1000">
            <v>34753.578300000001</v>
          </cell>
        </row>
        <row r="1001">
          <cell r="A1001" t="str">
            <v/>
          </cell>
          <cell r="F1001" t="str">
            <v/>
          </cell>
          <cell r="G1001" t="str">
            <v/>
          </cell>
        </row>
        <row r="1002">
          <cell r="A1002" t="str">
            <v/>
          </cell>
          <cell r="F1002" t="str">
            <v/>
          </cell>
          <cell r="G1002" t="str">
            <v/>
          </cell>
        </row>
        <row r="1003">
          <cell r="F1003" t="str">
            <v>SUBTOTAL</v>
          </cell>
          <cell r="G1003">
            <v>34753.578300000001</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100807</v>
          </cell>
          <cell r="F1007">
            <v>8</v>
          </cell>
          <cell r="G1007">
            <v>12600.875</v>
          </cell>
        </row>
        <row r="1008">
          <cell r="A1008" t="str">
            <v>MO032</v>
          </cell>
          <cell r="B1008" t="str">
            <v>AYUDANTE RASO</v>
          </cell>
          <cell r="D1008">
            <v>2</v>
          </cell>
          <cell r="E1008">
            <v>63433</v>
          </cell>
          <cell r="F1008">
            <v>8</v>
          </cell>
          <cell r="G1008">
            <v>15858.25</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28459.125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345055</v>
          </cell>
        </row>
        <row r="1022">
          <cell r="A1022" t="str">
            <v>2. COSTOS INDIRECTOS</v>
          </cell>
        </row>
        <row r="1024">
          <cell r="A1024" t="str">
            <v>DESCRIPCIÓN</v>
          </cell>
          <cell r="F1024" t="str">
            <v>PORCENTAJE</v>
          </cell>
          <cell r="G1024" t="str">
            <v>VALOR TOTAL</v>
          </cell>
        </row>
        <row r="1025">
          <cell r="A1025" t="str">
            <v>ADMINISTRACION</v>
          </cell>
          <cell r="F1025">
            <v>0.25440000000000002</v>
          </cell>
          <cell r="G1025">
            <v>87781.991999999998</v>
          </cell>
        </row>
        <row r="1026">
          <cell r="A1026" t="str">
            <v>IMPREVISTOS</v>
          </cell>
          <cell r="F1026">
            <v>0.01</v>
          </cell>
          <cell r="G1026">
            <v>3450.55</v>
          </cell>
        </row>
        <row r="1027">
          <cell r="A1027" t="str">
            <v>UTILIDADES</v>
          </cell>
          <cell r="F1027">
            <v>0.05</v>
          </cell>
          <cell r="G1027">
            <v>17252.75</v>
          </cell>
        </row>
        <row r="1028">
          <cell r="A1028" t="str">
            <v>TOTAL COSTO INDIRECTO</v>
          </cell>
          <cell r="F1028">
            <v>0.31440000000000001</v>
          </cell>
          <cell r="G1028">
            <v>108485</v>
          </cell>
        </row>
        <row r="1030">
          <cell r="A1030" t="str">
            <v>PRECIO UNITARIO TOTAL APROXIMADO AL PESO</v>
          </cell>
          <cell r="G1030">
            <v>453540</v>
          </cell>
        </row>
        <row r="1032">
          <cell r="B1032" t="str">
            <v>RESPONSABLE: HAROLDO A. ARTEAGA ESPINOSA</v>
          </cell>
        </row>
        <row r="1033">
          <cell r="B1033" t="str">
            <v>ASESOR DE PROYECTOS</v>
          </cell>
        </row>
        <row r="1034">
          <cell r="B1034" t="str">
            <v/>
          </cell>
        </row>
        <row r="1035">
          <cell r="B1035" t="str">
            <v>M.P. 22202-175769 COR</v>
          </cell>
          <cell r="D1035" t="str">
            <v>FIRMA RESPONSABLE</v>
          </cell>
        </row>
        <row r="1036">
          <cell r="A1036" t="str">
            <v>DEPARTAMENTO DE ANTIOQUIA</v>
          </cell>
          <cell r="F1036" t="str">
            <v/>
          </cell>
        </row>
        <row r="1037">
          <cell r="A1037" t="str">
            <v>MUNICIPIO DE CIUDAD BOLÍVAR</v>
          </cell>
        </row>
        <row r="1038">
          <cell r="A1038" t="str">
            <v>PROYECTO: MEJORAMIENTO DE VÍAS TERCIARIAS, PARA LA REACTIVACIÓN ECONÓMICA, EN LOS MUNICIPIOS DE CIUDAD BOLÍVAR, HISPANIA, SALGAR Y BETANIA, EN EL DEPARTAMENTO DE ANTIOQUIA.</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SA033</v>
          </cell>
          <cell r="B1043" t="str">
            <v>MORTERO 1:6 EN OBRA (PEGA) (MUNICIPIO DE CIUDAD BOLIVAR)</v>
          </cell>
          <cell r="E1043" t="str">
            <v>M3</v>
          </cell>
          <cell r="F1043" t="str">
            <v>N.D.</v>
          </cell>
          <cell r="G1043">
            <v>317090</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53440</v>
          </cell>
          <cell r="F1049">
            <v>8</v>
          </cell>
          <cell r="G1049">
            <v>6680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28459.125</v>
          </cell>
          <cell r="G1053">
            <v>1422.9562500000002</v>
          </cell>
        </row>
        <row r="1054">
          <cell r="F1054" t="str">
            <v>SUBTOTAL</v>
          </cell>
          <cell r="G1054">
            <v>8102.9562500000002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MA002</v>
          </cell>
          <cell r="B1058" t="str">
            <v>CEMENTO GRIS (50 KG) PORTLAND TIPO I. Incluye transporte. (MUNICIPIO DE CIUDAD BOLIVAR)</v>
          </cell>
          <cell r="C1058" t="str">
            <v>SC</v>
          </cell>
          <cell r="D1058">
            <v>5.2</v>
          </cell>
          <cell r="E1058">
            <v>0.05</v>
          </cell>
          <cell r="F1058">
            <v>32850</v>
          </cell>
          <cell r="G1058">
            <v>179361</v>
          </cell>
        </row>
        <row r="1059">
          <cell r="A1059" t="str">
            <v>MA007</v>
          </cell>
          <cell r="B1059" t="str">
            <v xml:space="preserve">ARENA DE PEGA </v>
          </cell>
          <cell r="C1059" t="str">
            <v>M3</v>
          </cell>
          <cell r="D1059">
            <v>1.2</v>
          </cell>
          <cell r="E1059">
            <v>0.05</v>
          </cell>
          <cell r="F1059">
            <v>46130</v>
          </cell>
          <cell r="G1059">
            <v>58123.8</v>
          </cell>
        </row>
        <row r="1060">
          <cell r="A1060" t="str">
            <v>MA011</v>
          </cell>
          <cell r="B1060" t="str">
            <v>AGUA</v>
          </cell>
          <cell r="C1060" t="str">
            <v>LT</v>
          </cell>
          <cell r="D1060">
            <v>140</v>
          </cell>
          <cell r="E1060">
            <v>0.1</v>
          </cell>
          <cell r="F1060">
            <v>50</v>
          </cell>
          <cell r="G1060">
            <v>7700.0000000000009</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245184.8</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21.66</v>
          </cell>
          <cell r="F1069">
            <v>1295</v>
          </cell>
          <cell r="G1069">
            <v>35342.621999999996</v>
          </cell>
        </row>
        <row r="1070">
          <cell r="A1070" t="str">
            <v/>
          </cell>
          <cell r="F1070" t="str">
            <v/>
          </cell>
          <cell r="G1070" t="str">
            <v/>
          </cell>
        </row>
        <row r="1071">
          <cell r="A1071" t="str">
            <v/>
          </cell>
          <cell r="F1071" t="str">
            <v/>
          </cell>
          <cell r="G1071" t="str">
            <v/>
          </cell>
        </row>
        <row r="1072">
          <cell r="F1072" t="str">
            <v>SUBTOTAL</v>
          </cell>
          <cell r="G1072">
            <v>35342.621999999996</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100807</v>
          </cell>
          <cell r="F1076">
            <v>8</v>
          </cell>
          <cell r="G1076">
            <v>12600.875</v>
          </cell>
        </row>
        <row r="1077">
          <cell r="A1077" t="str">
            <v>MO032</v>
          </cell>
          <cell r="B1077" t="str">
            <v>AYUDANTE RASO</v>
          </cell>
          <cell r="D1077">
            <v>2</v>
          </cell>
          <cell r="E1077">
            <v>63433</v>
          </cell>
          <cell r="F1077">
            <v>8</v>
          </cell>
          <cell r="G1077">
            <v>15858.25</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28459.125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317090</v>
          </cell>
        </row>
        <row r="1091">
          <cell r="A1091" t="str">
            <v>2. COSTOS INDIRECTOS</v>
          </cell>
        </row>
        <row r="1093">
          <cell r="A1093" t="str">
            <v>DESCRIPCIÓN</v>
          </cell>
          <cell r="F1093" t="str">
            <v>PORCENTAJE</v>
          </cell>
          <cell r="G1093" t="str">
            <v>VALOR TOTAL</v>
          </cell>
        </row>
        <row r="1094">
          <cell r="A1094" t="str">
            <v>ADMINISTRACION</v>
          </cell>
          <cell r="F1094">
            <v>0.25440000000000002</v>
          </cell>
          <cell r="G1094">
            <v>80667.696000000011</v>
          </cell>
        </row>
        <row r="1095">
          <cell r="A1095" t="str">
            <v>IMPREVISTOS</v>
          </cell>
          <cell r="F1095">
            <v>0.01</v>
          </cell>
          <cell r="G1095">
            <v>3170.9</v>
          </cell>
        </row>
        <row r="1096">
          <cell r="A1096" t="str">
            <v>UTILIDADES</v>
          </cell>
          <cell r="F1096">
            <v>0.05</v>
          </cell>
          <cell r="G1096">
            <v>15854.5</v>
          </cell>
        </row>
        <row r="1097">
          <cell r="A1097" t="str">
            <v>TOTAL COSTO INDIRECTO</v>
          </cell>
          <cell r="F1097">
            <v>0.31440000000000001</v>
          </cell>
          <cell r="G1097">
            <v>99693</v>
          </cell>
        </row>
        <row r="1099">
          <cell r="A1099" t="str">
            <v>PRECIO UNITARIO TOTAL APROXIMADO AL PESO</v>
          </cell>
          <cell r="G1099">
            <v>416783</v>
          </cell>
        </row>
        <row r="1101">
          <cell r="B1101" t="str">
            <v>RESPONSABLE: HAROLDO A. ARTEAGA ESPINOSA</v>
          </cell>
        </row>
        <row r="1102">
          <cell r="B1102" t="str">
            <v>ASESOR DE PROYECTOS</v>
          </cell>
        </row>
        <row r="1103">
          <cell r="B1103" t="str">
            <v/>
          </cell>
        </row>
        <row r="1104">
          <cell r="B1104" t="str">
            <v>M.P. 22202-175769 COR</v>
          </cell>
          <cell r="D1104" t="str">
            <v>FIRMA RESPONSABLE</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_Lucro"/>
      <sheetName val="Formato"/>
      <sheetName val="Resumen"/>
      <sheetName val="Anexo 1"/>
      <sheetName val="Anexo 2"/>
      <sheetName val="Anexo 3"/>
      <sheetName val="Anexo 4"/>
      <sheetName val="wilson vsp"/>
      <sheetName val="Tipologias2017-2018"/>
      <sheetName val="Comercio"/>
      <sheetName val="Residencial Sur"/>
      <sheetName val="Residencial Norte"/>
      <sheetName val="OFETTAS_NPH (4)"/>
      <sheetName val="OFETTAS_NPH (3)"/>
      <sheetName val="Tipologias2017-2018 (2)"/>
      <sheetName val="Residencias (2)"/>
      <sheetName val="Residencias (1)"/>
      <sheetName val="Gas"/>
      <sheetName val="Vía"/>
      <sheetName val="URBANISMOS  2018 VIG 2019"/>
      <sheetName val="ejes comerciales"/>
      <sheetName val="SEP"/>
      <sheetName val="OFETTAS_NPH (2)"/>
      <sheetName val="OFETTAS_NPH"/>
      <sheetName val="Base General"/>
      <sheetName val="tabla"/>
      <sheetName val="cálculos"/>
      <sheetName val="compilado de tipologias"/>
      <sheetName val="Tipo 1 -2018"/>
      <sheetName val="Tipo 2 -2018"/>
      <sheetName val="FORMATO COMITE wilson "/>
      <sheetName val="Asignación"/>
      <sheetName val="listado de titulos"/>
      <sheetName val="modelo diccionario"/>
      <sheetName val="Hoja1"/>
      <sheetName val="Hoja2"/>
      <sheetName val="UPZ"/>
      <sheetName val="ZONAS_FISICAS"/>
      <sheetName val="NORMA"/>
      <sheetName val="CONSTRUCCIONES"/>
      <sheetName val="Hoja3"/>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BDatosRisa"/>
      <sheetName val="A.P.U. (2)"/>
      <sheetName val="A.I.U."/>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
      <sheetName val="Presupuesto"/>
      <sheetName val="AIU Y A CONTRATOS"/>
      <sheetName val="APU"/>
      <sheetName val="MATERIALES "/>
      <sheetName val="MEMORIAS"/>
      <sheetName val="MATERIALES"/>
      <sheetName val="MANO DE OBRA"/>
    </sheetNames>
    <sheetDataSet>
      <sheetData sheetId="0"/>
      <sheetData sheetId="1"/>
      <sheetData sheetId="2"/>
      <sheetData sheetId="3">
        <row r="7">
          <cell r="E7">
            <v>1E-3</v>
          </cell>
        </row>
        <row r="8">
          <cell r="E8">
            <v>0.05</v>
          </cell>
        </row>
        <row r="9">
          <cell r="E9">
            <v>0.1</v>
          </cell>
        </row>
      </sheetData>
      <sheetData sheetId="4"/>
      <sheetData sheetId="5"/>
      <sheetData sheetId="6">
        <row r="4">
          <cell r="B4">
            <v>1932</v>
          </cell>
        </row>
        <row r="7">
          <cell r="A7" t="str">
            <v>&gt;&gt;&gt; Ayudante 1 de obra civil &lt;&lt;&lt;</v>
          </cell>
        </row>
        <row r="8">
          <cell r="A8" t="str">
            <v>&gt;&gt;&gt; Ayudante 2 de obra civil &lt;&lt;&lt;</v>
          </cell>
        </row>
        <row r="9">
          <cell r="A9" t="str">
            <v>&gt;&gt;&gt; Ayudante de mecánico 1 &lt;&lt;&lt;</v>
          </cell>
        </row>
        <row r="10">
          <cell r="A10" t="str">
            <v>&gt;&gt;&gt; Ayudante de mecánico 2 &lt;&lt;&lt;</v>
          </cell>
        </row>
        <row r="11">
          <cell r="A11" t="str">
            <v>&gt;&gt;&gt; Ayudante electricista 1 &lt;&lt;&lt;</v>
          </cell>
        </row>
        <row r="12">
          <cell r="A12" t="str">
            <v>&gt;&gt;&gt; Ayudante electricista 2 &lt;&lt;&lt;</v>
          </cell>
        </row>
        <row r="13">
          <cell r="A13" t="str">
            <v>&gt;&gt;&gt; Electricista &lt;&lt;&lt;</v>
          </cell>
        </row>
        <row r="14">
          <cell r="A14" t="str">
            <v>&gt;&gt;&gt; Ingeniero eléctrico experiencia 5 años &lt;&lt;&lt;</v>
          </cell>
        </row>
        <row r="15">
          <cell r="A15" t="str">
            <v>&gt;&gt;&gt; Ingeniero mecánico experiencia 5 años &lt;&lt;&lt;</v>
          </cell>
        </row>
        <row r="16">
          <cell r="A16" t="str">
            <v>&gt;&gt;&gt; Maestro de obra civil &lt;&lt;&lt;</v>
          </cell>
        </row>
        <row r="17">
          <cell r="A17" t="str">
            <v>&gt;&gt;&gt; Mecánico &lt;&lt;&lt;</v>
          </cell>
        </row>
        <row r="18">
          <cell r="A18" t="str">
            <v>&gt;&gt;&gt; Soldador &lt;&lt;&lt;</v>
          </cell>
        </row>
        <row r="19">
          <cell r="A19" t="str">
            <v>Abrazadera de 1" doble ala para canal unistrut</v>
          </cell>
        </row>
        <row r="20">
          <cell r="A20" t="str">
            <v>Abrazadera de 2" doble ala para canal unistrut</v>
          </cell>
        </row>
        <row r="21">
          <cell r="A21" t="str">
            <v>Abrazadera de 3/4" doble ala para canal unistrut</v>
          </cell>
        </row>
        <row r="22">
          <cell r="A22" t="str">
            <v>Abrazadera de 4" doble ala para canal unistrut</v>
          </cell>
        </row>
        <row r="23">
          <cell r="A23" t="str">
            <v>Accesorios para instalación de acometida</v>
          </cell>
        </row>
        <row r="24">
          <cell r="A24" t="str">
            <v>Accesorios para instalación de tableros</v>
          </cell>
        </row>
        <row r="25">
          <cell r="A25" t="str">
            <v>Accesorios para instalación de tubería o bandeja</v>
          </cell>
        </row>
        <row r="26">
          <cell r="A26" t="str">
            <v>Acetileno</v>
          </cell>
        </row>
        <row r="27">
          <cell r="A27" t="str">
            <v>Acople de PVC a IMC de 4"</v>
          </cell>
        </row>
        <row r="28">
          <cell r="A28" t="str">
            <v>Placa y acople metálico para instalar actuador eléctrico sobre compuerta.</v>
          </cell>
        </row>
        <row r="29">
          <cell r="A29" t="str">
            <v>PLACA METALICA</v>
          </cell>
        </row>
        <row r="30">
          <cell r="A30" t="str">
            <v>PLACA ACERO A-36 1/2"</v>
          </cell>
        </row>
        <row r="31">
          <cell r="A31" t="str">
            <v>HORA FRESA</v>
          </cell>
        </row>
        <row r="32">
          <cell r="A32" t="str">
            <v>ACOPLE BRONCE SAE 65</v>
          </cell>
        </row>
        <row r="33">
          <cell r="A33" t="str">
            <v>MATERIAL ACOPLE SAE 65</v>
          </cell>
        </row>
        <row r="34">
          <cell r="A34" t="str">
            <v>HORA TORNO</v>
          </cell>
        </row>
        <row r="35">
          <cell r="A35" t="str">
            <v>HORA FRESA</v>
          </cell>
        </row>
        <row r="36">
          <cell r="A36" t="str">
            <v xml:space="preserve">ACOPLE INOX 304 </v>
          </cell>
        </row>
        <row r="37">
          <cell r="A37" t="str">
            <v xml:space="preserve">MATERIAL ACOPLE INOX 304 </v>
          </cell>
        </row>
        <row r="38">
          <cell r="A38" t="str">
            <v>HORA TORNO</v>
          </cell>
        </row>
        <row r="39">
          <cell r="A39" t="str">
            <v>HORA FRESA</v>
          </cell>
        </row>
        <row r="40">
          <cell r="A40" t="str">
            <v>Soporte y acople metálico para instalar actuador eléctrico sobre válvula.</v>
          </cell>
        </row>
        <row r="41">
          <cell r="A41" t="str">
            <v>ESTRUCTURA ACOPLAR REDUCTOR Y VALVULA</v>
          </cell>
        </row>
        <row r="42">
          <cell r="A42" t="str">
            <v>PLACA ACERO A-36  1"</v>
          </cell>
        </row>
        <row r="43">
          <cell r="A43" t="str">
            <v>PLACA ACERO A-36 1/2"</v>
          </cell>
        </row>
        <row r="44">
          <cell r="A44" t="str">
            <v>SOLDADURA 6011  (1/2) LIBRA</v>
          </cell>
        </row>
        <row r="45">
          <cell r="A45" t="str">
            <v>SOLDADURA 7018  (1 LIBRA) 7018</v>
          </cell>
        </row>
        <row r="46">
          <cell r="A46" t="str">
            <v>MANO DE OBRA SOLDADOR</v>
          </cell>
        </row>
        <row r="47">
          <cell r="A47" t="str">
            <v>MANO OBRA MECANICO</v>
          </cell>
        </row>
        <row r="48">
          <cell r="A48" t="str">
            <v>ACOPLE 1040</v>
          </cell>
        </row>
        <row r="49">
          <cell r="A49" t="str">
            <v>HORA TORNO</v>
          </cell>
        </row>
        <row r="50">
          <cell r="A50" t="str">
            <v>HORA FRESA</v>
          </cell>
        </row>
        <row r="51">
          <cell r="A51" t="str">
            <v>Soporte metálico tipo torre para instalar actuador eléctrico sobre compuerta.</v>
          </cell>
        </row>
        <row r="52">
          <cell r="A52" t="str">
            <v>SOPORTE METALICO TORRE</v>
          </cell>
        </row>
        <row r="53">
          <cell r="A53" t="str">
            <v>PLACA ACERO A-36 1/2"</v>
          </cell>
        </row>
        <row r="54">
          <cell r="A54" t="str">
            <v>HORA FRESA</v>
          </cell>
        </row>
        <row r="55">
          <cell r="A55" t="str">
            <v xml:space="preserve">TORRE EN ANGULO 1 1/4x 1 1/4 x 1/8  </v>
          </cell>
        </row>
        <row r="56">
          <cell r="A56" t="str">
            <v>SOLDADURA 6011</v>
          </cell>
        </row>
        <row r="57">
          <cell r="A57" t="str">
            <v>Actuador eléctrico On-Off, con alimentación trifásica a 220 Vac, para compuerta deslizante de 50 a 100 Kg de peso.</v>
          </cell>
        </row>
        <row r="58">
          <cell r="A58" t="str">
            <v>Actuador eléctrico On-Off, con alimentación trifásica a 220 Vac, para válvula de 10"</v>
          </cell>
        </row>
        <row r="59">
          <cell r="A59" t="str">
            <v>Actuador eléctrico On-Off, con alimentación trifásica a 220 Vac, para válvula de 12"</v>
          </cell>
        </row>
        <row r="60">
          <cell r="A60" t="str">
            <v>Actuador eléctrico On-Off, con alimentación trifásica a 220 Vac, para válvula de 14"</v>
          </cell>
        </row>
        <row r="61">
          <cell r="A61" t="str">
            <v>Actuador eléctrico On-Off, con alimentación trifásica a 220 Vac, para válvula de 16"</v>
          </cell>
        </row>
        <row r="62">
          <cell r="A62" t="str">
            <v>Actuador eléctrico On-Off, con alimentación trifásica a 220 Vac, para válvula de 18"</v>
          </cell>
        </row>
        <row r="63">
          <cell r="A63" t="str">
            <v>Actuador eléctrico On-Off, con alimentación trifásica a 220 Vac, para válvula de 20"</v>
          </cell>
        </row>
        <row r="64">
          <cell r="A64" t="str">
            <v>Actuador eléctrico On-Off, con alimentación trifásica a 220 Vac, para válvula de 4"</v>
          </cell>
        </row>
        <row r="65">
          <cell r="A65" t="str">
            <v>Actuador eléctrico On-Off, con alimentación trifásica a 220 Vac, para válvula de 6"</v>
          </cell>
        </row>
        <row r="66">
          <cell r="A66" t="str">
            <v>Actuador eléctrico On-Off, con alimentación trifásica a 220 Vac, para válvula de 8"</v>
          </cell>
        </row>
        <row r="67">
          <cell r="A67" t="str">
            <v>Actuador eléctrico proporcional, con alimentación trifásica a 220 Vac, para compuerta deslizante de 100 a 200 Kg de peso.</v>
          </cell>
        </row>
        <row r="68">
          <cell r="A68" t="str">
            <v>Actuador eléctrico proporcional, con alimentación trifásica a 220 Vac, para válvula de 10"</v>
          </cell>
        </row>
        <row r="69">
          <cell r="A69" t="str">
            <v>Actuador eléctrico proporcional, con alimentación trifásica a 220 Vac, para válvula de 12"</v>
          </cell>
        </row>
        <row r="70">
          <cell r="A70" t="str">
            <v>Actuador eléctrico proporcional, con alimentación trifásica a 220 Vac, para válvula de 14"</v>
          </cell>
        </row>
        <row r="71">
          <cell r="A71" t="str">
            <v>Actuador eléctrico proporcional, con alimentación trifásica a 220 Vac, para válvula de 16"</v>
          </cell>
        </row>
        <row r="72">
          <cell r="A72" t="str">
            <v>Actuador eléctrico proporcional, con alimentación trifásica a 220 Vac, para válvula de 18"</v>
          </cell>
        </row>
        <row r="73">
          <cell r="A73" t="str">
            <v>Actuador eléctrico proporcional, con alimentación trifásica a 220 Vac, para válvula de 2"</v>
          </cell>
        </row>
        <row r="74">
          <cell r="A74" t="str">
            <v>Actuador eléctrico proporcional, con alimentación trifásica a 220 Vac, para válvula de 24"</v>
          </cell>
        </row>
        <row r="75">
          <cell r="A75" t="str">
            <v>Actuador eléctrico proporcional, con alimentación trifásica a 220 Vac, para válvula de 28"</v>
          </cell>
        </row>
        <row r="76">
          <cell r="A76" t="str">
            <v>Actuador eléctrico proporcional, con alimentación trifásica a 220 Vac, para válvula de 36"</v>
          </cell>
        </row>
        <row r="77">
          <cell r="A77" t="str">
            <v>Amarras plasticas de 20 cms</v>
          </cell>
        </row>
        <row r="78">
          <cell r="A78" t="str">
            <v>Arandela de 1 1/8" galvanizada</v>
          </cell>
        </row>
        <row r="79">
          <cell r="A79" t="str">
            <v>Arandela de 1" galvanizada</v>
          </cell>
        </row>
        <row r="80">
          <cell r="A80" t="str">
            <v>Arandela de 1/2" galvanizada</v>
          </cell>
        </row>
        <row r="81">
          <cell r="A81" t="str">
            <v>Arandela de 1/4" galvanizada</v>
          </cell>
        </row>
        <row r="82">
          <cell r="A82" t="str">
            <v>Arandela de 3/4" galvanizada</v>
          </cell>
        </row>
        <row r="83">
          <cell r="A83" t="str">
            <v>Arrancador estrella triangulo para motor trifásico de 12 hp a 220 Vac, incluye contactores, temporizador y protección térmica.</v>
          </cell>
        </row>
        <row r="84">
          <cell r="A84" t="str">
            <v>Bandeja FO 6 hilos acoples ST</v>
          </cell>
        </row>
        <row r="85">
          <cell r="A85" t="str">
            <v>Bandeja porta-cables metálica galvanizada de 40 cm con doble compartimiento (30+10) y tapa</v>
          </cell>
        </row>
        <row r="86">
          <cell r="A86" t="str">
            <v>Barraje de cobre de alta conductividad para 175 A de dimensiones aproximadas 6x30x400 mm</v>
          </cell>
        </row>
        <row r="87">
          <cell r="A87" t="str">
            <v>Barraje de cobre de alta conductividad para 250 A de dimensiones aproximadas 6x30x400 mm</v>
          </cell>
        </row>
        <row r="88">
          <cell r="A88" t="str">
            <v>Barraje de cobre de alta conductividad para 60 A de dimensiones aproximadas 6x30x400 mm</v>
          </cell>
        </row>
        <row r="89">
          <cell r="A89" t="str">
            <v>Barraje de cobre de alta conductividad para 80 A de dimensiones aproximadas 6x30x400 mm</v>
          </cell>
        </row>
        <row r="90">
          <cell r="A90" t="str">
            <v>Borna terminal ponchable para cable de cobre N° 1 AWG</v>
          </cell>
        </row>
        <row r="91">
          <cell r="A91" t="str">
            <v>Borna terminal ponchable para cable de cobre N° 1/0 AWG</v>
          </cell>
        </row>
        <row r="92">
          <cell r="A92" t="str">
            <v>Borna terminal ponchable para cable de cobre N° 2 AWG</v>
          </cell>
        </row>
        <row r="93">
          <cell r="A93" t="str">
            <v>Borna terminal ponchable para cable de cobre N° 350 MCM</v>
          </cell>
        </row>
        <row r="94">
          <cell r="A94" t="str">
            <v>Borna terminal ponchable para cable de cobre N° 4 AWG</v>
          </cell>
        </row>
        <row r="95">
          <cell r="A95" t="str">
            <v>Borna terminal ponchable para cable de cobre N° 4/0 AWG</v>
          </cell>
        </row>
        <row r="96">
          <cell r="A96" t="str">
            <v>Borna terminal ponchable para cable de cobre N° 6 AWG</v>
          </cell>
        </row>
        <row r="97">
          <cell r="A97" t="str">
            <v>Borna terminal ponchable para cable de cobre N° 8 AWG</v>
          </cell>
        </row>
        <row r="98">
          <cell r="A98" t="str">
            <v>Boton de enclavamiento N.C. de 22 mm, paro de emergencia tipo hongo rojo de pulsar y tirar con piloto</v>
          </cell>
        </row>
        <row r="99">
          <cell r="A99" t="str">
            <v>Boton pulsador N.O. de 22 mm con capuchon plástico (Verde para apertura y Rojo para cierre)</v>
          </cell>
        </row>
        <row r="100">
          <cell r="A100" t="str">
            <v>Cable de cobre aislado N° 1 AWG THHN</v>
          </cell>
        </row>
        <row r="101">
          <cell r="A101" t="str">
            <v>Cable de cobre aislado N° 1/0 AWG THHN</v>
          </cell>
        </row>
        <row r="102">
          <cell r="A102" t="str">
            <v>Cable de cobre aislado N° 12 AWG THHN</v>
          </cell>
        </row>
        <row r="103">
          <cell r="A103" t="str">
            <v>Cable de cobre aislado N° 14 AWG THHN</v>
          </cell>
        </row>
        <row r="104">
          <cell r="A104" t="str">
            <v xml:space="preserve">Cable de cobre aislado N° 2 AWG THHN </v>
          </cell>
        </row>
        <row r="105">
          <cell r="A105" t="str">
            <v>Cable de cobre aislado N° 350 MCM THHN</v>
          </cell>
        </row>
        <row r="106">
          <cell r="A106" t="str">
            <v>Cable de cobre aislado N° 4 AWG THHN</v>
          </cell>
        </row>
        <row r="107">
          <cell r="A107" t="str">
            <v>Cable de cobre aislado N° 4/0 AWG THHN</v>
          </cell>
        </row>
        <row r="108">
          <cell r="A108" t="str">
            <v>Cable de cobre aislado N° 6 AWG THHN</v>
          </cell>
        </row>
        <row r="109">
          <cell r="A109" t="str">
            <v>Cable de cobre aislado N° 8 AWG THHN</v>
          </cell>
        </row>
        <row r="110">
          <cell r="A110" t="str">
            <v>Cable de cobre desnudo N° 2/0 AWG</v>
          </cell>
        </row>
        <row r="111">
          <cell r="A111" t="str">
            <v>Cable de cobre desnudo N° 4 AWG</v>
          </cell>
        </row>
        <row r="112">
          <cell r="A112" t="str">
            <v>Cable de cobre desnudo N° 8 AWG</v>
          </cell>
        </row>
        <row r="113">
          <cell r="A113" t="str">
            <v>Cable de cobre encauchetado N° 4x14 AWG THHN</v>
          </cell>
        </row>
        <row r="114">
          <cell r="A114" t="str">
            <v>Cable de comunicaciones para bus de campo Profibus DP</v>
          </cell>
        </row>
        <row r="115">
          <cell r="A115" t="str">
            <v>Cable de comunicaciones RS485 para protocolo Modbus, marca Teldor referencia 9FY9F1L101</v>
          </cell>
        </row>
        <row r="116">
          <cell r="A116" t="str">
            <v>Cable Profibus DP</v>
          </cell>
        </row>
        <row r="117">
          <cell r="A117" t="str">
            <v>Caja de derivación para red Modbus, marca Shneider referencia TSXSCA50</v>
          </cell>
        </row>
        <row r="118">
          <cell r="A118" t="str">
            <v>Canal unistrut perfil alto</v>
          </cell>
        </row>
        <row r="119">
          <cell r="A119" t="str">
            <v>Carrete bridado de 6" ANSI 150</v>
          </cell>
        </row>
        <row r="120">
          <cell r="A120" t="str">
            <v>Carrete bridado de 10" ANSI 150</v>
          </cell>
        </row>
        <row r="121">
          <cell r="A121" t="str">
            <v>Carrete bridado de 12" ANSI 150</v>
          </cell>
        </row>
        <row r="122">
          <cell r="A122" t="str">
            <v>Carrete bridado de 14" ANSI 150</v>
          </cell>
        </row>
        <row r="123">
          <cell r="A123" t="str">
            <v>Carrete bridado de 16" ANSI 150</v>
          </cell>
        </row>
        <row r="124">
          <cell r="A124" t="str">
            <v>Carrete bridado de 18" ANSI 150</v>
          </cell>
        </row>
        <row r="125">
          <cell r="A125" t="str">
            <v>Certificación FO (par)</v>
          </cell>
        </row>
        <row r="126">
          <cell r="A126" t="str">
            <v>Chazo y tornillo de 1/4"</v>
          </cell>
        </row>
        <row r="127">
          <cell r="A127" t="str">
            <v>Compuerta lateral deslizante de 1,0 m x 1,2 m</v>
          </cell>
        </row>
        <row r="128">
          <cell r="A128" t="str">
            <v>Conduleta en T para tubería IMC de 1"</v>
          </cell>
        </row>
        <row r="129">
          <cell r="A129" t="str">
            <v>Conduleta en T para tubería IMC de 2"</v>
          </cell>
        </row>
        <row r="130">
          <cell r="A130" t="str">
            <v xml:space="preserve">Conduleta en T para tubería IMC de 3/4" </v>
          </cell>
        </row>
        <row r="131">
          <cell r="A131" t="str">
            <v>Conector tubular para empalme de cable de cobre N° 1/0 AWG</v>
          </cell>
        </row>
        <row r="132">
          <cell r="A132" t="str">
            <v>Conector tubular para empalme de cable de cobre N° 2 AWG</v>
          </cell>
        </row>
        <row r="133">
          <cell r="A133" t="str">
            <v>Conector tubular para empalme de cable de cobre N° 4 AWG</v>
          </cell>
        </row>
        <row r="134">
          <cell r="A134" t="str">
            <v>Conectores Profibus DP con resistencia de terminación</v>
          </cell>
        </row>
        <row r="135">
          <cell r="A135" t="str">
            <v>Conectorización de la fibra óptica</v>
          </cell>
        </row>
        <row r="136">
          <cell r="A136" t="str">
            <v>Conversores Profibus DP a Fibra óptica</v>
          </cell>
        </row>
        <row r="137">
          <cell r="A137" t="str">
            <v>Curva conduit IMC de 1"</v>
          </cell>
        </row>
        <row r="138">
          <cell r="A138" t="str">
            <v>Curva conduit IMC de 4"</v>
          </cell>
        </row>
        <row r="139">
          <cell r="A139" t="str">
            <v>Curva conduit PVC de 2"</v>
          </cell>
        </row>
        <row r="140">
          <cell r="A140" t="str">
            <v>Curva conduit PVC de 4"</v>
          </cell>
        </row>
        <row r="141">
          <cell r="A141" t="str">
            <v>Curva para bandeja porta-cables metálica galvanizada de 40  cm.</v>
          </cell>
        </row>
        <row r="142">
          <cell r="A142" t="str">
            <v>Desarrollo de la ingeniería para el sistema de control de las plantas de tratamiento</v>
          </cell>
        </row>
        <row r="143">
          <cell r="A143" t="str">
            <v>Eje roscado en acero inoxidable 304 de 1 1/2" para válvula y/o compuerta</v>
          </cell>
        </row>
        <row r="144">
          <cell r="A144" t="str">
            <v>EJE INOX 304</v>
          </cell>
        </row>
        <row r="145">
          <cell r="A145" t="str">
            <v>eje acero inoxidable 1 1/2"</v>
          </cell>
        </row>
        <row r="146">
          <cell r="A146" t="str">
            <v xml:space="preserve">hora torno </v>
          </cell>
        </row>
        <row r="147">
          <cell r="A147" t="str">
            <v>Electrodo de puesta a tierra cobre/cobre de 2,4 m</v>
          </cell>
        </row>
        <row r="148">
          <cell r="A148" t="str">
            <v>Empaques de neoline para bridas de 10" a 12"</v>
          </cell>
        </row>
        <row r="149">
          <cell r="A149" t="str">
            <v>Empaques de neoline para bridas de 14" a 16"</v>
          </cell>
        </row>
        <row r="150">
          <cell r="A150" t="str">
            <v>Empaques de neoline para bridas de 18" a 20"</v>
          </cell>
        </row>
        <row r="151">
          <cell r="A151" t="str">
            <v>Empaques de neoline para bridas de 2" a 4"</v>
          </cell>
        </row>
        <row r="152">
          <cell r="A152" t="str">
            <v>Empaques de neoline para bridas de 22" a 24"</v>
          </cell>
        </row>
        <row r="153">
          <cell r="A153" t="str">
            <v>Empaques de neoline para bridas de 26" a 28"</v>
          </cell>
        </row>
        <row r="154">
          <cell r="A154" t="str">
            <v>Empaques de neoline para bridas de 36"</v>
          </cell>
        </row>
        <row r="155">
          <cell r="A155" t="str">
            <v>Empaques de neoline para bridas de 6" a 8"</v>
          </cell>
        </row>
        <row r="156">
          <cell r="A156" t="str">
            <v>EQUIPO CONTROLADOR PARA EL SISTEMA DE CONTROL DE LA PLANTA LUIS PRIETO</v>
          </cell>
        </row>
        <row r="157">
          <cell r="A157" t="str">
            <v>EQUIPO CONTROLADOR PARA EL SISTEMA DE CONTROL DE LA PLANTA NIZA.</v>
          </cell>
        </row>
        <row r="158">
          <cell r="A158" t="str">
            <v>EQUIPO I/Os REMOTAS CENTRO DE CONTROL PLANTA LUIS PRIETO</v>
          </cell>
        </row>
        <row r="159">
          <cell r="A159" t="str">
            <v>EQUIPO I/Os REMOTAS ENTRADA PLANTA LUIS PRIETO 1</v>
          </cell>
        </row>
        <row r="160">
          <cell r="A160" t="str">
            <v>EQUIPO I/Os REMOTAS FILTROS PLANTA LUIS PRIETO 1</v>
          </cell>
        </row>
        <row r="161">
          <cell r="A161" t="str">
            <v>EQUIPO I/Os REMOTAS FLOCULACIÓN PLANTA NIZA</v>
          </cell>
        </row>
        <row r="162">
          <cell r="A162" t="str">
            <v>EQUIPO I/Os REMOTAS TANQUE 23 PLANTA NIZA</v>
          </cell>
        </row>
        <row r="163">
          <cell r="A163" t="str">
            <v>EQUIPO I/Os REMOTAS TANQUE DE DISTRIBUCION PLANTA NIZA</v>
          </cell>
        </row>
        <row r="164">
          <cell r="A164" t="str">
            <v>Espárrago de 1 1/8" x 26" galvanizado</v>
          </cell>
        </row>
        <row r="165">
          <cell r="A165" t="str">
            <v>Espárrago de 1 1/8" x 30" galvanizado</v>
          </cell>
        </row>
        <row r="166">
          <cell r="A166" t="str">
            <v>Espárrago de 1" x 24" galvanizado</v>
          </cell>
        </row>
        <row r="167">
          <cell r="A167" t="str">
            <v>Espárrago de 3/4" x 16" galvanizado</v>
          </cell>
        </row>
        <row r="168">
          <cell r="A168" t="str">
            <v>Espárrago de 3/4" x 18" galvanizado</v>
          </cell>
        </row>
        <row r="169">
          <cell r="A169" t="str">
            <v>Estructura metálica con techo para soporte de tablero</v>
          </cell>
        </row>
        <row r="170">
          <cell r="A170" t="str">
            <v>ESTRUCTURA TABLERO 1x0,6 m</v>
          </cell>
        </row>
        <row r="171">
          <cell r="A171" t="str">
            <v>ANGULO 1 1/2X1 1/2X 3/6</v>
          </cell>
        </row>
        <row r="172">
          <cell r="A172" t="str">
            <v>SOLDADURA 6011</v>
          </cell>
        </row>
        <row r="173">
          <cell r="A173" t="str">
            <v>PLATINA 1 1/2 X 3/16</v>
          </cell>
        </row>
        <row r="174">
          <cell r="A174" t="str">
            <v>TECHO TEJA ETERNIT</v>
          </cell>
        </row>
        <row r="175">
          <cell r="A175" t="str">
            <v>MANO OBRA AYUDANTE</v>
          </cell>
        </row>
        <row r="176">
          <cell r="A176" t="str">
            <v>MANO OBRA MECANICO</v>
          </cell>
        </row>
        <row r="177">
          <cell r="A177" t="str">
            <v>PINTURA ANTICORRIVO</v>
          </cell>
        </row>
        <row r="178">
          <cell r="A178" t="str">
            <v>PINTURA ACEITE</v>
          </cell>
        </row>
        <row r="179">
          <cell r="A179" t="str">
            <v>FAN-OUT 6 hilos para fibra óptica</v>
          </cell>
        </row>
        <row r="180">
          <cell r="A180" t="str">
            <v>Fibra Óptica 6 hilos multimodo Interior-Exterior Buffer 50/125.</v>
          </cell>
        </row>
        <row r="181">
          <cell r="A181" t="str">
            <v>Guasa de 1 1/8" galvanizada</v>
          </cell>
        </row>
        <row r="182">
          <cell r="A182" t="str">
            <v>Guasa de 1" galvanizada</v>
          </cell>
        </row>
        <row r="183">
          <cell r="A183" t="str">
            <v>Guasa de 1/2" galvanizada</v>
          </cell>
        </row>
        <row r="184">
          <cell r="A184" t="str">
            <v>Guasa de 3/4" galvanizada</v>
          </cell>
        </row>
        <row r="185">
          <cell r="A185" t="str">
            <v>Interruptor termo-magnético de sobreponer de 3x100 A, 25 KA</v>
          </cell>
        </row>
        <row r="186">
          <cell r="A186" t="str">
            <v>Interruptor termo-magnético de sobreponer de 3x15 A, 6 KA</v>
          </cell>
        </row>
        <row r="187">
          <cell r="A187" t="str">
            <v>Interruptor termo-magnético de sobreponer de 3x150 A, 25 KA</v>
          </cell>
        </row>
        <row r="188">
          <cell r="A188" t="str">
            <v>Interruptor termo-magnético de sobreponer de 3x20 A, 6 KA</v>
          </cell>
        </row>
        <row r="189">
          <cell r="A189" t="str">
            <v>Interruptor termo-magnético de sobreponer de 3x250 A, 25 KA</v>
          </cell>
        </row>
        <row r="190">
          <cell r="A190" t="str">
            <v>Interruptor termo-magnético de sobreponer de 3x30 A, 6 KA</v>
          </cell>
        </row>
        <row r="191">
          <cell r="A191" t="str">
            <v>Interruptor termo-magnético de sobreponer de 3x350 A, 25 KA</v>
          </cell>
        </row>
        <row r="192">
          <cell r="A192" t="str">
            <v>Interruptor termo-magnético de sobreponer de 3x40 A, 25 KA</v>
          </cell>
        </row>
        <row r="193">
          <cell r="A193" t="str">
            <v>Interruptor termo-magnético de sobreponer de 3x50 A, 25 KA</v>
          </cell>
        </row>
        <row r="194">
          <cell r="A194" t="str">
            <v>Interruptor termo-magnético de sobreponer de 3x60 A, 25 KA</v>
          </cell>
        </row>
        <row r="195">
          <cell r="A195" t="str">
            <v>Interruptor termo-magnético de sobreponer de 3x70 A, 25 KA</v>
          </cell>
        </row>
        <row r="196">
          <cell r="A196" t="str">
            <v>Interruptor termo-magnético de sobreponer de 3x80 A, 25 KA</v>
          </cell>
        </row>
        <row r="197">
          <cell r="A197" t="str">
            <v>Oxigeno</v>
          </cell>
        </row>
        <row r="198">
          <cell r="A198" t="str">
            <v>Patch cord FO MM SC-ST 2m</v>
          </cell>
        </row>
        <row r="199">
          <cell r="A199" t="str">
            <v>Perilla potenciómetro para ajuste de RPM en variador de velocidad</v>
          </cell>
        </row>
        <row r="200">
          <cell r="A200" t="str">
            <v>Perilla selectora de dos posiciones y dos contactos para montaje en tablero</v>
          </cell>
        </row>
        <row r="201">
          <cell r="A201" t="str">
            <v>Perno de anclaje de 1" x 3"</v>
          </cell>
        </row>
        <row r="202">
          <cell r="A202" t="str">
            <v>Perno de anclaje de 3/8" x 3"</v>
          </cell>
        </row>
        <row r="203">
          <cell r="A203" t="str">
            <v>Piloto de 22 mm para montaje en tablero con bombilla a 220 Vac (Verde para apertura y rojo para cierre)</v>
          </cell>
        </row>
        <row r="204">
          <cell r="A204" t="str">
            <v>Pintura anticorrosiva</v>
          </cell>
        </row>
        <row r="205">
          <cell r="A205" t="str">
            <v>Pintura epóxica poliamida</v>
          </cell>
        </row>
        <row r="206">
          <cell r="A206" t="str">
            <v>Prensaestopa de 3/4" NPT en aluminio</v>
          </cell>
        </row>
        <row r="207">
          <cell r="A207" t="str">
            <v>Puente equipotencial en cable de cobre desnudo N° 2/0 AWG con terminal tipo ojo ponchado en ambos extremos.</v>
          </cell>
        </row>
        <row r="208">
          <cell r="A208" t="str">
            <v>Relé térmico para motor de 12hp a 220 Vac</v>
          </cell>
        </row>
        <row r="209">
          <cell r="A209" t="str">
            <v>SOFTWARE DE OPERACIÓN PLANTA LUIS PRIETO</v>
          </cell>
        </row>
        <row r="210">
          <cell r="A210" t="str">
            <v>SOFTWARE DE OPERACIÓN PLANTA NIZA</v>
          </cell>
        </row>
        <row r="211">
          <cell r="A211" t="str">
            <v xml:space="preserve">SOFTWARE DE PROGRAMACION </v>
          </cell>
        </row>
        <row r="212">
          <cell r="A212" t="str">
            <v>Soportes metálicos en placa A-36 y bujes en acero inoxidable para eje de válvula y/o compuerta.  Incluye tres (3) unidades.</v>
          </cell>
        </row>
        <row r="213">
          <cell r="A213" t="str">
            <v>BUJES BRONCE Y SOPORTE INOX</v>
          </cell>
        </row>
        <row r="214">
          <cell r="A214" t="str">
            <v>SOPORTE INOX 304  3"</v>
          </cell>
        </row>
        <row r="215">
          <cell r="A215" t="str">
            <v>BRONCE SAE 65</v>
          </cell>
        </row>
        <row r="216">
          <cell r="A216" t="str">
            <v>hora torno</v>
          </cell>
        </row>
        <row r="217">
          <cell r="A217" t="str">
            <v>hora fresa</v>
          </cell>
        </row>
        <row r="218">
          <cell r="A218" t="str">
            <v>placa A-36 1/2"</v>
          </cell>
        </row>
        <row r="219">
          <cell r="A219" t="str">
            <v xml:space="preserve">Soldadura bimetalica </v>
          </cell>
        </row>
        <row r="220">
          <cell r="A220" t="str">
            <v>bujes en acero inoxidable 304 diametro 1"</v>
          </cell>
        </row>
        <row r="221">
          <cell r="A221" t="str">
            <v>TABLERO CENTRO DE CONTROL PLANTA LUIS PRIETO</v>
          </cell>
        </row>
        <row r="222">
          <cell r="A222" t="str">
            <v xml:space="preserve">TABLERO CENTRO DE CONTROL PLANTA NIZA </v>
          </cell>
        </row>
        <row r="223">
          <cell r="A223" t="str">
            <v>TABLERO EQUIPO I/Os REMOTAS ENTRADA PLANTA LUIS PRIETO 1</v>
          </cell>
        </row>
        <row r="224">
          <cell r="A224" t="str">
            <v>TABLERO EQUIPO I/Os REMOTAS FILTROS LUIS PRIETO 1</v>
          </cell>
        </row>
        <row r="225">
          <cell r="A225" t="str">
            <v>TABLERO EQUIPO I/Os REMOTAS TANQUE 23 PLANTA NIZA</v>
          </cell>
        </row>
        <row r="226">
          <cell r="A226" t="str">
            <v>TABLERO EQUIPO I/Os REMOTAS TANQUE DISTRIBUCION-NIZA</v>
          </cell>
        </row>
        <row r="227">
          <cell r="A227" t="str">
            <v>Tablero metálico  con tres compartimentos, con puertas independientes, de 400x220x40 cm</v>
          </cell>
        </row>
        <row r="228">
          <cell r="A228" t="str">
            <v>Tablero metálico tipo intemperie de 100x60x30 cm marca Rebra (para 7 a 9 actuadores)</v>
          </cell>
        </row>
        <row r="229">
          <cell r="A229" t="str">
            <v>Tablero metálico tipo intemperie de 120x60x30 cm marca Rebra (para 10 a 12 actuadores)</v>
          </cell>
        </row>
        <row r="230">
          <cell r="A230" t="str">
            <v>Tablero metálico tipo intemperie de 140x60x30 cm marca Rebra (para 14 a 16 actuadores)</v>
          </cell>
        </row>
        <row r="231">
          <cell r="A231" t="str">
            <v>Tablero metálico tipo intemperie de 50x60x30 cm marca Rebra (para 2 arrancadores)</v>
          </cell>
        </row>
        <row r="232">
          <cell r="A232" t="str">
            <v>Tablero metálico tipo intemperie de 60x60x30 cm marca Rebra (para 1 a 3 actuadores)</v>
          </cell>
        </row>
        <row r="233">
          <cell r="A233" t="str">
            <v>Tablero metálico tipo intemperie de 80x60x30 cm marca Rebra (para 4 a 6 actuadores)</v>
          </cell>
        </row>
        <row r="234">
          <cell r="A234" t="str">
            <v>Tarjeta de comunicaciones para actuador eléctrico RotorK, según el protocolo que se requiera para integrarlo al nuevo sistema de control</v>
          </cell>
        </row>
        <row r="235">
          <cell r="A235" t="str">
            <v>Tarjeta de comunicaciones Profibus DP para variador de velocidad Schneider ATV61</v>
          </cell>
        </row>
        <row r="236">
          <cell r="A236" t="str">
            <v>Terminal recto para coraza metálica de 1"</v>
          </cell>
        </row>
        <row r="237">
          <cell r="A237" t="str">
            <v>Terminal recto para tubería conduit IMC  de 1"</v>
          </cell>
        </row>
        <row r="238">
          <cell r="A238" t="str">
            <v>Terminal recto para tubería conduit IMC  de 2"</v>
          </cell>
        </row>
        <row r="239">
          <cell r="A239" t="str">
            <v>Terminal recto para tubería conduit IMC  de 3/4"</v>
          </cell>
        </row>
        <row r="240">
          <cell r="A240" t="str">
            <v>Terminal recto para tubería conduit IMC de 4"</v>
          </cell>
        </row>
        <row r="241">
          <cell r="A241" t="str">
            <v>Terminal recto para tubería conduit PVC de 2"</v>
          </cell>
        </row>
        <row r="242">
          <cell r="A242" t="str">
            <v>Terminal recto para tubería conduit PVC de 4"</v>
          </cell>
        </row>
        <row r="243">
          <cell r="A243" t="str">
            <v>Tornillo de 1 1/8" x 5" grado 8 negro</v>
          </cell>
        </row>
        <row r="244">
          <cell r="A244" t="str">
            <v>Tornillo de 1" x 4,5" grado 8 negro</v>
          </cell>
        </row>
        <row r="245">
          <cell r="A245" t="str">
            <v>Tornillo de 1" x 5" grado 8 negro</v>
          </cell>
        </row>
        <row r="246">
          <cell r="A246" t="str">
            <v>Tornillo de 1/2" x 2" grado 5 negro</v>
          </cell>
        </row>
        <row r="247">
          <cell r="A247" t="str">
            <v>Tornillo de 3/4" x 3" grado 5 negro</v>
          </cell>
        </row>
        <row r="248">
          <cell r="A248" t="str">
            <v>Tornillo de 3/4" x 3" grado 8 negro</v>
          </cell>
        </row>
        <row r="249">
          <cell r="A249" t="str">
            <v>Tornillo de 3/4" x 4" grado 8 negro</v>
          </cell>
        </row>
        <row r="250">
          <cell r="A250" t="str">
            <v>Tornillo de 8 x 1 galvanizado</v>
          </cell>
        </row>
        <row r="251">
          <cell r="A251" t="str">
            <v>Tubería conduit IMC de 1"</v>
          </cell>
        </row>
        <row r="252">
          <cell r="A252" t="str">
            <v xml:space="preserve">Tubería conduit IMC de 2" </v>
          </cell>
        </row>
        <row r="253">
          <cell r="A253" t="str">
            <v>Tubería conduit IMC de 3/4"</v>
          </cell>
        </row>
        <row r="254">
          <cell r="A254" t="str">
            <v>Tubería conduit IMC de 4"</v>
          </cell>
        </row>
        <row r="255">
          <cell r="A255" t="str">
            <v>Tubería conduit PVC de 2"</v>
          </cell>
        </row>
        <row r="256">
          <cell r="A256" t="str">
            <v xml:space="preserve">Tubería conduit PVC de 4" </v>
          </cell>
        </row>
        <row r="257">
          <cell r="A257" t="str">
            <v>Tubería flexible galvanizada (coraza metálica) de 1"</v>
          </cell>
        </row>
        <row r="258">
          <cell r="A258" t="str">
            <v>Tuerca de 1/4"</v>
          </cell>
        </row>
        <row r="259">
          <cell r="A259" t="str">
            <v>Tuerca hexagonal grado 5 de 1 1/8" galvanizada</v>
          </cell>
        </row>
        <row r="260">
          <cell r="A260" t="str">
            <v>Tuerca hexagonal grado 5 de 1" galvanizada</v>
          </cell>
        </row>
        <row r="261">
          <cell r="A261" t="str">
            <v>Tuerca hexagonal grado 5 de 1/2" galvanizada</v>
          </cell>
        </row>
        <row r="262">
          <cell r="A262" t="str">
            <v>Tuerca hexagonal grado 5 de 3/4" galvanizada</v>
          </cell>
        </row>
        <row r="263">
          <cell r="A263" t="str">
            <v>Tuerca mordaza</v>
          </cell>
        </row>
        <row r="264">
          <cell r="A264" t="str">
            <v>Union conduit IMC de 1"</v>
          </cell>
        </row>
        <row r="265">
          <cell r="A265" t="str">
            <v>Union conduit IMC de 2"</v>
          </cell>
        </row>
        <row r="266">
          <cell r="A266" t="str">
            <v>Union conduit IMC de 3/4"</v>
          </cell>
        </row>
        <row r="267">
          <cell r="A267" t="str">
            <v>Union conduit IMC de 4"</v>
          </cell>
        </row>
        <row r="268">
          <cell r="A268" t="str">
            <v>Union galvanizada de 1"</v>
          </cell>
        </row>
        <row r="269">
          <cell r="A269" t="str">
            <v>Válvula de bola de 2" bridada, cuerpo en acero inoxidable, asiento en EPDM, eje en acero inoxidable.</v>
          </cell>
        </row>
        <row r="270">
          <cell r="A270" t="str">
            <v>Válvula mariposa de 10" tipo "wafer", cuerpo en acero al carbón, eje en acero inoxidable, asiento en EPDM.</v>
          </cell>
        </row>
        <row r="271">
          <cell r="A271" t="str">
            <v>Válvula mariposa de 12" tipo "wafer", cuerpo en acero al carbón, eje en acero inoxidable, asiento en EPDM.</v>
          </cell>
        </row>
        <row r="272">
          <cell r="A272" t="str">
            <v>Válvula mariposa de 14" tipo "wafer", cuerpo en acero al carbón, eje en acero inoxidable, asiento en EPDM.</v>
          </cell>
        </row>
        <row r="273">
          <cell r="A273" t="str">
            <v>Válvula mariposa de 16" tipo "wafer", cuerpo en acero al carbón, eje en acero inoxidable, asiento en EPDM.</v>
          </cell>
        </row>
        <row r="274">
          <cell r="A274" t="str">
            <v>Válvula mariposa de 18" tipo "wafer", cuerpo en acero al carbón, eje en acero inoxidable, asiento en EPDM.</v>
          </cell>
        </row>
        <row r="275">
          <cell r="A275" t="str">
            <v>Válvula mariposa de 20" tipo "wafer", cuerpo en acero al carbón, eje en acero inoxidable, asiento en EPDM.</v>
          </cell>
        </row>
        <row r="276">
          <cell r="A276" t="str">
            <v>Válvula mariposa de 28" tipo "wafer", cuerpo en acero al carbón, eje en acero inoxidable, asiento en EPDM.</v>
          </cell>
        </row>
        <row r="277">
          <cell r="A277" t="str">
            <v>Válvula mariposa de 36" tipo "wafer", cuerpo en acero al carbón, eje en acero inoxidable, asiento en EPDM.</v>
          </cell>
        </row>
        <row r="278">
          <cell r="A278" t="str">
            <v>Válvula mariposa de 4" tipo "wafer", cuerpo en acero al carbón, eje en acero inoxidable, asiento en EPDM.</v>
          </cell>
        </row>
        <row r="279">
          <cell r="A279" t="str">
            <v>Válvula mariposa de 6" tipo "wafer", cuerpo en acero al carbón, eje en acero inoxidable, asiento en EPDM.</v>
          </cell>
        </row>
        <row r="280">
          <cell r="A280" t="str">
            <v>Variador de velocidad completo con tarjeta Profibus DP para motor de 75 HP trifásico a 440 Vac</v>
          </cell>
        </row>
        <row r="281">
          <cell r="A281" t="str">
            <v>Variador de velocidad completo para motor de 2 HP a 220 Vac trifásico, sin terminal gráfica, con tarjeta Profibus DP e inductancia de línea 4 mH 10 A.</v>
          </cell>
        </row>
        <row r="282">
          <cell r="A282" t="str">
            <v>Varilla roscada de 1/4"</v>
          </cell>
        </row>
        <row r="283">
          <cell r="A283" t="str">
            <v>Analizador de redes eléctricas con puerto de comunicaciones con protocolo Profibus DP para instalación en tablero CCM.</v>
          </cell>
        </row>
        <row r="284">
          <cell r="A284" t="str">
            <v>Panel de operación touch screen de 7"</v>
          </cell>
        </row>
        <row r="285">
          <cell r="A285" t="str">
            <v>Gabinete auto soportado nema 12 de 2100x800x600 mm con puerta de vidrio para el panel de operación, fuente de alimentación, cableado y protecciones eléctricas</v>
          </cell>
        </row>
        <row r="286">
          <cell r="A286" t="str">
            <v>Cable de comunicaciones para actuadores eléctricos, de dos hilos apantallado y trenzado.</v>
          </cell>
        </row>
        <row r="287">
          <cell r="A287" t="str">
            <v>Juego Destornillador aislado 1000 V. Cod. 191350488 Stanley 65-980</v>
          </cell>
        </row>
        <row r="288">
          <cell r="A288" t="str">
            <v>Alicate aislado de 8"  1000 V. Cod. 191161212 Stanley 84-002</v>
          </cell>
        </row>
        <row r="289">
          <cell r="A289" t="str">
            <v>Cortafrio aislado 1000 V.  Cod. 191161242  Stanley 84-009</v>
          </cell>
        </row>
        <row r="290">
          <cell r="A290" t="str">
            <v>Pelacable aislado Cod. 191161156  9,1/2" Stanley. 84-223</v>
          </cell>
        </row>
        <row r="291">
          <cell r="A291" t="str">
            <v>Ponchadora manual</v>
          </cell>
        </row>
        <row r="292">
          <cell r="A292" t="str">
            <v>Juego Copasierra  5Pz  Cod. 15-774 Stanley</v>
          </cell>
        </row>
        <row r="293">
          <cell r="A293" t="str">
            <v>Tarraja para tubería metálica con juego hasta 2"</v>
          </cell>
        </row>
        <row r="294">
          <cell r="A294" t="str">
            <v>Sonda para cableado de 50 metros</v>
          </cell>
        </row>
        <row r="295">
          <cell r="A295" t="str">
            <v>Multímetro digital Fluke serie 77</v>
          </cell>
        </row>
        <row r="296">
          <cell r="A296" t="str">
            <v>Pinza amperimetrica digital Fluke serie 370</v>
          </cell>
        </row>
        <row r="297">
          <cell r="A297" t="str">
            <v>Ponchadora hidráulica</v>
          </cell>
        </row>
        <row r="298">
          <cell r="A298" t="str">
            <v>Dobladora hidráulica de tubería hasta 2"</v>
          </cell>
        </row>
        <row r="299">
          <cell r="A299" t="str">
            <v>Taladro eléctrico percutor de 1/2" Cod. 171024818 DeWalt DWD520</v>
          </cell>
        </row>
        <row r="300">
          <cell r="A300" t="str">
            <v xml:space="preserve">Pulidora Industrial 4.1/2" Cod. 171124404 DeWalt D28402 </v>
          </cell>
        </row>
        <row r="301">
          <cell r="A301" t="str">
            <v xml:space="preserve">Impresora portatil de marcación termica panduit ls8e-kit.  </v>
          </cell>
        </row>
        <row r="302">
          <cell r="A302" t="str">
            <v>Flexómetro de 5 Mts. Cod. 191070108  Stanley 30-615</v>
          </cell>
        </row>
        <row r="303">
          <cell r="A303" t="str">
            <v>Juego Destornilladores  Cod. 191400442 Stanley 60-100</v>
          </cell>
        </row>
        <row r="304">
          <cell r="A304" t="str">
            <v>Alicate de 7"  Cod. 191160149  Stanley 84-055</v>
          </cell>
        </row>
        <row r="305">
          <cell r="A305" t="str">
            <v>Juego de llave Mixta en Pulg.  14Pz Cod. 19114842 Stanley 86-970</v>
          </cell>
        </row>
        <row r="306">
          <cell r="A306" t="str">
            <v>Juego de copas con rache  Cod. 191133534 Stanley 86-504</v>
          </cell>
        </row>
        <row r="307">
          <cell r="A307" t="str">
            <v>Martillo Cod. 191071320  20Oz Stanley 51-072</v>
          </cell>
        </row>
        <row r="308">
          <cell r="A308" t="str">
            <v>Almadana</v>
          </cell>
        </row>
        <row r="309">
          <cell r="A309" t="str">
            <v>Barra</v>
          </cell>
        </row>
        <row r="310">
          <cell r="A310" t="str">
            <v>Mangosierra Cod. 191020423 Stanley 15-098</v>
          </cell>
        </row>
        <row r="311">
          <cell r="A311" t="str">
            <v>Llave de tubería de 14"  Cod. 191202628   Stanley 87-624</v>
          </cell>
        </row>
        <row r="312">
          <cell r="A312" t="str">
            <v>Eslinga para levantamiento de carga de 2 Toneladas</v>
          </cell>
        </row>
        <row r="313">
          <cell r="A313" t="str">
            <v>Buggy antipinchazo / Carreta Buggy 3000</v>
          </cell>
        </row>
        <row r="314">
          <cell r="A314" t="str">
            <v>Estructura para levantamiento de cargas (de fabricación)</v>
          </cell>
        </row>
        <row r="315">
          <cell r="A315" t="str">
            <v>Diferencial de 2 toneladas</v>
          </cell>
        </row>
        <row r="316">
          <cell r="A316" t="str">
            <v>Equipo de oxicorte (Maleta) Victor Journeyman Deluxe II 2041</v>
          </cell>
        </row>
        <row r="317">
          <cell r="A317" t="str">
            <v xml:space="preserve">Taladro eléctrico de rotación 1/2" Cod. 171024406 DeWalt DW245 </v>
          </cell>
        </row>
        <row r="318">
          <cell r="A318" t="str">
            <v>Torquímetro de 3/4" 500 Lb*in</v>
          </cell>
        </row>
        <row r="319">
          <cell r="A319" t="str">
            <v>Estibador hidráulico de 2 Toneladas</v>
          </cell>
        </row>
        <row r="320">
          <cell r="A320" t="str">
            <v>Transporte en camioneta de platón, doble cabina, 4x4 de modelo no superior a tres (3) años</v>
          </cell>
        </row>
        <row r="321">
          <cell r="A321" t="str">
            <v>Suministro de materiales, transporte y mano de obra para caseta en estructura liviana con base de concreto y techo en ethernit para protección tablero floculadores.  Dimensiones 400x250x100 cm</v>
          </cell>
        </row>
        <row r="322">
          <cell r="A322" t="str">
            <v>Suministro de materiales, transporte y mano de obra para caseta en estructura liviana con base de concreto y techo en ethernit.  Dimensiones 200x250x100 cm</v>
          </cell>
        </row>
        <row r="323">
          <cell r="A323" t="str">
            <v>Suministro de materiales, transporte y mano de obra para extración de nucleo de 2" en placa de concreto</v>
          </cell>
        </row>
        <row r="324">
          <cell r="A324" t="str">
            <v xml:space="preserve">Excavación en Zanja - Material Común - 0.0 a 2.0 m                                                     </v>
          </cell>
        </row>
        <row r="325">
          <cell r="A325" t="str">
            <v xml:space="preserve">Demolición de Pavimentos en Concreto Hidráulico                                                  </v>
          </cell>
        </row>
        <row r="326">
          <cell r="A326" t="str">
            <v xml:space="preserve">Transporte e Instalación de Rellenos Compactados con Material de Obra                                      </v>
          </cell>
        </row>
        <row r="327">
          <cell r="A327" t="str">
            <v xml:space="preserve">Suministro, Transporte e Instalación de Pases en Tubería Pvc Aguas Lluvias de 4" para Muros                                        </v>
          </cell>
        </row>
        <row r="328">
          <cell r="A328" t="str">
            <v xml:space="preserve">Suministro, Transporte e Instalación de Pavimento de Franjas en Concreto producido en Obra Clase I 280 Mpa                                    </v>
          </cell>
        </row>
        <row r="329">
          <cell r="A329" t="str">
            <v xml:space="preserve">Suministro, Transporte e Instalación de Acero de Refuerzo en Malla Electrosoldada tipo D084 de 420 Mpa                                       </v>
          </cell>
        </row>
        <row r="330">
          <cell r="A330" t="str">
            <v>Tubería de 18" acero al carbón sch 40</v>
          </cell>
        </row>
        <row r="331">
          <cell r="A331" t="str">
            <v>Estructura metálica soportar válvula de 18" en viaducto</v>
          </cell>
        </row>
        <row r="332">
          <cell r="A332" t="str">
            <v>Pasarela peatonal para viaducto Chinchiná</v>
          </cell>
        </row>
        <row r="333">
          <cell r="A333" t="str">
            <v xml:space="preserve">Estación maestra de control para actuadores eléctricos, redundante con 120 canales </v>
          </cell>
        </row>
      </sheetData>
      <sheetData sheetId="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
      <sheetName val="Presupuesto"/>
      <sheetName val="AIU Y A CONTRATOS"/>
      <sheetName val="APU"/>
      <sheetName val="MATERIALES "/>
      <sheetName val="MEMORIAS"/>
      <sheetName val="MATERIALES"/>
      <sheetName val="MANO DE OBRA"/>
    </sheetNames>
    <sheetDataSet>
      <sheetData sheetId="0"/>
      <sheetData sheetId="1"/>
      <sheetData sheetId="2"/>
      <sheetData sheetId="3">
        <row r="7">
          <cell r="E7">
            <v>1E-3</v>
          </cell>
        </row>
        <row r="8">
          <cell r="E8">
            <v>0.05</v>
          </cell>
        </row>
        <row r="9">
          <cell r="E9">
            <v>0.1</v>
          </cell>
        </row>
      </sheetData>
      <sheetData sheetId="4"/>
      <sheetData sheetId="5"/>
      <sheetData sheetId="6">
        <row r="4">
          <cell r="B4">
            <v>1932</v>
          </cell>
        </row>
      </sheetData>
      <sheetData sheetId="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 sheetId="3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row>
        <row r="36">
          <cell r="A36" t="str">
            <v>MO-02</v>
          </cell>
        </row>
        <row r="37">
          <cell r="A37" t="str">
            <v>MO-03</v>
          </cell>
        </row>
        <row r="38">
          <cell r="A38" t="str">
            <v>MO-04</v>
          </cell>
        </row>
        <row r="39">
          <cell r="A39" t="str">
            <v>MO-05</v>
          </cell>
        </row>
        <row r="40">
          <cell r="A40" t="str">
            <v>MO-06</v>
          </cell>
        </row>
        <row r="41">
          <cell r="A41" t="str">
            <v>MO-07</v>
          </cell>
        </row>
        <row r="42">
          <cell r="A42" t="str">
            <v>MO-08</v>
          </cell>
        </row>
        <row r="43">
          <cell r="A43" t="str">
            <v>MO-09</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PTO_CANCHA"/>
      <sheetName val="PMA"/>
      <sheetName val="APU_CANCHA"/>
      <sheetName val="CANTIDADES"/>
      <sheetName val="A.P.U"/>
      <sheetName val="Insumos"/>
      <sheetName val="Analisis Mano de Obra"/>
      <sheetName val="Analisis Herramienta Menor"/>
      <sheetName val="Analisis Factor Prestacional"/>
      <sheetName val="Analisis AIU"/>
      <sheetName val="Factor Multiplicador"/>
      <sheetName val="Interventoria"/>
    </sheetNames>
    <sheetDataSet>
      <sheetData sheetId="0"/>
      <sheetData sheetId="1"/>
      <sheetData sheetId="2"/>
      <sheetData sheetId="3"/>
      <sheetData sheetId="4">
        <row r="2">
          <cell r="A2" t="str">
            <v>001</v>
          </cell>
          <cell r="C2" t="str">
            <v>PRELIMINARES</v>
          </cell>
          <cell r="D2" t="str">
            <v>Capitulo</v>
          </cell>
        </row>
        <row r="4">
          <cell r="A4" t="str">
            <v>001.041</v>
          </cell>
          <cell r="B4" t="str">
            <v>-</v>
          </cell>
          <cell r="C4" t="str">
            <v>TRAZADO SOBRE TERRENO</v>
          </cell>
          <cell r="D4" t="str">
            <v>Actividad</v>
          </cell>
          <cell r="E4" t="str">
            <v>M2</v>
          </cell>
          <cell r="H4">
            <v>1735</v>
          </cell>
        </row>
        <row r="5">
          <cell r="A5" t="str">
            <v>001.041</v>
          </cell>
          <cell r="B5" t="str">
            <v>C1</v>
          </cell>
          <cell r="C5" t="str">
            <v>CUADRILLA AA TIPO 1 (1 OFICIAL + 1 AYUDANTE) (Albañileria)</v>
          </cell>
          <cell r="D5" t="str">
            <v>Cuadrilla</v>
          </cell>
          <cell r="E5" t="str">
            <v>HR</v>
          </cell>
          <cell r="F5">
            <v>0.05</v>
          </cell>
          <cell r="G5">
            <v>16712</v>
          </cell>
          <cell r="H5">
            <v>836</v>
          </cell>
        </row>
        <row r="6">
          <cell r="A6" t="str">
            <v>001.041</v>
          </cell>
          <cell r="B6" t="str">
            <v>H2</v>
          </cell>
          <cell r="C6" t="str">
            <v>EQUIPO BASICO (HERRAMIENTA MENOR)</v>
          </cell>
          <cell r="D6" t="str">
            <v>Herramienta</v>
          </cell>
          <cell r="E6" t="str">
            <v>UND</v>
          </cell>
          <cell r="F6">
            <v>0.05</v>
          </cell>
          <cell r="G6">
            <v>2536</v>
          </cell>
          <cell r="H6">
            <v>127</v>
          </cell>
        </row>
        <row r="7">
          <cell r="A7" t="str">
            <v>001.041</v>
          </cell>
          <cell r="B7" t="str">
            <v>I1002</v>
          </cell>
          <cell r="C7" t="str">
            <v>ESMALTE SINTETICO PINTULUX - TIPO PINTUCO REF. SEGÚN COLOR DISEÑO O SIMILAR</v>
          </cell>
          <cell r="D7" t="str">
            <v>Insumo</v>
          </cell>
          <cell r="E7" t="str">
            <v>GAL</v>
          </cell>
          <cell r="F7">
            <v>1E-3</v>
          </cell>
          <cell r="G7">
            <v>88789</v>
          </cell>
          <cell r="H7">
            <v>89</v>
          </cell>
        </row>
        <row r="8">
          <cell r="A8" t="str">
            <v>001.041</v>
          </cell>
          <cell r="B8" t="str">
            <v>I425</v>
          </cell>
          <cell r="C8" t="str">
            <v>PUNTILLA CON CABEZA 2"</v>
          </cell>
          <cell r="D8" t="str">
            <v>Insumo</v>
          </cell>
          <cell r="E8" t="str">
            <v>LB</v>
          </cell>
          <cell r="F8">
            <v>0.1</v>
          </cell>
          <cell r="G8">
            <v>3585</v>
          </cell>
          <cell r="H8">
            <v>359</v>
          </cell>
        </row>
        <row r="9">
          <cell r="A9" t="str">
            <v>001.041</v>
          </cell>
          <cell r="B9" t="str">
            <v>I957</v>
          </cell>
          <cell r="C9" t="str">
            <v>LISTON 2 X 4</v>
          </cell>
          <cell r="D9" t="str">
            <v>Insumo</v>
          </cell>
          <cell r="E9" t="str">
            <v>M</v>
          </cell>
          <cell r="F9">
            <v>0.1</v>
          </cell>
          <cell r="G9">
            <v>3244</v>
          </cell>
          <cell r="H9">
            <v>324</v>
          </cell>
        </row>
        <row r="10">
          <cell r="A10" t="str">
            <v>onf</v>
          </cell>
        </row>
        <row r="12">
          <cell r="A12" t="str">
            <v>001.042</v>
          </cell>
          <cell r="B12" t="str">
            <v>-</v>
          </cell>
          <cell r="C12" t="str">
            <v>LOCALIZACION Y REPLANTEO REDES (INCLUYE PLANO RECORD)</v>
          </cell>
          <cell r="D12" t="str">
            <v>Actividad</v>
          </cell>
          <cell r="E12" t="str">
            <v>DIA</v>
          </cell>
          <cell r="H12">
            <v>892750</v>
          </cell>
        </row>
        <row r="13">
          <cell r="A13" t="str">
            <v>001.042</v>
          </cell>
          <cell r="B13" t="str">
            <v>H2</v>
          </cell>
          <cell r="C13" t="str">
            <v>EQUIPO BASICO (HERRAMIENTA MENOR)</v>
          </cell>
          <cell r="D13" t="str">
            <v>Herramienta</v>
          </cell>
          <cell r="E13" t="str">
            <v>UND</v>
          </cell>
          <cell r="F13">
            <v>1</v>
          </cell>
          <cell r="G13">
            <v>2536</v>
          </cell>
          <cell r="H13">
            <v>2536</v>
          </cell>
        </row>
        <row r="14">
          <cell r="A14" t="str">
            <v>001.042</v>
          </cell>
          <cell r="B14" t="str">
            <v>I1615</v>
          </cell>
          <cell r="C14" t="str">
            <v>COMISIÓN DE TOPOGRAFÍA CON EQUIPOS</v>
          </cell>
          <cell r="D14" t="str">
            <v>Insumo</v>
          </cell>
          <cell r="E14" t="str">
            <v>DIA</v>
          </cell>
          <cell r="F14">
            <v>1</v>
          </cell>
          <cell r="G14">
            <v>593451</v>
          </cell>
          <cell r="H14">
            <v>593451</v>
          </cell>
        </row>
        <row r="15">
          <cell r="A15" t="str">
            <v>001.042</v>
          </cell>
          <cell r="B15" t="str">
            <v>I1616</v>
          </cell>
          <cell r="C15" t="str">
            <v>DIBUJO DE PLANOS</v>
          </cell>
          <cell r="D15" t="str">
            <v>Insumo</v>
          </cell>
          <cell r="E15" t="str">
            <v>UND</v>
          </cell>
          <cell r="F15">
            <v>1</v>
          </cell>
          <cell r="G15">
            <v>296727</v>
          </cell>
          <cell r="H15">
            <v>296727</v>
          </cell>
        </row>
        <row r="16">
          <cell r="A16" t="str">
            <v>001.042</v>
          </cell>
          <cell r="B16" t="str">
            <v>I425</v>
          </cell>
          <cell r="C16" t="str">
            <v>PUNTILLA CON CABEZA 2"</v>
          </cell>
          <cell r="D16" t="str">
            <v>Insumo</v>
          </cell>
          <cell r="E16" t="str">
            <v>LB</v>
          </cell>
          <cell r="F16">
            <v>0.01</v>
          </cell>
          <cell r="G16">
            <v>3585</v>
          </cell>
          <cell r="H16">
            <v>36</v>
          </cell>
        </row>
        <row r="19">
          <cell r="A19" t="str">
            <v>001.044</v>
          </cell>
          <cell r="B19" t="str">
            <v>-</v>
          </cell>
          <cell r="C19" t="str">
            <v xml:space="preserve">DESCAPOTE MANUAL e=0.20 m. </v>
          </cell>
          <cell r="D19" t="str">
            <v>Actividad</v>
          </cell>
          <cell r="E19" t="str">
            <v>M2</v>
          </cell>
          <cell r="H19">
            <v>1977</v>
          </cell>
        </row>
        <row r="20">
          <cell r="A20" t="str">
            <v>001.044</v>
          </cell>
          <cell r="B20" t="str">
            <v>C1</v>
          </cell>
          <cell r="C20" t="str">
            <v>CUADRILLA AA TIPO 1 (1 OFICIAL + 1 AYUDANTE) (Albañileria)</v>
          </cell>
          <cell r="D20" t="str">
            <v>Cuadrilla</v>
          </cell>
          <cell r="E20" t="str">
            <v>HR</v>
          </cell>
          <cell r="F20">
            <v>0.09</v>
          </cell>
          <cell r="G20">
            <v>16712</v>
          </cell>
          <cell r="H20">
            <v>1504</v>
          </cell>
        </row>
        <row r="21">
          <cell r="A21" t="str">
            <v>001.044</v>
          </cell>
          <cell r="B21" t="str">
            <v>E24</v>
          </cell>
          <cell r="C21" t="str">
            <v>VOLQUETA  6M3 (CARGUE A MANO)</v>
          </cell>
          <cell r="D21" t="str">
            <v>Equipos</v>
          </cell>
          <cell r="E21" t="str">
            <v>VJE</v>
          </cell>
          <cell r="F21">
            <v>1E-3</v>
          </cell>
          <cell r="G21">
            <v>118086</v>
          </cell>
          <cell r="H21">
            <v>118</v>
          </cell>
        </row>
        <row r="22">
          <cell r="A22" t="str">
            <v>001.044</v>
          </cell>
          <cell r="B22" t="str">
            <v>H2</v>
          </cell>
          <cell r="C22" t="str">
            <v>EQUIPO BASICO (HERRAMIENTA MENOR)</v>
          </cell>
          <cell r="D22" t="str">
            <v>Herramienta</v>
          </cell>
          <cell r="E22" t="str">
            <v>UND</v>
          </cell>
          <cell r="F22">
            <v>0.09</v>
          </cell>
          <cell r="G22">
            <v>2536</v>
          </cell>
          <cell r="H22">
            <v>228</v>
          </cell>
        </row>
        <row r="23">
          <cell r="A23" t="str">
            <v>001.044</v>
          </cell>
          <cell r="B23" t="str">
            <v>I1565</v>
          </cell>
          <cell r="C23" t="str">
            <v>ACARREO INTERNO</v>
          </cell>
          <cell r="D23" t="str">
            <v>Insumo</v>
          </cell>
          <cell r="E23" t="str">
            <v>UND</v>
          </cell>
          <cell r="F23">
            <v>9.6000000000000002E-2</v>
          </cell>
          <cell r="G23">
            <v>1327</v>
          </cell>
          <cell r="H23">
            <v>127</v>
          </cell>
        </row>
        <row r="26">
          <cell r="A26" t="str">
            <v>001.046</v>
          </cell>
          <cell r="B26" t="str">
            <v>-</v>
          </cell>
          <cell r="C26" t="str">
            <v>SUMINISTRO, TRANSPORTE E INSTALACION CAMPAMENTO PROVISIONAL</v>
          </cell>
          <cell r="D26" t="str">
            <v>Actividad</v>
          </cell>
          <cell r="E26" t="str">
            <v>M2</v>
          </cell>
          <cell r="H26">
            <v>128872</v>
          </cell>
        </row>
        <row r="27">
          <cell r="A27" t="str">
            <v>001.046</v>
          </cell>
          <cell r="B27" t="str">
            <v>AB4</v>
          </cell>
          <cell r="C27" t="str">
            <v>CONCRETO 2500 psi - 17.5 Mpa</v>
          </cell>
          <cell r="D27" t="str">
            <v>Analisis</v>
          </cell>
          <cell r="E27" t="str">
            <v>M3</v>
          </cell>
          <cell r="F27">
            <v>0.05</v>
          </cell>
          <cell r="G27">
            <v>380250</v>
          </cell>
          <cell r="H27">
            <v>19013</v>
          </cell>
        </row>
        <row r="28">
          <cell r="A28" t="str">
            <v>001.046</v>
          </cell>
          <cell r="B28" t="str">
            <v>C15</v>
          </cell>
          <cell r="C28" t="str">
            <v>CUADRILLA AA TIPO 3 (1 OFICIAL + 3 AYUDANTE) (Albañileria)</v>
          </cell>
          <cell r="D28" t="str">
            <v>Cuadrilla</v>
          </cell>
          <cell r="E28" t="str">
            <v>HR</v>
          </cell>
          <cell r="F28">
            <v>0.85</v>
          </cell>
          <cell r="G28">
            <v>29568</v>
          </cell>
          <cell r="H28">
            <v>25133</v>
          </cell>
        </row>
        <row r="29">
          <cell r="A29" t="str">
            <v>001.046</v>
          </cell>
          <cell r="B29" t="str">
            <v>E14</v>
          </cell>
          <cell r="C29" t="str">
            <v>MEZCLADORA A GASOLINA 1 SACO</v>
          </cell>
          <cell r="D29" t="str">
            <v>Equipos</v>
          </cell>
          <cell r="E29" t="str">
            <v>DIA</v>
          </cell>
          <cell r="F29">
            <v>2.1000000000000001E-2</v>
          </cell>
          <cell r="G29">
            <v>34593</v>
          </cell>
          <cell r="H29">
            <v>726</v>
          </cell>
        </row>
        <row r="30">
          <cell r="A30" t="str">
            <v>001.046</v>
          </cell>
          <cell r="B30" t="str">
            <v>H1</v>
          </cell>
          <cell r="C30" t="str">
            <v>EQUIPO BASICO ( CONSTRUCCIÓN )</v>
          </cell>
          <cell r="D30" t="str">
            <v>Herramienta</v>
          </cell>
          <cell r="E30" t="str">
            <v>UND</v>
          </cell>
          <cell r="F30">
            <v>0.85</v>
          </cell>
          <cell r="G30">
            <v>2536</v>
          </cell>
          <cell r="H30">
            <v>2156</v>
          </cell>
        </row>
        <row r="31">
          <cell r="A31" t="str">
            <v>001.046</v>
          </cell>
          <cell r="B31" t="str">
            <v>I1614</v>
          </cell>
          <cell r="C31" t="str">
            <v>PUERTAS Y VENTANAS EN TABLA PARA CAMPAMENTO</v>
          </cell>
          <cell r="D31" t="str">
            <v>Insumo</v>
          </cell>
          <cell r="E31" t="str">
            <v>M2</v>
          </cell>
          <cell r="F31">
            <v>0.51500000000000001</v>
          </cell>
          <cell r="G31">
            <v>3238</v>
          </cell>
          <cell r="H31">
            <v>1668</v>
          </cell>
        </row>
        <row r="32">
          <cell r="A32" t="str">
            <v>001.046</v>
          </cell>
          <cell r="B32" t="str">
            <v>I1619</v>
          </cell>
          <cell r="C32" t="str">
            <v>INSTALACIONES PROVISIONALES</v>
          </cell>
          <cell r="D32" t="str">
            <v>Insumo</v>
          </cell>
          <cell r="E32" t="str">
            <v>UND</v>
          </cell>
          <cell r="F32">
            <v>1.03</v>
          </cell>
          <cell r="G32">
            <v>16626</v>
          </cell>
          <cell r="H32">
            <v>17125</v>
          </cell>
        </row>
        <row r="33">
          <cell r="A33" t="str">
            <v>001.046</v>
          </cell>
          <cell r="B33" t="str">
            <v>I1620</v>
          </cell>
          <cell r="C33" t="str">
            <v>GUADUA-TABLA-CUARTÓN-LISTÓN-VARILLÓN PARA CAMPAMENTO</v>
          </cell>
          <cell r="D33" t="str">
            <v>Insumo</v>
          </cell>
          <cell r="E33" t="str">
            <v>M2</v>
          </cell>
          <cell r="F33">
            <v>0.51500000000000001</v>
          </cell>
          <cell r="G33">
            <v>101958</v>
          </cell>
          <cell r="H33">
            <v>52508</v>
          </cell>
        </row>
        <row r="34">
          <cell r="A34" t="str">
            <v>001.046</v>
          </cell>
          <cell r="B34" t="str">
            <v>I302</v>
          </cell>
          <cell r="C34" t="str">
            <v>TEJA DE ZINC ONDULADA TZO L=2.44X0.80</v>
          </cell>
          <cell r="D34" t="str">
            <v>Insumo</v>
          </cell>
          <cell r="E34" t="str">
            <v>UND</v>
          </cell>
          <cell r="F34">
            <v>0.35</v>
          </cell>
          <cell r="G34">
            <v>30124</v>
          </cell>
          <cell r="H34">
            <v>10543</v>
          </cell>
        </row>
        <row r="37">
          <cell r="A37" t="str">
            <v>001.050</v>
          </cell>
          <cell r="B37" t="str">
            <v>-</v>
          </cell>
          <cell r="C37" t="str">
            <v>INSTALACION PROVISIONAL DE ACUEDUCTO</v>
          </cell>
          <cell r="D37" t="str">
            <v>Actividad</v>
          </cell>
          <cell r="E37" t="str">
            <v>UND</v>
          </cell>
          <cell r="H37">
            <v>62923</v>
          </cell>
        </row>
        <row r="38">
          <cell r="A38" t="str">
            <v>001.050</v>
          </cell>
          <cell r="B38" t="str">
            <v>I1558</v>
          </cell>
          <cell r="C38" t="str">
            <v>SERVICIO DE AGUA</v>
          </cell>
          <cell r="D38" t="str">
            <v>Insumo</v>
          </cell>
          <cell r="E38" t="str">
            <v>MES</v>
          </cell>
          <cell r="F38">
            <v>1</v>
          </cell>
          <cell r="G38">
            <v>62923</v>
          </cell>
          <cell r="H38">
            <v>62923</v>
          </cell>
        </row>
        <row r="41">
          <cell r="A41" t="str">
            <v>001.051</v>
          </cell>
          <cell r="B41" t="str">
            <v>-</v>
          </cell>
          <cell r="C41" t="str">
            <v>INSTALACION PROVISIONAL DE ENERGIA</v>
          </cell>
          <cell r="D41" t="str">
            <v>Actividad</v>
          </cell>
          <cell r="E41" t="str">
            <v>UND</v>
          </cell>
          <cell r="H41">
            <v>55930</v>
          </cell>
        </row>
        <row r="42">
          <cell r="A42" t="str">
            <v>001.051</v>
          </cell>
          <cell r="B42" t="str">
            <v>I1559</v>
          </cell>
          <cell r="C42" t="str">
            <v>SERVICIO DE ENERGIA</v>
          </cell>
          <cell r="D42" t="str">
            <v>Insumo</v>
          </cell>
          <cell r="E42" t="str">
            <v>MES</v>
          </cell>
          <cell r="F42">
            <v>1</v>
          </cell>
          <cell r="G42">
            <v>55930</v>
          </cell>
          <cell r="H42">
            <v>55930</v>
          </cell>
        </row>
        <row r="45">
          <cell r="A45" t="str">
            <v>001.052</v>
          </cell>
          <cell r="B45" t="str">
            <v>-</v>
          </cell>
          <cell r="C45" t="str">
            <v>SUMINISTRO, TRANSPORTE E INSTALACION VALLA INFORMATIVA GENERAL DEL PROYECTO</v>
          </cell>
          <cell r="D45" t="str">
            <v>Actividad</v>
          </cell>
          <cell r="E45" t="str">
            <v>M2</v>
          </cell>
          <cell r="H45">
            <v>167128</v>
          </cell>
        </row>
        <row r="46">
          <cell r="A46" t="str">
            <v>001.052</v>
          </cell>
          <cell r="B46" t="str">
            <v>C8</v>
          </cell>
          <cell r="C46" t="str">
            <v>CUADRILLA AA TIPO 2 (1 OFICIAL + 2 AYUDANTE) (Albañileria)</v>
          </cell>
          <cell r="D46" t="str">
            <v>Cuadrilla</v>
          </cell>
          <cell r="E46" t="str">
            <v>HR</v>
          </cell>
          <cell r="F46">
            <v>1.5</v>
          </cell>
          <cell r="G46">
            <v>23140</v>
          </cell>
          <cell r="H46">
            <v>34710</v>
          </cell>
        </row>
        <row r="47">
          <cell r="A47" t="str">
            <v>001.052</v>
          </cell>
          <cell r="B47" t="str">
            <v>E12</v>
          </cell>
          <cell r="C47" t="str">
            <v>EQUIPO DE TRANSPORTE</v>
          </cell>
          <cell r="D47" t="str">
            <v>Equipos</v>
          </cell>
          <cell r="E47" t="str">
            <v>DIA</v>
          </cell>
          <cell r="F47">
            <v>1.8800000000000001E-2</v>
          </cell>
          <cell r="G47">
            <v>131205</v>
          </cell>
          <cell r="H47">
            <v>2467</v>
          </cell>
        </row>
        <row r="48">
          <cell r="A48" t="str">
            <v>001.052</v>
          </cell>
          <cell r="B48" t="str">
            <v>H2</v>
          </cell>
          <cell r="C48" t="str">
            <v>EQUIPO BASICO (HERRAMIENTA MENOR)</v>
          </cell>
          <cell r="D48" t="str">
            <v>Herramienta</v>
          </cell>
          <cell r="E48" t="str">
            <v>UND</v>
          </cell>
          <cell r="F48">
            <v>1.5</v>
          </cell>
          <cell r="G48">
            <v>2536</v>
          </cell>
          <cell r="H48">
            <v>3804</v>
          </cell>
        </row>
        <row r="49">
          <cell r="A49" t="str">
            <v>001.052</v>
          </cell>
          <cell r="B49" t="str">
            <v>I1565</v>
          </cell>
          <cell r="C49" t="str">
            <v>ACARREO INTERNO</v>
          </cell>
          <cell r="D49" t="str">
            <v>Insumo</v>
          </cell>
          <cell r="E49" t="str">
            <v>UND</v>
          </cell>
          <cell r="F49">
            <v>2.1</v>
          </cell>
          <cell r="G49">
            <v>1327</v>
          </cell>
          <cell r="H49">
            <v>2787</v>
          </cell>
        </row>
        <row r="50">
          <cell r="A50" t="str">
            <v>001.052</v>
          </cell>
          <cell r="B50" t="str">
            <v>I345</v>
          </cell>
          <cell r="C50" t="str">
            <v>PERFIL METALICO CAL 12 - 2,5MM. - 2,44M.</v>
          </cell>
          <cell r="D50" t="str">
            <v>Insumo</v>
          </cell>
          <cell r="E50" t="str">
            <v>UND</v>
          </cell>
          <cell r="F50">
            <v>1</v>
          </cell>
          <cell r="G50">
            <v>51640</v>
          </cell>
          <cell r="H50">
            <v>51640</v>
          </cell>
        </row>
        <row r="51">
          <cell r="A51" t="str">
            <v>001.052</v>
          </cell>
          <cell r="B51" t="str">
            <v>I448</v>
          </cell>
          <cell r="C51" t="str">
            <v>VALLA EN LONA</v>
          </cell>
          <cell r="D51" t="str">
            <v>Insumo</v>
          </cell>
          <cell r="E51" t="str">
            <v>M2</v>
          </cell>
          <cell r="F51">
            <v>1</v>
          </cell>
          <cell r="G51">
            <v>71720</v>
          </cell>
          <cell r="H51">
            <v>71720</v>
          </cell>
        </row>
        <row r="54">
          <cell r="A54" t="str">
            <v>001.054</v>
          </cell>
          <cell r="B54" t="str">
            <v>-</v>
          </cell>
          <cell r="C54" t="str">
            <v>SUMINISTRO, TRANSPORTE E INSTALACION SEÑAL PREVENTIVA, REGLAMENTARIA E INFORMATIVA</v>
          </cell>
          <cell r="D54" t="str">
            <v>Actividad</v>
          </cell>
          <cell r="E54" t="str">
            <v>UND</v>
          </cell>
          <cell r="H54">
            <v>160565</v>
          </cell>
        </row>
        <row r="55">
          <cell r="A55" t="str">
            <v>001.054</v>
          </cell>
          <cell r="B55" t="str">
            <v>AB4</v>
          </cell>
          <cell r="C55" t="str">
            <v>CONCRETO 2500 psi - 17.5 Mpa</v>
          </cell>
          <cell r="D55" t="str">
            <v>Analisis</v>
          </cell>
          <cell r="E55" t="str">
            <v>M3</v>
          </cell>
          <cell r="F55">
            <v>0.01</v>
          </cell>
          <cell r="G55">
            <v>380250</v>
          </cell>
          <cell r="H55">
            <v>3803</v>
          </cell>
        </row>
        <row r="56">
          <cell r="A56" t="str">
            <v>001.054</v>
          </cell>
          <cell r="B56" t="str">
            <v>C1</v>
          </cell>
          <cell r="C56" t="str">
            <v>CUADRILLA AA TIPO 1 (1 OFICIAL + 1 AYUDANTE) (Albañileria)</v>
          </cell>
          <cell r="D56" t="str">
            <v>Cuadrilla</v>
          </cell>
          <cell r="E56" t="str">
            <v>HR</v>
          </cell>
          <cell r="F56">
            <v>2</v>
          </cell>
          <cell r="G56">
            <v>16712</v>
          </cell>
          <cell r="H56">
            <v>33424</v>
          </cell>
        </row>
        <row r="57">
          <cell r="A57" t="str">
            <v>001.054</v>
          </cell>
          <cell r="B57" t="str">
            <v>E111</v>
          </cell>
          <cell r="C57" t="str">
            <v>FORMALETA PARA BASE DE CONCRETO</v>
          </cell>
          <cell r="D57" t="str">
            <v>Equipos</v>
          </cell>
          <cell r="E57" t="str">
            <v>UND</v>
          </cell>
          <cell r="F57">
            <v>0.5</v>
          </cell>
          <cell r="G57">
            <v>4151</v>
          </cell>
          <cell r="H57">
            <v>2076</v>
          </cell>
        </row>
        <row r="58">
          <cell r="A58" t="str">
            <v>001.054</v>
          </cell>
          <cell r="B58" t="str">
            <v>E12</v>
          </cell>
          <cell r="C58" t="str">
            <v>EQUIPO DE TRANSPORTE</v>
          </cell>
          <cell r="D58" t="str">
            <v>Equipos</v>
          </cell>
          <cell r="E58" t="str">
            <v>DIA</v>
          </cell>
          <cell r="F58">
            <v>0.22800000000000001</v>
          </cell>
          <cell r="G58">
            <v>131205</v>
          </cell>
          <cell r="H58">
            <v>29915</v>
          </cell>
        </row>
        <row r="59">
          <cell r="A59" t="str">
            <v>001.054</v>
          </cell>
          <cell r="B59" t="str">
            <v>H2</v>
          </cell>
          <cell r="C59" t="str">
            <v>EQUIPO BASICO (HERRAMIENTA MENOR)</v>
          </cell>
          <cell r="D59" t="str">
            <v>Herramienta</v>
          </cell>
          <cell r="E59" t="str">
            <v>UND</v>
          </cell>
          <cell r="F59">
            <v>2</v>
          </cell>
          <cell r="G59">
            <v>2536</v>
          </cell>
          <cell r="H59">
            <v>5072</v>
          </cell>
        </row>
        <row r="60">
          <cell r="A60" t="str">
            <v>001.054</v>
          </cell>
          <cell r="B60" t="str">
            <v>I1565</v>
          </cell>
          <cell r="C60" t="str">
            <v>ACARREO INTERNO</v>
          </cell>
          <cell r="D60" t="str">
            <v>Insumo</v>
          </cell>
          <cell r="E60" t="str">
            <v>UND</v>
          </cell>
          <cell r="F60">
            <v>0.158</v>
          </cell>
          <cell r="G60">
            <v>1327</v>
          </cell>
          <cell r="H60">
            <v>210</v>
          </cell>
        </row>
        <row r="61">
          <cell r="A61" t="str">
            <v>001.054</v>
          </cell>
          <cell r="B61" t="str">
            <v>I450</v>
          </cell>
          <cell r="C61" t="str">
            <v>SEÑAL PREVENTIVA, REGLAMENTARIA E INFORMATIVA (2 USOS)</v>
          </cell>
          <cell r="D61" t="str">
            <v>Insumo</v>
          </cell>
          <cell r="E61" t="str">
            <v>UND</v>
          </cell>
          <cell r="F61">
            <v>0.6</v>
          </cell>
          <cell r="G61">
            <v>143441</v>
          </cell>
          <cell r="H61">
            <v>86065</v>
          </cell>
        </row>
        <row r="64">
          <cell r="A64" t="str">
            <v>001.086</v>
          </cell>
          <cell r="B64" t="str">
            <v>-</v>
          </cell>
          <cell r="C64" t="str">
            <v>CERRAMIENTO PROVISIONAL CON SEÑALIZADOR Y TELA DE CERRAMIENTO</v>
          </cell>
          <cell r="D64" t="str">
            <v>Actividad</v>
          </cell>
          <cell r="E64" t="str">
            <v>ML</v>
          </cell>
          <cell r="H64">
            <v>5422</v>
          </cell>
        </row>
        <row r="65">
          <cell r="A65" t="str">
            <v>001.086</v>
          </cell>
          <cell r="B65" t="str">
            <v>C1</v>
          </cell>
          <cell r="C65" t="str">
            <v>CUADRILLA AA TIPO 1 (1 OFICIAL + 1 AYUDANTE) (Albañileria)</v>
          </cell>
          <cell r="D65" t="str">
            <v>Cuadrilla</v>
          </cell>
          <cell r="E65" t="str">
            <v>HR</v>
          </cell>
          <cell r="F65">
            <v>0.12</v>
          </cell>
          <cell r="G65">
            <v>16712</v>
          </cell>
          <cell r="H65">
            <v>2005</v>
          </cell>
        </row>
        <row r="66">
          <cell r="A66" t="str">
            <v>001.086</v>
          </cell>
          <cell r="B66" t="str">
            <v>H2</v>
          </cell>
          <cell r="C66" t="str">
            <v>EQUIPO BASICO (HERRAMIENTA MENOR)</v>
          </cell>
          <cell r="D66" t="str">
            <v>Herramienta</v>
          </cell>
          <cell r="E66" t="str">
            <v>UND</v>
          </cell>
          <cell r="F66">
            <v>7.0000000000000007E-2</v>
          </cell>
          <cell r="G66">
            <v>2536</v>
          </cell>
          <cell r="H66">
            <v>178</v>
          </cell>
        </row>
        <row r="67">
          <cell r="A67" t="str">
            <v>001.086</v>
          </cell>
          <cell r="B67" t="str">
            <v>I1810</v>
          </cell>
          <cell r="C67" t="str">
            <v>GUADUA SOBREBASA LONGITUD PROMEDIO L = 5MT</v>
          </cell>
          <cell r="D67" t="str">
            <v>Insumo</v>
          </cell>
          <cell r="E67" t="str">
            <v>M</v>
          </cell>
          <cell r="F67">
            <v>7.0000000000000007E-2</v>
          </cell>
          <cell r="G67">
            <v>4529</v>
          </cell>
          <cell r="H67">
            <v>317</v>
          </cell>
        </row>
        <row r="68">
          <cell r="A68" t="str">
            <v>001.086</v>
          </cell>
          <cell r="B68" t="str">
            <v>I1811</v>
          </cell>
          <cell r="C68" t="str">
            <v>TELA DE CERRAMIENTO A= 2,10 M ( ROLLO POR 100 M)</v>
          </cell>
          <cell r="D68" t="str">
            <v>Insumo</v>
          </cell>
          <cell r="E68" t="str">
            <v>M</v>
          </cell>
          <cell r="F68">
            <v>2.2000000000000002</v>
          </cell>
          <cell r="G68">
            <v>1247</v>
          </cell>
          <cell r="H68">
            <v>2743</v>
          </cell>
        </row>
        <row r="69">
          <cell r="A69" t="str">
            <v>001.086</v>
          </cell>
          <cell r="B69" t="str">
            <v>I425</v>
          </cell>
          <cell r="C69" t="str">
            <v>PUNTILLA CON CABEZA 2"</v>
          </cell>
          <cell r="D69" t="str">
            <v>Insumo</v>
          </cell>
          <cell r="E69" t="str">
            <v>LB</v>
          </cell>
          <cell r="F69">
            <v>0.05</v>
          </cell>
          <cell r="G69">
            <v>3585</v>
          </cell>
          <cell r="H69">
            <v>179</v>
          </cell>
        </row>
        <row r="72">
          <cell r="A72" t="str">
            <v>002</v>
          </cell>
          <cell r="C72" t="str">
            <v>MOVIMIENTO DE TIERRAS</v>
          </cell>
          <cell r="D72" t="str">
            <v>Capitulo</v>
          </cell>
        </row>
        <row r="75">
          <cell r="A75" t="str">
            <v>002.018</v>
          </cell>
          <cell r="B75" t="str">
            <v>-</v>
          </cell>
          <cell r="C75" t="str">
            <v xml:space="preserve">EXCAVACIÓN MECANIZADA CIELO ABIERTO-MAT COMÚN/CONGLOM  0.0 A 6.0 M.                                                                                                                                              </v>
          </cell>
          <cell r="D75" t="str">
            <v>Actividad</v>
          </cell>
          <cell r="E75" t="str">
            <v>M3</v>
          </cell>
          <cell r="H75">
            <v>11645</v>
          </cell>
        </row>
        <row r="76">
          <cell r="A76" t="str">
            <v>002.018</v>
          </cell>
          <cell r="B76" t="str">
            <v>C22</v>
          </cell>
          <cell r="C76" t="str">
            <v>CUADRILLA AA TIPO 4 (1 OFICIAL + 4 AYUDANTE) (Albañileria)</v>
          </cell>
          <cell r="D76" t="str">
            <v>Cuadrilla</v>
          </cell>
          <cell r="E76" t="str">
            <v>HR</v>
          </cell>
          <cell r="F76">
            <v>0.1</v>
          </cell>
          <cell r="G76">
            <v>35996</v>
          </cell>
          <cell r="H76">
            <v>3600</v>
          </cell>
        </row>
        <row r="77">
          <cell r="A77" t="str">
            <v>002.018</v>
          </cell>
          <cell r="B77" t="str">
            <v>E18</v>
          </cell>
          <cell r="C77" t="str">
            <v>RETROEXCAVADORA SOBRE ORUGAS</v>
          </cell>
          <cell r="D77" t="str">
            <v>Equipos</v>
          </cell>
          <cell r="E77" t="str">
            <v>HR</v>
          </cell>
          <cell r="F77">
            <v>2.8000000000000001E-2</v>
          </cell>
          <cell r="G77">
            <v>213079</v>
          </cell>
          <cell r="H77">
            <v>5966</v>
          </cell>
        </row>
        <row r="78">
          <cell r="A78" t="str">
            <v>002.018</v>
          </cell>
          <cell r="B78" t="str">
            <v>E37</v>
          </cell>
          <cell r="C78" t="str">
            <v>MOTOBOMBA DE 2" A GASOLINA</v>
          </cell>
          <cell r="D78" t="str">
            <v>Equipos</v>
          </cell>
          <cell r="E78" t="str">
            <v>DIA</v>
          </cell>
          <cell r="F78">
            <v>2.1999999999999999E-2</v>
          </cell>
          <cell r="G78">
            <v>48431</v>
          </cell>
          <cell r="H78">
            <v>1065</v>
          </cell>
        </row>
        <row r="79">
          <cell r="A79" t="str">
            <v>002.018</v>
          </cell>
          <cell r="B79" t="str">
            <v>H2</v>
          </cell>
          <cell r="C79" t="str">
            <v>EQUIPO BASICO (HERRAMIENTA MENOR)</v>
          </cell>
          <cell r="D79" t="str">
            <v>Herramienta</v>
          </cell>
          <cell r="E79" t="str">
            <v>UND</v>
          </cell>
          <cell r="F79">
            <v>0.4</v>
          </cell>
          <cell r="G79">
            <v>2536</v>
          </cell>
          <cell r="H79">
            <v>1014</v>
          </cell>
        </row>
        <row r="82">
          <cell r="A82" t="str">
            <v>033.166</v>
          </cell>
          <cell r="B82" t="str">
            <v>-</v>
          </cell>
          <cell r="C82" t="str">
            <v>RELLENO, CONFORMACION Y COMPACTACION A MAQUINA CON MATERIAL DE SITIO</v>
          </cell>
          <cell r="D82" t="str">
            <v>Actividad</v>
          </cell>
          <cell r="E82" t="str">
            <v>M3</v>
          </cell>
          <cell r="H82">
            <v>29717</v>
          </cell>
        </row>
        <row r="83">
          <cell r="A83" t="str">
            <v>033.166</v>
          </cell>
          <cell r="B83" t="str">
            <v>C1</v>
          </cell>
          <cell r="C83" t="str">
            <v>CUADRILLA AA TIPO 1 (1 OFICIAL + 1 AYUDANTE) (Albañileria)</v>
          </cell>
          <cell r="D83" t="str">
            <v>Cuadrilla</v>
          </cell>
          <cell r="E83" t="str">
            <v>HR</v>
          </cell>
          <cell r="F83">
            <v>0.08</v>
          </cell>
          <cell r="G83">
            <v>16712</v>
          </cell>
          <cell r="H83">
            <v>1337</v>
          </cell>
        </row>
        <row r="84">
          <cell r="A84" t="str">
            <v>033.166</v>
          </cell>
          <cell r="B84" t="str">
            <v>E15</v>
          </cell>
          <cell r="C84" t="str">
            <v>MOTONIVELADORA 120 HP.</v>
          </cell>
          <cell r="D84" t="str">
            <v>Equipos</v>
          </cell>
          <cell r="E84" t="str">
            <v>HR</v>
          </cell>
          <cell r="F84">
            <v>0.05</v>
          </cell>
          <cell r="G84">
            <v>213079</v>
          </cell>
          <cell r="H84">
            <v>10654</v>
          </cell>
        </row>
        <row r="85">
          <cell r="A85" t="str">
            <v>033.166</v>
          </cell>
          <cell r="B85" t="str">
            <v>E18</v>
          </cell>
          <cell r="C85" t="str">
            <v>RETROEXCAVADORA SOBRE ORUGAS</v>
          </cell>
          <cell r="D85" t="str">
            <v>Equipos</v>
          </cell>
          <cell r="E85" t="str">
            <v>HR</v>
          </cell>
          <cell r="F85">
            <v>8.9999999999999993E-3</v>
          </cell>
          <cell r="G85">
            <v>213079</v>
          </cell>
          <cell r="H85">
            <v>1918</v>
          </cell>
        </row>
        <row r="86">
          <cell r="A86" t="str">
            <v>033.166</v>
          </cell>
          <cell r="B86" t="str">
            <v>E22</v>
          </cell>
          <cell r="C86" t="str">
            <v>VIBROCOMPACTADOR DE SUELO</v>
          </cell>
          <cell r="D86" t="str">
            <v>Equipos</v>
          </cell>
          <cell r="E86" t="str">
            <v>HR</v>
          </cell>
          <cell r="F86">
            <v>0.05</v>
          </cell>
          <cell r="G86">
            <v>117621</v>
          </cell>
          <cell r="H86">
            <v>5881</v>
          </cell>
        </row>
        <row r="87">
          <cell r="A87" t="str">
            <v>033.166</v>
          </cell>
          <cell r="B87" t="str">
            <v>E3</v>
          </cell>
          <cell r="C87" t="str">
            <v>CARROTANQUE DE AGUA 10.000 LTS.</v>
          </cell>
          <cell r="D87" t="str">
            <v>Equipos</v>
          </cell>
          <cell r="E87" t="str">
            <v>HR</v>
          </cell>
          <cell r="F87">
            <v>0.05</v>
          </cell>
          <cell r="G87">
            <v>62269</v>
          </cell>
          <cell r="H87">
            <v>3113</v>
          </cell>
        </row>
        <row r="88">
          <cell r="A88" t="str">
            <v>033.166</v>
          </cell>
          <cell r="B88" t="str">
            <v>H2</v>
          </cell>
          <cell r="C88" t="str">
            <v>EQUIPO BASICO (HERRAMIENTA MENOR)</v>
          </cell>
          <cell r="D88" t="str">
            <v>Herramienta</v>
          </cell>
          <cell r="E88" t="str">
            <v>UND</v>
          </cell>
          <cell r="F88">
            <v>0.1</v>
          </cell>
          <cell r="G88">
            <v>2536</v>
          </cell>
          <cell r="H88">
            <v>254</v>
          </cell>
        </row>
        <row r="89">
          <cell r="A89" t="str">
            <v>033.166</v>
          </cell>
          <cell r="B89" t="str">
            <v>E12</v>
          </cell>
          <cell r="C89" t="str">
            <v>EQUIPO DE TRANSPORTE</v>
          </cell>
          <cell r="D89" t="str">
            <v>Equipos</v>
          </cell>
          <cell r="E89" t="str">
            <v>DIA</v>
          </cell>
          <cell r="F89">
            <v>0.05</v>
          </cell>
          <cell r="G89">
            <v>131205</v>
          </cell>
          <cell r="H89">
            <v>6560</v>
          </cell>
        </row>
        <row r="92">
          <cell r="A92" t="str">
            <v>003</v>
          </cell>
          <cell r="C92" t="str">
            <v>ESTABILIDAD DE TALUDES</v>
          </cell>
          <cell r="D92" t="str">
            <v>Capitulo</v>
          </cell>
        </row>
        <row r="95">
          <cell r="A95" t="str">
            <v>002.022</v>
          </cell>
          <cell r="B95" t="str">
            <v>-</v>
          </cell>
          <cell r="C95" t="str">
            <v>CONFORMACION TALUDES EN TIERRA</v>
          </cell>
          <cell r="D95" t="str">
            <v>Actividad</v>
          </cell>
          <cell r="E95" t="str">
            <v>M3</v>
          </cell>
          <cell r="H95">
            <v>33723</v>
          </cell>
        </row>
        <row r="96">
          <cell r="A96" t="str">
            <v>002.022</v>
          </cell>
          <cell r="B96" t="str">
            <v>C22</v>
          </cell>
          <cell r="C96" t="str">
            <v>CUADRILLA AA TIPO 4 (1 OFICIAL + 4 AYUDANTE) (Albañileria)</v>
          </cell>
          <cell r="D96" t="str">
            <v>Cuadrilla</v>
          </cell>
          <cell r="E96" t="str">
            <v>HR</v>
          </cell>
          <cell r="F96">
            <v>0.8</v>
          </cell>
          <cell r="G96">
            <v>35996</v>
          </cell>
          <cell r="H96">
            <v>28797</v>
          </cell>
        </row>
        <row r="97">
          <cell r="A97" t="str">
            <v>002.022</v>
          </cell>
          <cell r="B97" t="str">
            <v>E27</v>
          </cell>
          <cell r="C97" t="str">
            <v>VOLQUETA  6M3 (CARGUE A MANO) RETIRO INTERNO</v>
          </cell>
          <cell r="D97" t="str">
            <v>Equipos</v>
          </cell>
          <cell r="E97" t="str">
            <v>VJE</v>
          </cell>
          <cell r="F97">
            <v>8.0000000000000002E-3</v>
          </cell>
          <cell r="G97">
            <v>166055</v>
          </cell>
          <cell r="H97">
            <v>1328</v>
          </cell>
        </row>
        <row r="98">
          <cell r="A98" t="str">
            <v>002.022</v>
          </cell>
          <cell r="B98" t="str">
            <v>H2</v>
          </cell>
          <cell r="C98" t="str">
            <v>EQUIPO BASICO (HERRAMIENTA MENOR)</v>
          </cell>
          <cell r="D98" t="str">
            <v>Herramienta</v>
          </cell>
          <cell r="E98" t="str">
            <v>UND</v>
          </cell>
          <cell r="F98">
            <v>0.5</v>
          </cell>
          <cell r="G98">
            <v>2536</v>
          </cell>
          <cell r="H98">
            <v>1268</v>
          </cell>
        </row>
        <row r="99">
          <cell r="A99" t="str">
            <v>002.022</v>
          </cell>
          <cell r="B99" t="str">
            <v>I1563</v>
          </cell>
          <cell r="C99" t="str">
            <v>CONTROL DE AGUAS</v>
          </cell>
          <cell r="D99" t="str">
            <v>Insumo</v>
          </cell>
          <cell r="E99" t="str">
            <v>UND</v>
          </cell>
          <cell r="F99">
            <v>0.09</v>
          </cell>
          <cell r="G99">
            <v>23203</v>
          </cell>
          <cell r="H99">
            <v>2088</v>
          </cell>
        </row>
        <row r="100">
          <cell r="A100" t="str">
            <v>002.022</v>
          </cell>
          <cell r="B100" t="str">
            <v>I1565</v>
          </cell>
          <cell r="C100" t="str">
            <v>ACARREO INTERNO</v>
          </cell>
          <cell r="D100" t="str">
            <v>Insumo</v>
          </cell>
          <cell r="E100" t="str">
            <v>UND</v>
          </cell>
          <cell r="F100">
            <v>0.182</v>
          </cell>
          <cell r="G100">
            <v>1327</v>
          </cell>
          <cell r="H100">
            <v>242</v>
          </cell>
        </row>
        <row r="103">
          <cell r="A103" t="str">
            <v>027.003</v>
          </cell>
          <cell r="B103" t="str">
            <v>-</v>
          </cell>
          <cell r="C103" t="str">
            <v>SUMINISTRO, TRANSPORTE E INSTALACION GAVIONES EN MEDIA ZOGA EN MALLA GALVANIZADA 12-2"</v>
          </cell>
          <cell r="D103" t="str">
            <v>Actividad</v>
          </cell>
          <cell r="E103" t="str">
            <v>M3</v>
          </cell>
          <cell r="H103">
            <v>267507</v>
          </cell>
        </row>
        <row r="104">
          <cell r="A104" t="str">
            <v>027.003</v>
          </cell>
          <cell r="B104" t="str">
            <v>C36</v>
          </cell>
          <cell r="C104" t="str">
            <v>CUADRILLA AA TIPO 6 (1 OFICIAL + 6 AYUDANTE) (Albañileria)</v>
          </cell>
          <cell r="D104" t="str">
            <v>Cuadrilla</v>
          </cell>
          <cell r="E104" t="str">
            <v>HR</v>
          </cell>
          <cell r="F104">
            <v>1</v>
          </cell>
          <cell r="G104">
            <v>48852</v>
          </cell>
          <cell r="H104">
            <v>48852</v>
          </cell>
        </row>
        <row r="105">
          <cell r="A105" t="str">
            <v>027.003</v>
          </cell>
          <cell r="B105" t="str">
            <v>E12</v>
          </cell>
          <cell r="C105" t="str">
            <v>EQUIPO DE TRANSPORTE</v>
          </cell>
          <cell r="D105" t="str">
            <v>Equipos</v>
          </cell>
          <cell r="E105" t="str">
            <v>DIA</v>
          </cell>
          <cell r="F105">
            <v>3.1809999999999998E-2</v>
          </cell>
          <cell r="G105">
            <v>131205</v>
          </cell>
          <cell r="H105">
            <v>4174</v>
          </cell>
        </row>
        <row r="106">
          <cell r="A106" t="str">
            <v>027.003</v>
          </cell>
          <cell r="B106" t="str">
            <v>H2</v>
          </cell>
          <cell r="C106" t="str">
            <v>EQUIPO BASICO (HERRAMIENTA MENOR)</v>
          </cell>
          <cell r="D106" t="str">
            <v>Herramienta</v>
          </cell>
          <cell r="E106" t="str">
            <v>UND</v>
          </cell>
          <cell r="F106">
            <v>0.25</v>
          </cell>
          <cell r="G106">
            <v>2536</v>
          </cell>
          <cell r="H106">
            <v>634</v>
          </cell>
        </row>
        <row r="107">
          <cell r="A107" t="str">
            <v>027.003</v>
          </cell>
          <cell r="B107" t="str">
            <v>I1565</v>
          </cell>
          <cell r="C107" t="str">
            <v>ACARREO INTERNO</v>
          </cell>
          <cell r="D107" t="str">
            <v>Insumo</v>
          </cell>
          <cell r="E107" t="str">
            <v>UND</v>
          </cell>
          <cell r="F107">
            <v>3.9</v>
          </cell>
          <cell r="G107">
            <v>1327</v>
          </cell>
          <cell r="H107">
            <v>5175</v>
          </cell>
        </row>
        <row r="108">
          <cell r="A108" t="str">
            <v>027.003</v>
          </cell>
          <cell r="B108" t="str">
            <v>I242</v>
          </cell>
          <cell r="C108" t="str">
            <v xml:space="preserve">MALLA GALVANIZADA 12-2" </v>
          </cell>
          <cell r="D108" t="str">
            <v>Insumo</v>
          </cell>
          <cell r="E108" t="str">
            <v>M2</v>
          </cell>
          <cell r="F108">
            <v>6.2</v>
          </cell>
          <cell r="G108">
            <v>20510</v>
          </cell>
          <cell r="H108">
            <v>127162</v>
          </cell>
        </row>
        <row r="109">
          <cell r="A109" t="str">
            <v>027.003</v>
          </cell>
          <cell r="B109" t="str">
            <v>I243</v>
          </cell>
          <cell r="C109" t="str">
            <v>ALAMBRE GALVANIZADO CAL 12</v>
          </cell>
          <cell r="D109" t="str">
            <v>Insumo</v>
          </cell>
          <cell r="E109" t="str">
            <v>KG</v>
          </cell>
          <cell r="F109">
            <v>0.25</v>
          </cell>
          <cell r="G109">
            <v>4734</v>
          </cell>
          <cell r="H109">
            <v>1184</v>
          </cell>
        </row>
        <row r="110">
          <cell r="A110" t="str">
            <v>027.003</v>
          </cell>
          <cell r="B110" t="str">
            <v>I37</v>
          </cell>
          <cell r="C110" t="str">
            <v>PIEDRA MEDIA ZONGA</v>
          </cell>
          <cell r="D110" t="str">
            <v>Insumo</v>
          </cell>
          <cell r="E110" t="str">
            <v>M3</v>
          </cell>
          <cell r="F110">
            <v>1.4</v>
          </cell>
          <cell r="G110">
            <v>57376</v>
          </cell>
          <cell r="H110">
            <v>80326</v>
          </cell>
        </row>
        <row r="113">
          <cell r="A113" t="str">
            <v>027.008</v>
          </cell>
          <cell r="B113" t="str">
            <v>-</v>
          </cell>
          <cell r="C113" t="str">
            <v>SUMINISTRO, TRANSPORTE E INSTALACION RECUBRIMIENTO DE GAVIONES CONCRETO DE 3000 PSI</v>
          </cell>
          <cell r="D113" t="str">
            <v>Actividad</v>
          </cell>
          <cell r="E113" t="str">
            <v>M3</v>
          </cell>
          <cell r="H113">
            <v>648737</v>
          </cell>
        </row>
        <row r="114">
          <cell r="A114" t="str">
            <v>027.008</v>
          </cell>
          <cell r="B114" t="str">
            <v>AB5</v>
          </cell>
          <cell r="C114" t="str">
            <v>CONCRETO 3000 psi - 21 Mpa</v>
          </cell>
          <cell r="D114" t="str">
            <v>Analisis</v>
          </cell>
          <cell r="E114" t="str">
            <v>M3</v>
          </cell>
          <cell r="F114">
            <v>1.05</v>
          </cell>
          <cell r="G114">
            <v>421155</v>
          </cell>
          <cell r="H114">
            <v>442213</v>
          </cell>
        </row>
        <row r="115">
          <cell r="A115" t="str">
            <v>027.008</v>
          </cell>
          <cell r="B115" t="str">
            <v>C36</v>
          </cell>
          <cell r="C115" t="str">
            <v>CUADRILLA AA TIPO 6 (1 OFICIAL + 6 AYUDANTE) (Albañileria)</v>
          </cell>
          <cell r="D115" t="str">
            <v>Cuadrilla</v>
          </cell>
          <cell r="E115" t="str">
            <v>HR</v>
          </cell>
          <cell r="F115">
            <v>2.6</v>
          </cell>
          <cell r="G115">
            <v>48852</v>
          </cell>
          <cell r="H115">
            <v>127015</v>
          </cell>
        </row>
        <row r="116">
          <cell r="A116" t="str">
            <v>027.008</v>
          </cell>
          <cell r="B116" t="str">
            <v>E105</v>
          </cell>
          <cell r="C116" t="str">
            <v>MORDAZA METALICA</v>
          </cell>
          <cell r="D116" t="str">
            <v>Equipos</v>
          </cell>
          <cell r="E116" t="str">
            <v>DIA</v>
          </cell>
          <cell r="F116">
            <v>15</v>
          </cell>
          <cell r="G116">
            <v>104</v>
          </cell>
          <cell r="H116">
            <v>1560</v>
          </cell>
        </row>
        <row r="117">
          <cell r="A117" t="str">
            <v>027.008</v>
          </cell>
          <cell r="B117" t="str">
            <v>E12</v>
          </cell>
          <cell r="C117" t="str">
            <v>EQUIPO DE TRANSPORTE</v>
          </cell>
          <cell r="D117" t="str">
            <v>Equipos</v>
          </cell>
          <cell r="E117" t="str">
            <v>DIA</v>
          </cell>
          <cell r="F117">
            <v>7.424E-2</v>
          </cell>
          <cell r="G117">
            <v>131205</v>
          </cell>
          <cell r="H117">
            <v>9741</v>
          </cell>
        </row>
        <row r="118">
          <cell r="A118" t="str">
            <v>027.008</v>
          </cell>
          <cell r="B118" t="str">
            <v>E21</v>
          </cell>
          <cell r="C118" t="str">
            <v>VIBRADOR A GASOLINA</v>
          </cell>
          <cell r="D118" t="str">
            <v>Equipos</v>
          </cell>
          <cell r="E118" t="str">
            <v>DIA</v>
          </cell>
          <cell r="F118">
            <v>0.1</v>
          </cell>
          <cell r="G118">
            <v>51948</v>
          </cell>
          <cell r="H118">
            <v>5195</v>
          </cell>
        </row>
        <row r="119">
          <cell r="A119" t="str">
            <v>027.008</v>
          </cell>
          <cell r="B119" t="str">
            <v>E35</v>
          </cell>
          <cell r="C119" t="str">
            <v>TABLERO  1.40 X 0,70</v>
          </cell>
          <cell r="D119" t="str">
            <v>Equipos</v>
          </cell>
          <cell r="E119" t="str">
            <v>DIA</v>
          </cell>
          <cell r="F119">
            <v>15</v>
          </cell>
          <cell r="G119">
            <v>343</v>
          </cell>
          <cell r="H119">
            <v>5145</v>
          </cell>
        </row>
        <row r="120">
          <cell r="A120" t="str">
            <v>027.008</v>
          </cell>
          <cell r="B120" t="str">
            <v>H2</v>
          </cell>
          <cell r="C120" t="str">
            <v>EQUIPO BASICO (HERRAMIENTA MENOR)</v>
          </cell>
          <cell r="D120" t="str">
            <v>Herramienta</v>
          </cell>
          <cell r="E120" t="str">
            <v>UND</v>
          </cell>
          <cell r="F120">
            <v>2.6</v>
          </cell>
          <cell r="G120">
            <v>2536</v>
          </cell>
          <cell r="H120">
            <v>6594</v>
          </cell>
        </row>
        <row r="121">
          <cell r="A121" t="str">
            <v>027.008</v>
          </cell>
          <cell r="B121" t="str">
            <v>I1565</v>
          </cell>
          <cell r="C121" t="str">
            <v>ACARREO INTERNO</v>
          </cell>
          <cell r="D121" t="str">
            <v>Insumo</v>
          </cell>
          <cell r="E121" t="str">
            <v>UND</v>
          </cell>
          <cell r="F121">
            <v>7</v>
          </cell>
          <cell r="G121">
            <v>1327</v>
          </cell>
          <cell r="H121">
            <v>9289</v>
          </cell>
        </row>
        <row r="122">
          <cell r="A122" t="str">
            <v>027.008</v>
          </cell>
          <cell r="B122" t="str">
            <v>I425</v>
          </cell>
          <cell r="C122" t="str">
            <v>PUNTILLA CON CABEZA 2"</v>
          </cell>
          <cell r="D122" t="str">
            <v>Insumo</v>
          </cell>
          <cell r="E122" t="str">
            <v>LB</v>
          </cell>
          <cell r="F122">
            <v>2</v>
          </cell>
          <cell r="G122">
            <v>3585</v>
          </cell>
          <cell r="H122">
            <v>7170</v>
          </cell>
        </row>
        <row r="123">
          <cell r="A123" t="str">
            <v>027.008</v>
          </cell>
          <cell r="B123" t="str">
            <v>I987</v>
          </cell>
          <cell r="C123" t="str">
            <v>VARILLÓN DE 0,02 X 0,05 X 2,80</v>
          </cell>
          <cell r="D123" t="str">
            <v>Insumo</v>
          </cell>
          <cell r="E123" t="str">
            <v>UND</v>
          </cell>
          <cell r="F123">
            <v>15</v>
          </cell>
          <cell r="G123">
            <v>2321</v>
          </cell>
          <cell r="H123">
            <v>34815</v>
          </cell>
        </row>
        <row r="126">
          <cell r="A126" t="str">
            <v>002A.005</v>
          </cell>
          <cell r="B126" t="str">
            <v>-</v>
          </cell>
          <cell r="C126" t="str">
            <v>SUMINISTRO, TRANSPORTE E INSTALACION VIGA CIMENTACION CONCRETO 3000 PSI</v>
          </cell>
          <cell r="D126" t="str">
            <v>Actividad</v>
          </cell>
          <cell r="E126" t="str">
            <v>M3</v>
          </cell>
          <cell r="H126">
            <v>633438</v>
          </cell>
        </row>
        <row r="127">
          <cell r="A127" t="str">
            <v>002A.005</v>
          </cell>
          <cell r="B127" t="str">
            <v>AB6</v>
          </cell>
          <cell r="C127" t="str">
            <v>CONCRETO 3500 psi - 24.5 Mpa</v>
          </cell>
          <cell r="D127" t="str">
            <v>Analisis</v>
          </cell>
          <cell r="E127" t="str">
            <v>M3</v>
          </cell>
          <cell r="F127">
            <v>1</v>
          </cell>
          <cell r="G127">
            <v>459324</v>
          </cell>
          <cell r="H127">
            <v>459324</v>
          </cell>
        </row>
        <row r="128">
          <cell r="A128" t="str">
            <v>002A.005</v>
          </cell>
          <cell r="B128" t="str">
            <v>C29</v>
          </cell>
          <cell r="C128" t="str">
            <v>CUADRILLA AA TIPO 5 (1 OFICIAL + 5 AYUDANTE) (Albañileria)</v>
          </cell>
          <cell r="D128" t="str">
            <v>Cuadrilla</v>
          </cell>
          <cell r="E128" t="str">
            <v>HR</v>
          </cell>
          <cell r="F128">
            <v>3</v>
          </cell>
          <cell r="G128">
            <v>42424</v>
          </cell>
          <cell r="H128">
            <v>127272</v>
          </cell>
        </row>
        <row r="129">
          <cell r="A129" t="str">
            <v>002A.005</v>
          </cell>
          <cell r="B129" t="str">
            <v>E111</v>
          </cell>
          <cell r="C129" t="str">
            <v>FORMALETA PARA BASE DE CONCRETO</v>
          </cell>
          <cell r="D129" t="str">
            <v>Equipos</v>
          </cell>
          <cell r="E129" t="str">
            <v>UND</v>
          </cell>
          <cell r="F129">
            <v>3</v>
          </cell>
          <cell r="G129">
            <v>4151</v>
          </cell>
          <cell r="H129">
            <v>12453</v>
          </cell>
        </row>
        <row r="130">
          <cell r="A130" t="str">
            <v>002A.005</v>
          </cell>
          <cell r="B130" t="str">
            <v>E12</v>
          </cell>
          <cell r="C130" t="str">
            <v>EQUIPO DE TRANSPORTE</v>
          </cell>
          <cell r="D130" t="str">
            <v>Equipos</v>
          </cell>
          <cell r="E130" t="str">
            <v>DIA</v>
          </cell>
          <cell r="F130">
            <v>0.1</v>
          </cell>
          <cell r="G130">
            <v>131205</v>
          </cell>
          <cell r="H130">
            <v>13121</v>
          </cell>
        </row>
        <row r="131">
          <cell r="A131" t="str">
            <v>002A.005</v>
          </cell>
          <cell r="B131" t="str">
            <v>E21</v>
          </cell>
          <cell r="C131" t="str">
            <v>VIBRADOR A GASOLINA</v>
          </cell>
          <cell r="D131" t="str">
            <v>Equipos</v>
          </cell>
          <cell r="E131" t="str">
            <v>DIA</v>
          </cell>
          <cell r="F131">
            <v>0.18</v>
          </cell>
          <cell r="G131">
            <v>51948</v>
          </cell>
          <cell r="H131">
            <v>9351</v>
          </cell>
        </row>
        <row r="132">
          <cell r="A132" t="str">
            <v>002A.005</v>
          </cell>
          <cell r="B132" t="str">
            <v>H1</v>
          </cell>
          <cell r="C132" t="str">
            <v>EQUIPO BASICO ( CONSTRUCCIÓN )</v>
          </cell>
          <cell r="D132" t="str">
            <v>Herramienta</v>
          </cell>
          <cell r="E132" t="str">
            <v>UND</v>
          </cell>
          <cell r="F132">
            <v>1.5</v>
          </cell>
          <cell r="G132">
            <v>2536</v>
          </cell>
          <cell r="H132">
            <v>3804</v>
          </cell>
        </row>
        <row r="133">
          <cell r="A133" t="str">
            <v>002A.005</v>
          </cell>
          <cell r="B133" t="str">
            <v>H2</v>
          </cell>
          <cell r="C133" t="str">
            <v>EQUIPO BASICO (HERRAMIENTA MENOR)</v>
          </cell>
          <cell r="D133" t="str">
            <v>Herramienta</v>
          </cell>
          <cell r="E133" t="str">
            <v>UND</v>
          </cell>
          <cell r="F133">
            <v>2.1</v>
          </cell>
          <cell r="G133">
            <v>2536</v>
          </cell>
          <cell r="H133">
            <v>5326</v>
          </cell>
        </row>
        <row r="134">
          <cell r="A134" t="str">
            <v>002A.005</v>
          </cell>
          <cell r="B134" t="str">
            <v>I1565</v>
          </cell>
          <cell r="C134" t="str">
            <v>ACARREO INTERNO</v>
          </cell>
          <cell r="D134" t="str">
            <v>Insumo</v>
          </cell>
          <cell r="E134" t="str">
            <v>UND</v>
          </cell>
          <cell r="F134">
            <v>2.1</v>
          </cell>
          <cell r="G134">
            <v>1327</v>
          </cell>
          <cell r="H134">
            <v>2787</v>
          </cell>
        </row>
        <row r="136">
          <cell r="A136" t="str">
            <v>033.158</v>
          </cell>
          <cell r="B136" t="str">
            <v>-</v>
          </cell>
          <cell r="C136" t="str">
            <v>SUMINISTRO, TRANSPORTE E INSTALACIÓN DE ACERO DE REFUERZO DE 1/4" Y 1 1/4" DE 420 MPA (4200 KG/CM2)</v>
          </cell>
          <cell r="D136" t="str">
            <v>Actividad</v>
          </cell>
          <cell r="E136" t="str">
            <v>KG</v>
          </cell>
          <cell r="H136">
            <v>5274</v>
          </cell>
        </row>
        <row r="137">
          <cell r="A137" t="str">
            <v>033.158</v>
          </cell>
          <cell r="B137" t="str">
            <v>C29</v>
          </cell>
          <cell r="C137" t="str">
            <v>CUADRILLA AA TIPO 5 (1 OFICIAL + 5 AYUDANTE) (Albañileria)</v>
          </cell>
          <cell r="D137" t="str">
            <v>Cuadrilla</v>
          </cell>
          <cell r="E137" t="str">
            <v>HR</v>
          </cell>
          <cell r="F137">
            <v>0.02</v>
          </cell>
          <cell r="G137">
            <v>42424</v>
          </cell>
          <cell r="H137">
            <v>848</v>
          </cell>
        </row>
        <row r="138">
          <cell r="A138" t="str">
            <v>033.158</v>
          </cell>
          <cell r="B138" t="str">
            <v>E12</v>
          </cell>
          <cell r="C138" t="str">
            <v>EQUIPO DE TRANSPORTE</v>
          </cell>
          <cell r="D138" t="str">
            <v>Equipos</v>
          </cell>
          <cell r="E138" t="str">
            <v>DIA</v>
          </cell>
          <cell r="F138">
            <v>5.9999999999999995E-4</v>
          </cell>
          <cell r="G138">
            <v>131205</v>
          </cell>
          <cell r="H138">
            <v>79</v>
          </cell>
        </row>
        <row r="139">
          <cell r="A139" t="str">
            <v>033.158</v>
          </cell>
          <cell r="B139" t="str">
            <v>H2</v>
          </cell>
          <cell r="C139" t="str">
            <v>EQUIPO BASICO (HERRAMIENTA MENOR)</v>
          </cell>
          <cell r="D139" t="str">
            <v>Herramienta</v>
          </cell>
          <cell r="E139" t="str">
            <v>UND</v>
          </cell>
          <cell r="F139">
            <v>0.03</v>
          </cell>
          <cell r="G139">
            <v>2536</v>
          </cell>
          <cell r="H139">
            <v>76</v>
          </cell>
        </row>
        <row r="140">
          <cell r="A140" t="str">
            <v>033.158</v>
          </cell>
          <cell r="B140" t="str">
            <v>I1565</v>
          </cell>
          <cell r="C140" t="str">
            <v>ACARREO INTERNO</v>
          </cell>
          <cell r="D140" t="str">
            <v>Insumo</v>
          </cell>
          <cell r="E140" t="str">
            <v>UND</v>
          </cell>
          <cell r="F140">
            <v>0.2</v>
          </cell>
          <cell r="G140">
            <v>1327</v>
          </cell>
          <cell r="H140">
            <v>265</v>
          </cell>
        </row>
        <row r="141">
          <cell r="A141" t="str">
            <v>033.158</v>
          </cell>
          <cell r="B141" t="str">
            <v>I2</v>
          </cell>
          <cell r="C141" t="str">
            <v>ACERO 60.000 PSI</v>
          </cell>
          <cell r="D141" t="str">
            <v>Insumo</v>
          </cell>
          <cell r="E141" t="str">
            <v>KG</v>
          </cell>
          <cell r="F141">
            <v>1.17</v>
          </cell>
          <cell r="G141">
            <v>3313</v>
          </cell>
          <cell r="H141">
            <v>3876</v>
          </cell>
        </row>
        <row r="142">
          <cell r="A142" t="str">
            <v>033.158</v>
          </cell>
          <cell r="B142" t="str">
            <v>I3</v>
          </cell>
          <cell r="C142" t="str">
            <v>ALAMBRE NEGRO NO. 18</v>
          </cell>
          <cell r="D142" t="str">
            <v>Insumo</v>
          </cell>
          <cell r="E142" t="str">
            <v>KG</v>
          </cell>
          <cell r="F142">
            <v>0.03</v>
          </cell>
          <cell r="G142">
            <v>4323</v>
          </cell>
          <cell r="H142">
            <v>130</v>
          </cell>
        </row>
        <row r="144">
          <cell r="A144" t="str">
            <v>002.033</v>
          </cell>
          <cell r="B144" t="str">
            <v>-</v>
          </cell>
          <cell r="C144" t="str">
            <v xml:space="preserve">LLENO COMPACTADO MUROS DE CONTENCION </v>
          </cell>
          <cell r="D144" t="str">
            <v>Actividad</v>
          </cell>
          <cell r="E144" t="str">
            <v>M3</v>
          </cell>
          <cell r="H144">
            <v>20372</v>
          </cell>
        </row>
        <row r="145">
          <cell r="A145" t="str">
            <v>002.033</v>
          </cell>
          <cell r="B145" t="str">
            <v>C22</v>
          </cell>
          <cell r="C145" t="str">
            <v>CUADRILLA AA TIPO 4 (1 OFICIAL + 4 AYUDANTE) (Albañileria)</v>
          </cell>
          <cell r="D145" t="str">
            <v>Cuadrilla</v>
          </cell>
          <cell r="E145" t="str">
            <v>HR</v>
          </cell>
          <cell r="F145">
            <v>6.7000000000000004E-2</v>
          </cell>
          <cell r="G145">
            <v>35996</v>
          </cell>
          <cell r="H145">
            <v>2412</v>
          </cell>
        </row>
        <row r="146">
          <cell r="A146" t="str">
            <v>002.033</v>
          </cell>
          <cell r="B146" t="str">
            <v>E120</v>
          </cell>
          <cell r="C146" t="str">
            <v>ENSAYO DE DENSIDAD EN CAMPO</v>
          </cell>
          <cell r="D146" t="str">
            <v>Equipos</v>
          </cell>
          <cell r="E146" t="str">
            <v>UND</v>
          </cell>
          <cell r="F146">
            <v>2.5000000000000001E-2</v>
          </cell>
          <cell r="G146">
            <v>31963</v>
          </cell>
          <cell r="H146">
            <v>799</v>
          </cell>
        </row>
        <row r="147">
          <cell r="A147" t="str">
            <v>002.033</v>
          </cell>
          <cell r="B147" t="str">
            <v>E48</v>
          </cell>
          <cell r="C147" t="str">
            <v>CANGURO</v>
          </cell>
          <cell r="D147" t="str">
            <v>Equipos</v>
          </cell>
          <cell r="E147" t="str">
            <v>DIA</v>
          </cell>
          <cell r="F147">
            <v>7.6999999999999999E-2</v>
          </cell>
          <cell r="G147">
            <v>47233</v>
          </cell>
          <cell r="H147">
            <v>3637</v>
          </cell>
        </row>
        <row r="148">
          <cell r="A148" t="str">
            <v>002.033</v>
          </cell>
          <cell r="B148" t="str">
            <v>H2</v>
          </cell>
          <cell r="C148" t="str">
            <v>EQUIPO BASICO (HERRAMIENTA MENOR)</v>
          </cell>
          <cell r="D148" t="str">
            <v>Herramienta</v>
          </cell>
          <cell r="E148" t="str">
            <v>UND</v>
          </cell>
          <cell r="F148">
            <v>0.1</v>
          </cell>
          <cell r="G148">
            <v>2536</v>
          </cell>
          <cell r="H148">
            <v>254</v>
          </cell>
        </row>
        <row r="149">
          <cell r="A149" t="str">
            <v>002.033</v>
          </cell>
          <cell r="B149" t="str">
            <v>I1565</v>
          </cell>
          <cell r="C149" t="str">
            <v>ACARREO INTERNO</v>
          </cell>
          <cell r="D149" t="str">
            <v>Insumo</v>
          </cell>
          <cell r="E149" t="str">
            <v>UND</v>
          </cell>
          <cell r="F149">
            <v>10</v>
          </cell>
          <cell r="G149">
            <v>1327</v>
          </cell>
          <cell r="H149">
            <v>13270</v>
          </cell>
        </row>
        <row r="151">
          <cell r="A151" t="str">
            <v>005.086</v>
          </cell>
          <cell r="B151" t="str">
            <v>-</v>
          </cell>
          <cell r="C151" t="str">
            <v>SUMINISTRO TRANSPORTE E INSTALACION MURO EN CONCRETO 21 MPA, NO INCLUYE REFUERZO</v>
          </cell>
          <cell r="D151" t="str">
            <v>Actividad</v>
          </cell>
          <cell r="E151" t="str">
            <v>M3</v>
          </cell>
          <cell r="H151">
            <v>569680</v>
          </cell>
        </row>
        <row r="152">
          <cell r="A152" t="str">
            <v>005.086</v>
          </cell>
          <cell r="B152" t="str">
            <v>AB5</v>
          </cell>
          <cell r="C152" t="str">
            <v>CONCRETO 3000 psi - 21 Mpa</v>
          </cell>
          <cell r="D152" t="str">
            <v>Analisis</v>
          </cell>
          <cell r="E152" t="str">
            <v>M3</v>
          </cell>
          <cell r="F152">
            <v>1.05</v>
          </cell>
          <cell r="G152">
            <v>421155</v>
          </cell>
          <cell r="H152">
            <v>442213</v>
          </cell>
        </row>
        <row r="153">
          <cell r="A153" t="str">
            <v>005.086</v>
          </cell>
          <cell r="B153" t="str">
            <v>C36</v>
          </cell>
          <cell r="C153" t="str">
            <v>CUADRILLA AA TIPO 6 (1 OFICIAL + 6 AYUDANTE) (Albañileria)</v>
          </cell>
          <cell r="D153" t="str">
            <v>Cuadrilla</v>
          </cell>
          <cell r="E153" t="str">
            <v>HR</v>
          </cell>
          <cell r="F153">
            <v>2.5</v>
          </cell>
          <cell r="G153">
            <v>48852</v>
          </cell>
          <cell r="H153">
            <v>122130</v>
          </cell>
        </row>
        <row r="154">
          <cell r="A154" t="str">
            <v>005.086</v>
          </cell>
          <cell r="B154" t="str">
            <v>H2</v>
          </cell>
          <cell r="C154" t="str">
            <v>EQUIPO BASICO (HERRAMIENTA MENOR)</v>
          </cell>
          <cell r="D154" t="str">
            <v>Herramienta</v>
          </cell>
          <cell r="E154" t="str">
            <v>UND</v>
          </cell>
          <cell r="F154">
            <v>2</v>
          </cell>
          <cell r="G154">
            <v>2536</v>
          </cell>
          <cell r="H154">
            <v>5072</v>
          </cell>
        </row>
        <row r="155">
          <cell r="A155" t="str">
            <v>005.086</v>
          </cell>
          <cell r="B155" t="str">
            <v>I1565</v>
          </cell>
          <cell r="C155" t="str">
            <v>ACARREO INTERNO</v>
          </cell>
          <cell r="D155" t="str">
            <v>Insumo</v>
          </cell>
          <cell r="E155" t="str">
            <v>UND</v>
          </cell>
          <cell r="F155">
            <v>0.2</v>
          </cell>
          <cell r="G155">
            <v>1327</v>
          </cell>
          <cell r="H155">
            <v>265</v>
          </cell>
        </row>
        <row r="157">
          <cell r="A157" t="str">
            <v>002.052</v>
          </cell>
          <cell r="B157" t="str">
            <v>-</v>
          </cell>
          <cell r="C157" t="str">
            <v>PIEDRA PARA FILTRO</v>
          </cell>
          <cell r="D157" t="str">
            <v>Actividad</v>
          </cell>
          <cell r="E157" t="str">
            <v>M3</v>
          </cell>
          <cell r="H157">
            <v>84554</v>
          </cell>
        </row>
        <row r="158">
          <cell r="A158" t="str">
            <v>002.052</v>
          </cell>
          <cell r="B158" t="str">
            <v>C15</v>
          </cell>
          <cell r="C158" t="str">
            <v>CUADRILLA AA TIPO 3 (1 OFICIAL + 3 AYUDANTE) (Albañileria)</v>
          </cell>
          <cell r="D158" t="str">
            <v>Cuadrilla</v>
          </cell>
          <cell r="E158" t="str">
            <v>HR</v>
          </cell>
          <cell r="F158">
            <v>0.3</v>
          </cell>
          <cell r="G158">
            <v>29568</v>
          </cell>
          <cell r="H158">
            <v>8870</v>
          </cell>
        </row>
        <row r="159">
          <cell r="A159" t="str">
            <v>002.052</v>
          </cell>
          <cell r="B159" t="str">
            <v>H2</v>
          </cell>
          <cell r="C159" t="str">
            <v>EQUIPO BASICO (HERRAMIENTA MENOR)</v>
          </cell>
          <cell r="D159" t="str">
            <v>Herramienta</v>
          </cell>
          <cell r="E159" t="str">
            <v>UND</v>
          </cell>
          <cell r="F159">
            <v>0.3</v>
          </cell>
          <cell r="G159">
            <v>2536</v>
          </cell>
          <cell r="H159">
            <v>761</v>
          </cell>
        </row>
        <row r="160">
          <cell r="A160" t="str">
            <v>002.052</v>
          </cell>
          <cell r="B160" t="str">
            <v>I1565</v>
          </cell>
          <cell r="C160" t="str">
            <v>ACARREO INTERNO</v>
          </cell>
          <cell r="D160" t="str">
            <v>Insumo</v>
          </cell>
          <cell r="E160" t="str">
            <v>UND</v>
          </cell>
          <cell r="F160">
            <v>0.5</v>
          </cell>
          <cell r="G160">
            <v>1327</v>
          </cell>
          <cell r="H160">
            <v>664</v>
          </cell>
        </row>
        <row r="161">
          <cell r="A161" t="str">
            <v>002.052</v>
          </cell>
          <cell r="B161" t="str">
            <v>I38</v>
          </cell>
          <cell r="C161" t="str">
            <v>PIEDRA DE MANO</v>
          </cell>
          <cell r="D161" t="str">
            <v>Insumo</v>
          </cell>
          <cell r="E161" t="str">
            <v>M3</v>
          </cell>
          <cell r="F161">
            <v>1.3</v>
          </cell>
          <cell r="G161">
            <v>57122</v>
          </cell>
          <cell r="H161">
            <v>74259</v>
          </cell>
        </row>
        <row r="163">
          <cell r="A163" t="str">
            <v>004.007</v>
          </cell>
          <cell r="B163" t="str">
            <v>-</v>
          </cell>
          <cell r="C163" t="str">
            <v>SUMINISTRO, TRANSPORTE E INSTALACION GEOTEXTIL NO TEJIDO 3000</v>
          </cell>
          <cell r="D163" t="str">
            <v>Actividad</v>
          </cell>
          <cell r="E163" t="str">
            <v>M2</v>
          </cell>
          <cell r="H163">
            <v>16201</v>
          </cell>
        </row>
        <row r="164">
          <cell r="A164" t="str">
            <v>004.007</v>
          </cell>
          <cell r="B164" t="str">
            <v>C1</v>
          </cell>
          <cell r="C164" t="str">
            <v>CUADRILLA AA TIPO 1 (1 OFICIAL + 1 AYUDANTE) (Albañileria)</v>
          </cell>
          <cell r="D164" t="str">
            <v>Cuadrilla</v>
          </cell>
          <cell r="E164" t="str">
            <v>HR</v>
          </cell>
          <cell r="F164">
            <v>3.4000000000000002E-2</v>
          </cell>
          <cell r="G164">
            <v>16712</v>
          </cell>
          <cell r="H164">
            <v>568</v>
          </cell>
        </row>
        <row r="165">
          <cell r="A165" t="str">
            <v>004.007</v>
          </cell>
          <cell r="B165" t="str">
            <v>E12</v>
          </cell>
          <cell r="C165" t="str">
            <v>EQUIPO DE TRANSPORTE</v>
          </cell>
          <cell r="D165" t="str">
            <v>Equipos</v>
          </cell>
          <cell r="E165" t="str">
            <v>DIA</v>
          </cell>
          <cell r="F165">
            <v>1E-3</v>
          </cell>
          <cell r="G165">
            <v>131205</v>
          </cell>
          <cell r="H165">
            <v>131</v>
          </cell>
        </row>
        <row r="166">
          <cell r="A166" t="str">
            <v>004.007</v>
          </cell>
          <cell r="B166" t="str">
            <v>I1565</v>
          </cell>
          <cell r="C166" t="str">
            <v>ACARREO INTERNO</v>
          </cell>
          <cell r="D166" t="str">
            <v>Insumo</v>
          </cell>
          <cell r="E166" t="str">
            <v>UND</v>
          </cell>
          <cell r="F166">
            <v>3.0000000000000001E-3</v>
          </cell>
          <cell r="G166">
            <v>1327</v>
          </cell>
          <cell r="H166">
            <v>4</v>
          </cell>
        </row>
        <row r="167">
          <cell r="A167" t="str">
            <v>004.007</v>
          </cell>
          <cell r="B167" t="str">
            <v>I513</v>
          </cell>
          <cell r="C167" t="str">
            <v>GEOTEXTIL NO TEJIDO  3000 PAVCO O SIMILAR</v>
          </cell>
          <cell r="D167" t="str">
            <v>Insumo</v>
          </cell>
          <cell r="E167" t="str">
            <v>M2</v>
          </cell>
          <cell r="F167">
            <v>2.1</v>
          </cell>
          <cell r="G167">
            <v>7380</v>
          </cell>
          <cell r="H167">
            <v>15498</v>
          </cell>
        </row>
        <row r="169">
          <cell r="A169" t="str">
            <v>003.057</v>
          </cell>
          <cell r="B169" t="str">
            <v>-</v>
          </cell>
          <cell r="C169" t="str">
            <v xml:space="preserve">SUMINISTRO, TRANSPORTE E INSTALACION Tubo Drenaje Corrugado de 4" </v>
          </cell>
          <cell r="D169" t="str">
            <v>Actividad</v>
          </cell>
          <cell r="E169" t="str">
            <v>ML</v>
          </cell>
          <cell r="H169">
            <v>31156</v>
          </cell>
        </row>
        <row r="170">
          <cell r="A170" t="str">
            <v>003.057</v>
          </cell>
          <cell r="B170" t="str">
            <v>C1</v>
          </cell>
          <cell r="C170" t="str">
            <v>CUADRILLA AA TIPO 1 (1 OFICIAL + 1 AYUDANTE) (Albañileria)</v>
          </cell>
          <cell r="D170" t="str">
            <v>Cuadrilla</v>
          </cell>
          <cell r="E170" t="str">
            <v>HR</v>
          </cell>
          <cell r="F170">
            <v>3.4000000000000002E-2</v>
          </cell>
          <cell r="G170">
            <v>16712</v>
          </cell>
          <cell r="H170">
            <v>568</v>
          </cell>
        </row>
        <row r="171">
          <cell r="A171" t="str">
            <v>003.057</v>
          </cell>
          <cell r="B171" t="str">
            <v>E12</v>
          </cell>
          <cell r="C171" t="str">
            <v>EQUIPO DE TRANSPORTE</v>
          </cell>
          <cell r="D171" t="str">
            <v>Equipos</v>
          </cell>
          <cell r="E171" t="str">
            <v>DIA</v>
          </cell>
          <cell r="F171">
            <v>1E-3</v>
          </cell>
          <cell r="G171">
            <v>131205</v>
          </cell>
          <cell r="H171">
            <v>131</v>
          </cell>
        </row>
        <row r="172">
          <cell r="A172" t="str">
            <v>003.057</v>
          </cell>
          <cell r="B172" t="str">
            <v>I1565</v>
          </cell>
          <cell r="C172" t="str">
            <v>ACARREO INTERNO</v>
          </cell>
          <cell r="D172" t="str">
            <v>Insumo</v>
          </cell>
          <cell r="E172" t="str">
            <v>UND</v>
          </cell>
          <cell r="F172">
            <v>3.0000000000000001E-3</v>
          </cell>
          <cell r="G172">
            <v>1327</v>
          </cell>
          <cell r="H172">
            <v>4</v>
          </cell>
        </row>
        <row r="173">
          <cell r="A173" t="str">
            <v>003.057</v>
          </cell>
          <cell r="B173" t="str">
            <v>I731</v>
          </cell>
          <cell r="C173" t="str">
            <v>TUBO DRENAJE  CORRUGADA PVC 100 MM ( 4") SIN FILTRO. TRAMOS DE 5 M. CON UNIÓN.</v>
          </cell>
          <cell r="D173" t="str">
            <v>Insumo</v>
          </cell>
          <cell r="E173" t="str">
            <v>M</v>
          </cell>
          <cell r="F173">
            <v>1.01</v>
          </cell>
          <cell r="G173">
            <v>30151</v>
          </cell>
          <cell r="H173">
            <v>30453</v>
          </cell>
        </row>
        <row r="175">
          <cell r="A175" t="str">
            <v>033.139</v>
          </cell>
          <cell r="B175" t="str">
            <v>-</v>
          </cell>
          <cell r="C175" t="str">
            <v>SUMINISTRO, TRANSPORTE E INSTALACION ZANJA COLECTORA EN CONCRETO DE 3000 PSI PRODUCIDO EN OBRA</v>
          </cell>
          <cell r="D175" t="str">
            <v>Actividad</v>
          </cell>
          <cell r="E175" t="str">
            <v>M3</v>
          </cell>
          <cell r="H175">
            <v>693005</v>
          </cell>
        </row>
        <row r="176">
          <cell r="A176" t="str">
            <v>033.139</v>
          </cell>
          <cell r="B176" t="str">
            <v>AB5</v>
          </cell>
          <cell r="C176" t="str">
            <v>CONCRETO 3000 psi - 21 Mpa</v>
          </cell>
          <cell r="D176" t="str">
            <v>Analisis</v>
          </cell>
          <cell r="E176" t="str">
            <v>M3</v>
          </cell>
          <cell r="F176">
            <v>1.05</v>
          </cell>
          <cell r="G176">
            <v>421155</v>
          </cell>
          <cell r="H176">
            <v>442213</v>
          </cell>
        </row>
        <row r="177">
          <cell r="A177" t="str">
            <v>033.139</v>
          </cell>
          <cell r="B177" t="str">
            <v>C36</v>
          </cell>
          <cell r="C177" t="str">
            <v>CUADRILLA AA TIPO 6 (1 OFICIAL + 6 AYUDANTE) (Albañileria)</v>
          </cell>
          <cell r="D177" t="str">
            <v>Cuadrilla</v>
          </cell>
          <cell r="E177" t="str">
            <v>HR</v>
          </cell>
          <cell r="F177">
            <v>3</v>
          </cell>
          <cell r="G177">
            <v>48852</v>
          </cell>
          <cell r="H177">
            <v>146556</v>
          </cell>
        </row>
        <row r="178">
          <cell r="A178" t="str">
            <v>033.139</v>
          </cell>
          <cell r="B178" t="str">
            <v>E12</v>
          </cell>
          <cell r="C178" t="str">
            <v>EQUIPO DE TRANSPORTE</v>
          </cell>
          <cell r="D178" t="str">
            <v>Equipos</v>
          </cell>
          <cell r="E178" t="str">
            <v>DIA</v>
          </cell>
          <cell r="F178">
            <v>7.7670000000000003E-2</v>
          </cell>
          <cell r="G178">
            <v>131205</v>
          </cell>
          <cell r="H178">
            <v>10191</v>
          </cell>
        </row>
        <row r="179">
          <cell r="A179" t="str">
            <v>033.139</v>
          </cell>
          <cell r="B179" t="str">
            <v>E21</v>
          </cell>
          <cell r="C179" t="str">
            <v>VIBRADOR A GASOLINA</v>
          </cell>
          <cell r="D179" t="str">
            <v>Equipos</v>
          </cell>
          <cell r="E179" t="str">
            <v>DIA</v>
          </cell>
          <cell r="F179">
            <v>0.1</v>
          </cell>
          <cell r="G179">
            <v>51948</v>
          </cell>
          <cell r="H179">
            <v>5195</v>
          </cell>
        </row>
        <row r="180">
          <cell r="A180" t="str">
            <v>033.139</v>
          </cell>
          <cell r="B180" t="str">
            <v>H2</v>
          </cell>
          <cell r="C180" t="str">
            <v>EQUIPO BASICO (HERRAMIENTA MENOR)</v>
          </cell>
          <cell r="D180" t="str">
            <v>Herramienta</v>
          </cell>
          <cell r="E180" t="str">
            <v>UND</v>
          </cell>
          <cell r="F180">
            <v>3</v>
          </cell>
          <cell r="G180">
            <v>2536</v>
          </cell>
          <cell r="H180">
            <v>7608</v>
          </cell>
        </row>
        <row r="181">
          <cell r="A181" t="str">
            <v>033.139</v>
          </cell>
          <cell r="B181" t="str">
            <v>I1565</v>
          </cell>
          <cell r="C181" t="str">
            <v>ACARREO INTERNO</v>
          </cell>
          <cell r="D181" t="str">
            <v>Insumo</v>
          </cell>
          <cell r="E181" t="str">
            <v>UND</v>
          </cell>
          <cell r="F181">
            <v>8.1</v>
          </cell>
          <cell r="G181">
            <v>1327</v>
          </cell>
          <cell r="H181">
            <v>10749</v>
          </cell>
        </row>
        <row r="182">
          <cell r="A182" t="str">
            <v>033.139</v>
          </cell>
          <cell r="B182" t="str">
            <v>I425</v>
          </cell>
          <cell r="C182" t="str">
            <v>PUNTILLA CON CABEZA 2"</v>
          </cell>
          <cell r="D182" t="str">
            <v>Insumo</v>
          </cell>
          <cell r="E182" t="str">
            <v>LB</v>
          </cell>
          <cell r="F182">
            <v>2</v>
          </cell>
          <cell r="G182">
            <v>3585</v>
          </cell>
          <cell r="H182">
            <v>7170</v>
          </cell>
        </row>
        <row r="183">
          <cell r="A183" t="str">
            <v>033.139</v>
          </cell>
          <cell r="B183" t="str">
            <v>I987</v>
          </cell>
          <cell r="C183" t="str">
            <v>VARILLÓN DE 0,02 X 0,05 X 2,80</v>
          </cell>
          <cell r="D183" t="str">
            <v>Insumo</v>
          </cell>
          <cell r="E183" t="str">
            <v>UND</v>
          </cell>
          <cell r="F183">
            <v>17</v>
          </cell>
          <cell r="G183">
            <v>2321</v>
          </cell>
          <cell r="H183">
            <v>39457</v>
          </cell>
        </row>
        <row r="184">
          <cell r="A184" t="str">
            <v>033.139</v>
          </cell>
          <cell r="B184" t="str">
            <v>I991</v>
          </cell>
          <cell r="C184" t="str">
            <v>CUARTON 2"X4"X3M</v>
          </cell>
          <cell r="D184" t="str">
            <v>Insumo</v>
          </cell>
          <cell r="E184" t="str">
            <v>UND</v>
          </cell>
          <cell r="F184">
            <v>2.4</v>
          </cell>
          <cell r="G184">
            <v>9944</v>
          </cell>
          <cell r="H184">
            <v>23866</v>
          </cell>
        </row>
        <row r="186">
          <cell r="A186" t="str">
            <v>027.022</v>
          </cell>
          <cell r="B186" t="str">
            <v>-</v>
          </cell>
          <cell r="C186" t="str">
            <v>SUMINISTRO, TRANSPORTE E INSTALACION PERFORACION PARA DREN HORIZONTAL EN TIERRA CON EQUIPO MECANICO</v>
          </cell>
          <cell r="D186" t="str">
            <v>Actividad</v>
          </cell>
          <cell r="E186" t="str">
            <v>ML</v>
          </cell>
          <cell r="H186">
            <v>72642</v>
          </cell>
        </row>
        <row r="187">
          <cell r="A187" t="str">
            <v>027.022</v>
          </cell>
          <cell r="B187" t="str">
            <v>C8</v>
          </cell>
          <cell r="C187" t="str">
            <v>CUADRILLA AA TIPO 2 (1 OFICIAL + 2 AYUDANTE) (Albañileria)</v>
          </cell>
          <cell r="D187" t="str">
            <v>Cuadrilla</v>
          </cell>
          <cell r="E187" t="str">
            <v>HR</v>
          </cell>
          <cell r="F187">
            <v>0.4</v>
          </cell>
          <cell r="G187">
            <v>23140</v>
          </cell>
          <cell r="H187">
            <v>9256</v>
          </cell>
        </row>
        <row r="188">
          <cell r="A188" t="str">
            <v>027.022</v>
          </cell>
          <cell r="B188" t="str">
            <v>E1</v>
          </cell>
          <cell r="C188" t="str">
            <v>ANDAMIO METALICO CERTIFICADO, INCLUYE ESCALERILLA CON BARANDAS Y PLATAFORMAS DE TRABAJO</v>
          </cell>
          <cell r="D188" t="str">
            <v>Equipos</v>
          </cell>
          <cell r="E188" t="str">
            <v>UND</v>
          </cell>
          <cell r="F188">
            <v>1</v>
          </cell>
          <cell r="G188">
            <v>7257</v>
          </cell>
          <cell r="H188">
            <v>7257</v>
          </cell>
        </row>
        <row r="189">
          <cell r="A189" t="str">
            <v>027.022</v>
          </cell>
          <cell r="B189" t="str">
            <v>E12</v>
          </cell>
          <cell r="C189" t="str">
            <v>EQUIPO DE TRANSPORTE</v>
          </cell>
          <cell r="D189" t="str">
            <v>Equipos</v>
          </cell>
          <cell r="E189" t="str">
            <v>DIA</v>
          </cell>
          <cell r="F189">
            <v>8.9999999999999993E-3</v>
          </cell>
          <cell r="G189">
            <v>131205</v>
          </cell>
          <cell r="H189">
            <v>1181</v>
          </cell>
        </row>
        <row r="190">
          <cell r="A190" t="str">
            <v>027.022</v>
          </cell>
          <cell r="B190" t="str">
            <v>E77</v>
          </cell>
          <cell r="C190" t="str">
            <v>EQUIPO DE PERFORACION 6"</v>
          </cell>
          <cell r="D190" t="str">
            <v>Equipos</v>
          </cell>
          <cell r="E190" t="str">
            <v>HR</v>
          </cell>
          <cell r="F190">
            <v>0.35</v>
          </cell>
          <cell r="G190">
            <v>152200</v>
          </cell>
          <cell r="H190">
            <v>53270</v>
          </cell>
        </row>
        <row r="191">
          <cell r="A191" t="str">
            <v>027.022</v>
          </cell>
          <cell r="B191" t="str">
            <v>H2</v>
          </cell>
          <cell r="C191" t="str">
            <v>EQUIPO BASICO (HERRAMIENTA MENOR)</v>
          </cell>
          <cell r="D191" t="str">
            <v>Herramienta</v>
          </cell>
          <cell r="E191" t="str">
            <v>UND</v>
          </cell>
          <cell r="F191">
            <v>0.4</v>
          </cell>
          <cell r="G191">
            <v>2536</v>
          </cell>
          <cell r="H191">
            <v>1014</v>
          </cell>
        </row>
        <row r="192">
          <cell r="A192" t="str">
            <v>027.022</v>
          </cell>
          <cell r="B192" t="str">
            <v>I1565</v>
          </cell>
          <cell r="C192" t="str">
            <v>ACARREO INTERNO</v>
          </cell>
          <cell r="D192" t="str">
            <v>Insumo</v>
          </cell>
          <cell r="E192" t="str">
            <v>UND</v>
          </cell>
          <cell r="F192">
            <v>0.5</v>
          </cell>
          <cell r="G192">
            <v>1327</v>
          </cell>
          <cell r="H192">
            <v>664</v>
          </cell>
        </row>
        <row r="194">
          <cell r="A194" t="str">
            <v>003.027</v>
          </cell>
          <cell r="B194" t="str">
            <v>-</v>
          </cell>
          <cell r="C194" t="str">
            <v>SUMINISTRO, TRANSPORTE E INSTALACION TUBERIA PVC-S  2" (RED SANITARIA, INCLUYE ACCESORIOS)</v>
          </cell>
          <cell r="D194" t="str">
            <v>Actividad</v>
          </cell>
          <cell r="E194" t="str">
            <v>ML</v>
          </cell>
          <cell r="H194">
            <v>19432</v>
          </cell>
        </row>
        <row r="195">
          <cell r="A195" t="str">
            <v>003.027</v>
          </cell>
          <cell r="B195" t="str">
            <v>C1</v>
          </cell>
          <cell r="C195" t="str">
            <v>CUADRILLA AA TIPO 1 (1 OFICIAL + 1 AYUDANTE) (Albañileria)</v>
          </cell>
          <cell r="D195" t="str">
            <v>Cuadrilla</v>
          </cell>
          <cell r="E195" t="str">
            <v>HR</v>
          </cell>
          <cell r="F195">
            <v>3.4000000000000002E-2</v>
          </cell>
          <cell r="G195">
            <v>16712</v>
          </cell>
          <cell r="H195">
            <v>568</v>
          </cell>
        </row>
        <row r="196">
          <cell r="A196" t="str">
            <v>003.027</v>
          </cell>
          <cell r="B196" t="str">
            <v>E12</v>
          </cell>
          <cell r="C196" t="str">
            <v>EQUIPO DE TRANSPORTE</v>
          </cell>
          <cell r="D196" t="str">
            <v>Equipos</v>
          </cell>
          <cell r="E196" t="str">
            <v>DIA</v>
          </cell>
          <cell r="F196">
            <v>2E-3</v>
          </cell>
          <cell r="G196">
            <v>131205</v>
          </cell>
          <cell r="H196">
            <v>262</v>
          </cell>
        </row>
        <row r="197">
          <cell r="A197" t="str">
            <v>003.027</v>
          </cell>
          <cell r="B197" t="str">
            <v>H2</v>
          </cell>
          <cell r="C197" t="str">
            <v>EQUIPO BASICO (HERRAMIENTA MENOR)</v>
          </cell>
          <cell r="D197" t="str">
            <v>Herramienta</v>
          </cell>
          <cell r="E197" t="str">
            <v>UND</v>
          </cell>
          <cell r="F197">
            <v>0.1</v>
          </cell>
          <cell r="G197">
            <v>2536</v>
          </cell>
          <cell r="H197">
            <v>254</v>
          </cell>
        </row>
        <row r="198">
          <cell r="A198" t="str">
            <v>003.027</v>
          </cell>
          <cell r="B198" t="str">
            <v>I1565</v>
          </cell>
          <cell r="C198" t="str">
            <v>ACARREO INTERNO</v>
          </cell>
          <cell r="D198" t="str">
            <v>Insumo</v>
          </cell>
          <cell r="E198" t="str">
            <v>UND</v>
          </cell>
          <cell r="F198">
            <v>0.2</v>
          </cell>
          <cell r="G198">
            <v>1327</v>
          </cell>
          <cell r="H198">
            <v>265</v>
          </cell>
        </row>
        <row r="199">
          <cell r="A199" t="str">
            <v>003.027</v>
          </cell>
          <cell r="B199" t="str">
            <v>I614</v>
          </cell>
          <cell r="C199" t="str">
            <v>LIMPIADOR REM PVC 760 GRMS. (1/4)</v>
          </cell>
          <cell r="D199" t="str">
            <v>Insumo</v>
          </cell>
          <cell r="E199" t="str">
            <v>UND</v>
          </cell>
          <cell r="F199">
            <v>0.02</v>
          </cell>
          <cell r="G199">
            <v>45425</v>
          </cell>
          <cell r="H199">
            <v>909</v>
          </cell>
        </row>
        <row r="200">
          <cell r="A200" t="str">
            <v>003.027</v>
          </cell>
          <cell r="B200" t="str">
            <v>I647</v>
          </cell>
          <cell r="C200" t="str">
            <v>SOLDADURA PVC LIQUIDA 1/4</v>
          </cell>
          <cell r="D200" t="str">
            <v>Insumo</v>
          </cell>
          <cell r="E200" t="str">
            <v>UND</v>
          </cell>
          <cell r="F200">
            <v>0.02</v>
          </cell>
          <cell r="G200">
            <v>94162</v>
          </cell>
          <cell r="H200">
            <v>1883</v>
          </cell>
        </row>
        <row r="201">
          <cell r="A201" t="str">
            <v>003.027</v>
          </cell>
          <cell r="B201" t="str">
            <v>I752</v>
          </cell>
          <cell r="C201" t="str">
            <v xml:space="preserve">TUBO PVC SANITARIO 2'' </v>
          </cell>
          <cell r="D201" t="str">
            <v>Insumo</v>
          </cell>
          <cell r="E201" t="str">
            <v>M</v>
          </cell>
          <cell r="F201">
            <v>1</v>
          </cell>
          <cell r="G201">
            <v>11785</v>
          </cell>
          <cell r="H201">
            <v>11785</v>
          </cell>
        </row>
        <row r="202">
          <cell r="A202" t="str">
            <v>003.027</v>
          </cell>
          <cell r="B202" t="str">
            <v>I530</v>
          </cell>
          <cell r="C202" t="str">
            <v>ACCESORIOS PVC  2" ( CODO , UNIÓN Y TAPÓN )</v>
          </cell>
          <cell r="D202" t="str">
            <v>Insumo</v>
          </cell>
          <cell r="E202" t="str">
            <v>UND</v>
          </cell>
          <cell r="F202">
            <v>0.16700000000000001</v>
          </cell>
          <cell r="G202">
            <v>20996</v>
          </cell>
          <cell r="H202">
            <v>3506</v>
          </cell>
        </row>
        <row r="204">
          <cell r="A204" t="str">
            <v>021.006</v>
          </cell>
          <cell r="B204" t="str">
            <v>-</v>
          </cell>
          <cell r="C204" t="str">
            <v>SUMINISTRO, TRANSPORTE E INSTALACIÓN DE EMPRADIZACIÓN DE TALUDES Y ZONAS VERDES</v>
          </cell>
          <cell r="D204" t="str">
            <v>Actividad</v>
          </cell>
          <cell r="E204" t="str">
            <v>M2</v>
          </cell>
          <cell r="H204">
            <v>6246</v>
          </cell>
        </row>
        <row r="205">
          <cell r="A205" t="str">
            <v>021.006</v>
          </cell>
          <cell r="B205" t="str">
            <v>C1</v>
          </cell>
          <cell r="C205" t="str">
            <v>CUADRILLA AA TIPO 1 (1 OFICIAL + 1 AYUDANTE) (Albañileria)</v>
          </cell>
          <cell r="D205" t="str">
            <v>Cuadrilla</v>
          </cell>
          <cell r="E205" t="str">
            <v>HR</v>
          </cell>
          <cell r="F205">
            <v>0.11</v>
          </cell>
          <cell r="G205">
            <v>16712</v>
          </cell>
          <cell r="H205">
            <v>1838</v>
          </cell>
        </row>
        <row r="206">
          <cell r="A206" t="str">
            <v>021.006</v>
          </cell>
          <cell r="B206" t="str">
            <v>E12</v>
          </cell>
          <cell r="C206" t="str">
            <v>EQUIPO DE TRANSPORTE</v>
          </cell>
          <cell r="D206" t="str">
            <v>Equipos</v>
          </cell>
          <cell r="E206" t="str">
            <v>DIA</v>
          </cell>
          <cell r="F206">
            <v>6.3000000000000003E-4</v>
          </cell>
          <cell r="G206">
            <v>131205</v>
          </cell>
          <cell r="H206">
            <v>83</v>
          </cell>
        </row>
        <row r="207">
          <cell r="A207" t="str">
            <v>021.006</v>
          </cell>
          <cell r="B207" t="str">
            <v>H2</v>
          </cell>
          <cell r="C207" t="str">
            <v>EQUIPO BASICO (HERRAMIENTA MENOR)</v>
          </cell>
          <cell r="D207" t="str">
            <v>Herramienta</v>
          </cell>
          <cell r="E207" t="str">
            <v>UND</v>
          </cell>
          <cell r="F207">
            <v>0.05</v>
          </cell>
          <cell r="G207">
            <v>2536</v>
          </cell>
          <cell r="H207">
            <v>127</v>
          </cell>
        </row>
        <row r="208">
          <cell r="A208" t="str">
            <v>021.006</v>
          </cell>
          <cell r="B208" t="str">
            <v>I1565</v>
          </cell>
          <cell r="C208" t="str">
            <v>ACARREO INTERNO</v>
          </cell>
          <cell r="D208" t="str">
            <v>Insumo</v>
          </cell>
          <cell r="E208" t="str">
            <v>UND</v>
          </cell>
          <cell r="F208">
            <v>0.11700000000000001</v>
          </cell>
          <cell r="G208">
            <v>1327</v>
          </cell>
          <cell r="H208">
            <v>155</v>
          </cell>
        </row>
        <row r="209">
          <cell r="A209" t="str">
            <v>021.006</v>
          </cell>
          <cell r="B209" t="str">
            <v>I372</v>
          </cell>
          <cell r="C209" t="str">
            <v>PASTO KIKUYO (CORTADO)</v>
          </cell>
          <cell r="D209" t="str">
            <v>Insumo</v>
          </cell>
          <cell r="E209" t="str">
            <v>M2</v>
          </cell>
          <cell r="F209">
            <v>0.25</v>
          </cell>
          <cell r="G209">
            <v>9088</v>
          </cell>
          <cell r="H209">
            <v>2272</v>
          </cell>
        </row>
        <row r="210">
          <cell r="A210" t="str">
            <v>021.006</v>
          </cell>
          <cell r="B210" t="str">
            <v>I374</v>
          </cell>
          <cell r="C210" t="str">
            <v>TIERRA NEGRA</v>
          </cell>
          <cell r="D210" t="str">
            <v>Insumo</v>
          </cell>
          <cell r="E210" t="str">
            <v>M3</v>
          </cell>
          <cell r="F210">
            <v>0.02</v>
          </cell>
          <cell r="G210">
            <v>88559</v>
          </cell>
          <cell r="H210">
            <v>1771</v>
          </cell>
        </row>
        <row r="212">
          <cell r="A212" t="str">
            <v>027.033</v>
          </cell>
          <cell r="B212" t="str">
            <v>-</v>
          </cell>
          <cell r="C212" t="str">
            <v>SUMINISTRO, TRANSPORTE E INSTALACION DE PLASTICOS PARA PROTECCIÓN EN TALUDES</v>
          </cell>
          <cell r="D212" t="str">
            <v>Actividad</v>
          </cell>
          <cell r="E212" t="str">
            <v>M2</v>
          </cell>
          <cell r="H212">
            <v>4184</v>
          </cell>
        </row>
        <row r="213">
          <cell r="A213" t="str">
            <v>027.033</v>
          </cell>
          <cell r="B213" t="str">
            <v>C8</v>
          </cell>
          <cell r="C213" t="str">
            <v>CUADRILLA AA TIPO 2 (1 OFICIAL + 2 AYUDANTE) (Albañileria)</v>
          </cell>
          <cell r="D213" t="str">
            <v>Cuadrilla</v>
          </cell>
          <cell r="E213" t="str">
            <v>HR</v>
          </cell>
          <cell r="F213">
            <v>0.05</v>
          </cell>
          <cell r="G213">
            <v>23140</v>
          </cell>
          <cell r="H213">
            <v>1157</v>
          </cell>
        </row>
        <row r="214">
          <cell r="A214" t="str">
            <v>027.033</v>
          </cell>
          <cell r="B214" t="str">
            <v>E12</v>
          </cell>
          <cell r="C214" t="str">
            <v>EQUIPO DE TRANSPORTE</v>
          </cell>
          <cell r="D214" t="str">
            <v>Equipos</v>
          </cell>
          <cell r="E214" t="str">
            <v>DIA</v>
          </cell>
          <cell r="F214">
            <v>0</v>
          </cell>
          <cell r="G214">
            <v>131205</v>
          </cell>
          <cell r="H214">
            <v>0</v>
          </cell>
        </row>
        <row r="215">
          <cell r="A215" t="str">
            <v>027.033</v>
          </cell>
          <cell r="B215" t="str">
            <v>H2</v>
          </cell>
          <cell r="C215" t="str">
            <v>EQUIPO BASICO (HERRAMIENTA MENOR)</v>
          </cell>
          <cell r="D215" t="str">
            <v>Herramienta</v>
          </cell>
          <cell r="E215" t="str">
            <v>UND</v>
          </cell>
          <cell r="F215">
            <v>0.05</v>
          </cell>
          <cell r="G215">
            <v>2536</v>
          </cell>
          <cell r="H215">
            <v>127</v>
          </cell>
        </row>
        <row r="216">
          <cell r="A216" t="str">
            <v>027.033</v>
          </cell>
          <cell r="B216" t="str">
            <v>I1565</v>
          </cell>
          <cell r="C216" t="str">
            <v>ACARREO INTERNO</v>
          </cell>
          <cell r="D216" t="str">
            <v>Insumo</v>
          </cell>
          <cell r="E216" t="str">
            <v>UND</v>
          </cell>
          <cell r="F216">
            <v>0.1</v>
          </cell>
          <cell r="G216">
            <v>1327</v>
          </cell>
          <cell r="H216">
            <v>133</v>
          </cell>
        </row>
        <row r="217">
          <cell r="A217" t="str">
            <v>027.033</v>
          </cell>
          <cell r="B217" t="str">
            <v>I492</v>
          </cell>
          <cell r="C217" t="str">
            <v>ESTACAS PARA ANCLAJE</v>
          </cell>
          <cell r="D217" t="str">
            <v>Insumo</v>
          </cell>
          <cell r="E217" t="str">
            <v>UND</v>
          </cell>
          <cell r="F217">
            <v>4</v>
          </cell>
          <cell r="G217">
            <v>140</v>
          </cell>
          <cell r="H217">
            <v>560</v>
          </cell>
        </row>
        <row r="218">
          <cell r="A218" t="str">
            <v>027.033</v>
          </cell>
          <cell r="B218" t="str">
            <v>I494</v>
          </cell>
          <cell r="C218" t="str">
            <v>PLASTICO DE PROTECCION</v>
          </cell>
          <cell r="D218" t="str">
            <v>Insumo</v>
          </cell>
          <cell r="E218" t="str">
            <v>M2</v>
          </cell>
          <cell r="F218">
            <v>1</v>
          </cell>
          <cell r="G218">
            <v>2207</v>
          </cell>
          <cell r="H218">
            <v>2207</v>
          </cell>
        </row>
        <row r="220">
          <cell r="A220" t="str">
            <v>004</v>
          </cell>
        </row>
        <row r="221">
          <cell r="C221" t="str">
            <v>DESAGUES E INSTALACIONES SANITARIAS</v>
          </cell>
          <cell r="D221" t="str">
            <v>Capitulo</v>
          </cell>
        </row>
        <row r="223">
          <cell r="A223" t="str">
            <v>003.004</v>
          </cell>
        </row>
        <row r="224">
          <cell r="A224" t="str">
            <v>003.004</v>
          </cell>
          <cell r="B224" t="str">
            <v>-</v>
          </cell>
          <cell r="C224" t="str">
            <v>SUMINISTRO, TRANSPORTE E INSTALACION CAJA DE INSPECCION  0.80*0.80*1 m.  (Incluye, ladrillo común, marco en angulo 2 1/2 x 2 1/2 * 3/16" y tapa reforzada en platina de 3 * 3/16" con parrilla en varilla 3/8 cada 10 cm.).</v>
          </cell>
          <cell r="D224" t="str">
            <v>Actividad</v>
          </cell>
          <cell r="E224" t="str">
            <v>UND</v>
          </cell>
          <cell r="H224">
            <v>983354</v>
          </cell>
        </row>
        <row r="225">
          <cell r="A225" t="str">
            <v>003.004</v>
          </cell>
          <cell r="B225" t="str">
            <v>AB21</v>
          </cell>
          <cell r="C225" t="str">
            <v>MORTERO 1:4</v>
          </cell>
          <cell r="D225" t="str">
            <v>Analisis</v>
          </cell>
          <cell r="E225" t="str">
            <v>M3</v>
          </cell>
          <cell r="F225">
            <v>0.13</v>
          </cell>
          <cell r="G225">
            <v>388939</v>
          </cell>
          <cell r="H225">
            <v>50562</v>
          </cell>
        </row>
        <row r="226">
          <cell r="A226" t="str">
            <v>003.004</v>
          </cell>
          <cell r="B226" t="str">
            <v>AB4</v>
          </cell>
          <cell r="C226" t="str">
            <v>CONCRETO 2500 psi - 17.5 Mpa</v>
          </cell>
          <cell r="D226" t="str">
            <v>Analisis</v>
          </cell>
          <cell r="E226" t="str">
            <v>M3</v>
          </cell>
          <cell r="F226">
            <v>6.4000000000000001E-2</v>
          </cell>
          <cell r="G226">
            <v>380250</v>
          </cell>
          <cell r="H226">
            <v>24336</v>
          </cell>
        </row>
        <row r="227">
          <cell r="A227" t="str">
            <v>003.004</v>
          </cell>
          <cell r="B227" t="str">
            <v>C23</v>
          </cell>
          <cell r="C227" t="str">
            <v>CUADRILLA BB TIPO 4 (1 OFICIAL + 4 AYUDANTE) (Instalaciones)</v>
          </cell>
          <cell r="D227" t="str">
            <v>Cuadrilla</v>
          </cell>
          <cell r="E227" t="str">
            <v>HR</v>
          </cell>
          <cell r="F227">
            <v>3.35</v>
          </cell>
          <cell r="G227">
            <v>39593</v>
          </cell>
          <cell r="H227">
            <v>132637</v>
          </cell>
        </row>
        <row r="228">
          <cell r="A228" t="str">
            <v>003.004</v>
          </cell>
          <cell r="B228" t="str">
            <v>E12</v>
          </cell>
          <cell r="C228" t="str">
            <v>EQUIPO DE TRANSPORTE</v>
          </cell>
          <cell r="D228" t="str">
            <v>Equipos</v>
          </cell>
          <cell r="E228" t="str">
            <v>DIA</v>
          </cell>
          <cell r="F228">
            <v>8.5000000000000006E-2</v>
          </cell>
          <cell r="G228">
            <v>131205</v>
          </cell>
          <cell r="H228">
            <v>11152</v>
          </cell>
        </row>
        <row r="229">
          <cell r="A229" t="str">
            <v>003.004</v>
          </cell>
          <cell r="B229" t="str">
            <v>H2</v>
          </cell>
          <cell r="C229" t="str">
            <v>EQUIPO BASICO (HERRAMIENTA MENOR)</v>
          </cell>
          <cell r="D229" t="str">
            <v>Herramienta</v>
          </cell>
          <cell r="E229" t="str">
            <v>UND</v>
          </cell>
          <cell r="F229">
            <v>0.3</v>
          </cell>
          <cell r="G229">
            <v>2536</v>
          </cell>
          <cell r="H229">
            <v>761</v>
          </cell>
        </row>
        <row r="230">
          <cell r="A230" t="str">
            <v>003.004</v>
          </cell>
          <cell r="B230" t="str">
            <v>I1565</v>
          </cell>
          <cell r="C230" t="str">
            <v>ACARREO INTERNO</v>
          </cell>
          <cell r="D230" t="str">
            <v>Insumo</v>
          </cell>
          <cell r="E230" t="str">
            <v>UND</v>
          </cell>
          <cell r="F230">
            <v>9</v>
          </cell>
          <cell r="G230">
            <v>1327</v>
          </cell>
          <cell r="H230">
            <v>11943</v>
          </cell>
        </row>
        <row r="231">
          <cell r="A231" t="str">
            <v>003.004</v>
          </cell>
          <cell r="B231" t="str">
            <v>I199</v>
          </cell>
          <cell r="C231" t="str">
            <v>MARCO Y TAPA CAJA INSPECCION DE 0.80 X 0.80 CM. (MARCO EN ANGULO 2 1/2 X 2 1/2 * 3/16", TAPA REFORZADA EN PLATINA DE 3 * 3/16" CON PARRILLA EN VARILLA 3/8 CADA 10 CM.).</v>
          </cell>
          <cell r="D231" t="str">
            <v>Insumo</v>
          </cell>
          <cell r="E231" t="str">
            <v>UND</v>
          </cell>
          <cell r="F231">
            <v>1</v>
          </cell>
          <cell r="G231">
            <v>368040</v>
          </cell>
          <cell r="H231">
            <v>368040</v>
          </cell>
        </row>
        <row r="232">
          <cell r="A232" t="str">
            <v>003.004</v>
          </cell>
          <cell r="B232" t="str">
            <v>I427</v>
          </cell>
          <cell r="C232" t="str">
            <v>SIKA-1 IMPERMEABILIZANTE INTEGRAL MORTEROS O SIMILAR.</v>
          </cell>
          <cell r="D232" t="str">
            <v>Insumo</v>
          </cell>
          <cell r="E232" t="str">
            <v>KG</v>
          </cell>
          <cell r="F232">
            <v>2.56</v>
          </cell>
          <cell r="G232">
            <v>10146</v>
          </cell>
          <cell r="H232">
            <v>25974</v>
          </cell>
        </row>
        <row r="233">
          <cell r="B233" t="str">
            <v>I944</v>
          </cell>
          <cell r="C233" t="str">
            <v>LADRILLO TOLETE RECOCIDO (24,5 X 12 X 6 CM)</v>
          </cell>
          <cell r="D233" t="str">
            <v>Insumo</v>
          </cell>
          <cell r="E233" t="str">
            <v>UND</v>
          </cell>
          <cell r="F233">
            <v>197</v>
          </cell>
          <cell r="G233">
            <v>1817</v>
          </cell>
          <cell r="H233">
            <v>357949</v>
          </cell>
        </row>
        <row r="235">
          <cell r="A235" t="str">
            <v>003.006</v>
          </cell>
        </row>
        <row r="236">
          <cell r="A236" t="str">
            <v>003.006</v>
          </cell>
          <cell r="B236" t="str">
            <v>-</v>
          </cell>
          <cell r="C236" t="str">
            <v>SUMINISTRO, TRANSPORTE E INSTALACION CAJA DE INSPECCION  1 * 1 * 1.50 m.  (Incluye, ladrillo común, marco en angulo 2 1/2 x 2 1/2 * 3/16" y tapa reforzada en platina de 3 * 3/16" con parrilla en varilla 3/8 cada 10 cm.).</v>
          </cell>
          <cell r="D236" t="str">
            <v>Actividad</v>
          </cell>
          <cell r="E236" t="str">
            <v>UND</v>
          </cell>
          <cell r="H236">
            <v>1483512</v>
          </cell>
        </row>
        <row r="237">
          <cell r="A237" t="str">
            <v>003.006</v>
          </cell>
          <cell r="B237" t="str">
            <v>AB21</v>
          </cell>
          <cell r="C237" t="str">
            <v>MORTERO 1:4</v>
          </cell>
          <cell r="D237" t="str">
            <v>Analisis</v>
          </cell>
          <cell r="E237" t="str">
            <v>M3</v>
          </cell>
          <cell r="F237">
            <v>0.23</v>
          </cell>
          <cell r="G237">
            <v>388939</v>
          </cell>
          <cell r="H237">
            <v>89456</v>
          </cell>
        </row>
        <row r="238">
          <cell r="A238" t="str">
            <v>003.006</v>
          </cell>
          <cell r="B238" t="str">
            <v>AB4</v>
          </cell>
          <cell r="C238" t="str">
            <v>CONCRETO 2500 psi - 17.5 Mpa</v>
          </cell>
          <cell r="D238" t="str">
            <v>Analisis</v>
          </cell>
          <cell r="E238" t="str">
            <v>M3</v>
          </cell>
          <cell r="F238">
            <v>0.1</v>
          </cell>
          <cell r="G238">
            <v>380250</v>
          </cell>
          <cell r="H238">
            <v>38025</v>
          </cell>
        </row>
        <row r="239">
          <cell r="A239" t="str">
            <v>003.006</v>
          </cell>
          <cell r="B239" t="str">
            <v>C23</v>
          </cell>
          <cell r="C239" t="str">
            <v>CUADRILLA BB TIPO 4 (1 OFICIAL + 4 AYUDANTE) (Instalaciones)</v>
          </cell>
          <cell r="D239" t="str">
            <v>Cuadrilla</v>
          </cell>
          <cell r="E239" t="str">
            <v>HR</v>
          </cell>
          <cell r="F239">
            <v>4.0999999999999996</v>
          </cell>
          <cell r="G239">
            <v>39593</v>
          </cell>
          <cell r="H239">
            <v>162331</v>
          </cell>
        </row>
        <row r="240">
          <cell r="A240" t="str">
            <v>003.006</v>
          </cell>
          <cell r="B240" t="str">
            <v>E12</v>
          </cell>
          <cell r="C240" t="str">
            <v>EQUIPO DE TRANSPORTE</v>
          </cell>
          <cell r="D240" t="str">
            <v>Equipos</v>
          </cell>
          <cell r="E240" t="str">
            <v>DIA</v>
          </cell>
          <cell r="F240">
            <v>0.14299999999999999</v>
          </cell>
          <cell r="G240">
            <v>131205</v>
          </cell>
          <cell r="H240">
            <v>18762</v>
          </cell>
        </row>
        <row r="241">
          <cell r="A241" t="str">
            <v>003.006</v>
          </cell>
          <cell r="B241" t="str">
            <v>H2</v>
          </cell>
          <cell r="C241" t="str">
            <v>EQUIPO BASICO (HERRAMIENTA MENOR)</v>
          </cell>
          <cell r="D241" t="str">
            <v>Herramienta</v>
          </cell>
          <cell r="E241" t="str">
            <v>UND</v>
          </cell>
          <cell r="F241">
            <v>0.3</v>
          </cell>
          <cell r="G241">
            <v>2536</v>
          </cell>
          <cell r="H241">
            <v>761</v>
          </cell>
        </row>
        <row r="242">
          <cell r="A242" t="str">
            <v>003.006</v>
          </cell>
          <cell r="B242" t="str">
            <v>I1565</v>
          </cell>
          <cell r="C242" t="str">
            <v>ACARREO INTERNO</v>
          </cell>
          <cell r="D242" t="str">
            <v>Insumo</v>
          </cell>
          <cell r="E242" t="str">
            <v>UND</v>
          </cell>
          <cell r="F242">
            <v>13</v>
          </cell>
          <cell r="G242">
            <v>1327</v>
          </cell>
          <cell r="H242">
            <v>17251</v>
          </cell>
        </row>
        <row r="243">
          <cell r="A243" t="str">
            <v>003.006</v>
          </cell>
          <cell r="B243" t="str">
            <v>I200</v>
          </cell>
          <cell r="C243" t="str">
            <v>MARCO Y TAPA CAJA INSPECCION DE 1.00 X 1.00 M. (MARCO EN ANGULO 2 1/2 X 2 1/2 * 3/16", TAPA REFORZADA EN PLATINA DE 3 * 3/16" CON PARRILLA EN VARILLA 3/8 CADA 10 CM.).</v>
          </cell>
          <cell r="D243" t="str">
            <v>Insumo</v>
          </cell>
          <cell r="E243" t="str">
            <v>UND</v>
          </cell>
          <cell r="F243">
            <v>1</v>
          </cell>
          <cell r="G243">
            <v>486453</v>
          </cell>
          <cell r="H243">
            <v>486453</v>
          </cell>
        </row>
        <row r="244">
          <cell r="B244" t="str">
            <v>I944</v>
          </cell>
          <cell r="C244" t="str">
            <v>LADRILLO TOLETE RECOCIDO (24,5 X 12 X 6 CM)</v>
          </cell>
          <cell r="D244" t="str">
            <v>Insumo</v>
          </cell>
          <cell r="E244" t="str">
            <v>UND</v>
          </cell>
          <cell r="F244">
            <v>369</v>
          </cell>
          <cell r="G244">
            <v>1817</v>
          </cell>
          <cell r="H244">
            <v>670473</v>
          </cell>
        </row>
        <row r="246">
          <cell r="A246" t="str">
            <v>003.035</v>
          </cell>
        </row>
        <row r="247">
          <cell r="A247" t="str">
            <v>003.035</v>
          </cell>
          <cell r="B247" t="str">
            <v>-</v>
          </cell>
          <cell r="C247" t="str">
            <v>SUMINISTRO, TRANSPORTE E INSTALACION TUBERIA A  LL 110MM Tipo Novafort o similar.  (Incluye accesorios, nivelación y cinta de demarcación)</v>
          </cell>
          <cell r="D247" t="str">
            <v>Actividad</v>
          </cell>
          <cell r="E247" t="str">
            <v>ML</v>
          </cell>
          <cell r="H247">
            <v>31125</v>
          </cell>
        </row>
        <row r="248">
          <cell r="A248" t="str">
            <v>003.035</v>
          </cell>
          <cell r="B248" t="str">
            <v>C16</v>
          </cell>
          <cell r="C248" t="str">
            <v>CUADRILLA BB TIPO 3 (1 OFICIAL + 3 AYUDANTE) (Instalaciones)</v>
          </cell>
          <cell r="D248" t="str">
            <v>Cuadrilla</v>
          </cell>
          <cell r="E248" t="str">
            <v>HR</v>
          </cell>
          <cell r="F248">
            <v>0.2</v>
          </cell>
          <cell r="G248">
            <v>32523</v>
          </cell>
          <cell r="H248">
            <v>6505</v>
          </cell>
        </row>
        <row r="249">
          <cell r="A249" t="str">
            <v>003.035</v>
          </cell>
          <cell r="B249" t="str">
            <v>E12</v>
          </cell>
          <cell r="C249" t="str">
            <v>EQUIPO DE TRANSPORTE</v>
          </cell>
          <cell r="D249" t="str">
            <v>Equipos</v>
          </cell>
          <cell r="E249" t="str">
            <v>DIA</v>
          </cell>
          <cell r="F249">
            <v>3.0000000000000001E-3</v>
          </cell>
          <cell r="G249">
            <v>131205</v>
          </cell>
          <cell r="H249">
            <v>394</v>
          </cell>
        </row>
        <row r="250">
          <cell r="A250" t="str">
            <v>003.035</v>
          </cell>
          <cell r="B250" t="str">
            <v>H2</v>
          </cell>
          <cell r="C250" t="str">
            <v>EQUIPO BASICO (HERRAMIENTA MENOR)</v>
          </cell>
          <cell r="D250" t="str">
            <v>Herramienta</v>
          </cell>
          <cell r="E250" t="str">
            <v>UND</v>
          </cell>
          <cell r="F250">
            <v>0.2</v>
          </cell>
          <cell r="G250">
            <v>2536</v>
          </cell>
          <cell r="H250">
            <v>507</v>
          </cell>
        </row>
        <row r="251">
          <cell r="A251" t="str">
            <v>003.035</v>
          </cell>
          <cell r="B251" t="str">
            <v>I1565</v>
          </cell>
          <cell r="C251" t="str">
            <v>ACARREO INTERNO</v>
          </cell>
          <cell r="D251" t="str">
            <v>Insumo</v>
          </cell>
          <cell r="E251" t="str">
            <v>UND</v>
          </cell>
          <cell r="F251">
            <v>0.4</v>
          </cell>
          <cell r="G251">
            <v>1327</v>
          </cell>
          <cell r="H251">
            <v>531</v>
          </cell>
        </row>
        <row r="252">
          <cell r="A252" t="str">
            <v>003.035</v>
          </cell>
          <cell r="B252" t="str">
            <v>I407</v>
          </cell>
          <cell r="C252" t="str">
            <v>CINTA DE DEMARCACION * 10 M.</v>
          </cell>
          <cell r="D252" t="str">
            <v>Insumo</v>
          </cell>
          <cell r="E252" t="str">
            <v>M</v>
          </cell>
          <cell r="F252">
            <v>1.03</v>
          </cell>
          <cell r="G252">
            <v>140</v>
          </cell>
          <cell r="H252">
            <v>144</v>
          </cell>
        </row>
        <row r="253">
          <cell r="A253" t="str">
            <v>003.035</v>
          </cell>
          <cell r="B253" t="str">
            <v>I534</v>
          </cell>
          <cell r="C253" t="str">
            <v>ACONDICIONADOR NOVAFORT  TARRO 500 GRS. O SIMILAR.</v>
          </cell>
          <cell r="D253" t="str">
            <v>Insumo</v>
          </cell>
          <cell r="E253" t="str">
            <v>UND</v>
          </cell>
          <cell r="F253">
            <v>0.06</v>
          </cell>
          <cell r="G253">
            <v>112862</v>
          </cell>
          <cell r="H253">
            <v>6772</v>
          </cell>
        </row>
        <row r="254">
          <cell r="B254" t="str">
            <v>I698</v>
          </cell>
          <cell r="C254" t="str">
            <v xml:space="preserve">TUBO ALCANTARILLADO NOVAFORT  PVC  110 MM  </v>
          </cell>
          <cell r="D254" t="str">
            <v>Insumo</v>
          </cell>
          <cell r="E254" t="str">
            <v>M</v>
          </cell>
          <cell r="F254">
            <v>1.03</v>
          </cell>
          <cell r="G254">
            <v>15798</v>
          </cell>
          <cell r="H254">
            <v>16272</v>
          </cell>
        </row>
        <row r="256">
          <cell r="A256" t="str">
            <v>003.037</v>
          </cell>
        </row>
        <row r="257">
          <cell r="A257" t="str">
            <v>003.037</v>
          </cell>
          <cell r="B257" t="str">
            <v>-</v>
          </cell>
          <cell r="C257" t="str">
            <v>SUMINISTRO, TRANSPORTE E INSTALACION TUBERIA A LL 200 MM Tipo Novafort o similar. (Incluye accesorios, nivelación y cinta de demarcación)</v>
          </cell>
          <cell r="D257" t="str">
            <v>Actividad</v>
          </cell>
          <cell r="E257" t="str">
            <v>ML</v>
          </cell>
          <cell r="H257">
            <v>59692</v>
          </cell>
        </row>
        <row r="258">
          <cell r="A258" t="str">
            <v>003.037</v>
          </cell>
          <cell r="B258" t="str">
            <v>C16</v>
          </cell>
          <cell r="C258" t="str">
            <v>CUADRILLA BB TIPO 3 (1 OFICIAL + 3 AYUDANTE) (Instalaciones)</v>
          </cell>
          <cell r="D258" t="str">
            <v>Cuadrilla</v>
          </cell>
          <cell r="E258" t="str">
            <v>HR</v>
          </cell>
          <cell r="F258">
            <v>0.23</v>
          </cell>
          <cell r="G258">
            <v>32523</v>
          </cell>
          <cell r="H258">
            <v>7480</v>
          </cell>
        </row>
        <row r="259">
          <cell r="A259" t="str">
            <v>003.037</v>
          </cell>
          <cell r="B259" t="str">
            <v>E12</v>
          </cell>
          <cell r="C259" t="str">
            <v>EQUIPO DE TRANSPORTE</v>
          </cell>
          <cell r="D259" t="str">
            <v>Equipos</v>
          </cell>
          <cell r="E259" t="str">
            <v>DIA</v>
          </cell>
          <cell r="F259">
            <v>7.0000000000000001E-3</v>
          </cell>
          <cell r="G259">
            <v>131205</v>
          </cell>
          <cell r="H259">
            <v>918</v>
          </cell>
        </row>
        <row r="260">
          <cell r="A260" t="str">
            <v>003.037</v>
          </cell>
          <cell r="B260" t="str">
            <v>H2</v>
          </cell>
          <cell r="C260" t="str">
            <v>EQUIPO BASICO (HERRAMIENTA MENOR)</v>
          </cell>
          <cell r="D260" t="str">
            <v>Herramienta</v>
          </cell>
          <cell r="E260" t="str">
            <v>UND</v>
          </cell>
          <cell r="F260">
            <v>0.2</v>
          </cell>
          <cell r="G260">
            <v>2536</v>
          </cell>
          <cell r="H260">
            <v>507</v>
          </cell>
        </row>
        <row r="261">
          <cell r="A261" t="str">
            <v>003.037</v>
          </cell>
          <cell r="B261" t="str">
            <v>I1565</v>
          </cell>
          <cell r="C261" t="str">
            <v>ACARREO INTERNO</v>
          </cell>
          <cell r="D261" t="str">
            <v>Insumo</v>
          </cell>
          <cell r="E261" t="str">
            <v>UND</v>
          </cell>
          <cell r="F261">
            <v>0.5</v>
          </cell>
          <cell r="G261">
            <v>1327</v>
          </cell>
          <cell r="H261">
            <v>664</v>
          </cell>
        </row>
        <row r="262">
          <cell r="A262" t="str">
            <v>003.037</v>
          </cell>
          <cell r="B262" t="str">
            <v>I407</v>
          </cell>
          <cell r="C262" t="str">
            <v>CINTA DE DEMARCACION * 10 M.</v>
          </cell>
          <cell r="D262" t="str">
            <v>Insumo</v>
          </cell>
          <cell r="E262" t="str">
            <v>M</v>
          </cell>
          <cell r="F262">
            <v>1.03</v>
          </cell>
          <cell r="G262">
            <v>140</v>
          </cell>
          <cell r="H262">
            <v>144</v>
          </cell>
        </row>
        <row r="263">
          <cell r="A263" t="str">
            <v>003.037</v>
          </cell>
          <cell r="B263" t="str">
            <v>I534</v>
          </cell>
          <cell r="C263" t="str">
            <v>ACONDICIONADOR NOVAFORT  TARRO 500 GRS. O SIMILAR.</v>
          </cell>
          <cell r="D263" t="str">
            <v>Insumo</v>
          </cell>
          <cell r="E263" t="str">
            <v>UND</v>
          </cell>
          <cell r="F263">
            <v>0.06</v>
          </cell>
          <cell r="G263">
            <v>112862</v>
          </cell>
          <cell r="H263">
            <v>6772</v>
          </cell>
        </row>
        <row r="264">
          <cell r="B264" t="str">
            <v>I700</v>
          </cell>
          <cell r="C264" t="str">
            <v xml:space="preserve">TUBO ALCANTARILLADO NOVAFORT  PVC  200 MM  </v>
          </cell>
          <cell r="D264" t="str">
            <v>Insumo</v>
          </cell>
          <cell r="E264" t="str">
            <v>M</v>
          </cell>
          <cell r="F264">
            <v>1.03</v>
          </cell>
          <cell r="G264">
            <v>41949</v>
          </cell>
          <cell r="H264">
            <v>43207</v>
          </cell>
        </row>
        <row r="266">
          <cell r="A266" t="str">
            <v>003.038</v>
          </cell>
        </row>
        <row r="267">
          <cell r="A267" t="str">
            <v>003.038</v>
          </cell>
          <cell r="B267" t="str">
            <v>-</v>
          </cell>
          <cell r="C267" t="str">
            <v>SUMINISTRO, TRANSPORTE E INSTALACION TUBERIA A LL 250 MM Tipo Novafort o similar. (Incluye cama de apoyo en grava fina, relleno lateral en arena lavada, relleno inicial en recebo B-600, instalación, accesorios, nivelación y cinta de nivelación).</v>
          </cell>
          <cell r="D267" t="str">
            <v>Actividad</v>
          </cell>
          <cell r="E267" t="str">
            <v>ML</v>
          </cell>
          <cell r="H267">
            <v>82082</v>
          </cell>
        </row>
        <row r="268">
          <cell r="A268" t="str">
            <v>003.038</v>
          </cell>
          <cell r="B268" t="str">
            <v>C16</v>
          </cell>
          <cell r="C268" t="str">
            <v>CUADRILLA BB TIPO 3 (1 OFICIAL + 3 AYUDANTE) (Instalaciones)</v>
          </cell>
          <cell r="D268" t="str">
            <v>Cuadrilla</v>
          </cell>
          <cell r="E268" t="str">
            <v>HR</v>
          </cell>
          <cell r="F268">
            <v>0.23</v>
          </cell>
          <cell r="G268">
            <v>32523</v>
          </cell>
          <cell r="H268">
            <v>7480</v>
          </cell>
        </row>
        <row r="269">
          <cell r="A269" t="str">
            <v>003.038</v>
          </cell>
          <cell r="B269" t="str">
            <v>E12</v>
          </cell>
          <cell r="C269" t="str">
            <v>EQUIPO DE TRANSPORTE</v>
          </cell>
          <cell r="D269" t="str">
            <v>Equipos</v>
          </cell>
          <cell r="E269" t="str">
            <v>DIA</v>
          </cell>
          <cell r="F269">
            <v>1.0999999999999999E-2</v>
          </cell>
          <cell r="G269">
            <v>131205</v>
          </cell>
          <cell r="H269">
            <v>1443</v>
          </cell>
        </row>
        <row r="270">
          <cell r="A270" t="str">
            <v>003.038</v>
          </cell>
          <cell r="B270" t="str">
            <v>H2</v>
          </cell>
          <cell r="C270" t="str">
            <v>EQUIPO BASICO (HERRAMIENTA MENOR)</v>
          </cell>
          <cell r="D270" t="str">
            <v>Herramienta</v>
          </cell>
          <cell r="E270" t="str">
            <v>UND</v>
          </cell>
          <cell r="F270">
            <v>0.2</v>
          </cell>
          <cell r="G270">
            <v>2536</v>
          </cell>
          <cell r="H270">
            <v>507</v>
          </cell>
        </row>
        <row r="271">
          <cell r="A271" t="str">
            <v>003.038</v>
          </cell>
          <cell r="B271" t="str">
            <v>I1565</v>
          </cell>
          <cell r="C271" t="str">
            <v>ACARREO INTERNO</v>
          </cell>
          <cell r="D271" t="str">
            <v>Insumo</v>
          </cell>
          <cell r="E271" t="str">
            <v>UND</v>
          </cell>
          <cell r="F271">
            <v>0.5</v>
          </cell>
          <cell r="G271">
            <v>1327</v>
          </cell>
          <cell r="H271">
            <v>664</v>
          </cell>
        </row>
        <row r="272">
          <cell r="A272" t="str">
            <v>003.038</v>
          </cell>
          <cell r="B272" t="str">
            <v>I407</v>
          </cell>
          <cell r="C272" t="str">
            <v>CINTA DE DEMARCACION * 10 M.</v>
          </cell>
          <cell r="D272" t="str">
            <v>Insumo</v>
          </cell>
          <cell r="E272" t="str">
            <v>M</v>
          </cell>
          <cell r="F272">
            <v>1.03</v>
          </cell>
          <cell r="G272">
            <v>140</v>
          </cell>
          <cell r="H272">
            <v>144</v>
          </cell>
        </row>
        <row r="273">
          <cell r="A273" t="str">
            <v>003.038</v>
          </cell>
          <cell r="B273" t="str">
            <v>I534</v>
          </cell>
          <cell r="C273" t="str">
            <v>ACONDICIONADOR NOVAFORT  TARRO 500 GRS. O SIMILAR.</v>
          </cell>
          <cell r="D273" t="str">
            <v>Insumo</v>
          </cell>
          <cell r="E273" t="str">
            <v>UND</v>
          </cell>
          <cell r="F273">
            <v>0.08</v>
          </cell>
          <cell r="G273">
            <v>112862</v>
          </cell>
          <cell r="H273">
            <v>9029</v>
          </cell>
        </row>
        <row r="274">
          <cell r="B274" t="str">
            <v>I701</v>
          </cell>
          <cell r="C274" t="str">
            <v xml:space="preserve">TUBO ALCANTARILLADO NOVAFORT  PVC  250 MM </v>
          </cell>
          <cell r="D274" t="str">
            <v>Insumo</v>
          </cell>
          <cell r="E274" t="str">
            <v>M</v>
          </cell>
          <cell r="F274">
            <v>1.03</v>
          </cell>
          <cell r="G274">
            <v>60985</v>
          </cell>
          <cell r="H274">
            <v>62815</v>
          </cell>
        </row>
        <row r="276">
          <cell r="A276" t="str">
            <v>032.144</v>
          </cell>
        </row>
        <row r="277">
          <cell r="A277" t="str">
            <v>032.144</v>
          </cell>
          <cell r="B277" t="str">
            <v>-</v>
          </cell>
          <cell r="C277" t="str">
            <v>SUMINISTRO, TRANSPORTE E INSTALACION CANAL EN CONCRETO 3000 PSI; E=0,08, DESARROLLO 1,2</v>
          </cell>
          <cell r="D277" t="str">
            <v>Actividad</v>
          </cell>
          <cell r="E277" t="str">
            <v>ML</v>
          </cell>
          <cell r="H277">
            <v>119254</v>
          </cell>
        </row>
        <row r="278">
          <cell r="A278" t="str">
            <v>032.144</v>
          </cell>
          <cell r="B278" t="str">
            <v>AB5</v>
          </cell>
          <cell r="C278" t="str">
            <v>CONCRETO 3000 psi - 21 Mpa</v>
          </cell>
          <cell r="D278" t="str">
            <v>Analisis</v>
          </cell>
          <cell r="E278" t="str">
            <v>M3</v>
          </cell>
          <cell r="F278">
            <v>9.6000000000000002E-2</v>
          </cell>
          <cell r="G278">
            <v>421155</v>
          </cell>
          <cell r="H278">
            <v>40431</v>
          </cell>
        </row>
        <row r="279">
          <cell r="A279" t="str">
            <v>032.144</v>
          </cell>
          <cell r="B279" t="str">
            <v>C8</v>
          </cell>
          <cell r="C279" t="str">
            <v>CUADRILLA AA TIPO 2 (1 OFICIAL + 2 AYUDANTE) (Albañileria)</v>
          </cell>
          <cell r="D279" t="str">
            <v>Cuadrilla</v>
          </cell>
          <cell r="E279" t="str">
            <v>HR</v>
          </cell>
          <cell r="F279">
            <v>2</v>
          </cell>
          <cell r="G279">
            <v>23140</v>
          </cell>
          <cell r="H279">
            <v>46280</v>
          </cell>
        </row>
        <row r="280">
          <cell r="A280" t="str">
            <v>032.144</v>
          </cell>
          <cell r="B280" t="str">
            <v>E12</v>
          </cell>
          <cell r="C280" t="str">
            <v>EQUIPO DE TRANSPORTE</v>
          </cell>
          <cell r="D280" t="str">
            <v>Equipos</v>
          </cell>
          <cell r="E280" t="str">
            <v>DIA</v>
          </cell>
          <cell r="F280">
            <v>1.2E-2</v>
          </cell>
          <cell r="G280">
            <v>131205</v>
          </cell>
          <cell r="H280">
            <v>1574</v>
          </cell>
        </row>
        <row r="281">
          <cell r="A281" t="str">
            <v>032.144</v>
          </cell>
          <cell r="B281" t="str">
            <v>E21</v>
          </cell>
          <cell r="C281" t="str">
            <v>VIBRADOR A GASOLINA</v>
          </cell>
          <cell r="D281" t="str">
            <v>Equipos</v>
          </cell>
          <cell r="E281" t="str">
            <v>DIA</v>
          </cell>
          <cell r="F281">
            <v>0.01</v>
          </cell>
          <cell r="G281">
            <v>51948</v>
          </cell>
          <cell r="H281">
            <v>519</v>
          </cell>
        </row>
        <row r="282">
          <cell r="A282" t="str">
            <v>032.144</v>
          </cell>
          <cell r="B282" t="str">
            <v>H2</v>
          </cell>
          <cell r="C282" t="str">
            <v>EQUIPO BASICO (HERRAMIENTA MENOR)</v>
          </cell>
          <cell r="D282" t="str">
            <v>Herramienta</v>
          </cell>
          <cell r="E282" t="str">
            <v>UND</v>
          </cell>
          <cell r="F282">
            <v>0.63500000000000001</v>
          </cell>
          <cell r="G282">
            <v>2536</v>
          </cell>
          <cell r="H282">
            <v>1610</v>
          </cell>
        </row>
        <row r="283">
          <cell r="A283" t="str">
            <v>032.144</v>
          </cell>
          <cell r="B283" t="str">
            <v>I1565</v>
          </cell>
          <cell r="C283" t="str">
            <v>ACARREO INTERNO</v>
          </cell>
          <cell r="D283" t="str">
            <v>Insumo</v>
          </cell>
          <cell r="E283" t="str">
            <v>UND</v>
          </cell>
          <cell r="F283">
            <v>1.6559999999999999</v>
          </cell>
          <cell r="G283">
            <v>1327</v>
          </cell>
          <cell r="H283">
            <v>2198</v>
          </cell>
        </row>
        <row r="284">
          <cell r="A284" t="str">
            <v>032.144</v>
          </cell>
          <cell r="B284" t="str">
            <v>I3</v>
          </cell>
          <cell r="C284" t="str">
            <v>ALAMBRE NEGRO NO. 18</v>
          </cell>
          <cell r="D284" t="str">
            <v>Insumo</v>
          </cell>
          <cell r="E284" t="str">
            <v>KG</v>
          </cell>
          <cell r="F284">
            <v>6.9000000000000006E-2</v>
          </cell>
          <cell r="G284">
            <v>4323</v>
          </cell>
          <cell r="H284">
            <v>298</v>
          </cell>
        </row>
        <row r="285">
          <cell r="A285" t="str">
            <v>032.144</v>
          </cell>
          <cell r="B285" t="str">
            <v>I425</v>
          </cell>
          <cell r="C285" t="str">
            <v>PUNTILLA CON CABEZA 2"</v>
          </cell>
          <cell r="D285" t="str">
            <v>Insumo</v>
          </cell>
          <cell r="E285" t="str">
            <v>LB</v>
          </cell>
          <cell r="F285">
            <v>0.3</v>
          </cell>
          <cell r="G285">
            <v>3585</v>
          </cell>
          <cell r="H285">
            <v>1076</v>
          </cell>
        </row>
        <row r="286">
          <cell r="A286" t="str">
            <v>032.144</v>
          </cell>
          <cell r="B286" t="str">
            <v>I8</v>
          </cell>
          <cell r="C286" t="str">
            <v>MALLA ELECTROSOLDADA M-131  Q-3.1  5.0 MM 15 X 15 CM.</v>
          </cell>
          <cell r="D286" t="str">
            <v>Insumo</v>
          </cell>
          <cell r="E286" t="str">
            <v>KG</v>
          </cell>
          <cell r="F286">
            <v>2.9</v>
          </cell>
          <cell r="G286">
            <v>3154</v>
          </cell>
          <cell r="H286">
            <v>9147</v>
          </cell>
        </row>
        <row r="287">
          <cell r="A287" t="str">
            <v>032.144</v>
          </cell>
          <cell r="B287" t="str">
            <v>I957</v>
          </cell>
          <cell r="C287" t="str">
            <v>LISTON 2 X 4</v>
          </cell>
          <cell r="D287" t="str">
            <v>Insumo</v>
          </cell>
          <cell r="E287" t="str">
            <v>M</v>
          </cell>
          <cell r="F287">
            <v>1.7</v>
          </cell>
          <cell r="G287">
            <v>3244</v>
          </cell>
          <cell r="H287">
            <v>5515</v>
          </cell>
        </row>
        <row r="288">
          <cell r="B288" t="str">
            <v>I990</v>
          </cell>
          <cell r="C288" t="str">
            <v>TABLA 1"X10"X3M</v>
          </cell>
          <cell r="D288" t="str">
            <v>Insumo</v>
          </cell>
          <cell r="E288" t="str">
            <v>UND</v>
          </cell>
          <cell r="F288">
            <v>1</v>
          </cell>
          <cell r="G288">
            <v>10606</v>
          </cell>
          <cell r="H288">
            <v>10606</v>
          </cell>
        </row>
        <row r="290">
          <cell r="A290" t="str">
            <v>032.145</v>
          </cell>
        </row>
        <row r="291">
          <cell r="A291" t="str">
            <v>032.145</v>
          </cell>
          <cell r="B291" t="str">
            <v>-</v>
          </cell>
          <cell r="C291" t="str">
            <v>SUMINISTRO E INSTALACION REJA ACERO NO. 5 PARA CANAL EN CONCRETO ANCHO ENTRE 0,5 Y 0,6 MT</v>
          </cell>
          <cell r="D291" t="str">
            <v>Actividad</v>
          </cell>
          <cell r="E291" t="str">
            <v>ML</v>
          </cell>
          <cell r="H291">
            <v>141867</v>
          </cell>
        </row>
        <row r="292">
          <cell r="A292" t="str">
            <v>032.145</v>
          </cell>
          <cell r="B292" t="str">
            <v>C11</v>
          </cell>
          <cell r="C292" t="str">
            <v>CUADRILLA DD TIPO 2 (1 OFICIAL + 2 AYUDANTE) (Carpinteria)</v>
          </cell>
          <cell r="D292" t="str">
            <v>Cuadrilla</v>
          </cell>
          <cell r="E292" t="str">
            <v>HR</v>
          </cell>
          <cell r="F292">
            <v>3.5</v>
          </cell>
          <cell r="G292">
            <v>26608</v>
          </cell>
          <cell r="H292">
            <v>93128</v>
          </cell>
        </row>
        <row r="293">
          <cell r="A293" t="str">
            <v>032.145</v>
          </cell>
          <cell r="B293" t="str">
            <v>E12</v>
          </cell>
          <cell r="C293" t="str">
            <v>EQUIPO DE TRANSPORTE</v>
          </cell>
          <cell r="D293" t="str">
            <v>Equipos</v>
          </cell>
          <cell r="E293" t="str">
            <v>DIA</v>
          </cell>
          <cell r="F293">
            <v>3.0000000000000001E-3</v>
          </cell>
          <cell r="G293">
            <v>131205</v>
          </cell>
          <cell r="H293">
            <v>394</v>
          </cell>
        </row>
        <row r="294">
          <cell r="A294" t="str">
            <v>032.145</v>
          </cell>
          <cell r="B294" t="str">
            <v>E59</v>
          </cell>
          <cell r="C294" t="str">
            <v>EQUIPO DE SOLDADURA</v>
          </cell>
          <cell r="D294" t="str">
            <v>Equipos</v>
          </cell>
          <cell r="E294" t="str">
            <v>HR</v>
          </cell>
          <cell r="F294">
            <v>0.01</v>
          </cell>
          <cell r="G294">
            <v>32800</v>
          </cell>
          <cell r="H294">
            <v>328</v>
          </cell>
        </row>
        <row r="295">
          <cell r="A295" t="str">
            <v>032.145</v>
          </cell>
          <cell r="B295" t="str">
            <v>H2</v>
          </cell>
          <cell r="C295" t="str">
            <v>EQUIPO BASICO (HERRAMIENTA MENOR)</v>
          </cell>
          <cell r="D295" t="str">
            <v>Herramienta</v>
          </cell>
          <cell r="E295" t="str">
            <v>UND</v>
          </cell>
          <cell r="F295">
            <v>0.18</v>
          </cell>
          <cell r="G295">
            <v>2536</v>
          </cell>
          <cell r="H295">
            <v>456</v>
          </cell>
        </row>
        <row r="296">
          <cell r="A296" t="str">
            <v>032.145</v>
          </cell>
          <cell r="B296" t="str">
            <v>I13</v>
          </cell>
          <cell r="C296" t="str">
            <v xml:space="preserve">VARILLA LISA 5/8" </v>
          </cell>
          <cell r="D296" t="str">
            <v>Insumo</v>
          </cell>
          <cell r="E296" t="str">
            <v>M</v>
          </cell>
          <cell r="F296">
            <v>5</v>
          </cell>
          <cell r="G296">
            <v>4897</v>
          </cell>
          <cell r="H296">
            <v>24485</v>
          </cell>
        </row>
        <row r="297">
          <cell r="A297" t="str">
            <v>032.145</v>
          </cell>
          <cell r="B297" t="str">
            <v>I1565</v>
          </cell>
          <cell r="C297" t="str">
            <v>ACARREO INTERNO</v>
          </cell>
          <cell r="D297" t="str">
            <v>Insumo</v>
          </cell>
          <cell r="E297" t="str">
            <v>UND</v>
          </cell>
          <cell r="F297">
            <v>0.2</v>
          </cell>
          <cell r="G297">
            <v>1327</v>
          </cell>
          <cell r="H297">
            <v>265</v>
          </cell>
        </row>
        <row r="298">
          <cell r="A298" t="str">
            <v>032.145</v>
          </cell>
          <cell r="B298" t="str">
            <v>I239</v>
          </cell>
          <cell r="C298" t="str">
            <v>ANGULO 2"* 2"*3/16"</v>
          </cell>
          <cell r="D298" t="str">
            <v>Insumo</v>
          </cell>
          <cell r="E298" t="str">
            <v>M</v>
          </cell>
          <cell r="F298">
            <v>1.27</v>
          </cell>
          <cell r="G298">
            <v>13727</v>
          </cell>
          <cell r="H298">
            <v>17433</v>
          </cell>
        </row>
        <row r="299">
          <cell r="B299" t="str">
            <v>I435</v>
          </cell>
          <cell r="C299" t="str">
            <v>SOLDADURA ELECTRICA TIPO WESTARCO SUPER E- 6013  DE 1/8 O SIMILAR.</v>
          </cell>
          <cell r="D299" t="str">
            <v>Insumo</v>
          </cell>
          <cell r="E299" t="str">
            <v>KG</v>
          </cell>
          <cell r="F299">
            <v>0.5</v>
          </cell>
          <cell r="G299">
            <v>10755</v>
          </cell>
          <cell r="H299">
            <v>5378</v>
          </cell>
        </row>
        <row r="301">
          <cell r="A301" t="str">
            <v>024.118</v>
          </cell>
        </row>
        <row r="302">
          <cell r="A302" t="str">
            <v>024.118</v>
          </cell>
          <cell r="B302" t="str">
            <v>-</v>
          </cell>
          <cell r="C302" t="str">
            <v>SUMINISTRO, TRANSPORTE E INSTALACION SUMIDERO DOBLE REJA TIPO SIFÓN EN CONCRETO CLASE II-TAPA EN POLIPROPILENO D=0,58M</v>
          </cell>
          <cell r="D302" t="str">
            <v>Actividad</v>
          </cell>
          <cell r="E302" t="str">
            <v>UND</v>
          </cell>
          <cell r="H302">
            <v>1363001</v>
          </cell>
        </row>
        <row r="303">
          <cell r="A303" t="str">
            <v>024.118</v>
          </cell>
          <cell r="B303" t="str">
            <v>AB5</v>
          </cell>
          <cell r="C303" t="str">
            <v>CONCRETO 3000 psi - 21 Mpa</v>
          </cell>
          <cell r="D303" t="str">
            <v>Analisis</v>
          </cell>
          <cell r="E303" t="str">
            <v>M3</v>
          </cell>
          <cell r="F303">
            <v>0.8</v>
          </cell>
          <cell r="G303">
            <v>421155</v>
          </cell>
          <cell r="H303">
            <v>336924</v>
          </cell>
        </row>
        <row r="304">
          <cell r="A304" t="str">
            <v>024.118</v>
          </cell>
          <cell r="B304" t="str">
            <v>C23</v>
          </cell>
          <cell r="C304" t="str">
            <v>CUADRILLA BB TIPO 4 (1 OFICIAL + 4 AYUDANTE) (Instalaciones)</v>
          </cell>
          <cell r="D304" t="str">
            <v>Cuadrilla</v>
          </cell>
          <cell r="E304" t="str">
            <v>HR</v>
          </cell>
          <cell r="F304">
            <v>10</v>
          </cell>
          <cell r="G304">
            <v>39593</v>
          </cell>
          <cell r="H304">
            <v>395930</v>
          </cell>
        </row>
        <row r="305">
          <cell r="A305" t="str">
            <v>024.118</v>
          </cell>
          <cell r="B305" t="str">
            <v>E112</v>
          </cell>
          <cell r="C305" t="str">
            <v>FORMALETA METALICA PARA CAMARA CIRCULAR</v>
          </cell>
          <cell r="D305" t="str">
            <v>Equipos</v>
          </cell>
          <cell r="E305" t="str">
            <v>UND</v>
          </cell>
          <cell r="F305">
            <v>6.5</v>
          </cell>
          <cell r="G305">
            <v>1311</v>
          </cell>
          <cell r="H305">
            <v>8522</v>
          </cell>
        </row>
        <row r="306">
          <cell r="A306" t="str">
            <v>024.118</v>
          </cell>
          <cell r="B306" t="str">
            <v>E12</v>
          </cell>
          <cell r="C306" t="str">
            <v>EQUIPO DE TRANSPORTE</v>
          </cell>
          <cell r="D306" t="str">
            <v>Equipos</v>
          </cell>
          <cell r="E306" t="str">
            <v>DIA</v>
          </cell>
          <cell r="F306">
            <v>0.19639999999999999</v>
          </cell>
          <cell r="G306">
            <v>131205</v>
          </cell>
          <cell r="H306">
            <v>25769</v>
          </cell>
        </row>
        <row r="307">
          <cell r="A307" t="str">
            <v>024.118</v>
          </cell>
          <cell r="B307" t="str">
            <v>H2</v>
          </cell>
          <cell r="C307" t="str">
            <v>EQUIPO BASICO (HERRAMIENTA MENOR)</v>
          </cell>
          <cell r="D307" t="str">
            <v>Herramienta</v>
          </cell>
          <cell r="E307" t="str">
            <v>UND</v>
          </cell>
          <cell r="F307">
            <v>0.35</v>
          </cell>
          <cell r="G307">
            <v>2536</v>
          </cell>
          <cell r="H307">
            <v>888</v>
          </cell>
        </row>
        <row r="308">
          <cell r="A308" t="str">
            <v>024.118</v>
          </cell>
          <cell r="B308" t="str">
            <v>I1565</v>
          </cell>
          <cell r="C308" t="str">
            <v>ACARREO INTERNO</v>
          </cell>
          <cell r="D308" t="str">
            <v>Insumo</v>
          </cell>
          <cell r="E308" t="str">
            <v>UND</v>
          </cell>
          <cell r="F308">
            <v>10</v>
          </cell>
          <cell r="G308">
            <v>1327</v>
          </cell>
          <cell r="H308">
            <v>13270</v>
          </cell>
        </row>
        <row r="309">
          <cell r="A309" t="str">
            <v>024.118</v>
          </cell>
          <cell r="B309" t="str">
            <v>I1618</v>
          </cell>
          <cell r="C309" t="str">
            <v>GUAYA PARA TAPAS POLIPROPILENO</v>
          </cell>
          <cell r="D309" t="str">
            <v>Insumo</v>
          </cell>
          <cell r="E309" t="str">
            <v>UND</v>
          </cell>
          <cell r="F309">
            <v>1</v>
          </cell>
          <cell r="G309">
            <v>22255</v>
          </cell>
          <cell r="H309">
            <v>22255</v>
          </cell>
        </row>
        <row r="310">
          <cell r="A310" t="str">
            <v>024.118</v>
          </cell>
          <cell r="B310" t="str">
            <v>I2</v>
          </cell>
          <cell r="C310" t="str">
            <v>ACERO 60.000 PSI</v>
          </cell>
          <cell r="D310" t="str">
            <v>Insumo</v>
          </cell>
          <cell r="E310" t="str">
            <v>KG</v>
          </cell>
          <cell r="F310">
            <v>11.587999999999999</v>
          </cell>
          <cell r="G310">
            <v>3313</v>
          </cell>
          <cell r="H310">
            <v>38391</v>
          </cell>
        </row>
        <row r="311">
          <cell r="A311" t="str">
            <v>024.118</v>
          </cell>
          <cell r="B311" t="str">
            <v>I23</v>
          </cell>
          <cell r="C311" t="str">
            <v>MARCO REJA DE VARILLA 1" A.R/ ANGULO/PLATINA</v>
          </cell>
          <cell r="D311" t="str">
            <v>Insumo</v>
          </cell>
          <cell r="E311" t="str">
            <v>UND</v>
          </cell>
          <cell r="F311">
            <v>2</v>
          </cell>
          <cell r="G311">
            <v>157771</v>
          </cell>
          <cell r="H311">
            <v>315542</v>
          </cell>
        </row>
        <row r="312">
          <cell r="A312" t="str">
            <v>024.118</v>
          </cell>
          <cell r="B312" t="str">
            <v>I26</v>
          </cell>
          <cell r="C312" t="str">
            <v>TAPA D 0.58 M EN POLIPROPILENO RECICLADO Y ARO EN HF</v>
          </cell>
          <cell r="D312" t="str">
            <v>Insumo</v>
          </cell>
          <cell r="E312" t="str">
            <v>UND</v>
          </cell>
          <cell r="F312">
            <v>1</v>
          </cell>
          <cell r="G312">
            <v>205101</v>
          </cell>
          <cell r="H312">
            <v>205101</v>
          </cell>
        </row>
        <row r="313">
          <cell r="B313" t="str">
            <v>I45</v>
          </cell>
          <cell r="C313" t="str">
            <v>AGUA M3</v>
          </cell>
          <cell r="D313" t="str">
            <v>Insumo</v>
          </cell>
          <cell r="E313" t="str">
            <v>M3</v>
          </cell>
          <cell r="F313">
            <v>0.2</v>
          </cell>
          <cell r="G313">
            <v>2044</v>
          </cell>
          <cell r="H313">
            <v>409</v>
          </cell>
        </row>
        <row r="315">
          <cell r="A315" t="str">
            <v>024.120</v>
          </cell>
        </row>
        <row r="316">
          <cell r="A316" t="str">
            <v>024.120</v>
          </cell>
          <cell r="B316" t="str">
            <v>-</v>
          </cell>
          <cell r="C316" t="str">
            <v>SUMINISTRO, TRANSPORTE E INSTALACION EMPALME A CÁMARAS DE INSPECCIÓN CONCRETO CLASE II</v>
          </cell>
          <cell r="D316" t="str">
            <v>Actividad</v>
          </cell>
          <cell r="E316" t="str">
            <v>UND</v>
          </cell>
          <cell r="H316">
            <v>74819</v>
          </cell>
        </row>
        <row r="317">
          <cell r="A317" t="str">
            <v>024.120</v>
          </cell>
          <cell r="B317" t="str">
            <v>C37</v>
          </cell>
          <cell r="C317" t="str">
            <v>CUADRILLA BB TIPO 6 (1 OFICIAL + 6 AYUDANTE) (Instalaciones)</v>
          </cell>
          <cell r="D317" t="str">
            <v>Cuadrilla</v>
          </cell>
          <cell r="E317" t="str">
            <v>HR</v>
          </cell>
          <cell r="F317">
            <v>1</v>
          </cell>
          <cell r="G317">
            <v>53733</v>
          </cell>
          <cell r="H317">
            <v>53733</v>
          </cell>
        </row>
        <row r="318">
          <cell r="A318" t="str">
            <v>024.120</v>
          </cell>
          <cell r="B318" t="str">
            <v>E112</v>
          </cell>
          <cell r="C318" t="str">
            <v>FORMALETA METALICA PARA CAMARA CIRCULAR</v>
          </cell>
          <cell r="D318" t="str">
            <v>Equipos</v>
          </cell>
          <cell r="E318" t="str">
            <v>UND</v>
          </cell>
          <cell r="F318">
            <v>0.45</v>
          </cell>
          <cell r="G318">
            <v>1311</v>
          </cell>
          <cell r="H318">
            <v>590</v>
          </cell>
        </row>
        <row r="319">
          <cell r="A319" t="str">
            <v>024.120</v>
          </cell>
          <cell r="B319" t="str">
            <v>E12</v>
          </cell>
          <cell r="C319" t="str">
            <v>EQUIPO DE TRANSPORTE</v>
          </cell>
          <cell r="D319" t="str">
            <v>Equipos</v>
          </cell>
          <cell r="E319" t="str">
            <v>DIA</v>
          </cell>
          <cell r="F319">
            <v>2.8999999999999998E-3</v>
          </cell>
          <cell r="G319">
            <v>131205</v>
          </cell>
          <cell r="H319">
            <v>380</v>
          </cell>
        </row>
        <row r="320">
          <cell r="A320" t="str">
            <v>024.120</v>
          </cell>
          <cell r="B320" t="str">
            <v>H2</v>
          </cell>
          <cell r="C320" t="str">
            <v>EQUIPO BASICO (HERRAMIENTA MENOR)</v>
          </cell>
          <cell r="D320" t="str">
            <v>Herramienta</v>
          </cell>
          <cell r="E320" t="str">
            <v>UND</v>
          </cell>
          <cell r="F320">
            <v>2.5000000000000001E-2</v>
          </cell>
          <cell r="G320">
            <v>2536</v>
          </cell>
          <cell r="H320">
            <v>63</v>
          </cell>
        </row>
        <row r="321">
          <cell r="A321" t="str">
            <v>024.120</v>
          </cell>
          <cell r="B321" t="str">
            <v>I1565</v>
          </cell>
          <cell r="C321" t="str">
            <v>ACARREO INTERNO</v>
          </cell>
          <cell r="D321" t="str">
            <v>Insumo</v>
          </cell>
          <cell r="E321" t="str">
            <v>UND</v>
          </cell>
          <cell r="F321">
            <v>1.3</v>
          </cell>
          <cell r="G321">
            <v>1327</v>
          </cell>
          <cell r="H321">
            <v>1725</v>
          </cell>
        </row>
        <row r="322">
          <cell r="A322" t="str">
            <v>024.120</v>
          </cell>
          <cell r="B322" t="str">
            <v>I1566</v>
          </cell>
          <cell r="C322" t="str">
            <v>CURADO DEL CONCRETO</v>
          </cell>
          <cell r="D322" t="str">
            <v>Insumo</v>
          </cell>
          <cell r="E322" t="str">
            <v>M3</v>
          </cell>
          <cell r="F322">
            <v>0.15429999999999999</v>
          </cell>
          <cell r="G322">
            <v>2044</v>
          </cell>
          <cell r="H322">
            <v>315</v>
          </cell>
        </row>
        <row r="323">
          <cell r="A323" t="str">
            <v>024.120</v>
          </cell>
          <cell r="B323" t="str">
            <v>I274</v>
          </cell>
          <cell r="C323" t="str">
            <v>CEMENTO GRIS</v>
          </cell>
          <cell r="D323" t="str">
            <v>Insumo</v>
          </cell>
          <cell r="E323" t="str">
            <v>KG</v>
          </cell>
          <cell r="F323">
            <v>18</v>
          </cell>
          <cell r="G323">
            <v>719</v>
          </cell>
          <cell r="H323">
            <v>12942</v>
          </cell>
        </row>
        <row r="324">
          <cell r="A324" t="str">
            <v>024.120</v>
          </cell>
          <cell r="B324" t="str">
            <v>I32</v>
          </cell>
          <cell r="C324" t="str">
            <v>ARENA LAVADA DE RIO</v>
          </cell>
          <cell r="D324" t="str">
            <v>Insumo</v>
          </cell>
          <cell r="E324" t="str">
            <v>M3</v>
          </cell>
          <cell r="F324">
            <v>1.4999999999999999E-2</v>
          </cell>
          <cell r="G324">
            <v>93238</v>
          </cell>
          <cell r="H324">
            <v>1399</v>
          </cell>
        </row>
        <row r="325">
          <cell r="A325" t="str">
            <v>024.120</v>
          </cell>
          <cell r="B325" t="str">
            <v>I34</v>
          </cell>
          <cell r="C325" t="str">
            <v>GRAVILLA COMUN DE RIO</v>
          </cell>
          <cell r="D325" t="str">
            <v>Insumo</v>
          </cell>
          <cell r="E325" t="str">
            <v>M3</v>
          </cell>
          <cell r="F325">
            <v>3.5000000000000003E-2</v>
          </cell>
          <cell r="G325">
            <v>93238</v>
          </cell>
          <cell r="H325">
            <v>3263</v>
          </cell>
        </row>
        <row r="326">
          <cell r="B326" t="str">
            <v>I45</v>
          </cell>
          <cell r="C326" t="str">
            <v>AGUA M3</v>
          </cell>
          <cell r="D326" t="str">
            <v>Insumo</v>
          </cell>
          <cell r="E326" t="str">
            <v>M3</v>
          </cell>
          <cell r="F326">
            <v>0.2</v>
          </cell>
          <cell r="G326">
            <v>2044</v>
          </cell>
          <cell r="H326">
            <v>409</v>
          </cell>
        </row>
        <row r="328">
          <cell r="A328" t="str">
            <v>005</v>
          </cell>
        </row>
        <row r="329">
          <cell r="C329" t="str">
            <v>CAMPO DEPORTIVO</v>
          </cell>
          <cell r="D329" t="str">
            <v>Capitulo</v>
          </cell>
        </row>
        <row r="331">
          <cell r="A331" t="str">
            <v>023.002</v>
          </cell>
        </row>
        <row r="332">
          <cell r="A332" t="str">
            <v>023.002</v>
          </cell>
          <cell r="B332" t="str">
            <v>-</v>
          </cell>
          <cell r="C332" t="str">
            <v>SUMINISTRO, TRANSPORTE E INSTALACION IMPRIMACION CON EMULSION ASFALTICA según norma INVIAS.</v>
          </cell>
          <cell r="D332" t="str">
            <v>Actividad</v>
          </cell>
          <cell r="E332" t="str">
            <v>M2</v>
          </cell>
          <cell r="H332">
            <v>3152</v>
          </cell>
        </row>
        <row r="333">
          <cell r="A333" t="str">
            <v>023.002</v>
          </cell>
          <cell r="B333" t="str">
            <v>C8</v>
          </cell>
          <cell r="C333" t="str">
            <v>CUADRILLA AA TIPO 2 (1 OFICIAL + 2 AYUDANTE) (Albañileria)</v>
          </cell>
          <cell r="D333" t="str">
            <v>Cuadrilla</v>
          </cell>
          <cell r="E333" t="str">
            <v>HR</v>
          </cell>
          <cell r="F333">
            <v>2E-3</v>
          </cell>
          <cell r="G333">
            <v>23140</v>
          </cell>
          <cell r="H333">
            <v>46</v>
          </cell>
        </row>
        <row r="334">
          <cell r="A334" t="str">
            <v>023.002</v>
          </cell>
          <cell r="B334" t="str">
            <v>E12</v>
          </cell>
          <cell r="C334" t="str">
            <v>EQUIPO DE TRANSPORTE</v>
          </cell>
          <cell r="D334" t="str">
            <v>Equipos</v>
          </cell>
          <cell r="E334" t="str">
            <v>DIA</v>
          </cell>
          <cell r="F334">
            <v>5.0000000000000001E-4</v>
          </cell>
          <cell r="G334">
            <v>131205</v>
          </cell>
          <cell r="H334">
            <v>66</v>
          </cell>
        </row>
        <row r="335">
          <cell r="A335" t="str">
            <v>023.002</v>
          </cell>
          <cell r="B335" t="str">
            <v>E4</v>
          </cell>
          <cell r="C335" t="str">
            <v>CARROTANQUE IRRIGADOR DE ASFALTO</v>
          </cell>
          <cell r="D335" t="str">
            <v>Equipos</v>
          </cell>
          <cell r="E335" t="str">
            <v>HR</v>
          </cell>
          <cell r="F335">
            <v>2E-3</v>
          </cell>
          <cell r="G335">
            <v>71956</v>
          </cell>
          <cell r="H335">
            <v>144</v>
          </cell>
        </row>
        <row r="336">
          <cell r="A336" t="str">
            <v>023.002</v>
          </cell>
          <cell r="B336" t="str">
            <v>E6</v>
          </cell>
          <cell r="C336" t="str">
            <v>COMPRESOR (BARRIDO Y/O SOPLADO DE LA SUPERFICIE PAVIMENTO)</v>
          </cell>
          <cell r="D336" t="str">
            <v>Equipos</v>
          </cell>
          <cell r="E336" t="str">
            <v>HR</v>
          </cell>
          <cell r="F336">
            <v>2E-3</v>
          </cell>
          <cell r="G336">
            <v>74724</v>
          </cell>
          <cell r="H336">
            <v>149</v>
          </cell>
        </row>
        <row r="337">
          <cell r="A337" t="str">
            <v>023.002</v>
          </cell>
          <cell r="B337" t="str">
            <v>H2</v>
          </cell>
          <cell r="C337" t="str">
            <v>EQUIPO BASICO (HERRAMIENTA MENOR)</v>
          </cell>
          <cell r="D337" t="str">
            <v>Herramienta</v>
          </cell>
          <cell r="E337" t="str">
            <v>UND</v>
          </cell>
          <cell r="F337">
            <v>1E-3</v>
          </cell>
          <cell r="G337">
            <v>2536</v>
          </cell>
          <cell r="H337">
            <v>3</v>
          </cell>
        </row>
        <row r="338">
          <cell r="A338" t="str">
            <v>023.002</v>
          </cell>
          <cell r="B338" t="str">
            <v>I1565</v>
          </cell>
          <cell r="C338" t="str">
            <v>ACARREO INTERNO</v>
          </cell>
          <cell r="D338" t="str">
            <v>Insumo</v>
          </cell>
          <cell r="E338" t="str">
            <v>UND</v>
          </cell>
          <cell r="F338">
            <v>2.3E-3</v>
          </cell>
          <cell r="G338">
            <v>1327</v>
          </cell>
          <cell r="H338">
            <v>3</v>
          </cell>
        </row>
        <row r="339">
          <cell r="B339" t="str">
            <v>I367</v>
          </cell>
          <cell r="C339" t="str">
            <v>EMULSION ASFALTICA TIPO CRL-1</v>
          </cell>
          <cell r="D339" t="str">
            <v>Insumo</v>
          </cell>
          <cell r="E339" t="str">
            <v>LT</v>
          </cell>
          <cell r="F339">
            <v>1</v>
          </cell>
          <cell r="G339">
            <v>2741</v>
          </cell>
          <cell r="H339">
            <v>2741</v>
          </cell>
        </row>
        <row r="341">
          <cell r="A341" t="str">
            <v>033.169</v>
          </cell>
        </row>
        <row r="342">
          <cell r="A342" t="str">
            <v>033.169</v>
          </cell>
          <cell r="B342" t="str">
            <v>-</v>
          </cell>
          <cell r="C342" t="str">
            <v xml:space="preserve">SUMINISTRO, TRANSPORTE E INSTALACION DE GRAMA SINTÉTICA EN POLIETILENO, 13.300/6 DTEX COMPUESTO POR UNA COMBINACION DE DOS FIBRAS EN FORMA CONCAVA DE 300 MICRONES Y OTRA EN FORMA DE DIAMANTE REFORZADO CON 400 MICRONES ESTABILIZADO CON PROTECCION UV, TEN CATE ISO9001, ISO1400. </v>
          </cell>
          <cell r="D342" t="str">
            <v>Actividad</v>
          </cell>
          <cell r="E342" t="str">
            <v>M2</v>
          </cell>
          <cell r="H342">
            <v>105000</v>
          </cell>
        </row>
        <row r="343">
          <cell r="B343" t="str">
            <v>-</v>
          </cell>
          <cell r="C343" t="str">
            <v xml:space="preserve">GRAMA SINTETICA DE POLIETILENO, 1 CAPA DE TEJIDO POLIPROPILENO EN URDIMBRE Y EN TRAMA; 2DA CAPA DE TEJIDO  DE POLIPROPILENO Y FIBRA DE VIDRIO; LATEX SBR, ALTURA DEL HILADO 50 MM, ANCHO DEL ROLLO 3,90M PESO DEL HILADO 1400 GRAMOS/M2, 8,150 PUNTOS/M2  </v>
          </cell>
          <cell r="D343" t="str">
            <v>Insumo</v>
          </cell>
          <cell r="E343" t="str">
            <v>M2</v>
          </cell>
          <cell r="F343">
            <v>1</v>
          </cell>
          <cell r="G343">
            <v>105000</v>
          </cell>
          <cell r="H343">
            <v>105000</v>
          </cell>
        </row>
        <row r="345">
          <cell r="A345" t="str">
            <v>033.170</v>
          </cell>
        </row>
        <row r="346">
          <cell r="A346" t="str">
            <v>033.170</v>
          </cell>
          <cell r="B346" t="str">
            <v>-</v>
          </cell>
          <cell r="C346" t="str">
            <v xml:space="preserve">SUMINISTRO, TRANSPORTE E INSTALACION DE SHOCKPAD, </v>
          </cell>
          <cell r="D346" t="str">
            <v>Actividad</v>
          </cell>
          <cell r="E346" t="str">
            <v>M2</v>
          </cell>
          <cell r="H346">
            <v>52000</v>
          </cell>
        </row>
        <row r="347">
          <cell r="B347" t="str">
            <v>-</v>
          </cell>
          <cell r="C347" t="str">
            <v xml:space="preserve">SHOCKPAD; ESPUMA DE POLIETILENO RETICULADA ( DE CELDAS CERRADAS) DE ENLACE TERMICO (PROCEDIENTE DE RESIDUOS INDUSTRIALES NO CONTAMINADOS) ALTURA 12 MM ABSORCION DE CHOQUE 65%, INFILTRACION DE AGUA: 110.112 MM/ H </v>
          </cell>
          <cell r="D347" t="str">
            <v>Insumo</v>
          </cell>
          <cell r="E347" t="str">
            <v>M2</v>
          </cell>
          <cell r="F347">
            <v>1</v>
          </cell>
          <cell r="G347">
            <v>52000</v>
          </cell>
          <cell r="H347">
            <v>52000</v>
          </cell>
        </row>
        <row r="349">
          <cell r="A349" t="str">
            <v>033.161</v>
          </cell>
        </row>
        <row r="350">
          <cell r="A350" t="str">
            <v>033.161</v>
          </cell>
          <cell r="C350" t="str">
            <v>SUMINISTRO, TRANSPORTE E INSTALACION  DE DOS (2)  ARCOS METALICOS DE FUTBOL EN TUBERIA NEGRA (INCLUYE REDES, ANTICORROSIVO,PINTURA, CONCRETO Y ACERO PARA PILOTES)</v>
          </cell>
          <cell r="D350" t="str">
            <v>Actividad</v>
          </cell>
          <cell r="E350" t="str">
            <v>UND</v>
          </cell>
          <cell r="H350">
            <v>2529353</v>
          </cell>
        </row>
        <row r="351">
          <cell r="A351" t="str">
            <v>033.161</v>
          </cell>
          <cell r="B351" t="str">
            <v>I697</v>
          </cell>
          <cell r="C351" t="str">
            <v xml:space="preserve">TUBO ACERO NEGRA CONTRA INCENDIO 4" - CALIBRE 10 ASTM A795 - TIPO COLMENA O SIMILAR. </v>
          </cell>
          <cell r="D351" t="str">
            <v>Insumo</v>
          </cell>
          <cell r="E351" t="str">
            <v>m</v>
          </cell>
          <cell r="F351">
            <v>18</v>
          </cell>
          <cell r="G351">
            <v>51534</v>
          </cell>
          <cell r="H351">
            <v>927612</v>
          </cell>
        </row>
        <row r="352">
          <cell r="A352" t="str">
            <v>033.161</v>
          </cell>
          <cell r="B352" t="str">
            <v>I435</v>
          </cell>
          <cell r="C352" t="str">
            <v>SOLDADURA ELECTRICA TIPO WESTARCO SUPER E- 6013  DE 1/8 O SIMILAR.</v>
          </cell>
          <cell r="D352" t="str">
            <v>Insumo</v>
          </cell>
          <cell r="E352" t="str">
            <v>kg</v>
          </cell>
          <cell r="F352">
            <v>4</v>
          </cell>
          <cell r="G352">
            <v>10197</v>
          </cell>
          <cell r="H352">
            <v>40788</v>
          </cell>
        </row>
        <row r="353">
          <cell r="A353" t="str">
            <v>033.161</v>
          </cell>
          <cell r="B353" t="str">
            <v>AB1</v>
          </cell>
          <cell r="C353" t="str">
            <v>ACERO 60.000 PSI</v>
          </cell>
          <cell r="D353" t="str">
            <v>Insumo</v>
          </cell>
          <cell r="E353" t="str">
            <v>kg</v>
          </cell>
          <cell r="F353">
            <v>3.9200000000000004</v>
          </cell>
          <cell r="G353">
            <v>4971</v>
          </cell>
          <cell r="H353">
            <v>19486</v>
          </cell>
        </row>
        <row r="354">
          <cell r="A354" t="str">
            <v>033.161</v>
          </cell>
          <cell r="B354" t="str">
            <v>I685</v>
          </cell>
          <cell r="C354" t="str">
            <v>TUBO ACERO AGUA NEGRA PARA CERRAMIENTO  3" -   - TIPO COLMENA O SIMILAR.</v>
          </cell>
          <cell r="D354" t="str">
            <v>Insumo</v>
          </cell>
          <cell r="E354" t="str">
            <v>m</v>
          </cell>
          <cell r="F354">
            <v>21.6</v>
          </cell>
          <cell r="G354">
            <v>34905</v>
          </cell>
          <cell r="H354">
            <v>753948</v>
          </cell>
        </row>
        <row r="355">
          <cell r="A355" t="str">
            <v>033.161</v>
          </cell>
          <cell r="B355" t="str">
            <v>I1001</v>
          </cell>
          <cell r="C355" t="str">
            <v>ANTICORROSIVO PREMIUM - TIPO PINTUCO REF. 513 O SIMILAR</v>
          </cell>
          <cell r="D355" t="str">
            <v>Insumos</v>
          </cell>
          <cell r="E355" t="str">
            <v>GAL</v>
          </cell>
          <cell r="F355">
            <v>0.5</v>
          </cell>
          <cell r="G355">
            <v>58057</v>
          </cell>
          <cell r="H355">
            <v>29029</v>
          </cell>
        </row>
        <row r="356">
          <cell r="A356" t="str">
            <v>033.161</v>
          </cell>
          <cell r="B356" t="str">
            <v>I1002</v>
          </cell>
          <cell r="C356" t="str">
            <v>ESMALTE SINTETICO PINTULUX - TIPO PINTUCO REF. SEGÚN COLOR DISEÑO O SIMILAR</v>
          </cell>
          <cell r="D356" t="str">
            <v xml:space="preserve">Insumo </v>
          </cell>
          <cell r="E356" t="str">
            <v>GAL</v>
          </cell>
          <cell r="F356">
            <v>0.72</v>
          </cell>
          <cell r="G356">
            <v>84184</v>
          </cell>
          <cell r="H356">
            <v>60612</v>
          </cell>
        </row>
        <row r="357">
          <cell r="A357" t="str">
            <v>033.161</v>
          </cell>
          <cell r="B357" t="str">
            <v>NI06</v>
          </cell>
          <cell r="C357" t="str">
            <v>MALLA NYLON CAL 2</v>
          </cell>
          <cell r="D357" t="str">
            <v>Insumo</v>
          </cell>
          <cell r="E357" t="str">
            <v>m2</v>
          </cell>
          <cell r="F357">
            <v>20.86</v>
          </cell>
          <cell r="G357">
            <v>10831.998799999999</v>
          </cell>
          <cell r="H357">
            <v>225955</v>
          </cell>
        </row>
        <row r="358">
          <cell r="A358" t="str">
            <v>033.161</v>
          </cell>
          <cell r="B358" t="str">
            <v>H2</v>
          </cell>
          <cell r="C358" t="str">
            <v>EQUIPO BASICO ( HERRAMIENTA MENOR )</v>
          </cell>
          <cell r="D358" t="str">
            <v>Herramienta</v>
          </cell>
          <cell r="E358" t="str">
            <v>und</v>
          </cell>
          <cell r="F358">
            <v>0.2</v>
          </cell>
          <cell r="G358">
            <v>2404</v>
          </cell>
          <cell r="H358">
            <v>481</v>
          </cell>
        </row>
        <row r="359">
          <cell r="A359" t="str">
            <v>033.161</v>
          </cell>
          <cell r="B359" t="str">
            <v>C4</v>
          </cell>
          <cell r="C359" t="str">
            <v>CUADRILLA DD TIPO 1 (1 OFICIAL + 1 AYUDANTE) (Carpinteria)</v>
          </cell>
          <cell r="D359" t="str">
            <v>Mano de Obra</v>
          </cell>
          <cell r="E359" t="str">
            <v>hr</v>
          </cell>
          <cell r="F359">
            <v>16</v>
          </cell>
          <cell r="G359">
            <v>19480</v>
          </cell>
          <cell r="H359">
            <v>311680</v>
          </cell>
        </row>
        <row r="360">
          <cell r="A360" t="str">
            <v>033.161</v>
          </cell>
          <cell r="B360" t="str">
            <v>AB5</v>
          </cell>
          <cell r="C360" t="str">
            <v>CONCRETO 3000 psi - 21 Mpa</v>
          </cell>
          <cell r="D360" t="str">
            <v>Analisis</v>
          </cell>
          <cell r="E360" t="str">
            <v>m3</v>
          </cell>
          <cell r="F360">
            <v>0.36</v>
          </cell>
          <cell r="G360">
            <v>397872</v>
          </cell>
          <cell r="H360">
            <v>143234</v>
          </cell>
        </row>
        <row r="361">
          <cell r="B361" t="str">
            <v>I1799</v>
          </cell>
          <cell r="C361" t="str">
            <v>SUMINISTRO TRANSPORTE E INSTALACION ACERO DE 60000 PCI (INCLUYE ALAMBRE NEGRO Y FIGURACION)</v>
          </cell>
          <cell r="D361" t="str">
            <v>Insumo</v>
          </cell>
          <cell r="E361" t="str">
            <v>KG</v>
          </cell>
          <cell r="F361">
            <v>3.3600000000000003</v>
          </cell>
          <cell r="G361">
            <v>4919</v>
          </cell>
          <cell r="H361">
            <v>16528</v>
          </cell>
        </row>
        <row r="363">
          <cell r="A363" t="str">
            <v>033.103</v>
          </cell>
        </row>
        <row r="364">
          <cell r="A364" t="str">
            <v>033.103</v>
          </cell>
          <cell r="B364" t="str">
            <v>-</v>
          </cell>
          <cell r="C364" t="str">
            <v>SUMINISTRO, TRANSPORTE E INSTALACION GEOTEXTIL NO TEJIDO 2000</v>
          </cell>
          <cell r="D364" t="str">
            <v>Actividad</v>
          </cell>
          <cell r="E364" t="str">
            <v>M2</v>
          </cell>
          <cell r="H364">
            <v>8433</v>
          </cell>
        </row>
        <row r="365">
          <cell r="A365" t="str">
            <v>033.103</v>
          </cell>
          <cell r="B365" t="str">
            <v>C1</v>
          </cell>
          <cell r="C365" t="str">
            <v>CUADRILLA AA TIPO 1 (1 OFICIAL + 1 AYUDANTE) (Albañileria)</v>
          </cell>
          <cell r="D365" t="str">
            <v>Cuadrilla</v>
          </cell>
          <cell r="E365" t="str">
            <v>HR</v>
          </cell>
          <cell r="F365">
            <v>0.1</v>
          </cell>
          <cell r="G365">
            <v>16712</v>
          </cell>
          <cell r="H365">
            <v>1671</v>
          </cell>
        </row>
        <row r="366">
          <cell r="A366" t="str">
            <v>033.103</v>
          </cell>
          <cell r="B366" t="str">
            <v>E12</v>
          </cell>
          <cell r="C366" t="str">
            <v>EQUIPO DE TRANSPORTE</v>
          </cell>
          <cell r="D366" t="str">
            <v>Equipos</v>
          </cell>
          <cell r="E366" t="str">
            <v>DIA</v>
          </cell>
          <cell r="F366">
            <v>1E-3</v>
          </cell>
          <cell r="G366">
            <v>131205</v>
          </cell>
          <cell r="H366">
            <v>131</v>
          </cell>
        </row>
        <row r="367">
          <cell r="A367" t="str">
            <v>033.103</v>
          </cell>
          <cell r="B367" t="str">
            <v>I1565</v>
          </cell>
          <cell r="C367" t="str">
            <v>ACARREO INTERNO</v>
          </cell>
          <cell r="D367" t="str">
            <v>Insumo</v>
          </cell>
          <cell r="E367" t="str">
            <v>UND</v>
          </cell>
          <cell r="F367">
            <v>3.0000000000000001E-3</v>
          </cell>
          <cell r="G367">
            <v>1327</v>
          </cell>
          <cell r="H367">
            <v>4</v>
          </cell>
        </row>
        <row r="368">
          <cell r="B368" t="str">
            <v>I512</v>
          </cell>
          <cell r="C368" t="str">
            <v>GEOTEXTIL NO TEJIDO  2000 PAVCO O SIMILAR</v>
          </cell>
          <cell r="D368" t="str">
            <v>Insumo</v>
          </cell>
          <cell r="E368" t="str">
            <v>M2</v>
          </cell>
          <cell r="F368">
            <v>1.05</v>
          </cell>
          <cell r="G368">
            <v>6311</v>
          </cell>
          <cell r="H368">
            <v>6627</v>
          </cell>
        </row>
        <row r="370">
          <cell r="A370" t="str">
            <v>019.036</v>
          </cell>
        </row>
        <row r="371">
          <cell r="A371" t="str">
            <v>019.036</v>
          </cell>
          <cell r="B371" t="str">
            <v>-</v>
          </cell>
          <cell r="C371" t="str">
            <v>SUMINISTRO, TRANSPORTE E INSTALACIÓN DE PINTURA SPORT LINE PARA ESCENARIOS DEPORTIVAS, INCLUYE PREPARACIÓN DE SUPERFICIE CON HIDROLAVADORA Y SIKATOP 122. INCLUYE DEMARCACIÓN.</v>
          </cell>
          <cell r="D371" t="str">
            <v>Actividad</v>
          </cell>
          <cell r="E371" t="str">
            <v>M2</v>
          </cell>
          <cell r="H371">
            <v>61120</v>
          </cell>
        </row>
        <row r="372">
          <cell r="A372" t="str">
            <v>019.036</v>
          </cell>
          <cell r="B372" t="str">
            <v>I1959</v>
          </cell>
          <cell r="C372" t="str">
            <v>PREPARACIÓN DE SUPERFICIE CON MÁQUINA HIDROLAVADORA, LIMPIEZA MANUAL CON ESPÁTULA Y GRATA METÁLICA, RESANE CON SIKATOPO 122, RESANES DE BACHES CON MORTERO ACRÍLICO, REPARACIÓN DE JUNTAS Y SELLO CON PELIURETANO Y FACTOR FORMA CON SIKA ROOD DE 3/8.</v>
          </cell>
          <cell r="D372" t="str">
            <v>Insumo</v>
          </cell>
          <cell r="E372" t="str">
            <v>M2</v>
          </cell>
          <cell r="F372">
            <v>1</v>
          </cell>
          <cell r="G372">
            <v>13184</v>
          </cell>
          <cell r="H372">
            <v>13184</v>
          </cell>
        </row>
        <row r="373">
          <cell r="B373" t="str">
            <v>I1960</v>
          </cell>
          <cell r="C373" t="str">
            <v>SUMINISTRO Y APLICACIÓN DE SISTEMA SPORT LINE, CON PRODUCTOS DE SIKA EN COLORES ROJO, VERDE Y AZUL, INCLUYE DEMARCACIÓN DE LÍNEAS.</v>
          </cell>
          <cell r="D373" t="str">
            <v>Insumo</v>
          </cell>
          <cell r="E373" t="str">
            <v>M2</v>
          </cell>
          <cell r="F373">
            <v>1</v>
          </cell>
          <cell r="G373">
            <v>47936</v>
          </cell>
          <cell r="H373">
            <v>47936</v>
          </cell>
        </row>
        <row r="375">
          <cell r="A375" t="str">
            <v>023.011</v>
          </cell>
        </row>
        <row r="376">
          <cell r="A376" t="str">
            <v>023.011</v>
          </cell>
          <cell r="B376" t="str">
            <v>-</v>
          </cell>
          <cell r="C376" t="str">
            <v>SUMINISTRO, TRANSPORTE E INSTALACION SUB BASE COMPACTADA CON RANA</v>
          </cell>
          <cell r="D376" t="str">
            <v>Actividad</v>
          </cell>
          <cell r="E376" t="str">
            <v>M3</v>
          </cell>
          <cell r="H376">
            <v>146631</v>
          </cell>
        </row>
        <row r="377">
          <cell r="A377" t="str">
            <v>023.011</v>
          </cell>
          <cell r="B377" t="str">
            <v>C15</v>
          </cell>
          <cell r="C377" t="str">
            <v>CUADRILLA AA TIPO 3 (1 OFICIAL + 3 AYUDANTE) (Albañileria)</v>
          </cell>
          <cell r="D377" t="str">
            <v>Cuadrilla</v>
          </cell>
          <cell r="E377" t="str">
            <v>HR</v>
          </cell>
          <cell r="F377">
            <v>0.5</v>
          </cell>
          <cell r="G377">
            <v>29568</v>
          </cell>
          <cell r="H377">
            <v>14784</v>
          </cell>
        </row>
        <row r="378">
          <cell r="A378" t="str">
            <v>023.011</v>
          </cell>
          <cell r="B378" t="str">
            <v>E12</v>
          </cell>
          <cell r="C378" t="str">
            <v>EQUIPO DE TRANSPORTE</v>
          </cell>
          <cell r="D378" t="str">
            <v>Equipos</v>
          </cell>
          <cell r="E378" t="str">
            <v>DIA</v>
          </cell>
          <cell r="F378">
            <v>1.5299999999999999E-2</v>
          </cell>
          <cell r="G378">
            <v>131205</v>
          </cell>
          <cell r="H378">
            <v>2007</v>
          </cell>
        </row>
        <row r="379">
          <cell r="A379" t="str">
            <v>023.011</v>
          </cell>
          <cell r="B379" t="str">
            <v>E47</v>
          </cell>
          <cell r="C379" t="str">
            <v>VIBROCOMPACTADOR TIPO RANA</v>
          </cell>
          <cell r="D379" t="str">
            <v>Equipos</v>
          </cell>
          <cell r="E379" t="str">
            <v>DIA</v>
          </cell>
          <cell r="F379">
            <v>0.3</v>
          </cell>
          <cell r="G379">
            <v>43299</v>
          </cell>
          <cell r="H379">
            <v>12990</v>
          </cell>
        </row>
        <row r="380">
          <cell r="A380" t="str">
            <v>023.011</v>
          </cell>
          <cell r="B380" t="str">
            <v>H2</v>
          </cell>
          <cell r="C380" t="str">
            <v>EQUIPO BASICO (HERRAMIENTA MENOR)</v>
          </cell>
          <cell r="D380" t="str">
            <v>Herramienta</v>
          </cell>
          <cell r="E380" t="str">
            <v>UND</v>
          </cell>
          <cell r="F380">
            <v>4.2999999999999997E-2</v>
          </cell>
          <cell r="G380">
            <v>2536</v>
          </cell>
          <cell r="H380">
            <v>109</v>
          </cell>
        </row>
        <row r="381">
          <cell r="A381" t="str">
            <v>023.011</v>
          </cell>
          <cell r="B381" t="str">
            <v>I1565</v>
          </cell>
          <cell r="C381" t="str">
            <v>ACARREO INTERNO</v>
          </cell>
          <cell r="D381" t="str">
            <v>Insumo</v>
          </cell>
          <cell r="E381" t="str">
            <v>UND</v>
          </cell>
          <cell r="F381">
            <v>0.85</v>
          </cell>
          <cell r="G381">
            <v>1327</v>
          </cell>
          <cell r="H381">
            <v>1128</v>
          </cell>
        </row>
        <row r="382">
          <cell r="B382" t="str">
            <v>I43</v>
          </cell>
          <cell r="C382" t="str">
            <v>SUB BASE GRANULAR SBG-1 NORMA INVIAS</v>
          </cell>
          <cell r="D382" t="str">
            <v>Insumo</v>
          </cell>
          <cell r="E382" t="str">
            <v>M3</v>
          </cell>
          <cell r="F382">
            <v>1.3</v>
          </cell>
          <cell r="G382">
            <v>88933</v>
          </cell>
          <cell r="H382">
            <v>115613</v>
          </cell>
        </row>
        <row r="384">
          <cell r="A384" t="str">
            <v>004.001</v>
          </cell>
        </row>
        <row r="385">
          <cell r="A385" t="str">
            <v>004.001</v>
          </cell>
          <cell r="B385" t="str">
            <v>-</v>
          </cell>
          <cell r="C385" t="str">
            <v>SUMINISTRO, TRANSPORTE E INSTALACION  BASE GRANULAR B-200  ( Extendido y compactado )</v>
          </cell>
          <cell r="D385" t="str">
            <v>Actividad</v>
          </cell>
          <cell r="E385" t="str">
            <v>M3</v>
          </cell>
          <cell r="H385">
            <v>85799</v>
          </cell>
        </row>
        <row r="386">
          <cell r="A386" t="str">
            <v>004.001</v>
          </cell>
          <cell r="B386" t="str">
            <v>C15</v>
          </cell>
          <cell r="C386" t="str">
            <v>CUADRILLA AA TIPO 3 (1 OFICIAL + 3 AYUDANTE) (Albañileria)</v>
          </cell>
          <cell r="D386" t="str">
            <v>Cuadrilla</v>
          </cell>
          <cell r="E386" t="str">
            <v>HR</v>
          </cell>
          <cell r="F386">
            <v>0.75</v>
          </cell>
          <cell r="G386">
            <v>29568</v>
          </cell>
          <cell r="H386">
            <v>22176</v>
          </cell>
        </row>
        <row r="387">
          <cell r="A387" t="str">
            <v>004.001</v>
          </cell>
          <cell r="B387" t="str">
            <v>E47</v>
          </cell>
          <cell r="C387" t="str">
            <v>VIBROCOMPACTADOR TIPO RANA</v>
          </cell>
          <cell r="D387" t="str">
            <v>Equipos</v>
          </cell>
          <cell r="E387" t="str">
            <v>DIA</v>
          </cell>
          <cell r="F387">
            <v>0.1</v>
          </cell>
          <cell r="G387">
            <v>43299</v>
          </cell>
          <cell r="H387">
            <v>4330</v>
          </cell>
        </row>
        <row r="388">
          <cell r="A388" t="str">
            <v>004.001</v>
          </cell>
          <cell r="B388" t="str">
            <v>H2</v>
          </cell>
          <cell r="C388" t="str">
            <v>EQUIPO BASICO (HERRAMIENTA MENOR)</v>
          </cell>
          <cell r="D388" t="str">
            <v>Herramienta</v>
          </cell>
          <cell r="E388" t="str">
            <v>UND</v>
          </cell>
          <cell r="F388">
            <v>1.3</v>
          </cell>
          <cell r="G388">
            <v>2536</v>
          </cell>
          <cell r="H388">
            <v>3297</v>
          </cell>
        </row>
        <row r="389">
          <cell r="A389" t="str">
            <v>004.001</v>
          </cell>
          <cell r="B389" t="str">
            <v>I1565</v>
          </cell>
          <cell r="C389" t="str">
            <v>ACARREO INTERNO</v>
          </cell>
          <cell r="D389" t="str">
            <v>Insumo</v>
          </cell>
          <cell r="E389" t="str">
            <v>UND</v>
          </cell>
          <cell r="F389">
            <v>0.04</v>
          </cell>
          <cell r="G389">
            <v>1327</v>
          </cell>
          <cell r="H389">
            <v>53</v>
          </cell>
        </row>
        <row r="390">
          <cell r="B390" t="str">
            <v>I39</v>
          </cell>
          <cell r="C390" t="str">
            <v>BASE GRANULAR B-200 NORMA INVIAS</v>
          </cell>
          <cell r="D390" t="str">
            <v>Insumo</v>
          </cell>
          <cell r="E390" t="str">
            <v>M3</v>
          </cell>
          <cell r="F390">
            <v>1.3</v>
          </cell>
          <cell r="G390">
            <v>43033</v>
          </cell>
          <cell r="H390">
            <v>55943</v>
          </cell>
        </row>
        <row r="392">
          <cell r="A392" t="str">
            <v>006</v>
          </cell>
        </row>
        <row r="393">
          <cell r="C393" t="str">
            <v>CERRAMIENTO</v>
          </cell>
          <cell r="D393" t="str">
            <v>Capitulo</v>
          </cell>
        </row>
        <row r="395">
          <cell r="A395" t="str">
            <v>033.172</v>
          </cell>
        </row>
        <row r="396">
          <cell r="A396" t="str">
            <v>033.172</v>
          </cell>
          <cell r="C396" t="str">
            <v xml:space="preserve">CERRAMIENTO CONTRA IMPACTO H=2.5m , VARILLA LISA 3/4" (inclye parales en tuberia HG 4", platinas, ángulos, anticorrosivo) </v>
          </cell>
          <cell r="D396" t="str">
            <v>Actividad</v>
          </cell>
          <cell r="E396" t="str">
            <v>ml</v>
          </cell>
          <cell r="H396">
            <v>586060.4</v>
          </cell>
        </row>
        <row r="397">
          <cell r="A397" t="str">
            <v>033.172</v>
          </cell>
          <cell r="B397" t="str">
            <v>I44</v>
          </cell>
          <cell r="C397" t="str">
            <v>CUADRILLA AA TIPO 4 (1 OFICIAL + 4 AYUDANTE) (Albañileria)</v>
          </cell>
          <cell r="D397" t="str">
            <v>Mano de Obra</v>
          </cell>
          <cell r="E397" t="str">
            <v>hr</v>
          </cell>
          <cell r="F397">
            <v>1.35</v>
          </cell>
          <cell r="G397">
            <v>27316</v>
          </cell>
          <cell r="H397">
            <v>36877</v>
          </cell>
        </row>
        <row r="398">
          <cell r="A398" t="str">
            <v>033.172</v>
          </cell>
          <cell r="B398" t="str">
            <v>M03</v>
          </cell>
          <cell r="C398" t="str">
            <v>EQUIPO BASICO ( HERRAMIENTA MENOR )</v>
          </cell>
          <cell r="D398" t="str">
            <v>Herramienta</v>
          </cell>
          <cell r="E398" t="str">
            <v>und</v>
          </cell>
          <cell r="F398">
            <v>2.5</v>
          </cell>
          <cell r="G398">
            <v>1933</v>
          </cell>
          <cell r="H398">
            <v>4833</v>
          </cell>
        </row>
        <row r="399">
          <cell r="A399" t="str">
            <v>033.172</v>
          </cell>
          <cell r="B399" t="str">
            <v>O19</v>
          </cell>
          <cell r="C399" t="str">
            <v>SOLDADURA ELECTRICA TIPO WESTARCO SUPER E- 6013  DE 1/8 O SIMILAR.</v>
          </cell>
          <cell r="D399" t="str">
            <v>Insumo</v>
          </cell>
          <cell r="E399" t="str">
            <v>kg</v>
          </cell>
          <cell r="F399">
            <v>0.7</v>
          </cell>
          <cell r="G399">
            <v>8198</v>
          </cell>
          <cell r="H399">
            <v>5739</v>
          </cell>
        </row>
        <row r="400">
          <cell r="A400" t="str">
            <v>033.172</v>
          </cell>
          <cell r="B400" t="str">
            <v>X01</v>
          </cell>
          <cell r="C400" t="str">
            <v>ANTICORROSIVO PREMIUM - TIPO PINTUCO REF. 513 O SIMILAR</v>
          </cell>
          <cell r="D400" t="str">
            <v>Insumo</v>
          </cell>
          <cell r="E400" t="str">
            <v>gal</v>
          </cell>
          <cell r="F400">
            <v>0.35</v>
          </cell>
          <cell r="G400">
            <v>46669</v>
          </cell>
          <cell r="H400">
            <v>16334</v>
          </cell>
        </row>
        <row r="401">
          <cell r="A401" t="str">
            <v>033.172</v>
          </cell>
          <cell r="B401" t="str">
            <v>I26</v>
          </cell>
          <cell r="C401" t="str">
            <v>ACARREO INTERNO</v>
          </cell>
          <cell r="D401" t="str">
            <v>Mano de Obra</v>
          </cell>
          <cell r="E401" t="str">
            <v>und</v>
          </cell>
          <cell r="F401">
            <v>0.5</v>
          </cell>
          <cell r="G401">
            <v>1037</v>
          </cell>
          <cell r="H401">
            <v>519</v>
          </cell>
        </row>
        <row r="402">
          <cell r="A402" t="str">
            <v>033.172</v>
          </cell>
          <cell r="B402" t="str">
            <v>E20B</v>
          </cell>
          <cell r="C402" t="str">
            <v>TUBO HG 3"</v>
          </cell>
          <cell r="D402" t="str">
            <v>Insumo</v>
          </cell>
          <cell r="E402" t="str">
            <v>m</v>
          </cell>
          <cell r="F402">
            <v>5</v>
          </cell>
          <cell r="G402">
            <v>51706</v>
          </cell>
          <cell r="H402">
            <v>258530</v>
          </cell>
        </row>
        <row r="403">
          <cell r="A403" t="str">
            <v>033.172</v>
          </cell>
          <cell r="B403" t="str">
            <v>E20B</v>
          </cell>
          <cell r="C403" t="str">
            <v>TUBO HG 4"</v>
          </cell>
          <cell r="D403" t="str">
            <v>Insumo</v>
          </cell>
          <cell r="E403" t="str">
            <v>m</v>
          </cell>
          <cell r="F403">
            <v>1.7359049239933473</v>
          </cell>
          <cell r="G403">
            <v>51706</v>
          </cell>
          <cell r="H403">
            <v>89757</v>
          </cell>
        </row>
        <row r="404">
          <cell r="A404" t="str">
            <v>033.172</v>
          </cell>
          <cell r="B404" t="str">
            <v>D28</v>
          </cell>
          <cell r="C404" t="str">
            <v>ANGULO 1 1/4" X 1 1/4" X 1/8"</v>
          </cell>
          <cell r="D404" t="str">
            <v>Insumo</v>
          </cell>
          <cell r="E404" t="str">
            <v>ml</v>
          </cell>
          <cell r="F404">
            <v>2.8</v>
          </cell>
          <cell r="G404">
            <v>6012</v>
          </cell>
          <cell r="H404">
            <v>16834</v>
          </cell>
        </row>
        <row r="405">
          <cell r="A405" t="str">
            <v>033.172</v>
          </cell>
          <cell r="B405" t="str">
            <v>E07</v>
          </cell>
          <cell r="C405" t="str">
            <v>PLATINA 3/4 X 1/8"</v>
          </cell>
          <cell r="D405" t="str">
            <v>Insumo</v>
          </cell>
          <cell r="E405" t="str">
            <v>ml</v>
          </cell>
          <cell r="F405">
            <v>4</v>
          </cell>
          <cell r="G405">
            <v>2100</v>
          </cell>
          <cell r="H405">
            <v>8400</v>
          </cell>
        </row>
        <row r="406">
          <cell r="A406" t="str">
            <v>033.172</v>
          </cell>
          <cell r="B406" t="str">
            <v>A09B</v>
          </cell>
          <cell r="C406" t="str">
            <v>VARILLA REDONDA LISA 3/4"</v>
          </cell>
          <cell r="D406" t="str">
            <v>Insumo</v>
          </cell>
          <cell r="E406" t="str">
            <v>m</v>
          </cell>
          <cell r="F406">
            <v>20</v>
          </cell>
          <cell r="G406">
            <v>3487</v>
          </cell>
          <cell r="H406">
            <v>69740</v>
          </cell>
        </row>
        <row r="407">
          <cell r="A407" t="str">
            <v>033.172</v>
          </cell>
          <cell r="B407" t="str">
            <v>A09B.1</v>
          </cell>
          <cell r="C407" t="str">
            <v>PLATINA 1 1/4" X 1/8"</v>
          </cell>
          <cell r="D407" t="str">
            <v>Insumo</v>
          </cell>
          <cell r="E407" t="str">
            <v>m</v>
          </cell>
          <cell r="F407">
            <v>3.75</v>
          </cell>
          <cell r="G407">
            <v>2500</v>
          </cell>
          <cell r="H407">
            <v>9375</v>
          </cell>
        </row>
        <row r="408">
          <cell r="A408" t="str">
            <v>033.172</v>
          </cell>
          <cell r="B408" t="str">
            <v>E20A</v>
          </cell>
          <cell r="C408" t="str">
            <v>TUBO HG 1 1/4"</v>
          </cell>
          <cell r="D408" t="str">
            <v>Insumo</v>
          </cell>
          <cell r="E408" t="str">
            <v>m</v>
          </cell>
          <cell r="F408">
            <v>0.2</v>
          </cell>
          <cell r="G408">
            <v>33669</v>
          </cell>
          <cell r="H408">
            <v>6734</v>
          </cell>
        </row>
        <row r="409">
          <cell r="B409" t="str">
            <v>D28</v>
          </cell>
          <cell r="C409" t="str">
            <v>ANGULO 1 1/2 " CALIBRE 3.175</v>
          </cell>
          <cell r="D409" t="str">
            <v>Insumo</v>
          </cell>
          <cell r="E409" t="str">
            <v>ml</v>
          </cell>
          <cell r="F409">
            <v>4</v>
          </cell>
          <cell r="G409">
            <v>6012</v>
          </cell>
          <cell r="H409">
            <v>24048</v>
          </cell>
        </row>
        <row r="410">
          <cell r="A410" t="str">
            <v>033.173</v>
          </cell>
        </row>
        <row r="411">
          <cell r="A411" t="str">
            <v>033.173</v>
          </cell>
          <cell r="C411" t="str">
            <v xml:space="preserve">SUMINISTRO, TRANSPORTE E INSTALACION, CERRAMIENTO EN ESTRUCTURA CONTRA IMPACTO Y MALLA ESLABONADA </v>
          </cell>
          <cell r="E411" t="str">
            <v>ml</v>
          </cell>
          <cell r="H411">
            <v>510793.39</v>
          </cell>
        </row>
        <row r="412">
          <cell r="A412" t="str">
            <v>033.173</v>
          </cell>
          <cell r="B412" t="str">
            <v>I44</v>
          </cell>
          <cell r="C412" t="str">
            <v>CUADRILLA AA TIPO 4 (1 OFICIAL + 4 AYUDANTE) (Albañileria)</v>
          </cell>
          <cell r="D412" t="str">
            <v>Mano de Obra</v>
          </cell>
          <cell r="E412" t="str">
            <v>hr</v>
          </cell>
          <cell r="F412">
            <v>1.35</v>
          </cell>
          <cell r="G412">
            <v>27316</v>
          </cell>
          <cell r="H412">
            <v>36877</v>
          </cell>
        </row>
        <row r="413">
          <cell r="A413" t="str">
            <v>033.173</v>
          </cell>
          <cell r="B413" t="str">
            <v>M03</v>
          </cell>
          <cell r="C413" t="str">
            <v>EQUIPO BASICO ( HERRAMIENTA MENOR )</v>
          </cell>
          <cell r="D413" t="str">
            <v>Herramienta</v>
          </cell>
          <cell r="E413" t="str">
            <v>und</v>
          </cell>
          <cell r="F413">
            <v>2.5</v>
          </cell>
          <cell r="G413">
            <v>1933</v>
          </cell>
          <cell r="H413">
            <v>4833</v>
          </cell>
        </row>
        <row r="414">
          <cell r="A414" t="str">
            <v>033.173</v>
          </cell>
          <cell r="B414" t="str">
            <v>O19</v>
          </cell>
          <cell r="C414" t="str">
            <v>SOLDADURA ELECTRICA TIPO WESTARCO SUPER E- 6013  DE 1/8 O SIMILAR.</v>
          </cell>
          <cell r="D414" t="str">
            <v>Insumo</v>
          </cell>
          <cell r="E414" t="str">
            <v>kg</v>
          </cell>
          <cell r="F414">
            <v>0.7</v>
          </cell>
          <cell r="G414">
            <v>8198</v>
          </cell>
          <cell r="H414">
            <v>5739</v>
          </cell>
        </row>
        <row r="415">
          <cell r="A415" t="str">
            <v>033.173</v>
          </cell>
          <cell r="B415" t="str">
            <v>X01</v>
          </cell>
          <cell r="C415" t="str">
            <v>ANTICORROSIVO PREMIUM - TIPO PINTUCO REF. 513 O SIMILAR</v>
          </cell>
          <cell r="D415" t="str">
            <v>Insumo</v>
          </cell>
          <cell r="E415" t="str">
            <v>gal</v>
          </cell>
          <cell r="F415">
            <v>0.35</v>
          </cell>
          <cell r="G415">
            <v>46669</v>
          </cell>
          <cell r="H415">
            <v>16334</v>
          </cell>
        </row>
        <row r="416">
          <cell r="A416" t="str">
            <v>033.173</v>
          </cell>
          <cell r="B416" t="str">
            <v>M28</v>
          </cell>
          <cell r="C416" t="str">
            <v>VOLQUETA  6M3 (CARGUE A MANO) RETIRO INTERNO</v>
          </cell>
          <cell r="D416" t="str">
            <v>Equipo</v>
          </cell>
          <cell r="E416" t="str">
            <v>vje</v>
          </cell>
          <cell r="F416">
            <v>0.05</v>
          </cell>
          <cell r="G416">
            <v>126559</v>
          </cell>
          <cell r="H416">
            <v>6328</v>
          </cell>
        </row>
        <row r="417">
          <cell r="A417" t="str">
            <v>033.173</v>
          </cell>
          <cell r="B417" t="str">
            <v>I26</v>
          </cell>
          <cell r="C417" t="str">
            <v>ACARREO INTERNO</v>
          </cell>
          <cell r="D417" t="str">
            <v>Mano de Obra</v>
          </cell>
          <cell r="E417" t="str">
            <v>und</v>
          </cell>
          <cell r="F417">
            <v>0.5</v>
          </cell>
          <cell r="G417">
            <v>1037</v>
          </cell>
          <cell r="H417">
            <v>519</v>
          </cell>
        </row>
        <row r="418">
          <cell r="A418" t="str">
            <v>033.173</v>
          </cell>
          <cell r="B418" t="str">
            <v>E20B</v>
          </cell>
          <cell r="C418" t="str">
            <v>TUBO HG 3"</v>
          </cell>
          <cell r="D418" t="str">
            <v>Insumo</v>
          </cell>
          <cell r="E418" t="str">
            <v>m</v>
          </cell>
          <cell r="F418">
            <v>5</v>
          </cell>
          <cell r="G418">
            <v>51706</v>
          </cell>
          <cell r="H418">
            <v>258530</v>
          </cell>
        </row>
        <row r="419">
          <cell r="A419" t="str">
            <v>033.173</v>
          </cell>
          <cell r="B419" t="str">
            <v>D28</v>
          </cell>
          <cell r="C419" t="str">
            <v>ANGULO 1 1/4" X 1 1/4" X 1/8"</v>
          </cell>
          <cell r="D419" t="str">
            <v>Insumo</v>
          </cell>
          <cell r="E419" t="str">
            <v>ml</v>
          </cell>
          <cell r="F419">
            <v>2.8</v>
          </cell>
          <cell r="G419">
            <v>6012</v>
          </cell>
          <cell r="H419">
            <v>16834</v>
          </cell>
        </row>
        <row r="420">
          <cell r="A420" t="str">
            <v>033.173</v>
          </cell>
          <cell r="B420" t="str">
            <v>E07</v>
          </cell>
          <cell r="C420" t="str">
            <v>PLATINA 3/4 X 1/8"</v>
          </cell>
          <cell r="D420" t="str">
            <v>Insumo</v>
          </cell>
          <cell r="E420" t="str">
            <v>ml</v>
          </cell>
          <cell r="F420">
            <v>4</v>
          </cell>
          <cell r="G420">
            <v>2100</v>
          </cell>
          <cell r="H420">
            <v>8400</v>
          </cell>
        </row>
        <row r="421">
          <cell r="A421" t="str">
            <v>033.173</v>
          </cell>
          <cell r="B421" t="str">
            <v>E02A</v>
          </cell>
          <cell r="C421" t="str">
            <v>MALLA ESLABONADA CAL. 10 X 2" +  ANGULO 1 1/2" X  1/8" CAL.3,175+ ANTICORROSIVO + PINTURA ELECTROSTATICA. SUMINISTRO E INSTALACIÓN A TODO COSTO. INCLUYE EL SUMINISTRO DE TODOS LOS ACCESORIOS REQUERIDOS PARA EL CORRECTO MONTAJE.</v>
          </cell>
          <cell r="D421" t="str">
            <v>Insumo</v>
          </cell>
          <cell r="E421" t="str">
            <v>m2</v>
          </cell>
          <cell r="F421">
            <v>1.03</v>
          </cell>
          <cell r="G421">
            <v>15514</v>
          </cell>
          <cell r="H421">
            <v>15979</v>
          </cell>
        </row>
        <row r="422">
          <cell r="B422" t="str">
            <v>E19</v>
          </cell>
          <cell r="C422" t="str">
            <v>PLATINA HR DE 1/8"  ( 1*1M )</v>
          </cell>
          <cell r="D422" t="str">
            <v>Insumo</v>
          </cell>
          <cell r="E422" t="str">
            <v>und</v>
          </cell>
          <cell r="F422">
            <v>0.5</v>
          </cell>
          <cell r="G422">
            <v>214007</v>
          </cell>
          <cell r="H422">
            <v>107004</v>
          </cell>
        </row>
        <row r="423">
          <cell r="A423" t="str">
            <v>033.174</v>
          </cell>
        </row>
        <row r="424">
          <cell r="A424" t="str">
            <v>033.174</v>
          </cell>
          <cell r="C424" t="str">
            <v>SUMINISTRO, TRANSPORTE E INSTALACION, CERRAMIENTO EN TUBERIA GALVANIZADA DE 3", MALLA EN  NYLON CAL 2 CON PROTECCION UV.</v>
          </cell>
          <cell r="E424" t="str">
            <v>ml</v>
          </cell>
          <cell r="H424">
            <v>46226.14</v>
          </cell>
        </row>
        <row r="425">
          <cell r="A425" t="str">
            <v>033.174</v>
          </cell>
          <cell r="B425" t="str">
            <v>I44</v>
          </cell>
          <cell r="C425" t="str">
            <v>CUADRILLA AA TIPO 4 (1 OFICIAL + 4 AYUDANTE) (Albañileria)</v>
          </cell>
          <cell r="D425" t="str">
            <v>Mano de Obra</v>
          </cell>
          <cell r="E425" t="str">
            <v>hr</v>
          </cell>
          <cell r="F425">
            <v>0.5</v>
          </cell>
          <cell r="G425">
            <v>27316</v>
          </cell>
          <cell r="H425">
            <v>13658</v>
          </cell>
        </row>
        <row r="426">
          <cell r="A426" t="str">
            <v>033.174</v>
          </cell>
          <cell r="B426" t="str">
            <v>M03</v>
          </cell>
          <cell r="C426" t="str">
            <v>EQUIPO BASICO ( HERRAMIENTA MENOR )</v>
          </cell>
          <cell r="D426" t="str">
            <v>Herramienta</v>
          </cell>
          <cell r="E426" t="str">
            <v>und</v>
          </cell>
          <cell r="F426">
            <v>2.5</v>
          </cell>
          <cell r="G426">
            <v>1933</v>
          </cell>
          <cell r="H426">
            <v>4833</v>
          </cell>
        </row>
        <row r="427">
          <cell r="A427" t="str">
            <v>033.174</v>
          </cell>
          <cell r="B427" t="str">
            <v>M28</v>
          </cell>
          <cell r="C427" t="str">
            <v>VOLQUETA  6M3 (CARGUE A MANO) RETIRO INTERNO</v>
          </cell>
          <cell r="D427" t="str">
            <v>Equipo</v>
          </cell>
          <cell r="E427" t="str">
            <v>vje</v>
          </cell>
          <cell r="F427">
            <v>0.05</v>
          </cell>
          <cell r="G427">
            <v>126559</v>
          </cell>
          <cell r="H427">
            <v>6328</v>
          </cell>
        </row>
        <row r="428">
          <cell r="A428" t="str">
            <v>033.174</v>
          </cell>
          <cell r="B428" t="str">
            <v>I26</v>
          </cell>
          <cell r="C428" t="str">
            <v>ACARREO INTERNO</v>
          </cell>
          <cell r="D428" t="str">
            <v>Mano de Obra</v>
          </cell>
          <cell r="E428" t="str">
            <v>und</v>
          </cell>
          <cell r="F428">
            <v>0.5</v>
          </cell>
          <cell r="G428">
            <v>1037</v>
          </cell>
          <cell r="H428">
            <v>519</v>
          </cell>
        </row>
        <row r="429">
          <cell r="A429" t="str">
            <v>033.174</v>
          </cell>
          <cell r="B429" t="str">
            <v>E20B.2</v>
          </cell>
          <cell r="C429" t="str">
            <v xml:space="preserve">TUBERIA GALVANIZADA 3" X6M </v>
          </cell>
          <cell r="D429" t="str">
            <v>Insumo</v>
          </cell>
          <cell r="E429" t="str">
            <v>ml</v>
          </cell>
          <cell r="F429">
            <v>0.111</v>
          </cell>
          <cell r="G429">
            <v>28500</v>
          </cell>
          <cell r="H429">
            <v>3164</v>
          </cell>
        </row>
        <row r="430">
          <cell r="A430" t="str">
            <v>033.174</v>
          </cell>
          <cell r="B430" t="str">
            <v>E07</v>
          </cell>
          <cell r="C430" t="str">
            <v>PLATINA 3/4 X 1/8"</v>
          </cell>
          <cell r="D430" t="str">
            <v>Insumo</v>
          </cell>
          <cell r="E430" t="str">
            <v>ml</v>
          </cell>
          <cell r="F430">
            <v>4</v>
          </cell>
          <cell r="G430">
            <v>2100</v>
          </cell>
          <cell r="H430">
            <v>8400</v>
          </cell>
        </row>
        <row r="431">
          <cell r="B431" t="str">
            <v>I455</v>
          </cell>
          <cell r="C431" t="str">
            <v>MALLA NYLON CAL 2</v>
          </cell>
          <cell r="D431" t="str">
            <v>Insumo</v>
          </cell>
          <cell r="E431" t="str">
            <v>m2</v>
          </cell>
          <cell r="F431">
            <v>1.05</v>
          </cell>
          <cell r="G431">
            <v>6000</v>
          </cell>
          <cell r="H431">
            <v>6300</v>
          </cell>
        </row>
        <row r="433">
          <cell r="A433" t="str">
            <v>033.175</v>
          </cell>
        </row>
        <row r="434">
          <cell r="A434" t="str">
            <v>033.175</v>
          </cell>
          <cell r="C434" t="str">
            <v xml:space="preserve">SUMINISTRO, TRANSPORTE E INSTALACION PUERTA CORREDIZA INCLUYE RIEL EN LAMINA DE ACERO A-500 Y TODOS LOS ACCESORIOS NECESARIOS PARA LA CORRECTA INSTALACION </v>
          </cell>
          <cell r="E434" t="str">
            <v>ml</v>
          </cell>
          <cell r="H434">
            <v>853596.78</v>
          </cell>
        </row>
        <row r="435">
          <cell r="A435" t="str">
            <v>033.175</v>
          </cell>
          <cell r="B435" t="str">
            <v>I44</v>
          </cell>
          <cell r="C435" t="str">
            <v>CUADRILLA AA TIPO 4 (1 OFICIAL + 4 AYUDANTE) (Albañileria)</v>
          </cell>
          <cell r="D435" t="str">
            <v>Mano de Obra</v>
          </cell>
          <cell r="E435" t="str">
            <v>hr</v>
          </cell>
          <cell r="F435">
            <v>1.35</v>
          </cell>
          <cell r="G435">
            <v>27316</v>
          </cell>
          <cell r="H435">
            <v>36877</v>
          </cell>
        </row>
        <row r="436">
          <cell r="A436" t="str">
            <v>033.175</v>
          </cell>
          <cell r="B436" t="str">
            <v>M03</v>
          </cell>
          <cell r="C436" t="str">
            <v>EQUIPO BASICO ( HERRAMIENTA MENOR )</v>
          </cell>
          <cell r="D436" t="str">
            <v>Herramienta</v>
          </cell>
          <cell r="E436" t="str">
            <v>und</v>
          </cell>
          <cell r="F436">
            <v>2.5</v>
          </cell>
          <cell r="G436">
            <v>1933</v>
          </cell>
          <cell r="H436">
            <v>4833</v>
          </cell>
        </row>
        <row r="437">
          <cell r="A437" t="str">
            <v>033.175</v>
          </cell>
          <cell r="B437" t="str">
            <v>O19</v>
          </cell>
          <cell r="C437" t="str">
            <v>SOLDADURA ELECTRICA TIPO WESTARCO SUPER E- 6013  DE 1/8 O SIMILAR.</v>
          </cell>
          <cell r="D437" t="str">
            <v>Insumo</v>
          </cell>
          <cell r="E437" t="str">
            <v>kg</v>
          </cell>
          <cell r="F437">
            <v>0.7</v>
          </cell>
          <cell r="G437">
            <v>8198</v>
          </cell>
          <cell r="H437">
            <v>5739</v>
          </cell>
        </row>
        <row r="438">
          <cell r="A438" t="str">
            <v>033.175</v>
          </cell>
          <cell r="B438" t="str">
            <v>X01</v>
          </cell>
          <cell r="C438" t="str">
            <v>ANTICORROSIVO PREMIUM - TIPO PINTUCO REF. 513 O SIMILAR</v>
          </cell>
          <cell r="D438" t="str">
            <v>Insumo</v>
          </cell>
          <cell r="E438" t="str">
            <v>gal</v>
          </cell>
          <cell r="F438">
            <v>0.35</v>
          </cell>
          <cell r="G438">
            <v>46669</v>
          </cell>
          <cell r="H438">
            <v>16334</v>
          </cell>
        </row>
        <row r="439">
          <cell r="A439" t="str">
            <v>033.175</v>
          </cell>
          <cell r="B439" t="str">
            <v>M28</v>
          </cell>
          <cell r="C439" t="str">
            <v>VOLQUETA  6M3 (CARGUE A MANO) RETIRO INTERNO</v>
          </cell>
          <cell r="D439" t="str">
            <v>Equipo</v>
          </cell>
          <cell r="E439" t="str">
            <v>vje</v>
          </cell>
          <cell r="F439">
            <v>0.05</v>
          </cell>
          <cell r="G439">
            <v>126559</v>
          </cell>
          <cell r="H439">
            <v>6328</v>
          </cell>
        </row>
        <row r="440">
          <cell r="A440" t="str">
            <v>033.175</v>
          </cell>
          <cell r="B440" t="str">
            <v>I26</v>
          </cell>
          <cell r="C440" t="str">
            <v>ACARREO INTERNO</v>
          </cell>
          <cell r="D440" t="str">
            <v>Mano de Obra</v>
          </cell>
          <cell r="E440" t="str">
            <v>und</v>
          </cell>
          <cell r="F440">
            <v>0.5</v>
          </cell>
          <cell r="G440">
            <v>1037</v>
          </cell>
          <cell r="H440">
            <v>519</v>
          </cell>
        </row>
        <row r="441">
          <cell r="A441" t="str">
            <v>033.175</v>
          </cell>
          <cell r="B441" t="str">
            <v>E20B</v>
          </cell>
          <cell r="C441" t="str">
            <v>TUBO HG 3"</v>
          </cell>
          <cell r="D441" t="str">
            <v>Insumo</v>
          </cell>
          <cell r="E441" t="str">
            <v>m</v>
          </cell>
          <cell r="F441">
            <v>17</v>
          </cell>
          <cell r="G441">
            <v>51706</v>
          </cell>
          <cell r="H441">
            <v>879002</v>
          </cell>
        </row>
        <row r="442">
          <cell r="A442" t="str">
            <v>033.175</v>
          </cell>
          <cell r="B442" t="str">
            <v>D28</v>
          </cell>
          <cell r="C442" t="str">
            <v>ANGULO 1 1/4" X 1 1/4" X 1/8"</v>
          </cell>
          <cell r="D442" t="str">
            <v>Insumo</v>
          </cell>
          <cell r="E442" t="str">
            <v>ml</v>
          </cell>
          <cell r="F442">
            <v>2.8</v>
          </cell>
          <cell r="G442">
            <v>6012</v>
          </cell>
          <cell r="H442">
            <v>16834</v>
          </cell>
        </row>
        <row r="443">
          <cell r="A443" t="str">
            <v>033.175</v>
          </cell>
          <cell r="B443" t="str">
            <v>E07</v>
          </cell>
          <cell r="C443" t="str">
            <v>PLATINA 3/4 X 1/8"</v>
          </cell>
          <cell r="D443" t="str">
            <v>Insumo</v>
          </cell>
          <cell r="E443" t="str">
            <v>ml</v>
          </cell>
          <cell r="F443">
            <v>4</v>
          </cell>
          <cell r="G443">
            <v>2100</v>
          </cell>
          <cell r="H443">
            <v>8400</v>
          </cell>
        </row>
        <row r="444">
          <cell r="A444" t="str">
            <v>033.175</v>
          </cell>
          <cell r="B444" t="str">
            <v>E02A</v>
          </cell>
          <cell r="C444" t="str">
            <v>MALLA ESLABONADA CAL. 10 X 2" +  ANGULO 1 1/2 X  1 1/2 X 1/4" + ANTICORROSIVO + PINTURA ELECTROSTATICA. SUMINISTRO E INSTALACIÓN A TODO COSTO. INCLUYE EL SUMINISTRO DE TODOS LOS ACCESORIOS REQUERIDOS PARA EL CORRECTO MONTAJE.</v>
          </cell>
          <cell r="D444" t="str">
            <v>Insumo</v>
          </cell>
          <cell r="E444" t="str">
            <v>m2</v>
          </cell>
          <cell r="F444">
            <v>1.03</v>
          </cell>
          <cell r="G444">
            <v>15514</v>
          </cell>
          <cell r="H444">
            <v>15979</v>
          </cell>
        </row>
        <row r="445">
          <cell r="A445" t="str">
            <v>033.175</v>
          </cell>
          <cell r="B445" t="str">
            <v>E81.1</v>
          </cell>
          <cell r="C445" t="str">
            <v>RIEL EN LAMINA DE ACERO A-500</v>
          </cell>
          <cell r="D445" t="str">
            <v>Insumo</v>
          </cell>
          <cell r="E445" t="str">
            <v>m</v>
          </cell>
          <cell r="F445">
            <v>12</v>
          </cell>
          <cell r="G445">
            <v>35780</v>
          </cell>
          <cell r="H445">
            <v>429360</v>
          </cell>
        </row>
        <row r="446">
          <cell r="B446" t="str">
            <v>ACC</v>
          </cell>
          <cell r="C446" t="str">
            <v xml:space="preserve">ACCESORIOS </v>
          </cell>
          <cell r="D446" t="str">
            <v>Insumo</v>
          </cell>
          <cell r="E446" t="str">
            <v>gl</v>
          </cell>
          <cell r="F446">
            <v>1.5</v>
          </cell>
          <cell r="G446">
            <v>50000</v>
          </cell>
          <cell r="H446">
            <v>75000</v>
          </cell>
        </row>
        <row r="447">
          <cell r="A447" t="str">
            <v>007</v>
          </cell>
        </row>
        <row r="448">
          <cell r="C448" t="str">
            <v>OBRAS COMPLEMENTARIAS</v>
          </cell>
          <cell r="D448" t="str">
            <v>Capitulo</v>
          </cell>
        </row>
        <row r="450">
          <cell r="A450" t="str">
            <v>033.087</v>
          </cell>
        </row>
        <row r="451">
          <cell r="A451" t="str">
            <v>033.087</v>
          </cell>
          <cell r="B451" t="str">
            <v>-</v>
          </cell>
          <cell r="C451" t="str">
            <v>DEMOLICION DE ESTRUCTURAS DE CONCRETO REFORZADO</v>
          </cell>
          <cell r="D451" t="str">
            <v>Actividad</v>
          </cell>
          <cell r="E451" t="str">
            <v>M3</v>
          </cell>
          <cell r="H451">
            <v>128189</v>
          </cell>
        </row>
        <row r="452">
          <cell r="A452" t="str">
            <v>033.087</v>
          </cell>
          <cell r="B452" t="str">
            <v>C22</v>
          </cell>
          <cell r="C452" t="str">
            <v>CUADRILLA AA TIPO 4 (1 OFICIAL + 4 AYUDANTE) (Albañileria)</v>
          </cell>
          <cell r="D452" t="str">
            <v>Cuadrilla</v>
          </cell>
          <cell r="E452" t="str">
            <v>HR</v>
          </cell>
          <cell r="F452">
            <v>0.75</v>
          </cell>
          <cell r="G452">
            <v>35996</v>
          </cell>
          <cell r="H452">
            <v>26997</v>
          </cell>
        </row>
        <row r="453">
          <cell r="A453" t="str">
            <v>033.087</v>
          </cell>
          <cell r="B453" t="str">
            <v>E24</v>
          </cell>
          <cell r="C453" t="str">
            <v>VOLQUETA  6M3 (CARGUE A MANO)</v>
          </cell>
          <cell r="D453" t="str">
            <v>Equipos</v>
          </cell>
          <cell r="E453" t="str">
            <v>VJE</v>
          </cell>
          <cell r="F453">
            <v>0.25</v>
          </cell>
          <cell r="G453">
            <v>118086</v>
          </cell>
          <cell r="H453">
            <v>29522</v>
          </cell>
        </row>
        <row r="454">
          <cell r="A454" t="str">
            <v>033.087</v>
          </cell>
          <cell r="B454" t="str">
            <v>E7</v>
          </cell>
          <cell r="C454" t="str">
            <v>COMPRESOR 2 MARTILLOS (INCLUYE ACPM Y TRANSPORTE)</v>
          </cell>
          <cell r="D454" t="str">
            <v>Equipos</v>
          </cell>
          <cell r="E454" t="str">
            <v>HR</v>
          </cell>
          <cell r="F454">
            <v>0.9</v>
          </cell>
          <cell r="G454">
            <v>76106</v>
          </cell>
          <cell r="H454">
            <v>68495</v>
          </cell>
        </row>
        <row r="455">
          <cell r="A455" t="str">
            <v>033.087</v>
          </cell>
          <cell r="B455" t="str">
            <v>H2</v>
          </cell>
          <cell r="C455" t="str">
            <v>EQUIPO BASICO (HERRAMIENTA MENOR)</v>
          </cell>
          <cell r="D455" t="str">
            <v>Herramienta</v>
          </cell>
          <cell r="E455" t="str">
            <v>UND</v>
          </cell>
          <cell r="F455">
            <v>0.75</v>
          </cell>
          <cell r="G455">
            <v>2536</v>
          </cell>
          <cell r="H455">
            <v>1902</v>
          </cell>
        </row>
        <row r="456">
          <cell r="B456" t="str">
            <v>I1565</v>
          </cell>
          <cell r="C456" t="str">
            <v>ACARREO INTERNO</v>
          </cell>
          <cell r="D456" t="str">
            <v>Insumo</v>
          </cell>
          <cell r="E456" t="str">
            <v>UND</v>
          </cell>
          <cell r="F456">
            <v>0.95960000000000001</v>
          </cell>
          <cell r="G456">
            <v>1327</v>
          </cell>
          <cell r="H456">
            <v>1273</v>
          </cell>
        </row>
        <row r="458">
          <cell r="A458" t="str">
            <v>033.127</v>
          </cell>
        </row>
        <row r="459">
          <cell r="A459" t="str">
            <v>033.127</v>
          </cell>
          <cell r="B459" t="str">
            <v>-</v>
          </cell>
          <cell r="C459" t="str">
            <v>SUMINISTRO, TRANSPORTE E INSTALACION BASE ALCANTARILLA DE CAJON O BOX COULVERT EN CONCRETO PRODUCIDO EN OBRA DE 3000 PSI</v>
          </cell>
          <cell r="D459" t="str">
            <v>Actividad</v>
          </cell>
          <cell r="E459" t="str">
            <v>M3</v>
          </cell>
          <cell r="H459">
            <v>683186</v>
          </cell>
        </row>
        <row r="460">
          <cell r="A460" t="str">
            <v>033.127</v>
          </cell>
          <cell r="B460" t="str">
            <v>AB5</v>
          </cell>
          <cell r="C460" t="str">
            <v>CONCRETO 3000 psi - 21 Mpa</v>
          </cell>
          <cell r="D460" t="str">
            <v>Analisis</v>
          </cell>
          <cell r="E460" t="str">
            <v>M3</v>
          </cell>
          <cell r="F460">
            <v>1.05</v>
          </cell>
          <cell r="G460">
            <v>421155</v>
          </cell>
          <cell r="H460">
            <v>442213</v>
          </cell>
        </row>
        <row r="461">
          <cell r="A461" t="str">
            <v>033.127</v>
          </cell>
          <cell r="B461" t="str">
            <v>C36</v>
          </cell>
          <cell r="C461" t="str">
            <v>CUADRILLA AA TIPO 6 (1 OFICIAL + 6 AYUDANTE) (Albañileria)</v>
          </cell>
          <cell r="D461" t="str">
            <v>Cuadrilla</v>
          </cell>
          <cell r="E461" t="str">
            <v>HR</v>
          </cell>
          <cell r="F461">
            <v>2.8</v>
          </cell>
          <cell r="G461">
            <v>48852</v>
          </cell>
          <cell r="H461">
            <v>136786</v>
          </cell>
        </row>
        <row r="462">
          <cell r="A462" t="str">
            <v>033.127</v>
          </cell>
          <cell r="B462" t="str">
            <v>E12</v>
          </cell>
          <cell r="C462" t="str">
            <v>EQUIPO DE TRANSPORTE</v>
          </cell>
          <cell r="D462" t="str">
            <v>Equipos</v>
          </cell>
          <cell r="E462" t="str">
            <v>DIA</v>
          </cell>
          <cell r="F462">
            <v>7.51E-2</v>
          </cell>
          <cell r="G462">
            <v>131205</v>
          </cell>
          <cell r="H462">
            <v>9853</v>
          </cell>
        </row>
        <row r="463">
          <cell r="A463" t="str">
            <v>033.127</v>
          </cell>
          <cell r="B463" t="str">
            <v>E21</v>
          </cell>
          <cell r="C463" t="str">
            <v>VIBRADOR A GASOLINA</v>
          </cell>
          <cell r="D463" t="str">
            <v>Equipos</v>
          </cell>
          <cell r="E463" t="str">
            <v>DIA</v>
          </cell>
          <cell r="F463">
            <v>0.1</v>
          </cell>
          <cell r="G463">
            <v>51948</v>
          </cell>
          <cell r="H463">
            <v>5195</v>
          </cell>
        </row>
        <row r="464">
          <cell r="A464" t="str">
            <v>033.127</v>
          </cell>
          <cell r="B464" t="str">
            <v>H2</v>
          </cell>
          <cell r="C464" t="str">
            <v>EQUIPO BASICO (HERRAMIENTA MENOR)</v>
          </cell>
          <cell r="D464" t="str">
            <v>Herramienta</v>
          </cell>
          <cell r="E464" t="str">
            <v>UND</v>
          </cell>
          <cell r="F464">
            <v>2.8</v>
          </cell>
          <cell r="G464">
            <v>2536</v>
          </cell>
          <cell r="H464">
            <v>7101</v>
          </cell>
        </row>
        <row r="465">
          <cell r="A465" t="str">
            <v>033.127</v>
          </cell>
          <cell r="B465" t="str">
            <v>I1565</v>
          </cell>
          <cell r="C465" t="str">
            <v>ACARREO INTERNO</v>
          </cell>
          <cell r="D465" t="str">
            <v>Insumo</v>
          </cell>
          <cell r="E465" t="str">
            <v>UND</v>
          </cell>
          <cell r="F465">
            <v>8.6999999999999993</v>
          </cell>
          <cell r="G465">
            <v>1327</v>
          </cell>
          <cell r="H465">
            <v>11545</v>
          </cell>
        </row>
        <row r="466">
          <cell r="A466" t="str">
            <v>033.127</v>
          </cell>
          <cell r="B466" t="str">
            <v>I425</v>
          </cell>
          <cell r="C466" t="str">
            <v>PUNTILLA CON CABEZA 2"</v>
          </cell>
          <cell r="D466" t="str">
            <v>Insumo</v>
          </cell>
          <cell r="E466" t="str">
            <v>LB</v>
          </cell>
          <cell r="F466">
            <v>2</v>
          </cell>
          <cell r="G466">
            <v>3585</v>
          </cell>
          <cell r="H466">
            <v>7170</v>
          </cell>
        </row>
        <row r="467">
          <cell r="A467" t="str">
            <v>033.127</v>
          </cell>
          <cell r="B467" t="str">
            <v>I987</v>
          </cell>
          <cell r="C467" t="str">
            <v>VARILLÓN DE 0,02 X 0,05 X 2,80</v>
          </cell>
          <cell r="D467" t="str">
            <v>Insumo</v>
          </cell>
          <cell r="E467" t="str">
            <v>UND</v>
          </cell>
          <cell r="F467">
            <v>17</v>
          </cell>
          <cell r="G467">
            <v>2321</v>
          </cell>
          <cell r="H467">
            <v>39457</v>
          </cell>
        </row>
        <row r="468">
          <cell r="B468" t="str">
            <v>I991</v>
          </cell>
          <cell r="C468" t="str">
            <v>CUARTON 2"X4"X3M</v>
          </cell>
          <cell r="D468" t="str">
            <v>Insumo</v>
          </cell>
          <cell r="E468" t="str">
            <v>UND</v>
          </cell>
          <cell r="F468">
            <v>2.4</v>
          </cell>
          <cell r="G468">
            <v>9944</v>
          </cell>
          <cell r="H468">
            <v>23866</v>
          </cell>
        </row>
        <row r="470">
          <cell r="A470" t="str">
            <v>002.001</v>
          </cell>
        </row>
        <row r="471">
          <cell r="A471" t="str">
            <v>002.001</v>
          </cell>
          <cell r="B471" t="str">
            <v>-</v>
          </cell>
          <cell r="C471" t="str">
            <v>EXCAVACIÓN EN ZANJA - MATERIAL COMÚN - 0.0 A 2.0 M</v>
          </cell>
          <cell r="D471" t="str">
            <v>Actividad</v>
          </cell>
          <cell r="E471" t="str">
            <v>M3</v>
          </cell>
          <cell r="H471">
            <v>23703</v>
          </cell>
        </row>
        <row r="472">
          <cell r="A472" t="str">
            <v>002.001</v>
          </cell>
          <cell r="B472" t="str">
            <v>C22</v>
          </cell>
          <cell r="C472" t="str">
            <v>CUADRILLA AA TIPO 4 (1 OFICIAL + 4 AYUDANTE) (Albañileria)</v>
          </cell>
          <cell r="D472" t="str">
            <v>Cuadrilla</v>
          </cell>
          <cell r="E472" t="str">
            <v>HR</v>
          </cell>
          <cell r="F472">
            <v>0.6</v>
          </cell>
          <cell r="G472">
            <v>35996</v>
          </cell>
          <cell r="H472">
            <v>21598</v>
          </cell>
        </row>
        <row r="473">
          <cell r="A473" t="str">
            <v>002.001</v>
          </cell>
          <cell r="B473" t="str">
            <v>E36</v>
          </cell>
          <cell r="C473" t="str">
            <v>EQUIPO MANEJO DE AGUAS DIFERENTE A AGUAS RESIDUALES</v>
          </cell>
          <cell r="D473" t="str">
            <v>Equipos</v>
          </cell>
          <cell r="E473" t="str">
            <v>DIA</v>
          </cell>
          <cell r="F473">
            <v>3.3000000000000002E-2</v>
          </cell>
          <cell r="G473">
            <v>48431</v>
          </cell>
          <cell r="H473">
            <v>1598</v>
          </cell>
        </row>
        <row r="474">
          <cell r="B474" t="str">
            <v>H2</v>
          </cell>
          <cell r="C474" t="str">
            <v>EQUIPO BASICO (HERRAMIENTA MENOR)</v>
          </cell>
          <cell r="D474" t="str">
            <v>Herramienta</v>
          </cell>
          <cell r="E474" t="str">
            <v>UND</v>
          </cell>
          <cell r="F474">
            <v>0.2</v>
          </cell>
          <cell r="G474">
            <v>2536</v>
          </cell>
          <cell r="H474">
            <v>507</v>
          </cell>
        </row>
        <row r="476">
          <cell r="A476" t="str">
            <v>021.004</v>
          </cell>
        </row>
        <row r="477">
          <cell r="A477" t="str">
            <v>021.004</v>
          </cell>
          <cell r="B477" t="str">
            <v>-</v>
          </cell>
          <cell r="C477" t="str">
            <v>SUMINISTRO, TRANSPORTE E INSTALACION ANDEN CONCRETO 2500 PSI  REFORZADO  E= 0.10M.  ACABADO:  ESCOBIADO</v>
          </cell>
          <cell r="D477" t="str">
            <v>Actividad</v>
          </cell>
          <cell r="E477" t="str">
            <v>M2</v>
          </cell>
          <cell r="H477">
            <v>78559</v>
          </cell>
        </row>
        <row r="478">
          <cell r="A478" t="str">
            <v>021.004</v>
          </cell>
          <cell r="B478" t="str">
            <v>AB4</v>
          </cell>
          <cell r="C478" t="str">
            <v>CONCRETO 2500 psi - 17.5 Mpa</v>
          </cell>
          <cell r="D478" t="str">
            <v>Analisis</v>
          </cell>
          <cell r="E478" t="str">
            <v>M3</v>
          </cell>
          <cell r="F478">
            <v>0.1</v>
          </cell>
          <cell r="G478">
            <v>380250</v>
          </cell>
          <cell r="H478">
            <v>38025</v>
          </cell>
        </row>
        <row r="479">
          <cell r="A479" t="str">
            <v>021.004</v>
          </cell>
          <cell r="B479" t="str">
            <v>C15</v>
          </cell>
          <cell r="C479" t="str">
            <v>CUADRILLA AA TIPO 3 (1 OFICIAL + 3 AYUDANTE) (Albañileria)</v>
          </cell>
          <cell r="D479" t="str">
            <v>Cuadrilla</v>
          </cell>
          <cell r="E479" t="str">
            <v>HR</v>
          </cell>
          <cell r="F479">
            <v>1</v>
          </cell>
          <cell r="G479">
            <v>29568</v>
          </cell>
          <cell r="H479">
            <v>29568</v>
          </cell>
        </row>
        <row r="480">
          <cell r="A480" t="str">
            <v>021.004</v>
          </cell>
          <cell r="B480" t="str">
            <v>E104</v>
          </cell>
          <cell r="C480" t="str">
            <v>FORMALETA SARDINEL DESDE 0.20 HASTA 0.60 M. DE ALTURA POR 2.00 M. DE LONGITUD</v>
          </cell>
          <cell r="D480" t="str">
            <v>Equipos</v>
          </cell>
          <cell r="E480" t="str">
            <v>DIA</v>
          </cell>
          <cell r="F480">
            <v>1.5</v>
          </cell>
          <cell r="G480">
            <v>353</v>
          </cell>
          <cell r="H480">
            <v>530</v>
          </cell>
        </row>
        <row r="481">
          <cell r="A481" t="str">
            <v>021.004</v>
          </cell>
          <cell r="B481" t="str">
            <v>E12</v>
          </cell>
          <cell r="C481" t="str">
            <v>EQUIPO DE TRANSPORTE</v>
          </cell>
          <cell r="D481" t="str">
            <v>Equipos</v>
          </cell>
          <cell r="E481" t="str">
            <v>DIA</v>
          </cell>
          <cell r="F481">
            <v>6.4999999999999997E-3</v>
          </cell>
          <cell r="G481">
            <v>131205</v>
          </cell>
          <cell r="H481">
            <v>853</v>
          </cell>
        </row>
        <row r="482">
          <cell r="A482" t="str">
            <v>021.004</v>
          </cell>
          <cell r="B482" t="str">
            <v>H2</v>
          </cell>
          <cell r="C482" t="str">
            <v>EQUIPO BASICO (HERRAMIENTA MENOR)</v>
          </cell>
          <cell r="D482" t="str">
            <v>Herramienta</v>
          </cell>
          <cell r="E482" t="str">
            <v>UND</v>
          </cell>
          <cell r="F482">
            <v>0.4</v>
          </cell>
          <cell r="G482">
            <v>2536</v>
          </cell>
          <cell r="H482">
            <v>1014</v>
          </cell>
        </row>
        <row r="483">
          <cell r="A483" t="str">
            <v>021.004</v>
          </cell>
          <cell r="B483" t="str">
            <v>I1565</v>
          </cell>
          <cell r="C483" t="str">
            <v>ACARREO INTERNO</v>
          </cell>
          <cell r="D483" t="str">
            <v>Insumo</v>
          </cell>
          <cell r="E483" t="str">
            <v>UND</v>
          </cell>
          <cell r="F483">
            <v>1.8</v>
          </cell>
          <cell r="G483">
            <v>1327</v>
          </cell>
          <cell r="H483">
            <v>2389</v>
          </cell>
        </row>
        <row r="484">
          <cell r="A484" t="str">
            <v>021.004</v>
          </cell>
          <cell r="B484" t="str">
            <v>I423</v>
          </cell>
          <cell r="C484" t="str">
            <v>POLIETILENO NO. 6</v>
          </cell>
          <cell r="D484" t="str">
            <v>Insumo</v>
          </cell>
          <cell r="E484" t="str">
            <v>M2</v>
          </cell>
          <cell r="F484">
            <v>1</v>
          </cell>
          <cell r="G484">
            <v>3585</v>
          </cell>
          <cell r="H484">
            <v>3585</v>
          </cell>
        </row>
        <row r="485">
          <cell r="B485" t="str">
            <v>I957</v>
          </cell>
          <cell r="C485" t="str">
            <v>LISTON 2 X 4</v>
          </cell>
          <cell r="D485" t="str">
            <v>Insumo</v>
          </cell>
          <cell r="E485" t="str">
            <v>M</v>
          </cell>
          <cell r="F485">
            <v>0.8</v>
          </cell>
          <cell r="G485">
            <v>3244</v>
          </cell>
          <cell r="H485">
            <v>2595</v>
          </cell>
        </row>
        <row r="487">
          <cell r="A487" t="str">
            <v>033.139</v>
          </cell>
        </row>
        <row r="488">
          <cell r="A488" t="str">
            <v>033.139</v>
          </cell>
          <cell r="B488" t="str">
            <v>-</v>
          </cell>
          <cell r="C488" t="str">
            <v>SUMINISTRO, TRANSPORTE E INSTALACION ZANJA COLECTORA EN CONCRETO DE 3000 PSI PRODUCIDO EN OBRA</v>
          </cell>
          <cell r="D488" t="str">
            <v>Actividad</v>
          </cell>
          <cell r="E488" t="str">
            <v>M3</v>
          </cell>
          <cell r="H488">
            <v>693005</v>
          </cell>
        </row>
        <row r="489">
          <cell r="A489" t="str">
            <v>033.139</v>
          </cell>
          <cell r="B489" t="str">
            <v>AB5</v>
          </cell>
          <cell r="C489" t="str">
            <v>CONCRETO 3000 psi - 21 Mpa</v>
          </cell>
          <cell r="D489" t="str">
            <v>Analisis</v>
          </cell>
          <cell r="E489" t="str">
            <v>M3</v>
          </cell>
          <cell r="F489">
            <v>1.05</v>
          </cell>
          <cell r="G489">
            <v>421155</v>
          </cell>
          <cell r="H489">
            <v>442213</v>
          </cell>
        </row>
        <row r="490">
          <cell r="A490" t="str">
            <v>033.139</v>
          </cell>
          <cell r="B490" t="str">
            <v>C36</v>
          </cell>
          <cell r="C490" t="str">
            <v>CUADRILLA AA TIPO 6 (1 OFICIAL + 6 AYUDANTE) (Albañileria)</v>
          </cell>
          <cell r="D490" t="str">
            <v>Cuadrilla</v>
          </cell>
          <cell r="E490" t="str">
            <v>HR</v>
          </cell>
          <cell r="F490">
            <v>3</v>
          </cell>
          <cell r="G490">
            <v>48852</v>
          </cell>
          <cell r="H490">
            <v>146556</v>
          </cell>
        </row>
        <row r="491">
          <cell r="A491" t="str">
            <v>033.139</v>
          </cell>
          <cell r="B491" t="str">
            <v>E12</v>
          </cell>
          <cell r="C491" t="str">
            <v>EQUIPO DE TRANSPORTE</v>
          </cell>
          <cell r="D491" t="str">
            <v>Equipos</v>
          </cell>
          <cell r="E491" t="str">
            <v>DIA</v>
          </cell>
          <cell r="F491">
            <v>7.7670000000000003E-2</v>
          </cell>
          <cell r="G491">
            <v>131205</v>
          </cell>
          <cell r="H491">
            <v>10191</v>
          </cell>
        </row>
        <row r="492">
          <cell r="A492" t="str">
            <v>033.139</v>
          </cell>
          <cell r="B492" t="str">
            <v>E21</v>
          </cell>
          <cell r="C492" t="str">
            <v>VIBRADOR A GASOLINA</v>
          </cell>
          <cell r="D492" t="str">
            <v>Equipos</v>
          </cell>
          <cell r="E492" t="str">
            <v>DIA</v>
          </cell>
          <cell r="F492">
            <v>0.1</v>
          </cell>
          <cell r="G492">
            <v>51948</v>
          </cell>
          <cell r="H492">
            <v>5195</v>
          </cell>
        </row>
        <row r="493">
          <cell r="A493" t="str">
            <v>033.139</v>
          </cell>
          <cell r="B493" t="str">
            <v>H2</v>
          </cell>
          <cell r="C493" t="str">
            <v>EQUIPO BASICO (HERRAMIENTA MENOR)</v>
          </cell>
          <cell r="D493" t="str">
            <v>Herramienta</v>
          </cell>
          <cell r="E493" t="str">
            <v>UND</v>
          </cell>
          <cell r="F493">
            <v>3</v>
          </cell>
          <cell r="G493">
            <v>2536</v>
          </cell>
          <cell r="H493">
            <v>7608</v>
          </cell>
        </row>
        <row r="494">
          <cell r="A494" t="str">
            <v>033.139</v>
          </cell>
          <cell r="B494" t="str">
            <v>I1565</v>
          </cell>
          <cell r="C494" t="str">
            <v>ACARREO INTERNO</v>
          </cell>
          <cell r="D494" t="str">
            <v>Insumo</v>
          </cell>
          <cell r="E494" t="str">
            <v>UND</v>
          </cell>
          <cell r="F494">
            <v>8.1</v>
          </cell>
          <cell r="G494">
            <v>1327</v>
          </cell>
          <cell r="H494">
            <v>10749</v>
          </cell>
        </row>
        <row r="495">
          <cell r="A495" t="str">
            <v>033.139</v>
          </cell>
          <cell r="B495" t="str">
            <v>I425</v>
          </cell>
          <cell r="C495" t="str">
            <v>PUNTILLA CON CABEZA 2"</v>
          </cell>
          <cell r="D495" t="str">
            <v>Insumo</v>
          </cell>
          <cell r="E495" t="str">
            <v>LB</v>
          </cell>
          <cell r="F495">
            <v>2</v>
          </cell>
          <cell r="G495">
            <v>3585</v>
          </cell>
          <cell r="H495">
            <v>7170</v>
          </cell>
        </row>
        <row r="496">
          <cell r="A496" t="str">
            <v>033.139</v>
          </cell>
          <cell r="B496" t="str">
            <v>I987</v>
          </cell>
          <cell r="C496" t="str">
            <v>VARILLÓN DE 0,02 X 0,05 X 2,80</v>
          </cell>
          <cell r="D496" t="str">
            <v>Insumo</v>
          </cell>
          <cell r="E496" t="str">
            <v>UND</v>
          </cell>
          <cell r="F496">
            <v>17</v>
          </cell>
          <cell r="G496">
            <v>2321</v>
          </cell>
          <cell r="H496">
            <v>39457</v>
          </cell>
        </row>
        <row r="497">
          <cell r="B497" t="str">
            <v>I991</v>
          </cell>
          <cell r="C497" t="str">
            <v>CUARTON 2"X4"X3M</v>
          </cell>
          <cell r="D497" t="str">
            <v>Insumo</v>
          </cell>
          <cell r="E497" t="str">
            <v>UND</v>
          </cell>
          <cell r="F497">
            <v>2.4</v>
          </cell>
          <cell r="G497">
            <v>9944</v>
          </cell>
          <cell r="H497">
            <v>23866</v>
          </cell>
        </row>
        <row r="499">
          <cell r="A499" t="str">
            <v>003.063</v>
          </cell>
        </row>
        <row r="500">
          <cell r="A500" t="str">
            <v>003.063</v>
          </cell>
          <cell r="B500" t="str">
            <v>-</v>
          </cell>
          <cell r="C500" t="str">
            <v>SUMINISTRO, TRANSPORTE E INSTALACION CARCAMO  A=0.30 m.  H=0.20 m. CON REJILLA PREFABRICADA (Incluye rejilla prefabricada concreto)</v>
          </cell>
          <cell r="D500" t="str">
            <v>Actividad</v>
          </cell>
          <cell r="E500" t="str">
            <v>ML</v>
          </cell>
          <cell r="H500">
            <v>69954</v>
          </cell>
        </row>
        <row r="501">
          <cell r="A501" t="str">
            <v>003.063</v>
          </cell>
          <cell r="B501" t="str">
            <v>AB5</v>
          </cell>
          <cell r="C501" t="str">
            <v>CONCRETO 3000 psi - 21 Mpa</v>
          </cell>
          <cell r="D501" t="str">
            <v>Analisis</v>
          </cell>
          <cell r="E501" t="str">
            <v>M3</v>
          </cell>
          <cell r="F501">
            <v>2.4E-2</v>
          </cell>
          <cell r="G501">
            <v>421155</v>
          </cell>
          <cell r="H501">
            <v>10108</v>
          </cell>
        </row>
        <row r="502">
          <cell r="A502" t="str">
            <v>003.063</v>
          </cell>
          <cell r="B502" t="str">
            <v>C30</v>
          </cell>
          <cell r="C502" t="str">
            <v>CUADRILLA BB TIPO 5 (1 OFICIAL + 5 AYUDANTE) (Instalaciones)</v>
          </cell>
          <cell r="D502" t="str">
            <v>Cuadrilla</v>
          </cell>
          <cell r="E502" t="str">
            <v>HR</v>
          </cell>
          <cell r="F502">
            <v>0.15</v>
          </cell>
          <cell r="G502">
            <v>46663</v>
          </cell>
          <cell r="H502">
            <v>6999</v>
          </cell>
        </row>
        <row r="503">
          <cell r="A503" t="str">
            <v>003.063</v>
          </cell>
          <cell r="B503" t="str">
            <v>E12</v>
          </cell>
          <cell r="C503" t="str">
            <v>EQUIPO DE TRANSPORTE</v>
          </cell>
          <cell r="D503" t="str">
            <v>Equipos</v>
          </cell>
          <cell r="E503" t="str">
            <v>DIA</v>
          </cell>
          <cell r="F503">
            <v>8.9999999999999993E-3</v>
          </cell>
          <cell r="G503">
            <v>131205</v>
          </cell>
          <cell r="H503">
            <v>1181</v>
          </cell>
        </row>
        <row r="504">
          <cell r="A504" t="str">
            <v>003.063</v>
          </cell>
          <cell r="B504" t="str">
            <v>H2</v>
          </cell>
          <cell r="C504" t="str">
            <v>EQUIPO BASICO (HERRAMIENTA MENOR)</v>
          </cell>
          <cell r="D504" t="str">
            <v>Herramienta</v>
          </cell>
          <cell r="E504" t="str">
            <v>UND</v>
          </cell>
          <cell r="F504">
            <v>0.36</v>
          </cell>
          <cell r="G504">
            <v>2536</v>
          </cell>
          <cell r="H504">
            <v>913</v>
          </cell>
        </row>
        <row r="505">
          <cell r="A505" t="str">
            <v>003.063</v>
          </cell>
          <cell r="B505" t="str">
            <v>I1097</v>
          </cell>
          <cell r="C505" t="str">
            <v>REJILLA SUMIDERO PLAQUETA (PEATONAL) A=40 CM. L=40 CM. E=6 CM. REF. P40402 TIPO TITAN O SIMILAR</v>
          </cell>
          <cell r="D505" t="str">
            <v>Insumo</v>
          </cell>
          <cell r="E505" t="str">
            <v>UND</v>
          </cell>
          <cell r="F505">
            <v>2.5</v>
          </cell>
          <cell r="G505">
            <v>18790</v>
          </cell>
          <cell r="H505">
            <v>46975</v>
          </cell>
        </row>
        <row r="506">
          <cell r="A506" t="str">
            <v>003.063</v>
          </cell>
          <cell r="B506" t="str">
            <v>I1565</v>
          </cell>
          <cell r="C506" t="str">
            <v>ACARREO INTERNO</v>
          </cell>
          <cell r="D506" t="str">
            <v>Insumo</v>
          </cell>
          <cell r="E506" t="str">
            <v>UND</v>
          </cell>
          <cell r="F506">
            <v>0.4</v>
          </cell>
          <cell r="G506">
            <v>1327</v>
          </cell>
          <cell r="H506">
            <v>531</v>
          </cell>
        </row>
        <row r="507">
          <cell r="B507" t="str">
            <v>I427</v>
          </cell>
          <cell r="C507" t="str">
            <v>SIKA-1 IMPERMEABILIZANTE INTEGRAL MORTEROS O SIMILAR.</v>
          </cell>
          <cell r="D507" t="str">
            <v>Insumo</v>
          </cell>
          <cell r="E507" t="str">
            <v>KG</v>
          </cell>
          <cell r="F507">
            <v>0.32</v>
          </cell>
          <cell r="G507">
            <v>10146</v>
          </cell>
          <cell r="H507">
            <v>3247</v>
          </cell>
        </row>
        <row r="510">
          <cell r="A510" t="str">
            <v>023.019</v>
          </cell>
        </row>
        <row r="511">
          <cell r="A511" t="str">
            <v>023.019</v>
          </cell>
          <cell r="B511" t="str">
            <v>-</v>
          </cell>
          <cell r="C511" t="str">
            <v>SUMINISTRO, TRANSPORTE E INSTALACION BARRERA TIPO NEW JERSEY EN CONCRETO 3000 PSI</v>
          </cell>
          <cell r="D511" t="str">
            <v>Actividad</v>
          </cell>
          <cell r="E511" t="str">
            <v>M3</v>
          </cell>
          <cell r="H511">
            <v>739384</v>
          </cell>
        </row>
        <row r="512">
          <cell r="A512" t="str">
            <v>023.019</v>
          </cell>
          <cell r="B512" t="str">
            <v>AB5</v>
          </cell>
          <cell r="C512" t="str">
            <v>CONCRETO 3000 psi - 21 Mpa</v>
          </cell>
          <cell r="D512" t="str">
            <v>Analisis</v>
          </cell>
          <cell r="E512" t="str">
            <v>M3</v>
          </cell>
          <cell r="F512">
            <v>1.1499999999999999</v>
          </cell>
          <cell r="G512">
            <v>421155</v>
          </cell>
          <cell r="H512">
            <v>484328</v>
          </cell>
        </row>
        <row r="513">
          <cell r="A513" t="str">
            <v>023.019</v>
          </cell>
          <cell r="B513" t="str">
            <v>C22</v>
          </cell>
          <cell r="C513" t="str">
            <v>CUADRILLA AA TIPO 4 (1 OFICIAL + 4 AYUDANTE) (Albañileria)</v>
          </cell>
          <cell r="D513" t="str">
            <v>Cuadrilla</v>
          </cell>
          <cell r="E513" t="str">
            <v>HR</v>
          </cell>
          <cell r="F513">
            <v>2</v>
          </cell>
          <cell r="G513">
            <v>35996</v>
          </cell>
          <cell r="H513">
            <v>71992</v>
          </cell>
        </row>
        <row r="514">
          <cell r="A514" t="str">
            <v>023.019</v>
          </cell>
          <cell r="B514" t="str">
            <v>E115</v>
          </cell>
          <cell r="C514" t="str">
            <v>LAMINA  DE SUPER T FORMALETA</v>
          </cell>
          <cell r="D514" t="str">
            <v>Equipos</v>
          </cell>
          <cell r="E514" t="str">
            <v>UND</v>
          </cell>
          <cell r="F514">
            <v>0.6</v>
          </cell>
          <cell r="G514">
            <v>129896</v>
          </cell>
          <cell r="H514">
            <v>77938</v>
          </cell>
        </row>
        <row r="515">
          <cell r="A515" t="str">
            <v>023.019</v>
          </cell>
          <cell r="B515" t="str">
            <v>E12</v>
          </cell>
          <cell r="C515" t="str">
            <v>EQUIPO DE TRANSPORTE</v>
          </cell>
          <cell r="D515" t="str">
            <v>Equipos</v>
          </cell>
          <cell r="E515" t="str">
            <v>DIA</v>
          </cell>
          <cell r="F515">
            <v>0.10290000000000001</v>
          </cell>
          <cell r="G515">
            <v>131205</v>
          </cell>
          <cell r="H515">
            <v>13501</v>
          </cell>
        </row>
        <row r="516">
          <cell r="A516" t="str">
            <v>023.019</v>
          </cell>
          <cell r="B516" t="str">
            <v>E52</v>
          </cell>
          <cell r="C516" t="str">
            <v>VIBRADOR</v>
          </cell>
          <cell r="D516" t="str">
            <v>Equipos</v>
          </cell>
          <cell r="E516" t="str">
            <v>HR</v>
          </cell>
          <cell r="F516">
            <v>0.5</v>
          </cell>
          <cell r="G516">
            <v>5905</v>
          </cell>
          <cell r="H516">
            <v>2953</v>
          </cell>
        </row>
        <row r="517">
          <cell r="A517" t="str">
            <v>023.019</v>
          </cell>
          <cell r="B517" t="str">
            <v>H2</v>
          </cell>
          <cell r="C517" t="str">
            <v>EQUIPO BASICO (HERRAMIENTA MENOR)</v>
          </cell>
          <cell r="D517" t="str">
            <v>Herramienta</v>
          </cell>
          <cell r="E517" t="str">
            <v>UND</v>
          </cell>
          <cell r="F517">
            <v>1.03</v>
          </cell>
          <cell r="G517">
            <v>2536</v>
          </cell>
          <cell r="H517">
            <v>2612</v>
          </cell>
        </row>
        <row r="518">
          <cell r="A518" t="str">
            <v>023.019</v>
          </cell>
          <cell r="B518" t="str">
            <v>I1565</v>
          </cell>
          <cell r="C518" t="str">
            <v>ACARREO INTERNO</v>
          </cell>
          <cell r="D518" t="str">
            <v>Insumo</v>
          </cell>
          <cell r="E518" t="str">
            <v>UND</v>
          </cell>
          <cell r="F518">
            <v>9.5</v>
          </cell>
          <cell r="G518">
            <v>1327</v>
          </cell>
          <cell r="H518">
            <v>12607</v>
          </cell>
        </row>
        <row r="519">
          <cell r="A519" t="str">
            <v>023.019</v>
          </cell>
          <cell r="B519" t="str">
            <v>I424</v>
          </cell>
          <cell r="C519" t="str">
            <v>PUNTILLA CON CABEZA 1"</v>
          </cell>
          <cell r="D519" t="str">
            <v>Insumo</v>
          </cell>
          <cell r="E519" t="str">
            <v>LB</v>
          </cell>
          <cell r="F519">
            <v>0.3</v>
          </cell>
          <cell r="G519">
            <v>3585</v>
          </cell>
          <cell r="H519">
            <v>1076</v>
          </cell>
        </row>
        <row r="520">
          <cell r="A520" t="str">
            <v>023.019</v>
          </cell>
          <cell r="B520" t="str">
            <v>I478</v>
          </cell>
          <cell r="C520" t="str">
            <v>ADITIVO PARA CURAR EL CONCRETO</v>
          </cell>
          <cell r="D520" t="str">
            <v>Insumo</v>
          </cell>
          <cell r="E520" t="str">
            <v>UND</v>
          </cell>
          <cell r="F520">
            <v>0.1</v>
          </cell>
          <cell r="G520">
            <v>34001</v>
          </cell>
          <cell r="H520">
            <v>3400</v>
          </cell>
        </row>
        <row r="521">
          <cell r="A521" t="str">
            <v>023.019</v>
          </cell>
          <cell r="B521" t="str">
            <v>I957</v>
          </cell>
          <cell r="C521" t="str">
            <v>LISTON 2 X 4</v>
          </cell>
          <cell r="D521" t="str">
            <v>Insumo</v>
          </cell>
          <cell r="E521" t="str">
            <v>M</v>
          </cell>
          <cell r="F521">
            <v>1.5</v>
          </cell>
          <cell r="G521">
            <v>3244</v>
          </cell>
          <cell r="H521">
            <v>4866</v>
          </cell>
        </row>
        <row r="522">
          <cell r="A522" t="str">
            <v>023.019</v>
          </cell>
          <cell r="B522" t="str">
            <v>I988</v>
          </cell>
          <cell r="C522" t="str">
            <v>VARILLON DE SAJO</v>
          </cell>
          <cell r="D522" t="str">
            <v>Insumo</v>
          </cell>
          <cell r="E522" t="str">
            <v>UND</v>
          </cell>
          <cell r="F522">
            <v>4</v>
          </cell>
          <cell r="G522">
            <v>12597</v>
          </cell>
          <cell r="H522">
            <v>50388</v>
          </cell>
        </row>
        <row r="523">
          <cell r="A523" t="str">
            <v>023.019</v>
          </cell>
          <cell r="B523" t="str">
            <v>I989</v>
          </cell>
          <cell r="C523" t="str">
            <v>GUADUA SOBREBASA L= 1.50 MT. 3 USOS</v>
          </cell>
          <cell r="D523" t="str">
            <v>Insumo</v>
          </cell>
          <cell r="E523" t="str">
            <v>UND</v>
          </cell>
          <cell r="F523">
            <v>0.9</v>
          </cell>
          <cell r="G523">
            <v>4642</v>
          </cell>
          <cell r="H523">
            <v>4178</v>
          </cell>
        </row>
        <row r="524">
          <cell r="B524" t="str">
            <v>I990</v>
          </cell>
          <cell r="C524" t="str">
            <v>TABLA 1"X10"X3M</v>
          </cell>
          <cell r="D524" t="str">
            <v>Insumo</v>
          </cell>
          <cell r="E524" t="str">
            <v>UND</v>
          </cell>
          <cell r="F524">
            <v>0.9</v>
          </cell>
          <cell r="G524">
            <v>10606</v>
          </cell>
          <cell r="H524">
            <v>9545</v>
          </cell>
        </row>
        <row r="526">
          <cell r="A526" t="str">
            <v>033.164</v>
          </cell>
        </row>
        <row r="527">
          <cell r="A527" t="str">
            <v>033.164</v>
          </cell>
          <cell r="B527" t="str">
            <v>-</v>
          </cell>
          <cell r="C527" t="str">
            <v>DESMONTE PORTERIAS DE FUTBOL  INCLUYE RETIRO</v>
          </cell>
          <cell r="D527" t="str">
            <v>Actividad</v>
          </cell>
          <cell r="E527" t="str">
            <v>UND</v>
          </cell>
          <cell r="H527">
            <v>131844</v>
          </cell>
        </row>
        <row r="528">
          <cell r="A528" t="str">
            <v>033.164</v>
          </cell>
          <cell r="B528" t="str">
            <v>C8</v>
          </cell>
          <cell r="C528" t="str">
            <v>CUADRILLA AA TIPO 2 (1 OFICIAL + 2 AYUDANTE) (Albañileria)</v>
          </cell>
          <cell r="D528" t="str">
            <v>Cuadrilla</v>
          </cell>
          <cell r="E528" t="str">
            <v>HR</v>
          </cell>
          <cell r="F528">
            <v>2</v>
          </cell>
          <cell r="G528">
            <v>23140</v>
          </cell>
          <cell r="H528">
            <v>46280</v>
          </cell>
        </row>
        <row r="529">
          <cell r="A529" t="str">
            <v>033.164</v>
          </cell>
          <cell r="B529" t="str">
            <v>E27</v>
          </cell>
          <cell r="C529" t="str">
            <v>VOLQUETA  6M3 (CARGUE A MANO) RETIRO INTERNO</v>
          </cell>
          <cell r="D529" t="str">
            <v>Equipos</v>
          </cell>
          <cell r="E529" t="str">
            <v>VJE</v>
          </cell>
          <cell r="F529">
            <v>0.5</v>
          </cell>
          <cell r="G529">
            <v>166055</v>
          </cell>
          <cell r="H529">
            <v>83028</v>
          </cell>
        </row>
        <row r="530">
          <cell r="B530" t="str">
            <v>H2</v>
          </cell>
          <cell r="C530" t="str">
            <v>EQUIPO BASICO (HERRAMIENTA MENOR)</v>
          </cell>
          <cell r="D530" t="str">
            <v>Herramienta</v>
          </cell>
          <cell r="E530" t="str">
            <v>UND</v>
          </cell>
          <cell r="F530">
            <v>1</v>
          </cell>
          <cell r="G530">
            <v>2536</v>
          </cell>
          <cell r="H530">
            <v>2536</v>
          </cell>
        </row>
        <row r="532">
          <cell r="A532" t="str">
            <v>004.013</v>
          </cell>
        </row>
        <row r="533">
          <cell r="A533" t="str">
            <v>004.013</v>
          </cell>
          <cell r="B533" t="str">
            <v>-</v>
          </cell>
          <cell r="C533" t="str">
            <v>SUMINISTRO, TRANSPORTE E INSTALACION AFIRMADO COMPACTADO PARA ESTRUCTURAS</v>
          </cell>
          <cell r="D533" t="str">
            <v>Actividad</v>
          </cell>
          <cell r="E533" t="str">
            <v>M3</v>
          </cell>
          <cell r="H533">
            <v>98786</v>
          </cell>
        </row>
        <row r="534">
          <cell r="A534" t="str">
            <v>004.013</v>
          </cell>
          <cell r="B534" t="str">
            <v>C15</v>
          </cell>
          <cell r="C534" t="str">
            <v>CUADRILLA AA TIPO 3 (1 OFICIAL + 3 AYUDANTE) (Albañileria)</v>
          </cell>
          <cell r="D534" t="str">
            <v>Cuadrilla</v>
          </cell>
          <cell r="E534" t="str">
            <v>HR</v>
          </cell>
          <cell r="F534">
            <v>0.3</v>
          </cell>
          <cell r="G534">
            <v>29568</v>
          </cell>
          <cell r="H534">
            <v>8870</v>
          </cell>
        </row>
        <row r="535">
          <cell r="A535" t="str">
            <v>004.013</v>
          </cell>
          <cell r="B535" t="str">
            <v>E47</v>
          </cell>
          <cell r="C535" t="str">
            <v>VIBROCOMPACTADOR TIPO RANA</v>
          </cell>
          <cell r="D535" t="str">
            <v>Equipos</v>
          </cell>
          <cell r="E535" t="str">
            <v>DIA</v>
          </cell>
          <cell r="F535">
            <v>0.4</v>
          </cell>
          <cell r="G535">
            <v>43299</v>
          </cell>
          <cell r="H535">
            <v>17320</v>
          </cell>
        </row>
        <row r="536">
          <cell r="A536" t="str">
            <v>004.013</v>
          </cell>
          <cell r="B536" t="str">
            <v>H2</v>
          </cell>
          <cell r="C536" t="str">
            <v>EQUIPO BASICO (HERRAMIENTA MENOR)</v>
          </cell>
          <cell r="D536" t="str">
            <v>Herramienta</v>
          </cell>
          <cell r="E536" t="str">
            <v>UND</v>
          </cell>
          <cell r="F536">
            <v>0.5</v>
          </cell>
          <cell r="G536">
            <v>2536</v>
          </cell>
          <cell r="H536">
            <v>1268</v>
          </cell>
        </row>
        <row r="537">
          <cell r="A537" t="str">
            <v>004.013</v>
          </cell>
          <cell r="B537" t="str">
            <v>I1565</v>
          </cell>
          <cell r="C537" t="str">
            <v>ACARREO INTERNO</v>
          </cell>
          <cell r="D537" t="str">
            <v>Insumo</v>
          </cell>
          <cell r="E537" t="str">
            <v>UND</v>
          </cell>
          <cell r="F537">
            <v>0.6</v>
          </cell>
          <cell r="G537">
            <v>1327</v>
          </cell>
          <cell r="H537">
            <v>796</v>
          </cell>
        </row>
        <row r="538">
          <cell r="B538" t="str">
            <v>I50</v>
          </cell>
          <cell r="C538" t="str">
            <v>AFIRMADO NORMA INVIAS</v>
          </cell>
          <cell r="D538" t="str">
            <v>Insumo</v>
          </cell>
          <cell r="E538" t="str">
            <v>M3</v>
          </cell>
          <cell r="F538">
            <v>1.4</v>
          </cell>
          <cell r="G538">
            <v>50380</v>
          </cell>
          <cell r="H538">
            <v>70532</v>
          </cell>
        </row>
        <row r="540">
          <cell r="A540" t="str">
            <v>032.144</v>
          </cell>
        </row>
        <row r="541">
          <cell r="A541" t="str">
            <v>032.144</v>
          </cell>
          <cell r="B541" t="str">
            <v>-</v>
          </cell>
          <cell r="C541" t="str">
            <v xml:space="preserve">SUMINISTRO, TRANSPORTE E INSTALACION CANAL EN CONCRETO 3000 PSI; </v>
          </cell>
          <cell r="D541" t="str">
            <v>Actividad</v>
          </cell>
          <cell r="E541" t="str">
            <v>ML</v>
          </cell>
          <cell r="H541">
            <v>167266</v>
          </cell>
        </row>
        <row r="542">
          <cell r="A542" t="str">
            <v>032.144</v>
          </cell>
          <cell r="B542" t="str">
            <v>AB5</v>
          </cell>
          <cell r="C542" t="str">
            <v>CONCRETO 3000 psi - 21 Mpa</v>
          </cell>
          <cell r="D542" t="str">
            <v>Analisis</v>
          </cell>
          <cell r="E542" t="str">
            <v>M3</v>
          </cell>
          <cell r="F542">
            <v>0.21</v>
          </cell>
          <cell r="G542">
            <v>421155</v>
          </cell>
          <cell r="H542">
            <v>88443</v>
          </cell>
        </row>
        <row r="543">
          <cell r="A543" t="str">
            <v>032.144</v>
          </cell>
          <cell r="B543" t="str">
            <v>C8</v>
          </cell>
          <cell r="C543" t="str">
            <v>CUADRILLA AA TIPO 2 (1 OFICIAL + 2 AYUDANTE) (Albañileria)</v>
          </cell>
          <cell r="D543" t="str">
            <v>Cuadrilla</v>
          </cell>
          <cell r="E543" t="str">
            <v>HR</v>
          </cell>
          <cell r="F543">
            <v>2</v>
          </cell>
          <cell r="G543">
            <v>23140</v>
          </cell>
          <cell r="H543">
            <v>46280</v>
          </cell>
        </row>
        <row r="544">
          <cell r="A544" t="str">
            <v>032.144</v>
          </cell>
          <cell r="B544" t="str">
            <v>E12</v>
          </cell>
          <cell r="C544" t="str">
            <v>EQUIPO DE TRANSPORTE</v>
          </cell>
          <cell r="D544" t="str">
            <v>Equipos</v>
          </cell>
          <cell r="E544" t="str">
            <v>DIA</v>
          </cell>
          <cell r="F544">
            <v>1.2E-2</v>
          </cell>
          <cell r="G544">
            <v>131205</v>
          </cell>
          <cell r="H544">
            <v>1574</v>
          </cell>
        </row>
        <row r="545">
          <cell r="A545" t="str">
            <v>032.144</v>
          </cell>
          <cell r="B545" t="str">
            <v>E21</v>
          </cell>
          <cell r="C545" t="str">
            <v>VIBRADOR A GASOLINA</v>
          </cell>
          <cell r="D545" t="str">
            <v>Equipos</v>
          </cell>
          <cell r="E545" t="str">
            <v>DIA</v>
          </cell>
          <cell r="F545">
            <v>0.01</v>
          </cell>
          <cell r="G545">
            <v>51948</v>
          </cell>
          <cell r="H545">
            <v>519</v>
          </cell>
        </row>
        <row r="546">
          <cell r="A546" t="str">
            <v>032.144</v>
          </cell>
          <cell r="B546" t="str">
            <v>H2</v>
          </cell>
          <cell r="C546" t="str">
            <v>EQUIPO BASICO (HERRAMIENTA MENOR)</v>
          </cell>
          <cell r="D546" t="str">
            <v>Herramienta</v>
          </cell>
          <cell r="E546" t="str">
            <v>UND</v>
          </cell>
          <cell r="F546">
            <v>0.63500000000000001</v>
          </cell>
          <cell r="G546">
            <v>2536</v>
          </cell>
          <cell r="H546">
            <v>1610</v>
          </cell>
        </row>
        <row r="547">
          <cell r="A547" t="str">
            <v>032.144</v>
          </cell>
          <cell r="B547" t="str">
            <v>I1565</v>
          </cell>
          <cell r="C547" t="str">
            <v>ACARREO INTERNO</v>
          </cell>
          <cell r="D547" t="str">
            <v>Insumo</v>
          </cell>
          <cell r="E547" t="str">
            <v>UND</v>
          </cell>
          <cell r="F547">
            <v>1.6559999999999999</v>
          </cell>
          <cell r="G547">
            <v>1327</v>
          </cell>
          <cell r="H547">
            <v>2198</v>
          </cell>
        </row>
        <row r="548">
          <cell r="A548" t="str">
            <v>032.144</v>
          </cell>
          <cell r="B548" t="str">
            <v>I3</v>
          </cell>
          <cell r="C548" t="str">
            <v>ALAMBRE NEGRO NO. 18</v>
          </cell>
          <cell r="D548" t="str">
            <v>Insumo</v>
          </cell>
          <cell r="E548" t="str">
            <v>KG</v>
          </cell>
          <cell r="F548">
            <v>6.9000000000000006E-2</v>
          </cell>
          <cell r="G548">
            <v>4323</v>
          </cell>
          <cell r="H548">
            <v>298</v>
          </cell>
        </row>
        <row r="549">
          <cell r="A549" t="str">
            <v>032.144</v>
          </cell>
          <cell r="B549" t="str">
            <v>I425</v>
          </cell>
          <cell r="C549" t="str">
            <v>PUNTILLA CON CABEZA 2"</v>
          </cell>
          <cell r="D549" t="str">
            <v>Insumo</v>
          </cell>
          <cell r="E549" t="str">
            <v>LB</v>
          </cell>
          <cell r="F549">
            <v>0.3</v>
          </cell>
          <cell r="G549">
            <v>3585</v>
          </cell>
          <cell r="H549">
            <v>1076</v>
          </cell>
        </row>
        <row r="550">
          <cell r="A550" t="str">
            <v>032.144</v>
          </cell>
          <cell r="B550" t="str">
            <v>I8</v>
          </cell>
          <cell r="C550" t="str">
            <v>MALLA ELECTROSOLDADA M-131  Q-3.1  5.0 MM 15 X 15 CM.</v>
          </cell>
          <cell r="D550" t="str">
            <v>Insumo</v>
          </cell>
          <cell r="E550" t="str">
            <v>KG</v>
          </cell>
          <cell r="F550">
            <v>2.9</v>
          </cell>
          <cell r="G550">
            <v>3154</v>
          </cell>
          <cell r="H550">
            <v>9147</v>
          </cell>
        </row>
        <row r="551">
          <cell r="A551" t="str">
            <v>032.144</v>
          </cell>
          <cell r="B551" t="str">
            <v>I957</v>
          </cell>
          <cell r="C551" t="str">
            <v>LISTON 2 X 4</v>
          </cell>
          <cell r="D551" t="str">
            <v>Insumo</v>
          </cell>
          <cell r="E551" t="str">
            <v>M</v>
          </cell>
          <cell r="F551">
            <v>1.7</v>
          </cell>
          <cell r="G551">
            <v>3244</v>
          </cell>
          <cell r="H551">
            <v>5515</v>
          </cell>
        </row>
        <row r="552">
          <cell r="B552" t="str">
            <v>I990</v>
          </cell>
          <cell r="C552" t="str">
            <v>TABLA 1"X10"X3M</v>
          </cell>
          <cell r="D552" t="str">
            <v>Insumo</v>
          </cell>
          <cell r="E552" t="str">
            <v>UND</v>
          </cell>
          <cell r="F552">
            <v>1</v>
          </cell>
          <cell r="G552">
            <v>10606</v>
          </cell>
          <cell r="H552">
            <v>10606</v>
          </cell>
        </row>
        <row r="554">
          <cell r="A554" t="str">
            <v>021.034</v>
          </cell>
        </row>
        <row r="555">
          <cell r="A555" t="str">
            <v>021.034</v>
          </cell>
          <cell r="B555" t="str">
            <v>-</v>
          </cell>
          <cell r="C555" t="str">
            <v>SUMINISTRO, TRANSPORTE E INSTALACION ESCALAS CONCRETO 3000 PSI E= 0.10M.  SOBRE TIERRA ACABADO ESCOBIADO</v>
          </cell>
          <cell r="D555" t="str">
            <v>Actividad</v>
          </cell>
          <cell r="E555" t="str">
            <v>M2</v>
          </cell>
          <cell r="H555">
            <v>113711</v>
          </cell>
        </row>
        <row r="556">
          <cell r="A556" t="str">
            <v>021.034</v>
          </cell>
          <cell r="B556" t="str">
            <v>AB20</v>
          </cell>
          <cell r="C556" t="str">
            <v>MORTERO 1:3</v>
          </cell>
          <cell r="D556" t="str">
            <v>Analisis</v>
          </cell>
          <cell r="E556" t="str">
            <v>M3</v>
          </cell>
          <cell r="F556">
            <v>1.0999999999999999E-2</v>
          </cell>
          <cell r="G556">
            <v>449080</v>
          </cell>
          <cell r="H556">
            <v>4940</v>
          </cell>
        </row>
        <row r="557">
          <cell r="A557" t="str">
            <v>021.034</v>
          </cell>
          <cell r="B557" t="str">
            <v>AB5</v>
          </cell>
          <cell r="C557" t="str">
            <v>CONCRETO 3000 psi - 21 Mpa</v>
          </cell>
          <cell r="D557" t="str">
            <v>Analisis</v>
          </cell>
          <cell r="E557" t="str">
            <v>M3</v>
          </cell>
          <cell r="F557">
            <v>0.18</v>
          </cell>
          <cell r="G557">
            <v>421155</v>
          </cell>
          <cell r="H557">
            <v>75808</v>
          </cell>
        </row>
        <row r="558">
          <cell r="A558" t="str">
            <v>021.034</v>
          </cell>
          <cell r="B558" t="str">
            <v>C15</v>
          </cell>
          <cell r="C558" t="str">
            <v>CUADRILLA AA TIPO 3 (1 OFICIAL + 3 AYUDANTE) (Albañileria)</v>
          </cell>
          <cell r="D558" t="str">
            <v>Cuadrilla</v>
          </cell>
          <cell r="E558" t="str">
            <v>HR</v>
          </cell>
          <cell r="F558">
            <v>0.65</v>
          </cell>
          <cell r="G558">
            <v>29568</v>
          </cell>
          <cell r="H558">
            <v>19219</v>
          </cell>
        </row>
        <row r="559">
          <cell r="A559" t="str">
            <v>021.034</v>
          </cell>
          <cell r="B559" t="str">
            <v>E104</v>
          </cell>
          <cell r="C559" t="str">
            <v>FORMALETA SARDINEL DESDE 0.20 HASTA 0.60 M. DE ALTURA POR 2.00 M. DE LONGITUD</v>
          </cell>
          <cell r="D559" t="str">
            <v>Equipos</v>
          </cell>
          <cell r="E559" t="str">
            <v>DIA</v>
          </cell>
          <cell r="F559">
            <v>1.5</v>
          </cell>
          <cell r="G559">
            <v>353</v>
          </cell>
          <cell r="H559">
            <v>530</v>
          </cell>
        </row>
        <row r="560">
          <cell r="A560" t="str">
            <v>021.034</v>
          </cell>
          <cell r="B560" t="str">
            <v>E12</v>
          </cell>
          <cell r="C560" t="str">
            <v>EQUIPO DE TRANSPORTE</v>
          </cell>
          <cell r="D560" t="str">
            <v>Equipos</v>
          </cell>
          <cell r="E560" t="str">
            <v>DIA</v>
          </cell>
          <cell r="F560">
            <v>7.7999999999999996E-3</v>
          </cell>
          <cell r="G560">
            <v>131205</v>
          </cell>
          <cell r="H560">
            <v>1023</v>
          </cell>
        </row>
        <row r="561">
          <cell r="A561" t="str">
            <v>021.034</v>
          </cell>
          <cell r="B561" t="str">
            <v>E21</v>
          </cell>
          <cell r="C561" t="str">
            <v>VIBRADOR A GASOLINA</v>
          </cell>
          <cell r="D561" t="str">
            <v>Equipos</v>
          </cell>
          <cell r="E561" t="str">
            <v>DIA</v>
          </cell>
          <cell r="F561">
            <v>3.7999999999999999E-2</v>
          </cell>
          <cell r="G561">
            <v>51948</v>
          </cell>
          <cell r="H561">
            <v>1974</v>
          </cell>
        </row>
        <row r="562">
          <cell r="A562" t="str">
            <v>021.034</v>
          </cell>
          <cell r="B562" t="str">
            <v>H2</v>
          </cell>
          <cell r="C562" t="str">
            <v>EQUIPO BASICO (HERRAMIENTA MENOR)</v>
          </cell>
          <cell r="D562" t="str">
            <v>Herramienta</v>
          </cell>
          <cell r="E562" t="str">
            <v>UND</v>
          </cell>
          <cell r="F562">
            <v>0.65</v>
          </cell>
          <cell r="G562">
            <v>2536</v>
          </cell>
          <cell r="H562">
            <v>1648</v>
          </cell>
        </row>
        <row r="563">
          <cell r="A563" t="str">
            <v>021.034</v>
          </cell>
          <cell r="B563" t="str">
            <v>I1565</v>
          </cell>
          <cell r="C563" t="str">
            <v>ACARREO INTERNO</v>
          </cell>
          <cell r="D563" t="str">
            <v>Insumo</v>
          </cell>
          <cell r="E563" t="str">
            <v>UND</v>
          </cell>
          <cell r="F563">
            <v>1.8</v>
          </cell>
          <cell r="G563">
            <v>1327</v>
          </cell>
          <cell r="H563">
            <v>2389</v>
          </cell>
        </row>
        <row r="564">
          <cell r="A564" t="str">
            <v>021.034</v>
          </cell>
          <cell r="B564" t="str">
            <v>I423</v>
          </cell>
          <cell r="C564" t="str">
            <v>POLIETILENO NO. 6</v>
          </cell>
          <cell r="D564" t="str">
            <v>Insumo</v>
          </cell>
          <cell r="E564" t="str">
            <v>M2</v>
          </cell>
          <cell r="F564">
            <v>1</v>
          </cell>
          <cell r="G564">
            <v>3585</v>
          </cell>
          <cell r="H564">
            <v>3585</v>
          </cell>
        </row>
        <row r="565">
          <cell r="B565" t="str">
            <v>I957</v>
          </cell>
          <cell r="C565" t="str">
            <v>LISTON 2 X 4</v>
          </cell>
          <cell r="D565" t="str">
            <v>Insumo</v>
          </cell>
          <cell r="E565" t="str">
            <v>M</v>
          </cell>
          <cell r="F565">
            <v>0.8</v>
          </cell>
          <cell r="G565">
            <v>3244</v>
          </cell>
          <cell r="H565">
            <v>2595</v>
          </cell>
        </row>
        <row r="567">
          <cell r="A567" t="str">
            <v>033.148</v>
          </cell>
        </row>
        <row r="568">
          <cell r="A568" t="str">
            <v>033.148</v>
          </cell>
          <cell r="B568" t="str">
            <v>-</v>
          </cell>
          <cell r="C568" t="str">
            <v>SUMINISTRO, TRANSPORTE E INSTALACION IMPRIMANTE Y PUENTE DE ADHERENCIA NORMAL</v>
          </cell>
          <cell r="D568" t="str">
            <v>Actividad</v>
          </cell>
          <cell r="E568" t="str">
            <v>KG</v>
          </cell>
          <cell r="H568">
            <v>102629</v>
          </cell>
        </row>
        <row r="569">
          <cell r="A569" t="str">
            <v>033.148</v>
          </cell>
          <cell r="B569" t="str">
            <v>C1</v>
          </cell>
          <cell r="C569" t="str">
            <v>CUADRILLA AA TIPO 1 (1 OFICIAL + 1 AYUDANTE) (Albañileria)</v>
          </cell>
          <cell r="D569" t="str">
            <v>Cuadrilla</v>
          </cell>
          <cell r="E569" t="str">
            <v>HR</v>
          </cell>
          <cell r="F569">
            <v>1</v>
          </cell>
          <cell r="G569">
            <v>16712</v>
          </cell>
          <cell r="H569">
            <v>16712</v>
          </cell>
        </row>
        <row r="570">
          <cell r="A570" t="str">
            <v>033.148</v>
          </cell>
          <cell r="B570" t="str">
            <v>E12</v>
          </cell>
          <cell r="C570" t="str">
            <v>EQUIPO DE TRANSPORTE</v>
          </cell>
          <cell r="D570" t="str">
            <v>Equipos</v>
          </cell>
          <cell r="E570" t="str">
            <v>DIA</v>
          </cell>
          <cell r="F570">
            <v>4.0000000000000002E-4</v>
          </cell>
          <cell r="G570">
            <v>131205</v>
          </cell>
          <cell r="H570">
            <v>52</v>
          </cell>
        </row>
        <row r="571">
          <cell r="A571" t="str">
            <v>033.148</v>
          </cell>
          <cell r="B571" t="str">
            <v>H2</v>
          </cell>
          <cell r="C571" t="str">
            <v>EQUIPO BASICO (HERRAMIENTA MENOR)</v>
          </cell>
          <cell r="D571" t="str">
            <v>Herramienta</v>
          </cell>
          <cell r="E571" t="str">
            <v>UND</v>
          </cell>
          <cell r="F571">
            <v>1.03</v>
          </cell>
          <cell r="G571">
            <v>2536</v>
          </cell>
          <cell r="H571">
            <v>2612</v>
          </cell>
        </row>
        <row r="572">
          <cell r="A572" t="str">
            <v>033.148</v>
          </cell>
          <cell r="B572" t="str">
            <v>I1565</v>
          </cell>
          <cell r="C572" t="str">
            <v>ACARREO INTERNO</v>
          </cell>
          <cell r="D572" t="str">
            <v>Insumo</v>
          </cell>
          <cell r="E572" t="str">
            <v>UND</v>
          </cell>
          <cell r="F572">
            <v>0.91439999999999999</v>
          </cell>
          <cell r="G572">
            <v>1327</v>
          </cell>
          <cell r="H572">
            <v>1213</v>
          </cell>
        </row>
        <row r="573">
          <cell r="B573" t="str">
            <v>I429</v>
          </cell>
          <cell r="C573" t="str">
            <v>SIKADUR -32 PRIMER</v>
          </cell>
          <cell r="D573" t="str">
            <v>Insumo</v>
          </cell>
          <cell r="E573" t="str">
            <v>KG</v>
          </cell>
          <cell r="F573">
            <v>1</v>
          </cell>
          <cell r="G573">
            <v>82040</v>
          </cell>
          <cell r="H573">
            <v>82040</v>
          </cell>
        </row>
        <row r="575">
          <cell r="A575" t="str">
            <v>024.092</v>
          </cell>
        </row>
        <row r="576">
          <cell r="A576" t="str">
            <v>024.092</v>
          </cell>
          <cell r="B576" t="str">
            <v>-</v>
          </cell>
          <cell r="C576" t="str">
            <v>SUMINISTRO, TRANSPORTE E INSTALACION TAPA D=0.68 M. P/CÁMARA DE INSPECCIÓN EN CONCRETO REFORZ CLASE II PEATONAL</v>
          </cell>
          <cell r="D576" t="str">
            <v>Actividad</v>
          </cell>
          <cell r="E576" t="str">
            <v>UND</v>
          </cell>
          <cell r="H576">
            <v>77100</v>
          </cell>
        </row>
        <row r="577">
          <cell r="A577" t="str">
            <v>024.092</v>
          </cell>
          <cell r="B577" t="str">
            <v>C37</v>
          </cell>
          <cell r="C577" t="str">
            <v>CUADRILLA BB TIPO 6 (1 OFICIAL + 6 AYUDANTE) (Instalaciones)</v>
          </cell>
          <cell r="D577" t="str">
            <v>Cuadrilla</v>
          </cell>
          <cell r="E577" t="str">
            <v>HR</v>
          </cell>
          <cell r="F577">
            <v>0.5</v>
          </cell>
          <cell r="G577">
            <v>53733</v>
          </cell>
          <cell r="H577">
            <v>26867</v>
          </cell>
        </row>
        <row r="578">
          <cell r="A578" t="str">
            <v>024.092</v>
          </cell>
          <cell r="B578" t="str">
            <v>E112</v>
          </cell>
          <cell r="C578" t="str">
            <v>FORMALETA METALICA PARA CAMARA CIRCULAR</v>
          </cell>
          <cell r="D578" t="str">
            <v>Equipos</v>
          </cell>
          <cell r="E578" t="str">
            <v>UND</v>
          </cell>
          <cell r="F578">
            <v>0.9</v>
          </cell>
          <cell r="G578">
            <v>1311</v>
          </cell>
          <cell r="H578">
            <v>1180</v>
          </cell>
        </row>
        <row r="579">
          <cell r="A579" t="str">
            <v>024.092</v>
          </cell>
          <cell r="B579" t="str">
            <v>E12</v>
          </cell>
          <cell r="C579" t="str">
            <v>EQUIPO DE TRANSPORTE</v>
          </cell>
          <cell r="D579" t="str">
            <v>Equipos</v>
          </cell>
          <cell r="E579" t="str">
            <v>DIA</v>
          </cell>
          <cell r="F579">
            <v>0.06</v>
          </cell>
          <cell r="G579">
            <v>131205</v>
          </cell>
          <cell r="H579">
            <v>7872</v>
          </cell>
        </row>
        <row r="580">
          <cell r="A580" t="str">
            <v>024.092</v>
          </cell>
          <cell r="B580" t="str">
            <v>E14</v>
          </cell>
          <cell r="C580" t="str">
            <v>MEZCLADORA A GASOLINA 1 SACO</v>
          </cell>
          <cell r="D580" t="str">
            <v>Equipos</v>
          </cell>
          <cell r="E580" t="str">
            <v>DIA</v>
          </cell>
          <cell r="F580">
            <v>0.34520000000000001</v>
          </cell>
          <cell r="G580">
            <v>34593</v>
          </cell>
          <cell r="H580">
            <v>11942</v>
          </cell>
        </row>
        <row r="581">
          <cell r="A581" t="str">
            <v>024.092</v>
          </cell>
          <cell r="B581" t="str">
            <v>H2</v>
          </cell>
          <cell r="C581" t="str">
            <v>EQUIPO BASICO (HERRAMIENTA MENOR)</v>
          </cell>
          <cell r="D581" t="str">
            <v>Herramienta</v>
          </cell>
          <cell r="E581" t="str">
            <v>UND</v>
          </cell>
          <cell r="F581">
            <v>0.35</v>
          </cell>
          <cell r="G581">
            <v>2536</v>
          </cell>
          <cell r="H581">
            <v>888</v>
          </cell>
        </row>
        <row r="582">
          <cell r="A582" t="str">
            <v>024.092</v>
          </cell>
          <cell r="B582" t="str">
            <v>I1565</v>
          </cell>
          <cell r="C582" t="str">
            <v>ACARREO INTERNO</v>
          </cell>
          <cell r="D582" t="str">
            <v>Insumo</v>
          </cell>
          <cell r="E582" t="str">
            <v>UND</v>
          </cell>
          <cell r="F582">
            <v>1.6</v>
          </cell>
          <cell r="G582">
            <v>1327</v>
          </cell>
          <cell r="H582">
            <v>2123</v>
          </cell>
        </row>
        <row r="583">
          <cell r="A583" t="str">
            <v>024.092</v>
          </cell>
          <cell r="B583" t="str">
            <v>I2</v>
          </cell>
          <cell r="C583" t="str">
            <v>ACERO 60.000 PSI</v>
          </cell>
          <cell r="D583" t="str">
            <v>Insumo</v>
          </cell>
          <cell r="E583" t="str">
            <v>KG</v>
          </cell>
          <cell r="F583">
            <v>3</v>
          </cell>
          <cell r="G583">
            <v>3313</v>
          </cell>
          <cell r="H583">
            <v>9939</v>
          </cell>
        </row>
        <row r="584">
          <cell r="A584" t="str">
            <v>024.092</v>
          </cell>
          <cell r="B584" t="str">
            <v>I21</v>
          </cell>
          <cell r="C584" t="str">
            <v>GANCHO DE AGARRE DE 5/8" DE FY 420 MPA</v>
          </cell>
          <cell r="D584" t="str">
            <v>Insumo</v>
          </cell>
          <cell r="E584" t="str">
            <v>UND</v>
          </cell>
          <cell r="F584">
            <v>1.2815399999999999</v>
          </cell>
          <cell r="G584">
            <v>2855</v>
          </cell>
          <cell r="H584">
            <v>3659</v>
          </cell>
        </row>
        <row r="585">
          <cell r="A585" t="str">
            <v>024.092</v>
          </cell>
          <cell r="B585" t="str">
            <v>I274</v>
          </cell>
          <cell r="C585" t="str">
            <v>CEMENTO GRIS</v>
          </cell>
          <cell r="D585" t="str">
            <v>Insumo</v>
          </cell>
          <cell r="E585" t="str">
            <v>KG</v>
          </cell>
          <cell r="F585">
            <v>12.2</v>
          </cell>
          <cell r="G585">
            <v>719</v>
          </cell>
          <cell r="H585">
            <v>8772</v>
          </cell>
        </row>
        <row r="586">
          <cell r="A586" t="str">
            <v>024.092</v>
          </cell>
          <cell r="B586" t="str">
            <v>I32</v>
          </cell>
          <cell r="C586" t="str">
            <v>ARENA LAVADA DE RIO</v>
          </cell>
          <cell r="D586" t="str">
            <v>Insumo</v>
          </cell>
          <cell r="E586" t="str">
            <v>M3</v>
          </cell>
          <cell r="F586">
            <v>0.01</v>
          </cell>
          <cell r="G586">
            <v>93238</v>
          </cell>
          <cell r="H586">
            <v>932</v>
          </cell>
        </row>
        <row r="587">
          <cell r="A587" t="str">
            <v>024.092</v>
          </cell>
          <cell r="B587" t="str">
            <v>I34</v>
          </cell>
          <cell r="C587" t="str">
            <v>GRAVILLA COMUN DE RIO</v>
          </cell>
          <cell r="D587" t="str">
            <v>Insumo</v>
          </cell>
          <cell r="E587" t="str">
            <v>M3</v>
          </cell>
          <cell r="F587">
            <v>2.7E-2</v>
          </cell>
          <cell r="G587">
            <v>93238</v>
          </cell>
          <cell r="H587">
            <v>2517</v>
          </cell>
        </row>
        <row r="588">
          <cell r="B588" t="str">
            <v>I45</v>
          </cell>
          <cell r="C588" t="str">
            <v>AGUA M3</v>
          </cell>
          <cell r="D588" t="str">
            <v>Insumo</v>
          </cell>
          <cell r="E588" t="str">
            <v>M3</v>
          </cell>
          <cell r="F588">
            <v>0.2</v>
          </cell>
          <cell r="G588">
            <v>2044</v>
          </cell>
          <cell r="H588">
            <v>409</v>
          </cell>
        </row>
        <row r="590">
          <cell r="A590" t="str">
            <v>002A.003</v>
          </cell>
        </row>
        <row r="591">
          <cell r="A591" t="str">
            <v>002A.003</v>
          </cell>
          <cell r="B591" t="str">
            <v>-</v>
          </cell>
          <cell r="C591" t="str">
            <v>SUMINISTRO, TRANSPORTE E INSTALACION SOLADO DE LIMPIEZA 2.000 PSI  E = 5 CM</v>
          </cell>
          <cell r="D591" t="str">
            <v>Actividad</v>
          </cell>
          <cell r="E591" t="str">
            <v>M2</v>
          </cell>
          <cell r="H591">
            <v>21094</v>
          </cell>
        </row>
        <row r="592">
          <cell r="A592" t="str">
            <v>002A.003</v>
          </cell>
          <cell r="B592" t="str">
            <v>AB3</v>
          </cell>
          <cell r="C592" t="str">
            <v>CONCRETO 2000 PSI - 14 MPA</v>
          </cell>
          <cell r="D592" t="str">
            <v>Analisis</v>
          </cell>
          <cell r="E592" t="str">
            <v>M3</v>
          </cell>
          <cell r="F592">
            <v>5.0999999999999997E-2</v>
          </cell>
          <cell r="G592">
            <v>337644</v>
          </cell>
          <cell r="H592">
            <v>17220</v>
          </cell>
        </row>
        <row r="593">
          <cell r="A593" t="str">
            <v>002A.003</v>
          </cell>
          <cell r="B593" t="str">
            <v>C15</v>
          </cell>
          <cell r="C593" t="str">
            <v>CUADRILLA AA TIPO 3 (1 OFICIAL + 3 AYUDANTE) (Albañileria)</v>
          </cell>
          <cell r="D593" t="str">
            <v>Cuadrilla</v>
          </cell>
          <cell r="E593" t="str">
            <v>HR</v>
          </cell>
          <cell r="F593">
            <v>0.13</v>
          </cell>
          <cell r="G593">
            <v>29568</v>
          </cell>
          <cell r="H593">
            <v>3844</v>
          </cell>
        </row>
        <row r="594">
          <cell r="B594" t="str">
            <v>H2</v>
          </cell>
          <cell r="C594" t="str">
            <v>EQUIPO BASICO (HERRAMIENTA MENOR)</v>
          </cell>
          <cell r="D594" t="str">
            <v>Herramienta</v>
          </cell>
          <cell r="E594" t="str">
            <v>UND</v>
          </cell>
          <cell r="F594">
            <v>1.2E-2</v>
          </cell>
          <cell r="G594">
            <v>2536</v>
          </cell>
          <cell r="H594">
            <v>30</v>
          </cell>
        </row>
        <row r="596">
          <cell r="A596" t="str">
            <v>017.094</v>
          </cell>
        </row>
        <row r="597">
          <cell r="A597" t="str">
            <v>017.094</v>
          </cell>
          <cell r="B597" t="str">
            <v>-</v>
          </cell>
          <cell r="C597" t="str">
            <v>SUMINISTRO, TRANSPORTE E INSTALACION BARANDA EN TUBERIA GALVANIZADA  4 HILOS DE 2", ENTRE 0.9 Y 1 MTS, PARALES VERTICALES  CADA 2 MTS, RELLENA DE  CONCRETO, INCLUYE WASH PRIMER, PINTURA, ANCLAJES Y RETIRO DE SOBRANTES</v>
          </cell>
          <cell r="D597" t="str">
            <v>Actividad</v>
          </cell>
          <cell r="E597" t="str">
            <v>ML</v>
          </cell>
          <cell r="H597">
            <v>299052</v>
          </cell>
        </row>
        <row r="598">
          <cell r="B598" t="str">
            <v>I1793</v>
          </cell>
          <cell r="C598" t="str">
            <v>SUMINISTRO,TRANSPORTE E INSTALCION  BARANDA EN TUBERIA GALVANIZADA A 4 HILOS DE 2" ENTRE 0.9 Y 1 MTS, PARALES  VERTICALES CADA 2 MTS,RELLENA DE CONCRETO, INCLUYE  WASH PRIMER PINTURA, ANCLAJES Y RETIRO DE SOBRANTES</v>
          </cell>
          <cell r="D598" t="str">
            <v>Insumo</v>
          </cell>
          <cell r="E598" t="str">
            <v>ML</v>
          </cell>
          <cell r="F598">
            <v>1</v>
          </cell>
          <cell r="G598">
            <v>299052</v>
          </cell>
          <cell r="H598">
            <v>299052</v>
          </cell>
        </row>
        <row r="600">
          <cell r="A600" t="str">
            <v>033.165</v>
          </cell>
        </row>
        <row r="601">
          <cell r="A601" t="str">
            <v>033.165</v>
          </cell>
          <cell r="B601" t="str">
            <v>-</v>
          </cell>
          <cell r="C601" t="str">
            <v>SUMINISTRO, TRANSPORTE E INSTALACION SIKAFLOOR SPORT LINE SUSTRATOS CIMENTOSOS</v>
          </cell>
          <cell r="D601" t="str">
            <v>Actividad</v>
          </cell>
          <cell r="E601" t="str">
            <v>M2</v>
          </cell>
          <cell r="H601">
            <v>96346</v>
          </cell>
        </row>
        <row r="602">
          <cell r="A602" t="str">
            <v>033.165</v>
          </cell>
          <cell r="B602" t="str">
            <v>C8</v>
          </cell>
          <cell r="C602" t="str">
            <v>CUADRILLA AA TIPO 2 (1 OFICIAL + 2 AYUDANTE) (Albañileria)</v>
          </cell>
          <cell r="D602" t="str">
            <v>Cuadrilla</v>
          </cell>
          <cell r="E602" t="str">
            <v>HR</v>
          </cell>
          <cell r="F602">
            <v>2</v>
          </cell>
          <cell r="G602">
            <v>23140</v>
          </cell>
          <cell r="H602">
            <v>46280</v>
          </cell>
        </row>
        <row r="603">
          <cell r="A603" t="str">
            <v>033.165</v>
          </cell>
          <cell r="B603" t="str">
            <v>E12</v>
          </cell>
          <cell r="C603" t="str">
            <v>EQUIPO DE TRANSPORTE</v>
          </cell>
          <cell r="D603" t="str">
            <v>Equipos</v>
          </cell>
          <cell r="E603" t="str">
            <v>DIA</v>
          </cell>
          <cell r="F603">
            <v>6.0000000000000001E-3</v>
          </cell>
          <cell r="G603">
            <v>131205</v>
          </cell>
          <cell r="H603">
            <v>787</v>
          </cell>
        </row>
        <row r="604">
          <cell r="A604" t="str">
            <v>033.165</v>
          </cell>
          <cell r="B604" t="str">
            <v>H2</v>
          </cell>
          <cell r="C604" t="str">
            <v>EQUIPO BASICO (HERRAMIENTA MENOR)</v>
          </cell>
          <cell r="D604" t="str">
            <v>Herramienta</v>
          </cell>
          <cell r="E604" t="str">
            <v>UND</v>
          </cell>
          <cell r="F604">
            <v>0.4</v>
          </cell>
          <cell r="G604">
            <v>2536</v>
          </cell>
          <cell r="H604">
            <v>1014</v>
          </cell>
        </row>
        <row r="605">
          <cell r="A605" t="str">
            <v>033.165</v>
          </cell>
          <cell r="B605" t="str">
            <v>I1565</v>
          </cell>
          <cell r="C605" t="str">
            <v>ACARREO INTERNO</v>
          </cell>
          <cell r="D605" t="str">
            <v>Insumo</v>
          </cell>
          <cell r="E605" t="str">
            <v>UND</v>
          </cell>
          <cell r="F605">
            <v>0.85</v>
          </cell>
          <cell r="G605">
            <v>1327</v>
          </cell>
          <cell r="H605">
            <v>1128</v>
          </cell>
        </row>
        <row r="606">
          <cell r="A606" t="str">
            <v>033.165</v>
          </cell>
          <cell r="B606" t="str">
            <v>_</v>
          </cell>
          <cell r="C606" t="str">
            <v>SIKAFLOOR - 154 W O SIMILAR.</v>
          </cell>
          <cell r="D606" t="str">
            <v>Insumo</v>
          </cell>
          <cell r="E606" t="str">
            <v>G/M2</v>
          </cell>
          <cell r="F606">
            <v>1</v>
          </cell>
          <cell r="G606">
            <v>13331</v>
          </cell>
          <cell r="H606">
            <v>13331</v>
          </cell>
        </row>
        <row r="607">
          <cell r="A607" t="str">
            <v>033.165</v>
          </cell>
          <cell r="B607" t="str">
            <v>_</v>
          </cell>
          <cell r="C607" t="str">
            <v>SIKAFLOOR - 2030 O SIMILAR.</v>
          </cell>
          <cell r="D607" t="str">
            <v>Insumo</v>
          </cell>
          <cell r="E607" t="str">
            <v>G/M2</v>
          </cell>
          <cell r="F607">
            <v>1</v>
          </cell>
          <cell r="G607">
            <v>23260</v>
          </cell>
          <cell r="H607">
            <v>23260</v>
          </cell>
        </row>
        <row r="608">
          <cell r="A608" t="str">
            <v>033.165</v>
          </cell>
          <cell r="B608" t="str">
            <v>_</v>
          </cell>
          <cell r="C608" t="str">
            <v>SIKAFLOOR - 2020 O SIMILAR.</v>
          </cell>
          <cell r="D608" t="str">
            <v>Insumo</v>
          </cell>
          <cell r="E608" t="str">
            <v>G/M2</v>
          </cell>
          <cell r="F608">
            <v>1</v>
          </cell>
          <cell r="G608">
            <v>9826</v>
          </cell>
          <cell r="H608">
            <v>9826</v>
          </cell>
        </row>
        <row r="609">
          <cell r="B609" t="str">
            <v>I49</v>
          </cell>
          <cell r="C609" t="str">
            <v>AGUA LITRO</v>
          </cell>
          <cell r="D609" t="str">
            <v>Insumo</v>
          </cell>
          <cell r="E609" t="str">
            <v>LT</v>
          </cell>
          <cell r="F609">
            <v>30</v>
          </cell>
          <cell r="G609">
            <v>24</v>
          </cell>
          <cell r="H609">
            <v>720</v>
          </cell>
        </row>
        <row r="611">
          <cell r="A611" t="str">
            <v>033.168</v>
          </cell>
        </row>
        <row r="612">
          <cell r="A612" t="str">
            <v>033.168</v>
          </cell>
          <cell r="B612" t="str">
            <v>-</v>
          </cell>
          <cell r="C612" t="str">
            <v>SUMINISTRO, TRANSPORTE E INSTALACION FILTRO DRENAJE (0.60 x 1.00 m) Tubo Drenaje Corrugado de 8" con filtro. Incluye relleno piedra filtro, Geotextil NT 3000</v>
          </cell>
          <cell r="D612" t="str">
            <v>Actividad</v>
          </cell>
          <cell r="E612" t="str">
            <v>ML</v>
          </cell>
          <cell r="H612">
            <v>255575</v>
          </cell>
        </row>
        <row r="613">
          <cell r="A613" t="str">
            <v>033.168</v>
          </cell>
          <cell r="B613" t="str">
            <v>I11</v>
          </cell>
          <cell r="C613" t="str">
            <v>Concreto 3000 psi - 21 Mpa</v>
          </cell>
          <cell r="D613" t="str">
            <v>Insumo</v>
          </cell>
          <cell r="E613" t="str">
            <v>M3</v>
          </cell>
          <cell r="F613">
            <v>0.21</v>
          </cell>
          <cell r="G613">
            <v>361590</v>
          </cell>
          <cell r="H613">
            <v>75934</v>
          </cell>
        </row>
        <row r="614">
          <cell r="A614" t="str">
            <v>033.168</v>
          </cell>
          <cell r="B614" t="str">
            <v>I12</v>
          </cell>
          <cell r="C614" t="str">
            <v>Cuarton 2"x4"x3m</v>
          </cell>
          <cell r="D614" t="str">
            <v xml:space="preserve">Insumo </v>
          </cell>
          <cell r="E614" t="str">
            <v>ML</v>
          </cell>
          <cell r="F614">
            <v>0.3</v>
          </cell>
          <cell r="G614">
            <v>8301</v>
          </cell>
          <cell r="H614">
            <v>2490</v>
          </cell>
        </row>
        <row r="615">
          <cell r="A615" t="str">
            <v>033.168</v>
          </cell>
          <cell r="B615" t="str">
            <v>I13</v>
          </cell>
          <cell r="C615" t="str">
            <v>Bastidor Otobo 2x4"</v>
          </cell>
          <cell r="D615" t="str">
            <v>Insumo</v>
          </cell>
          <cell r="E615" t="str">
            <v>ML</v>
          </cell>
          <cell r="F615">
            <v>0.4</v>
          </cell>
          <cell r="G615">
            <v>3200</v>
          </cell>
          <cell r="H615">
            <v>1280</v>
          </cell>
        </row>
        <row r="616">
          <cell r="A616" t="str">
            <v>033.168</v>
          </cell>
          <cell r="B616" t="str">
            <v>I03</v>
          </cell>
          <cell r="C616" t="str">
            <v>Puntilla comun 2"</v>
          </cell>
          <cell r="D616" t="str">
            <v>Insumo</v>
          </cell>
          <cell r="E616" t="str">
            <v>LB</v>
          </cell>
          <cell r="F616">
            <v>0.2</v>
          </cell>
          <cell r="G616">
            <v>2915</v>
          </cell>
          <cell r="H616">
            <v>583</v>
          </cell>
        </row>
        <row r="617">
          <cell r="A617" t="str">
            <v>033.168</v>
          </cell>
          <cell r="B617" t="str">
            <v>I14</v>
          </cell>
          <cell r="C617" t="str">
            <v>Formaleta super T (2,44x1,50 (3,66)</v>
          </cell>
          <cell r="D617" t="str">
            <v xml:space="preserve">Insumo </v>
          </cell>
          <cell r="E617" t="str">
            <v>UN</v>
          </cell>
          <cell r="F617">
            <v>0.8</v>
          </cell>
          <cell r="G617">
            <v>32800</v>
          </cell>
          <cell r="H617">
            <v>26240</v>
          </cell>
        </row>
        <row r="618">
          <cell r="A618" t="str">
            <v>033.168</v>
          </cell>
          <cell r="B618" t="str">
            <v>I66</v>
          </cell>
          <cell r="C618" t="str">
            <v>Acero 60000PSI (Incluye alambre negro y figuracion)</v>
          </cell>
          <cell r="D618" t="str">
            <v>Insumo</v>
          </cell>
          <cell r="E618" t="str">
            <v>KG</v>
          </cell>
          <cell r="F618">
            <v>14</v>
          </cell>
          <cell r="G618">
            <v>4450</v>
          </cell>
          <cell r="H618">
            <v>62300</v>
          </cell>
        </row>
        <row r="619">
          <cell r="A619" t="str">
            <v>033.168</v>
          </cell>
          <cell r="B619" t="str">
            <v>I132</v>
          </cell>
          <cell r="C619" t="str">
            <v>Malla electrosoldada 4 mm</v>
          </cell>
          <cell r="D619" t="str">
            <v>Insumo</v>
          </cell>
          <cell r="E619" t="str">
            <v>M2</v>
          </cell>
          <cell r="F619">
            <v>0.36</v>
          </cell>
          <cell r="G619">
            <v>4700</v>
          </cell>
          <cell r="H619">
            <v>1692</v>
          </cell>
        </row>
        <row r="620">
          <cell r="A620" t="str">
            <v>033.168</v>
          </cell>
          <cell r="B620" t="str">
            <v>MO2</v>
          </cell>
          <cell r="C620" t="str">
            <v>Cuadrilla Tipo II (1 Oficial + 2 Ayudante)</v>
          </cell>
          <cell r="D620" t="str">
            <v>Mano de Obra</v>
          </cell>
          <cell r="E620" t="str">
            <v>Hora</v>
          </cell>
          <cell r="F620">
            <v>1.5</v>
          </cell>
          <cell r="G620">
            <v>25982.968799999999</v>
          </cell>
          <cell r="H620">
            <v>38974</v>
          </cell>
        </row>
        <row r="621">
          <cell r="A621" t="str">
            <v>033.168</v>
          </cell>
          <cell r="B621" t="str">
            <v>E10</v>
          </cell>
          <cell r="C621" t="str">
            <v xml:space="preserve">Herramienta menor </v>
          </cell>
          <cell r="D621" t="str">
            <v>Equipo</v>
          </cell>
          <cell r="E621" t="str">
            <v>Und</v>
          </cell>
          <cell r="F621">
            <v>0.08</v>
          </cell>
          <cell r="G621">
            <v>2663</v>
          </cell>
          <cell r="H621">
            <v>213</v>
          </cell>
        </row>
        <row r="622">
          <cell r="A622" t="str">
            <v>033.168</v>
          </cell>
          <cell r="B622" t="str">
            <v>MO00</v>
          </cell>
          <cell r="C622" t="str">
            <v>Acarreo Interno</v>
          </cell>
          <cell r="D622" t="str">
            <v>Mano de Obra</v>
          </cell>
          <cell r="E622" t="str">
            <v>%</v>
          </cell>
          <cell r="F622">
            <v>0.5</v>
          </cell>
          <cell r="G622">
            <v>3897.4</v>
          </cell>
          <cell r="H622">
            <v>1949</v>
          </cell>
        </row>
        <row r="623">
          <cell r="A623" t="str">
            <v>033.168</v>
          </cell>
          <cell r="B623" t="str">
            <v>I74</v>
          </cell>
          <cell r="C623" t="str">
            <v>Cinta SIKA PVC V-15 cinta flexible sello juntas</v>
          </cell>
          <cell r="D623" t="str">
            <v>Insumo</v>
          </cell>
          <cell r="E623" t="str">
            <v>ml</v>
          </cell>
          <cell r="F623">
            <v>0.3</v>
          </cell>
          <cell r="G623">
            <v>20500</v>
          </cell>
          <cell r="H623">
            <v>6150</v>
          </cell>
        </row>
        <row r="624">
          <cell r="A624" t="str">
            <v>033.168</v>
          </cell>
          <cell r="B624" t="str">
            <v>I75</v>
          </cell>
          <cell r="C624" t="str">
            <v>Angulo Hierro 1 1/2"x 1 1/2" x 1/8"</v>
          </cell>
          <cell r="D624" t="str">
            <v xml:space="preserve">Insumo </v>
          </cell>
          <cell r="E624" t="str">
            <v>Und</v>
          </cell>
          <cell r="F624">
            <v>3</v>
          </cell>
          <cell r="G624">
            <v>3750</v>
          </cell>
          <cell r="H624">
            <v>11250</v>
          </cell>
        </row>
        <row r="625">
          <cell r="A625" t="str">
            <v>033.168</v>
          </cell>
          <cell r="B625" t="str">
            <v>I76</v>
          </cell>
          <cell r="C625" t="str">
            <v>Tubo Conduit PVC 1/2"</v>
          </cell>
          <cell r="D625" t="str">
            <v>Insumo</v>
          </cell>
          <cell r="E625" t="str">
            <v>ml</v>
          </cell>
          <cell r="F625">
            <v>3.75</v>
          </cell>
          <cell r="G625">
            <v>3750</v>
          </cell>
          <cell r="H625">
            <v>14063</v>
          </cell>
        </row>
        <row r="626">
          <cell r="B626" t="str">
            <v>I21</v>
          </cell>
          <cell r="C626" t="str">
            <v>Concreto 2500 Psi</v>
          </cell>
          <cell r="D626" t="str">
            <v>Insumo</v>
          </cell>
          <cell r="E626" t="str">
            <v>M3</v>
          </cell>
          <cell r="F626">
            <v>3.7499999999999999E-2</v>
          </cell>
          <cell r="G626">
            <v>332193</v>
          </cell>
          <cell r="H626">
            <v>12457</v>
          </cell>
        </row>
        <row r="628">
          <cell r="A628" t="str">
            <v>005.004</v>
          </cell>
        </row>
        <row r="629">
          <cell r="A629" t="str">
            <v>005.004</v>
          </cell>
          <cell r="B629" t="str">
            <v>-</v>
          </cell>
          <cell r="C629" t="str">
            <v>SUMINISTRO, TRANSPORTE E INSTALACION MALLA ELECTROSOLDADA M-084 Q-2 F  4 mm c/.15m en ambos sentidos (Incluye alambre negro, colocación y traslapo).</v>
          </cell>
          <cell r="D629" t="str">
            <v>Actividad</v>
          </cell>
          <cell r="E629" t="str">
            <v>KG</v>
          </cell>
          <cell r="H629">
            <v>6748</v>
          </cell>
        </row>
        <row r="630">
          <cell r="A630" t="str">
            <v>005.004</v>
          </cell>
          <cell r="B630" t="str">
            <v>C8</v>
          </cell>
          <cell r="C630" t="str">
            <v>CUADRILLA AA TIPO 2 (1 OFICIAL + 2 AYUDANTE) (Albañileria)</v>
          </cell>
          <cell r="D630" t="str">
            <v>Cuadrilla</v>
          </cell>
          <cell r="E630" t="str">
            <v>HR</v>
          </cell>
          <cell r="F630">
            <v>0.05</v>
          </cell>
          <cell r="G630">
            <v>23140</v>
          </cell>
          <cell r="H630">
            <v>1157</v>
          </cell>
        </row>
        <row r="631">
          <cell r="A631" t="str">
            <v>005.004</v>
          </cell>
          <cell r="B631" t="str">
            <v>E12</v>
          </cell>
          <cell r="C631" t="str">
            <v>EQUIPO DE TRANSPORTE</v>
          </cell>
          <cell r="D631" t="str">
            <v>Equipos</v>
          </cell>
          <cell r="E631" t="str">
            <v>DIA</v>
          </cell>
          <cell r="F631">
            <v>5.0000000000000001E-4</v>
          </cell>
          <cell r="G631">
            <v>131205</v>
          </cell>
          <cell r="H631">
            <v>66</v>
          </cell>
        </row>
        <row r="632">
          <cell r="A632" t="str">
            <v>005.004</v>
          </cell>
          <cell r="B632" t="str">
            <v>I1565</v>
          </cell>
          <cell r="C632" t="str">
            <v>ACARREO INTERNO</v>
          </cell>
          <cell r="D632" t="str">
            <v>Insumo</v>
          </cell>
          <cell r="E632" t="str">
            <v>UND</v>
          </cell>
          <cell r="F632">
            <v>5.2999999999999999E-2</v>
          </cell>
          <cell r="G632">
            <v>1327</v>
          </cell>
          <cell r="H632">
            <v>70</v>
          </cell>
        </row>
        <row r="633">
          <cell r="A633" t="str">
            <v>005.004</v>
          </cell>
          <cell r="B633" t="str">
            <v>I3</v>
          </cell>
          <cell r="C633" t="str">
            <v>ALAMBRE NEGRO NO. 18</v>
          </cell>
          <cell r="D633" t="str">
            <v>Insumo</v>
          </cell>
          <cell r="E633" t="str">
            <v>KG</v>
          </cell>
          <cell r="F633">
            <v>3.1E-2</v>
          </cell>
          <cell r="G633">
            <v>4323</v>
          </cell>
          <cell r="H633">
            <v>134</v>
          </cell>
        </row>
        <row r="634">
          <cell r="B634" t="str">
            <v>I6</v>
          </cell>
          <cell r="C634" t="str">
            <v>MALLA ELECTROSOLDADA M-084  Q-2  4 MM  15 X 15 CM.</v>
          </cell>
          <cell r="D634" t="str">
            <v>Insumo</v>
          </cell>
          <cell r="E634" t="str">
            <v>KG</v>
          </cell>
          <cell r="F634">
            <v>1.05</v>
          </cell>
          <cell r="G634">
            <v>5068</v>
          </cell>
          <cell r="H634">
            <v>5321</v>
          </cell>
        </row>
        <row r="636">
          <cell r="A636" t="str">
            <v>032.017</v>
          </cell>
        </row>
        <row r="637">
          <cell r="A637" t="str">
            <v>032.017</v>
          </cell>
          <cell r="B637" t="str">
            <v>-</v>
          </cell>
          <cell r="C637" t="str">
            <v>SUMINISTRO, TRANSPORTE E INSTALACION SARDINEL ANCHO = 20 CM H = ENTRE  15 Y 20 CM  EN CONCRETO 3000 PSI, CHAFLANADO</v>
          </cell>
          <cell r="D637" t="str">
            <v>Actividad</v>
          </cell>
          <cell r="E637" t="str">
            <v>ML</v>
          </cell>
          <cell r="H637">
            <v>63771</v>
          </cell>
        </row>
        <row r="638">
          <cell r="A638" t="str">
            <v>032.017</v>
          </cell>
          <cell r="B638" t="str">
            <v>AB5</v>
          </cell>
          <cell r="C638" t="str">
            <v>CONCRETO 3000 psi - 21 Mpa</v>
          </cell>
          <cell r="D638" t="str">
            <v>Analisis</v>
          </cell>
          <cell r="E638" t="str">
            <v>M3</v>
          </cell>
          <cell r="F638">
            <v>4.2999999999999997E-2</v>
          </cell>
          <cell r="G638">
            <v>421155</v>
          </cell>
          <cell r="H638">
            <v>18110</v>
          </cell>
        </row>
        <row r="639">
          <cell r="A639" t="str">
            <v>032.017</v>
          </cell>
          <cell r="B639" t="str">
            <v>C15</v>
          </cell>
          <cell r="C639" t="str">
            <v>CUADRILLA AA TIPO 3 (1 OFICIAL + 3 AYUDANTE) (Albañileria)</v>
          </cell>
          <cell r="D639" t="str">
            <v>Cuadrilla</v>
          </cell>
          <cell r="E639" t="str">
            <v>HR</v>
          </cell>
          <cell r="F639">
            <v>0.75</v>
          </cell>
          <cell r="G639">
            <v>29568</v>
          </cell>
          <cell r="H639">
            <v>22176</v>
          </cell>
        </row>
        <row r="640">
          <cell r="A640" t="str">
            <v>032.017</v>
          </cell>
          <cell r="B640" t="str">
            <v>E12</v>
          </cell>
          <cell r="C640" t="str">
            <v>EQUIPO DE TRANSPORTE</v>
          </cell>
          <cell r="D640" t="str">
            <v>Equipos</v>
          </cell>
          <cell r="E640" t="str">
            <v>DIA</v>
          </cell>
          <cell r="F640">
            <v>8.0000000000000002E-3</v>
          </cell>
          <cell r="G640">
            <v>131205</v>
          </cell>
          <cell r="H640">
            <v>1050</v>
          </cell>
        </row>
        <row r="641">
          <cell r="A641" t="str">
            <v>032.017</v>
          </cell>
          <cell r="B641" t="str">
            <v>E52</v>
          </cell>
          <cell r="C641" t="str">
            <v>VIBRADOR</v>
          </cell>
          <cell r="D641" t="str">
            <v>Equipos</v>
          </cell>
          <cell r="E641" t="str">
            <v>HR</v>
          </cell>
          <cell r="F641">
            <v>0.25</v>
          </cell>
          <cell r="G641">
            <v>5905</v>
          </cell>
          <cell r="H641">
            <v>1476</v>
          </cell>
        </row>
        <row r="642">
          <cell r="A642" t="str">
            <v>032.017</v>
          </cell>
          <cell r="B642" t="str">
            <v>H2</v>
          </cell>
          <cell r="C642" t="str">
            <v>EQUIPO BASICO (HERRAMIENTA MENOR)</v>
          </cell>
          <cell r="D642" t="str">
            <v>Herramienta</v>
          </cell>
          <cell r="E642" t="str">
            <v>UND</v>
          </cell>
          <cell r="F642">
            <v>0.75</v>
          </cell>
          <cell r="G642">
            <v>2536</v>
          </cell>
          <cell r="H642">
            <v>1902</v>
          </cell>
        </row>
        <row r="643">
          <cell r="A643" t="str">
            <v>032.017</v>
          </cell>
          <cell r="B643" t="str">
            <v>I1565</v>
          </cell>
          <cell r="C643" t="str">
            <v>ACARREO INTERNO</v>
          </cell>
          <cell r="D643" t="str">
            <v>Insumo</v>
          </cell>
          <cell r="E643" t="str">
            <v>UND</v>
          </cell>
          <cell r="F643">
            <v>1.5</v>
          </cell>
          <cell r="G643">
            <v>1327</v>
          </cell>
          <cell r="H643">
            <v>1991</v>
          </cell>
        </row>
        <row r="644">
          <cell r="A644" t="str">
            <v>032.017</v>
          </cell>
          <cell r="B644" t="str">
            <v>I424</v>
          </cell>
          <cell r="C644" t="str">
            <v>PUNTILLA CON CABEZA 1"</v>
          </cell>
          <cell r="D644" t="str">
            <v>Insumo</v>
          </cell>
          <cell r="E644" t="str">
            <v>LB</v>
          </cell>
          <cell r="F644">
            <v>0.1</v>
          </cell>
          <cell r="G644">
            <v>3585</v>
          </cell>
          <cell r="H644">
            <v>359</v>
          </cell>
        </row>
        <row r="645">
          <cell r="A645" t="str">
            <v>032.017</v>
          </cell>
          <cell r="B645" t="str">
            <v>I478</v>
          </cell>
          <cell r="C645" t="str">
            <v>ADITIVO PARA CURAR EL CONCRETO</v>
          </cell>
          <cell r="D645" t="str">
            <v>Insumo</v>
          </cell>
          <cell r="E645" t="str">
            <v>UND</v>
          </cell>
          <cell r="F645">
            <v>0.01</v>
          </cell>
          <cell r="G645">
            <v>34001</v>
          </cell>
          <cell r="H645">
            <v>340</v>
          </cell>
        </row>
        <row r="646">
          <cell r="A646" t="str">
            <v>032.017</v>
          </cell>
          <cell r="B646" t="str">
            <v>I957</v>
          </cell>
          <cell r="C646" t="str">
            <v>LISTON 2 X 4</v>
          </cell>
          <cell r="D646" t="str">
            <v>Insumo</v>
          </cell>
          <cell r="E646" t="str">
            <v>M</v>
          </cell>
          <cell r="F646">
            <v>0.3</v>
          </cell>
          <cell r="G646">
            <v>3244</v>
          </cell>
          <cell r="H646">
            <v>973</v>
          </cell>
        </row>
        <row r="647">
          <cell r="A647" t="str">
            <v>032.017</v>
          </cell>
          <cell r="B647" t="str">
            <v>I988</v>
          </cell>
          <cell r="C647" t="str">
            <v>VARILLON DE SAJO</v>
          </cell>
          <cell r="D647" t="str">
            <v>Insumo</v>
          </cell>
          <cell r="E647" t="str">
            <v>UND</v>
          </cell>
          <cell r="F647">
            <v>1</v>
          </cell>
          <cell r="G647">
            <v>12597</v>
          </cell>
          <cell r="H647">
            <v>12597</v>
          </cell>
        </row>
        <row r="648">
          <cell r="A648" t="str">
            <v>032.017</v>
          </cell>
          <cell r="B648" t="str">
            <v>I989</v>
          </cell>
          <cell r="C648" t="str">
            <v>GUADUA SOBREBASA L= 1.50 MT. 3 USOS</v>
          </cell>
          <cell r="D648" t="str">
            <v>Insumo</v>
          </cell>
          <cell r="E648" t="str">
            <v>UND</v>
          </cell>
          <cell r="F648">
            <v>0.1</v>
          </cell>
          <cell r="G648">
            <v>4642</v>
          </cell>
          <cell r="H648">
            <v>464</v>
          </cell>
        </row>
        <row r="649">
          <cell r="B649" t="str">
            <v>I990</v>
          </cell>
          <cell r="C649" t="str">
            <v>TABLA 1"X10"X3M</v>
          </cell>
          <cell r="D649" t="str">
            <v>Insumo</v>
          </cell>
          <cell r="E649" t="str">
            <v>UND</v>
          </cell>
          <cell r="F649">
            <v>0.22</v>
          </cell>
          <cell r="G649">
            <v>10606</v>
          </cell>
          <cell r="H649">
            <v>2333</v>
          </cell>
        </row>
        <row r="651">
          <cell r="A651" t="str">
            <v>021.041</v>
          </cell>
        </row>
        <row r="652">
          <cell r="A652" t="str">
            <v>021.041</v>
          </cell>
          <cell r="B652" t="str">
            <v>-</v>
          </cell>
          <cell r="C652" t="str">
            <v>DEFENSA METALICA VEHICULAR TIPO INVIAS</v>
          </cell>
          <cell r="D652" t="str">
            <v>Actividad</v>
          </cell>
          <cell r="E652" t="str">
            <v>ML</v>
          </cell>
          <cell r="H652">
            <v>392702</v>
          </cell>
        </row>
        <row r="653">
          <cell r="A653" t="str">
            <v>021.041</v>
          </cell>
          <cell r="B653" t="str">
            <v>AB5</v>
          </cell>
          <cell r="C653" t="str">
            <v>CONCRETO 3000 psi - 21 Mpa</v>
          </cell>
          <cell r="D653" t="str">
            <v>Analisis</v>
          </cell>
          <cell r="E653" t="str">
            <v>M3</v>
          </cell>
          <cell r="F653">
            <v>0.05</v>
          </cell>
          <cell r="G653">
            <v>421155</v>
          </cell>
          <cell r="H653">
            <v>21058</v>
          </cell>
        </row>
        <row r="654">
          <cell r="A654" t="str">
            <v>021.041</v>
          </cell>
          <cell r="B654" t="str">
            <v>C22</v>
          </cell>
          <cell r="C654" t="str">
            <v>CUADRILLA AA TIPO 4 (1 OFICIAL + 4 AYUDANTE) (Albañileria)</v>
          </cell>
          <cell r="D654" t="str">
            <v>Cuadrilla</v>
          </cell>
          <cell r="E654" t="str">
            <v>HR</v>
          </cell>
          <cell r="F654">
            <v>2.5</v>
          </cell>
          <cell r="G654">
            <v>35996</v>
          </cell>
          <cell r="H654">
            <v>89990</v>
          </cell>
        </row>
        <row r="655">
          <cell r="A655" t="str">
            <v>021.041</v>
          </cell>
          <cell r="B655" t="str">
            <v>E12</v>
          </cell>
          <cell r="C655" t="str">
            <v>EQUIPO DE TRANSPORTE</v>
          </cell>
          <cell r="D655" t="str">
            <v>Equipos</v>
          </cell>
          <cell r="E655" t="str">
            <v>DIA</v>
          </cell>
          <cell r="F655">
            <v>4.2900000000000001E-2</v>
          </cell>
          <cell r="G655">
            <v>131205</v>
          </cell>
          <cell r="H655">
            <v>5629</v>
          </cell>
        </row>
        <row r="656">
          <cell r="A656" t="str">
            <v>021.041</v>
          </cell>
          <cell r="B656" t="str">
            <v>H2</v>
          </cell>
          <cell r="C656" t="str">
            <v>EQUIPO BASICO (HERRAMIENTA MENOR)</v>
          </cell>
          <cell r="D656" t="str">
            <v>Herramienta</v>
          </cell>
          <cell r="E656" t="str">
            <v>UND</v>
          </cell>
          <cell r="F656">
            <v>0.35</v>
          </cell>
          <cell r="G656">
            <v>2536</v>
          </cell>
          <cell r="H656">
            <v>888</v>
          </cell>
        </row>
        <row r="657">
          <cell r="A657" t="str">
            <v>021.041</v>
          </cell>
          <cell r="B657" t="str">
            <v>I1001</v>
          </cell>
          <cell r="C657" t="str">
            <v>ANTICORROSIVO PREMIUM - TIPO PINTUCO REF. 513 O SIMILAR</v>
          </cell>
          <cell r="D657" t="str">
            <v>Insumo</v>
          </cell>
          <cell r="E657" t="str">
            <v>GAL</v>
          </cell>
          <cell r="F657">
            <v>7.0000000000000007E-2</v>
          </cell>
          <cell r="G657">
            <v>61233</v>
          </cell>
          <cell r="H657">
            <v>4286</v>
          </cell>
        </row>
        <row r="658">
          <cell r="A658" t="str">
            <v>021.041</v>
          </cell>
          <cell r="B658" t="str">
            <v>I1015</v>
          </cell>
          <cell r="C658" t="str">
            <v>PINTURA ACRILICA PARA TRAFICO TIPO PINTUCO (PINTUTRÁFICO) O SIMILAR - COLORES: BLANCO, AMARILLO O NEGRO SEGÚN DISEÑO.</v>
          </cell>
          <cell r="D658" t="str">
            <v>Insumo</v>
          </cell>
          <cell r="E658" t="str">
            <v>GAL</v>
          </cell>
          <cell r="F658">
            <v>7.0000000000000007E-2</v>
          </cell>
          <cell r="G658">
            <v>91659</v>
          </cell>
          <cell r="H658">
            <v>6416</v>
          </cell>
        </row>
        <row r="659">
          <cell r="A659" t="str">
            <v>021.041</v>
          </cell>
          <cell r="B659" t="str">
            <v>I1036</v>
          </cell>
          <cell r="C659" t="str">
            <v>WASH PRIMER</v>
          </cell>
          <cell r="D659" t="str">
            <v>Insumo</v>
          </cell>
          <cell r="E659" t="str">
            <v>GAL</v>
          </cell>
          <cell r="F659">
            <v>0.05</v>
          </cell>
          <cell r="G659">
            <v>157771</v>
          </cell>
          <cell r="H659">
            <v>7889</v>
          </cell>
        </row>
        <row r="660">
          <cell r="A660" t="str">
            <v>021.041</v>
          </cell>
          <cell r="B660" t="str">
            <v>I1565</v>
          </cell>
          <cell r="C660" t="str">
            <v>ACARREO INTERNO</v>
          </cell>
          <cell r="D660" t="str">
            <v>Insumo</v>
          </cell>
          <cell r="E660" t="str">
            <v>UND</v>
          </cell>
          <cell r="F660">
            <v>3.1</v>
          </cell>
          <cell r="G660">
            <v>1327</v>
          </cell>
          <cell r="H660">
            <v>4114</v>
          </cell>
        </row>
        <row r="661">
          <cell r="B661" t="str">
            <v>I255</v>
          </cell>
          <cell r="C661" t="str">
            <v>DEFENSA DE PROTECCIÓN VIAL TIPO INVIAS</v>
          </cell>
          <cell r="D661" t="str">
            <v>Insumo</v>
          </cell>
          <cell r="E661" t="str">
            <v>ML</v>
          </cell>
          <cell r="F661">
            <v>1</v>
          </cell>
          <cell r="G661">
            <v>252432</v>
          </cell>
          <cell r="H661">
            <v>252432</v>
          </cell>
        </row>
        <row r="663">
          <cell r="A663" t="str">
            <v>008</v>
          </cell>
        </row>
        <row r="664">
          <cell r="C664" t="str">
            <v>OBRAS ELÉCTRICAS</v>
          </cell>
          <cell r="D664" t="str">
            <v>Capitulo</v>
          </cell>
        </row>
        <row r="668">
          <cell r="A668" t="str">
            <v>009</v>
          </cell>
        </row>
        <row r="669">
          <cell r="C669" t="str">
            <v>CUBIERTA</v>
          </cell>
          <cell r="D669" t="str">
            <v>Capitulo</v>
          </cell>
        </row>
        <row r="671">
          <cell r="A671" t="str">
            <v>005.074</v>
          </cell>
        </row>
        <row r="672">
          <cell r="A672" t="str">
            <v>005.074</v>
          </cell>
          <cell r="B672" t="str">
            <v>-</v>
          </cell>
          <cell r="C672" t="str">
            <v>SUMINISTRO, TRANSPORTE E INSTALACION PERFILES TUBULARES ACERO ASTM A-572 GRADO 50  (INCLUYE SOLDADURA, ANTICORROSIVO Y ESMALTE)</v>
          </cell>
          <cell r="D672" t="str">
            <v>Actividad</v>
          </cell>
          <cell r="E672" t="str">
            <v>KG</v>
          </cell>
          <cell r="H672">
            <v>14227</v>
          </cell>
        </row>
        <row r="673">
          <cell r="A673" t="str">
            <v>005.074</v>
          </cell>
          <cell r="B673" t="str">
            <v>C18</v>
          </cell>
          <cell r="C673" t="str">
            <v>CUADRILLA DD TIPO 3 (1 OFICIAL + 3 AYUDANTE) (Carpinteria)</v>
          </cell>
          <cell r="D673" t="str">
            <v>Cuadrilla</v>
          </cell>
          <cell r="E673" t="str">
            <v>HR</v>
          </cell>
          <cell r="F673">
            <v>0.09</v>
          </cell>
          <cell r="G673">
            <v>33999</v>
          </cell>
          <cell r="H673">
            <v>3060</v>
          </cell>
        </row>
        <row r="674">
          <cell r="A674" t="str">
            <v>005.074</v>
          </cell>
          <cell r="B674" t="str">
            <v>E1</v>
          </cell>
          <cell r="C674" t="str">
            <v>ANDAMIO METALICO CERTIFICADO, INCLUYE ESCALERILLA CON BARANDAS Y PLATAFORMAS DE TRABAJO</v>
          </cell>
          <cell r="D674" t="str">
            <v>Equipos</v>
          </cell>
          <cell r="E674" t="str">
            <v>UND</v>
          </cell>
          <cell r="F674">
            <v>0.05</v>
          </cell>
          <cell r="G674">
            <v>7257</v>
          </cell>
          <cell r="H674">
            <v>363</v>
          </cell>
        </row>
        <row r="675">
          <cell r="A675" t="str">
            <v>005.074</v>
          </cell>
          <cell r="B675" t="str">
            <v>E12</v>
          </cell>
          <cell r="C675" t="str">
            <v>EQUIPO DE TRANSPORTE</v>
          </cell>
          <cell r="D675" t="str">
            <v>Equipos</v>
          </cell>
          <cell r="E675" t="str">
            <v>DIA</v>
          </cell>
          <cell r="F675">
            <v>1.6999999999999999E-3</v>
          </cell>
          <cell r="G675">
            <v>131205</v>
          </cell>
          <cell r="H675">
            <v>223</v>
          </cell>
        </row>
        <row r="676">
          <cell r="A676" t="str">
            <v>005.074</v>
          </cell>
          <cell r="B676" t="str">
            <v>E59</v>
          </cell>
          <cell r="C676" t="str">
            <v>EQUIPO DE SOLDADURA</v>
          </cell>
          <cell r="D676" t="str">
            <v>Equipos</v>
          </cell>
          <cell r="E676" t="str">
            <v>HR</v>
          </cell>
          <cell r="F676">
            <v>0.01</v>
          </cell>
          <cell r="G676">
            <v>32800</v>
          </cell>
          <cell r="H676">
            <v>328</v>
          </cell>
        </row>
        <row r="677">
          <cell r="A677" t="str">
            <v>005.074</v>
          </cell>
          <cell r="B677" t="str">
            <v>E78</v>
          </cell>
          <cell r="C677" t="str">
            <v>COMPRESOR</v>
          </cell>
          <cell r="D677" t="str">
            <v>Equipos</v>
          </cell>
          <cell r="E677" t="str">
            <v>HR</v>
          </cell>
          <cell r="F677">
            <v>0.01</v>
          </cell>
          <cell r="G677">
            <v>45659</v>
          </cell>
          <cell r="H677">
            <v>457</v>
          </cell>
        </row>
        <row r="678">
          <cell r="A678" t="str">
            <v>005.074</v>
          </cell>
          <cell r="B678" t="str">
            <v>H2</v>
          </cell>
          <cell r="C678" t="str">
            <v>EQUIPO BASICO (HERRAMIENTA MENOR)</v>
          </cell>
          <cell r="D678" t="str">
            <v>Herramienta</v>
          </cell>
          <cell r="E678" t="str">
            <v>UND</v>
          </cell>
          <cell r="F678">
            <v>0.09</v>
          </cell>
          <cell r="G678">
            <v>2536</v>
          </cell>
          <cell r="H678">
            <v>228</v>
          </cell>
        </row>
        <row r="679">
          <cell r="A679" t="str">
            <v>005.074</v>
          </cell>
          <cell r="B679" t="str">
            <v>I1001</v>
          </cell>
          <cell r="C679" t="str">
            <v>ANTICORROSIVO PREMIUM - TIPO PINTUCO REF. 513 O SIMILAR</v>
          </cell>
          <cell r="D679" t="str">
            <v>Insumo</v>
          </cell>
          <cell r="E679" t="str">
            <v>GAL</v>
          </cell>
          <cell r="F679">
            <v>1.4999999999999999E-2</v>
          </cell>
          <cell r="G679">
            <v>61233</v>
          </cell>
          <cell r="H679">
            <v>918</v>
          </cell>
        </row>
        <row r="680">
          <cell r="A680" t="str">
            <v>005.074</v>
          </cell>
          <cell r="B680" t="str">
            <v>I1002</v>
          </cell>
          <cell r="C680" t="str">
            <v>ESMALTE SINTETICO PINTULUX - TIPO PINTUCO REF. SEGÚN COLOR DISEÑO O SIMILAR</v>
          </cell>
          <cell r="D680" t="str">
            <v>Insumo</v>
          </cell>
          <cell r="E680" t="str">
            <v>GAL</v>
          </cell>
          <cell r="F680">
            <v>1.4999999999999999E-2</v>
          </cell>
          <cell r="G680">
            <v>88789</v>
          </cell>
          <cell r="H680">
            <v>1332</v>
          </cell>
        </row>
        <row r="681">
          <cell r="A681" t="str">
            <v>005.074</v>
          </cell>
          <cell r="B681" t="str">
            <v>I1565</v>
          </cell>
          <cell r="C681" t="str">
            <v>ACARREO INTERNO</v>
          </cell>
          <cell r="D681" t="str">
            <v>Insumo</v>
          </cell>
          <cell r="E681" t="str">
            <v>UND</v>
          </cell>
          <cell r="F681">
            <v>0.1</v>
          </cell>
          <cell r="G681">
            <v>1327</v>
          </cell>
          <cell r="H681">
            <v>133</v>
          </cell>
        </row>
        <row r="682">
          <cell r="A682" t="str">
            <v>005.074</v>
          </cell>
          <cell r="B682" t="str">
            <v>I301</v>
          </cell>
          <cell r="C682" t="str">
            <v>TUBERIA ESTRUCTURAL A.S.T.M.  A-572 GRADO 50 - REDONDA, CUADRADA O RECTANGULAR SEGÚN DISEÑO - TIPO COLMENA O SIMILAR</v>
          </cell>
          <cell r="D682" t="str">
            <v>Insumo</v>
          </cell>
          <cell r="E682" t="str">
            <v>KG</v>
          </cell>
          <cell r="F682">
            <v>1</v>
          </cell>
          <cell r="G682">
            <v>3958</v>
          </cell>
          <cell r="H682">
            <v>3958</v>
          </cell>
        </row>
        <row r="683">
          <cell r="B683" t="str">
            <v>I435</v>
          </cell>
          <cell r="C683" t="str">
            <v>SOLDADURA ELECTRICA TIPO WESTARCO SUPER E- 6013  DE 1/8 O SIMILAR.</v>
          </cell>
          <cell r="D683" t="str">
            <v>Insumo</v>
          </cell>
          <cell r="E683" t="str">
            <v>KG</v>
          </cell>
          <cell r="F683">
            <v>0.3</v>
          </cell>
          <cell r="G683">
            <v>10755</v>
          </cell>
          <cell r="H683">
            <v>3227</v>
          </cell>
        </row>
        <row r="685">
          <cell r="A685" t="str">
            <v>005.075</v>
          </cell>
        </row>
        <row r="686">
          <cell r="A686" t="str">
            <v>005.075</v>
          </cell>
          <cell r="B686" t="str">
            <v>-</v>
          </cell>
          <cell r="C686" t="str">
            <v>SUMINISTRO, TRANSPORTE E INSTALACION PERFILES IPE A-36  ( Incluye soldadura, anticorrosivo y esmalte + proteccion antifuego e instalacion)</v>
          </cell>
          <cell r="D686" t="str">
            <v>Actividad</v>
          </cell>
          <cell r="E686" t="str">
            <v>KG</v>
          </cell>
          <cell r="H686">
            <v>14271</v>
          </cell>
        </row>
        <row r="687">
          <cell r="A687" t="str">
            <v>005.075</v>
          </cell>
          <cell r="B687" t="str">
            <v>C18</v>
          </cell>
          <cell r="C687" t="str">
            <v>CUADRILLA DD TIPO 3 (1 OFICIAL + 3 AYUDANTE) (Carpinteria)</v>
          </cell>
          <cell r="D687" t="str">
            <v>Cuadrilla</v>
          </cell>
          <cell r="E687" t="str">
            <v>HR</v>
          </cell>
          <cell r="F687">
            <v>0.1</v>
          </cell>
          <cell r="G687">
            <v>33999</v>
          </cell>
          <cell r="H687">
            <v>3400</v>
          </cell>
        </row>
        <row r="688">
          <cell r="A688" t="str">
            <v>005.075</v>
          </cell>
          <cell r="B688" t="str">
            <v>E1</v>
          </cell>
          <cell r="C688" t="str">
            <v>ANDAMIO METALICO CERTIFICADO, INCLUYE ESCALERILLA CON BARANDAS Y PLATAFORMAS DE TRABAJO</v>
          </cell>
          <cell r="D688" t="str">
            <v>Equipos</v>
          </cell>
          <cell r="E688" t="str">
            <v>UND</v>
          </cell>
          <cell r="F688">
            <v>0.05</v>
          </cell>
          <cell r="G688">
            <v>7257</v>
          </cell>
          <cell r="H688">
            <v>363</v>
          </cell>
        </row>
        <row r="689">
          <cell r="A689" t="str">
            <v>005.075</v>
          </cell>
          <cell r="B689" t="str">
            <v>E12</v>
          </cell>
          <cell r="C689" t="str">
            <v>EQUIPO DE TRANSPORTE</v>
          </cell>
          <cell r="D689" t="str">
            <v>Equipos</v>
          </cell>
          <cell r="E689" t="str">
            <v>DIA</v>
          </cell>
          <cell r="F689">
            <v>1.5E-3</v>
          </cell>
          <cell r="G689">
            <v>131205</v>
          </cell>
          <cell r="H689">
            <v>197</v>
          </cell>
        </row>
        <row r="690">
          <cell r="A690" t="str">
            <v>005.075</v>
          </cell>
          <cell r="B690" t="str">
            <v>E59</v>
          </cell>
          <cell r="C690" t="str">
            <v>EQUIPO DE SOLDADURA</v>
          </cell>
          <cell r="D690" t="str">
            <v>Equipos</v>
          </cell>
          <cell r="E690" t="str">
            <v>HR</v>
          </cell>
          <cell r="F690">
            <v>0.01</v>
          </cell>
          <cell r="G690">
            <v>32800</v>
          </cell>
          <cell r="H690">
            <v>328</v>
          </cell>
        </row>
        <row r="691">
          <cell r="A691" t="str">
            <v>005.075</v>
          </cell>
          <cell r="B691" t="str">
            <v>E78</v>
          </cell>
          <cell r="C691" t="str">
            <v>COMPRESOR</v>
          </cell>
          <cell r="D691" t="str">
            <v>Equipos</v>
          </cell>
          <cell r="E691" t="str">
            <v>HR</v>
          </cell>
          <cell r="F691">
            <v>0.01</v>
          </cell>
          <cell r="G691">
            <v>45659</v>
          </cell>
          <cell r="H691">
            <v>457</v>
          </cell>
        </row>
        <row r="692">
          <cell r="A692" t="str">
            <v>005.075</v>
          </cell>
          <cell r="B692" t="str">
            <v>H2</v>
          </cell>
          <cell r="C692" t="str">
            <v>EQUIPO BASICO (HERRAMIENTA MENOR)</v>
          </cell>
          <cell r="D692" t="str">
            <v>Herramienta</v>
          </cell>
          <cell r="E692" t="str">
            <v>UND</v>
          </cell>
          <cell r="F692">
            <v>0.1</v>
          </cell>
          <cell r="G692">
            <v>2536</v>
          </cell>
          <cell r="H692">
            <v>254</v>
          </cell>
        </row>
        <row r="693">
          <cell r="A693" t="str">
            <v>005.075</v>
          </cell>
          <cell r="B693" t="str">
            <v>I1001</v>
          </cell>
          <cell r="C693" t="str">
            <v>ANTICORROSIVO PREMIUM - TIPO PINTUCO REF. 513 O SIMILAR</v>
          </cell>
          <cell r="D693" t="str">
            <v>Insumo</v>
          </cell>
          <cell r="E693" t="str">
            <v>GAL</v>
          </cell>
          <cell r="F693">
            <v>1.4999999999999999E-2</v>
          </cell>
          <cell r="G693">
            <v>61233</v>
          </cell>
          <cell r="H693">
            <v>918</v>
          </cell>
        </row>
        <row r="694">
          <cell r="A694" t="str">
            <v>005.075</v>
          </cell>
          <cell r="B694" t="str">
            <v>I1002</v>
          </cell>
          <cell r="C694" t="str">
            <v>ESMALTE SINTETICO PINTULUX - TIPO PINTUCO REF. SEGÚN COLOR DISEÑO O SIMILAR</v>
          </cell>
          <cell r="D694" t="str">
            <v>Insumo</v>
          </cell>
          <cell r="E694" t="str">
            <v>GAL</v>
          </cell>
          <cell r="F694">
            <v>1.4999999999999999E-2</v>
          </cell>
          <cell r="G694">
            <v>88789</v>
          </cell>
          <cell r="H694">
            <v>1332</v>
          </cell>
        </row>
        <row r="695">
          <cell r="A695" t="str">
            <v>005.075</v>
          </cell>
          <cell r="B695" t="str">
            <v>I1565</v>
          </cell>
          <cell r="C695" t="str">
            <v>ACARREO INTERNO</v>
          </cell>
          <cell r="D695" t="str">
            <v>Insumo</v>
          </cell>
          <cell r="E695" t="str">
            <v>UND</v>
          </cell>
          <cell r="F695">
            <v>0.1</v>
          </cell>
          <cell r="G695">
            <v>1327</v>
          </cell>
          <cell r="H695">
            <v>133</v>
          </cell>
        </row>
        <row r="696">
          <cell r="A696" t="str">
            <v>005.075</v>
          </cell>
          <cell r="B696" t="str">
            <v>I293</v>
          </cell>
          <cell r="C696" t="str">
            <v>PERFIL IPE  A-36</v>
          </cell>
          <cell r="D696" t="str">
            <v>Insumo</v>
          </cell>
          <cell r="E696" t="str">
            <v>KG</v>
          </cell>
          <cell r="F696">
            <v>1</v>
          </cell>
          <cell r="G696">
            <v>3662</v>
          </cell>
          <cell r="H696">
            <v>3662</v>
          </cell>
        </row>
        <row r="697">
          <cell r="B697" t="str">
            <v>I435</v>
          </cell>
          <cell r="C697" t="str">
            <v>SOLDADURA ELECTRICA TIPO WESTARCO SUPER E- 6013  DE 1/8 O SIMILAR.</v>
          </cell>
          <cell r="D697" t="str">
            <v>Insumo</v>
          </cell>
          <cell r="E697" t="str">
            <v>KG</v>
          </cell>
          <cell r="F697">
            <v>0.3</v>
          </cell>
          <cell r="G697">
            <v>10755</v>
          </cell>
          <cell r="H697">
            <v>3227</v>
          </cell>
        </row>
        <row r="699">
          <cell r="A699" t="str">
            <v>005.078</v>
          </cell>
        </row>
        <row r="700">
          <cell r="A700" t="str">
            <v>005.078</v>
          </cell>
          <cell r="B700" t="str">
            <v>-</v>
          </cell>
          <cell r="C700" t="str">
            <v>SUMINISTRO, TRANSPORTE E INSTALACION PLATINAS Y ANGULOS DE UNION ACERO A-36  ( Incluye soldadura, anticorrosivo y esmalte + proteccion antifuego e instalacion)</v>
          </cell>
          <cell r="D700" t="str">
            <v>Actividad</v>
          </cell>
          <cell r="E700" t="str">
            <v>KG</v>
          </cell>
          <cell r="H700">
            <v>13907</v>
          </cell>
        </row>
        <row r="701">
          <cell r="A701" t="str">
            <v>005.078</v>
          </cell>
          <cell r="B701" t="str">
            <v>C15</v>
          </cell>
          <cell r="C701" t="str">
            <v>CUADRILLA AA TIPO 3 (1 OFICIAL + 3 AYUDANTE) (Albañileria)</v>
          </cell>
          <cell r="D701" t="str">
            <v>Cuadrilla</v>
          </cell>
          <cell r="E701" t="str">
            <v>HR</v>
          </cell>
          <cell r="F701">
            <v>0.1</v>
          </cell>
          <cell r="G701">
            <v>29568</v>
          </cell>
          <cell r="H701">
            <v>2957</v>
          </cell>
        </row>
        <row r="702">
          <cell r="A702" t="str">
            <v>005.078</v>
          </cell>
          <cell r="B702" t="str">
            <v>E1</v>
          </cell>
          <cell r="C702" t="str">
            <v>ANDAMIO METALICO CERTIFICADO, INCLUYE ESCALERILLA CON BARANDAS Y PLATAFORMAS DE TRABAJO</v>
          </cell>
          <cell r="D702" t="str">
            <v>Equipos</v>
          </cell>
          <cell r="E702" t="str">
            <v>UND</v>
          </cell>
          <cell r="F702">
            <v>0.05</v>
          </cell>
          <cell r="G702">
            <v>7257</v>
          </cell>
          <cell r="H702">
            <v>363</v>
          </cell>
        </row>
        <row r="703">
          <cell r="A703" t="str">
            <v>005.078</v>
          </cell>
          <cell r="B703" t="str">
            <v>E12</v>
          </cell>
          <cell r="C703" t="str">
            <v>EQUIPO DE TRANSPORTE</v>
          </cell>
          <cell r="D703" t="str">
            <v>Equipos</v>
          </cell>
          <cell r="E703" t="str">
            <v>DIA</v>
          </cell>
          <cell r="F703">
            <v>1.5E-3</v>
          </cell>
          <cell r="G703">
            <v>131205</v>
          </cell>
          <cell r="H703">
            <v>197</v>
          </cell>
        </row>
        <row r="704">
          <cell r="A704" t="str">
            <v>005.078</v>
          </cell>
          <cell r="B704" t="str">
            <v>E59</v>
          </cell>
          <cell r="C704" t="str">
            <v>EQUIPO DE SOLDADURA</v>
          </cell>
          <cell r="D704" t="str">
            <v>Equipos</v>
          </cell>
          <cell r="E704" t="str">
            <v>HR</v>
          </cell>
          <cell r="F704">
            <v>0.01</v>
          </cell>
          <cell r="G704">
            <v>32800</v>
          </cell>
          <cell r="H704">
            <v>328</v>
          </cell>
        </row>
        <row r="705">
          <cell r="A705" t="str">
            <v>005.078</v>
          </cell>
          <cell r="B705" t="str">
            <v>E78</v>
          </cell>
          <cell r="C705" t="str">
            <v>COMPRESOR</v>
          </cell>
          <cell r="D705" t="str">
            <v>Equipos</v>
          </cell>
          <cell r="E705" t="str">
            <v>HR</v>
          </cell>
          <cell r="F705">
            <v>0.01</v>
          </cell>
          <cell r="G705">
            <v>45659</v>
          </cell>
          <cell r="H705">
            <v>457</v>
          </cell>
        </row>
        <row r="706">
          <cell r="A706" t="str">
            <v>005.078</v>
          </cell>
          <cell r="B706" t="str">
            <v>H2</v>
          </cell>
          <cell r="C706" t="str">
            <v>EQUIPO BASICO (HERRAMIENTA MENOR)</v>
          </cell>
          <cell r="D706" t="str">
            <v>Herramienta</v>
          </cell>
          <cell r="E706" t="str">
            <v>UND</v>
          </cell>
          <cell r="F706">
            <v>0.1</v>
          </cell>
          <cell r="G706">
            <v>2536</v>
          </cell>
          <cell r="H706">
            <v>254</v>
          </cell>
        </row>
        <row r="707">
          <cell r="A707" t="str">
            <v>005.078</v>
          </cell>
          <cell r="B707" t="str">
            <v>I1001</v>
          </cell>
          <cell r="C707" t="str">
            <v>ANTICORROSIVO PREMIUM - TIPO PINTUCO REF. 513 O SIMILAR</v>
          </cell>
          <cell r="D707" t="str">
            <v>Insumo</v>
          </cell>
          <cell r="E707" t="str">
            <v>GAL</v>
          </cell>
          <cell r="F707">
            <v>1.4999999999999999E-2</v>
          </cell>
          <cell r="G707">
            <v>61233</v>
          </cell>
          <cell r="H707">
            <v>918</v>
          </cell>
        </row>
        <row r="708">
          <cell r="A708" t="str">
            <v>005.078</v>
          </cell>
          <cell r="B708" t="str">
            <v>I1002</v>
          </cell>
          <cell r="C708" t="str">
            <v>ESMALTE SINTETICO PINTULUX - TIPO PINTUCO REF. SEGÚN COLOR DISEÑO O SIMILAR</v>
          </cell>
          <cell r="D708" t="str">
            <v>Insumo</v>
          </cell>
          <cell r="E708" t="str">
            <v>GAL</v>
          </cell>
          <cell r="F708">
            <v>1.4999999999999999E-2</v>
          </cell>
          <cell r="G708">
            <v>88789</v>
          </cell>
          <cell r="H708">
            <v>1332</v>
          </cell>
        </row>
        <row r="709">
          <cell r="A709" t="str">
            <v>005.078</v>
          </cell>
          <cell r="B709" t="str">
            <v>I1565</v>
          </cell>
          <cell r="C709" t="str">
            <v>ACARREO INTERNO</v>
          </cell>
          <cell r="D709" t="str">
            <v>Insumo</v>
          </cell>
          <cell r="E709" t="str">
            <v>UND</v>
          </cell>
          <cell r="F709">
            <v>0.16</v>
          </cell>
          <cell r="G709">
            <v>1327</v>
          </cell>
          <cell r="H709">
            <v>212</v>
          </cell>
        </row>
        <row r="710">
          <cell r="A710" t="str">
            <v>005.078</v>
          </cell>
          <cell r="B710" t="str">
            <v>I295</v>
          </cell>
          <cell r="C710" t="str">
            <v xml:space="preserve">PLATINAS ACERO A-36  </v>
          </cell>
          <cell r="D710" t="str">
            <v>Insumo</v>
          </cell>
          <cell r="E710" t="str">
            <v>KG</v>
          </cell>
          <cell r="F710">
            <v>1</v>
          </cell>
          <cell r="G710">
            <v>3662</v>
          </cell>
          <cell r="H710">
            <v>3662</v>
          </cell>
        </row>
        <row r="711">
          <cell r="B711" t="str">
            <v>I435</v>
          </cell>
          <cell r="C711" t="str">
            <v>SOLDADURA ELECTRICA TIPO WESTARCO SUPER E- 6013  DE 1/8 O SIMILAR.</v>
          </cell>
          <cell r="D711" t="str">
            <v>Insumo</v>
          </cell>
          <cell r="E711" t="str">
            <v>KG</v>
          </cell>
          <cell r="F711">
            <v>0.3</v>
          </cell>
          <cell r="G711">
            <v>10755</v>
          </cell>
          <cell r="H711">
            <v>3227</v>
          </cell>
        </row>
        <row r="713">
          <cell r="A713" t="str">
            <v>033.146</v>
          </cell>
        </row>
        <row r="714">
          <cell r="A714" t="str">
            <v>033.146</v>
          </cell>
          <cell r="B714" t="str">
            <v>-</v>
          </cell>
          <cell r="C714" t="str">
            <v>SUMINISTRO, TRANSPORTE E INSTALACION PINTURA EXTERNA DE ALTOS SOLIDOS EPOXICA PARA TUBERIAS METALICAS</v>
          </cell>
          <cell r="D714" t="str">
            <v>Actividad</v>
          </cell>
          <cell r="E714" t="str">
            <v>M2</v>
          </cell>
          <cell r="H714">
            <v>77194</v>
          </cell>
        </row>
        <row r="715">
          <cell r="A715" t="str">
            <v>033.146</v>
          </cell>
          <cell r="B715" t="str">
            <v>C10</v>
          </cell>
          <cell r="C715" t="str">
            <v>CUADRILLA CC TIPO 2 (1 OFICIAL + 2 AYUDANTE) (Pintura)</v>
          </cell>
          <cell r="D715" t="str">
            <v>Cuadrilla</v>
          </cell>
          <cell r="E715" t="str">
            <v>HR</v>
          </cell>
          <cell r="F715">
            <v>1.3</v>
          </cell>
          <cell r="G715">
            <v>26608</v>
          </cell>
          <cell r="H715">
            <v>34590</v>
          </cell>
        </row>
        <row r="716">
          <cell r="A716" t="str">
            <v>033.146</v>
          </cell>
          <cell r="B716" t="str">
            <v>E1</v>
          </cell>
          <cell r="C716" t="str">
            <v>ANDAMIO METALICO CERTIFICADO, INCLUYE ESCALERILLA CON BARANDAS Y PLATAFORMAS DE TRABAJO</v>
          </cell>
          <cell r="D716" t="str">
            <v>Equipos</v>
          </cell>
          <cell r="E716" t="str">
            <v>UND</v>
          </cell>
          <cell r="F716">
            <v>0.3</v>
          </cell>
          <cell r="G716">
            <v>7257</v>
          </cell>
          <cell r="H716">
            <v>2177</v>
          </cell>
        </row>
        <row r="717">
          <cell r="A717" t="str">
            <v>033.146</v>
          </cell>
          <cell r="B717" t="str">
            <v>E12</v>
          </cell>
          <cell r="C717" t="str">
            <v>EQUIPO DE TRANSPORTE</v>
          </cell>
          <cell r="D717" t="str">
            <v>Equipos</v>
          </cell>
          <cell r="E717" t="str">
            <v>DIA</v>
          </cell>
          <cell r="F717">
            <v>2.8999999999999998E-3</v>
          </cell>
          <cell r="G717">
            <v>131205</v>
          </cell>
          <cell r="H717">
            <v>380</v>
          </cell>
        </row>
        <row r="718">
          <cell r="A718" t="str">
            <v>033.146</v>
          </cell>
          <cell r="B718" t="str">
            <v>E91</v>
          </cell>
          <cell r="C718" t="str">
            <v>EQUIPO DE PINTURA DE ALTA PRESION</v>
          </cell>
          <cell r="D718" t="str">
            <v>Equipos</v>
          </cell>
          <cell r="E718" t="str">
            <v>DIA</v>
          </cell>
          <cell r="F718">
            <v>0.25</v>
          </cell>
          <cell r="G718">
            <v>38051</v>
          </cell>
          <cell r="H718">
            <v>9513</v>
          </cell>
        </row>
        <row r="719">
          <cell r="A719" t="str">
            <v>033.146</v>
          </cell>
          <cell r="B719" t="str">
            <v>E92</v>
          </cell>
          <cell r="C719" t="str">
            <v>EQUIPO DE LIMPIEZA MECANICA</v>
          </cell>
          <cell r="D719" t="str">
            <v>Equipos</v>
          </cell>
          <cell r="E719" t="str">
            <v>DIA</v>
          </cell>
          <cell r="F719">
            <v>0.17</v>
          </cell>
          <cell r="G719">
            <v>38051</v>
          </cell>
          <cell r="H719">
            <v>6469</v>
          </cell>
        </row>
        <row r="720">
          <cell r="A720" t="str">
            <v>033.146</v>
          </cell>
          <cell r="B720" t="str">
            <v>H2</v>
          </cell>
          <cell r="C720" t="str">
            <v>EQUIPO BASICO (HERRAMIENTA MENOR)</v>
          </cell>
          <cell r="D720" t="str">
            <v>Herramienta</v>
          </cell>
          <cell r="E720" t="str">
            <v>UND</v>
          </cell>
          <cell r="F720">
            <v>1</v>
          </cell>
          <cell r="G720">
            <v>2536</v>
          </cell>
          <cell r="H720">
            <v>2536</v>
          </cell>
        </row>
        <row r="721">
          <cell r="A721" t="str">
            <v>033.146</v>
          </cell>
          <cell r="B721" t="str">
            <v>I1026</v>
          </cell>
          <cell r="C721" t="str">
            <v>PINTURA EPOXICA</v>
          </cell>
          <cell r="D721" t="str">
            <v>Insumo</v>
          </cell>
          <cell r="E721" t="str">
            <v>GAL</v>
          </cell>
          <cell r="F721">
            <v>7.0000000000000007E-2</v>
          </cell>
          <cell r="G721">
            <v>120061</v>
          </cell>
          <cell r="H721">
            <v>8404</v>
          </cell>
        </row>
        <row r="722">
          <cell r="A722" t="str">
            <v>033.146</v>
          </cell>
          <cell r="B722" t="str">
            <v>I1029</v>
          </cell>
          <cell r="C722" t="str">
            <v>IMPRIMANTE EPOXICO</v>
          </cell>
          <cell r="D722" t="str">
            <v>Insumo</v>
          </cell>
          <cell r="E722" t="str">
            <v>GAL</v>
          </cell>
          <cell r="F722">
            <v>7.0000000000000007E-2</v>
          </cell>
          <cell r="G722">
            <v>120061</v>
          </cell>
          <cell r="H722">
            <v>8404</v>
          </cell>
        </row>
        <row r="723">
          <cell r="A723" t="str">
            <v>033.146</v>
          </cell>
          <cell r="B723" t="str">
            <v>I1030</v>
          </cell>
          <cell r="C723" t="str">
            <v>COLMASOLVENTE EPOXICO AL 12,5%</v>
          </cell>
          <cell r="D723" t="str">
            <v>Insumo</v>
          </cell>
          <cell r="E723" t="str">
            <v>GAL</v>
          </cell>
          <cell r="F723">
            <v>0.04</v>
          </cell>
          <cell r="G723">
            <v>55218</v>
          </cell>
          <cell r="H723">
            <v>2209</v>
          </cell>
        </row>
        <row r="724">
          <cell r="B724" t="str">
            <v>I1565</v>
          </cell>
          <cell r="C724" t="str">
            <v>ACARREO INTERNO</v>
          </cell>
          <cell r="D724" t="str">
            <v>Insumo</v>
          </cell>
          <cell r="E724" t="str">
            <v>UND</v>
          </cell>
          <cell r="F724">
            <v>1.8927</v>
          </cell>
          <cell r="G724">
            <v>1327</v>
          </cell>
          <cell r="H724">
            <v>2512</v>
          </cell>
        </row>
        <row r="726">
          <cell r="A726" t="str">
            <v>033.171</v>
          </cell>
        </row>
        <row r="727">
          <cell r="A727" t="str">
            <v>033.171</v>
          </cell>
          <cell r="C727" t="str">
            <v>SUMINISTRO TRANSPORTE E INSTALACION LONA TENSADA TIPO VALMEX FR 700 OPAK O SIMILAR, CON BLACKOUT PROTECCION UV Y TRATAMIENTO DE BAJA CAPILARIDAD (LOW-WICK) (incluye todos los herrajes, sellado y accesorios para la correcta instalacion )</v>
          </cell>
          <cell r="D727" t="str">
            <v>Actividad</v>
          </cell>
          <cell r="E727" t="str">
            <v>M2</v>
          </cell>
          <cell r="H727">
            <v>155386.9</v>
          </cell>
        </row>
        <row r="728">
          <cell r="A728" t="str">
            <v>033.171</v>
          </cell>
          <cell r="B728" t="str">
            <v>M03</v>
          </cell>
          <cell r="C728" t="str">
            <v>EQUIPO BASICO (HERRAMIENTA MENOR)</v>
          </cell>
          <cell r="D728" t="str">
            <v>Herramienta</v>
          </cell>
          <cell r="E728" t="str">
            <v>UND</v>
          </cell>
          <cell r="F728">
            <v>7</v>
          </cell>
          <cell r="G728">
            <v>2536</v>
          </cell>
          <cell r="H728">
            <v>17752</v>
          </cell>
        </row>
        <row r="729">
          <cell r="A729" t="str">
            <v>033.171</v>
          </cell>
          <cell r="B729" t="str">
            <v>O200</v>
          </cell>
          <cell r="C729" t="str">
            <v>LONA TIPO VALMEX 700 CON PROTECCION UV</v>
          </cell>
          <cell r="D729" t="str">
            <v>Insumo</v>
          </cell>
          <cell r="E729" t="str">
            <v>m2</v>
          </cell>
          <cell r="F729">
            <v>1.0029999999999999</v>
          </cell>
          <cell r="G729">
            <v>67800</v>
          </cell>
          <cell r="H729">
            <v>68003.399999999994</v>
          </cell>
        </row>
        <row r="730">
          <cell r="A730" t="str">
            <v>033.171</v>
          </cell>
          <cell r="B730" t="str">
            <v>M01</v>
          </cell>
          <cell r="C730" t="str">
            <v>ANDAMIO METALICO CERTIFICADO, INCLUYE ESCALERILLA CON BARANDAS Y PLATAFORMAS DE TRABAJO</v>
          </cell>
          <cell r="D730" t="str">
            <v>Equipo</v>
          </cell>
          <cell r="E730" t="str">
            <v>dia</v>
          </cell>
          <cell r="F730">
            <v>1.5</v>
          </cell>
          <cell r="G730">
            <v>7257</v>
          </cell>
          <cell r="H730">
            <v>10885.5</v>
          </cell>
        </row>
        <row r="731">
          <cell r="A731" t="str">
            <v>033.171</v>
          </cell>
          <cell r="B731" t="str">
            <v>I37</v>
          </cell>
          <cell r="C731" t="str">
            <v>CUADRILLA AA TIPO 3 (1 OFICIAL + 3 AYUDANTE) (Albañileria)</v>
          </cell>
          <cell r="D731" t="str">
            <v>Mano de Obra</v>
          </cell>
          <cell r="E731" t="str">
            <v>hr</v>
          </cell>
          <cell r="F731">
            <v>1</v>
          </cell>
          <cell r="G731">
            <v>32523</v>
          </cell>
          <cell r="H731">
            <v>32523</v>
          </cell>
        </row>
        <row r="732">
          <cell r="A732" t="str">
            <v>033.171</v>
          </cell>
          <cell r="C732" t="str">
            <v xml:space="preserve">HERRAJES Y ACCESORIOS </v>
          </cell>
          <cell r="D732" t="str">
            <v>Insumo</v>
          </cell>
          <cell r="E732" t="str">
            <v>gl</v>
          </cell>
          <cell r="F732">
            <v>1</v>
          </cell>
          <cell r="G732">
            <v>7000</v>
          </cell>
          <cell r="H732">
            <v>7000</v>
          </cell>
        </row>
        <row r="733">
          <cell r="A733" t="str">
            <v>033.171</v>
          </cell>
          <cell r="B733" t="str">
            <v>M18</v>
          </cell>
          <cell r="C733" t="str">
            <v>EQUIPO DE TRANSPORTE</v>
          </cell>
          <cell r="D733" t="str">
            <v>Equipo</v>
          </cell>
          <cell r="E733" t="str">
            <v>dia</v>
          </cell>
          <cell r="F733">
            <v>0.1</v>
          </cell>
          <cell r="G733">
            <v>131205</v>
          </cell>
          <cell r="H733">
            <v>13120.5</v>
          </cell>
        </row>
        <row r="734">
          <cell r="A734" t="str">
            <v>033.171</v>
          </cell>
          <cell r="B734" t="str">
            <v>I26</v>
          </cell>
          <cell r="C734" t="str">
            <v>ACARREO INTERNO</v>
          </cell>
          <cell r="D734" t="str">
            <v>Mano de Obra</v>
          </cell>
          <cell r="E734" t="str">
            <v>und</v>
          </cell>
          <cell r="F734">
            <v>0.5</v>
          </cell>
          <cell r="G734">
            <v>3897</v>
          </cell>
          <cell r="H734">
            <v>1948.5</v>
          </cell>
        </row>
        <row r="735">
          <cell r="B735" t="str">
            <v xml:space="preserve">ST </v>
          </cell>
          <cell r="C735" t="str">
            <v xml:space="preserve">TERMO SELLADO </v>
          </cell>
          <cell r="D735" t="str">
            <v>Mano de Obra</v>
          </cell>
          <cell r="E735" t="str">
            <v>ml</v>
          </cell>
          <cell r="F735">
            <v>1</v>
          </cell>
          <cell r="G735">
            <v>4154</v>
          </cell>
          <cell r="H735">
            <v>4154</v>
          </cell>
        </row>
        <row r="736">
          <cell r="A736" t="str">
            <v>010</v>
          </cell>
        </row>
        <row r="737">
          <cell r="C737" t="str">
            <v>PARQUE BIOSALUDABLE</v>
          </cell>
          <cell r="D737" t="str">
            <v>Capitulo</v>
          </cell>
        </row>
        <row r="738">
          <cell r="A738" t="str">
            <v>021.026</v>
          </cell>
        </row>
        <row r="739">
          <cell r="A739" t="str">
            <v>021.026</v>
          </cell>
          <cell r="B739" t="str">
            <v>-</v>
          </cell>
          <cell r="C739" t="str">
            <v>SUMINISTRO, TRANSPORTE E INSTALACION CANECAS METALICA MALLA METALICA PARA BASUREROS</v>
          </cell>
          <cell r="D739" t="str">
            <v>Actividad</v>
          </cell>
          <cell r="E739" t="str">
            <v>UND</v>
          </cell>
          <cell r="H739">
            <v>299070</v>
          </cell>
        </row>
        <row r="740">
          <cell r="A740" t="str">
            <v>021.026</v>
          </cell>
          <cell r="B740" t="str">
            <v>AB5</v>
          </cell>
          <cell r="C740" t="str">
            <v>CONCRETO 3000 psi - 21 Mpa</v>
          </cell>
          <cell r="D740" t="str">
            <v>Analisis</v>
          </cell>
          <cell r="E740" t="str">
            <v>M3</v>
          </cell>
          <cell r="F740">
            <v>1.2E-2</v>
          </cell>
          <cell r="G740">
            <v>421155</v>
          </cell>
          <cell r="H740">
            <v>5054</v>
          </cell>
        </row>
        <row r="741">
          <cell r="A741" t="str">
            <v>021.026</v>
          </cell>
          <cell r="B741" t="str">
            <v>C1</v>
          </cell>
          <cell r="C741" t="str">
            <v>CUADRILLA AA TIPO 1 (1 OFICIAL + 1 AYUDANTE) (Albañileria)</v>
          </cell>
          <cell r="D741" t="str">
            <v>Cuadrilla</v>
          </cell>
          <cell r="E741" t="str">
            <v>HR</v>
          </cell>
          <cell r="F741">
            <v>2.2999999999999998</v>
          </cell>
          <cell r="G741">
            <v>16712</v>
          </cell>
          <cell r="H741">
            <v>38438</v>
          </cell>
        </row>
        <row r="742">
          <cell r="A742" t="str">
            <v>021.026</v>
          </cell>
          <cell r="B742" t="str">
            <v>E12</v>
          </cell>
          <cell r="C742" t="str">
            <v>EQUIPO DE TRANSPORTE</v>
          </cell>
          <cell r="D742" t="str">
            <v>Equipos</v>
          </cell>
          <cell r="E742" t="str">
            <v>DIA</v>
          </cell>
          <cell r="F742">
            <v>6.1999999999999998E-3</v>
          </cell>
          <cell r="G742">
            <v>131205</v>
          </cell>
          <cell r="H742">
            <v>813</v>
          </cell>
        </row>
        <row r="743">
          <cell r="A743" t="str">
            <v>021.026</v>
          </cell>
          <cell r="B743" t="str">
            <v>H2</v>
          </cell>
          <cell r="C743" t="str">
            <v>EQUIPO BASICO (HERRAMIENTA MENOR)</v>
          </cell>
          <cell r="D743" t="str">
            <v>Herramienta</v>
          </cell>
          <cell r="E743" t="str">
            <v>UND</v>
          </cell>
          <cell r="F743">
            <v>0.3</v>
          </cell>
          <cell r="G743">
            <v>2536</v>
          </cell>
          <cell r="H743">
            <v>761</v>
          </cell>
        </row>
        <row r="744">
          <cell r="A744" t="str">
            <v>021.026</v>
          </cell>
          <cell r="B744" t="str">
            <v>I1565</v>
          </cell>
          <cell r="C744" t="str">
            <v>ACARREO INTERNO</v>
          </cell>
          <cell r="D744" t="str">
            <v>Insumo</v>
          </cell>
          <cell r="E744" t="str">
            <v>UND</v>
          </cell>
          <cell r="F744">
            <v>1.8</v>
          </cell>
          <cell r="G744">
            <v>1327</v>
          </cell>
          <cell r="H744">
            <v>2389</v>
          </cell>
        </row>
        <row r="745">
          <cell r="B745" t="str">
            <v>I385</v>
          </cell>
          <cell r="C745" t="str">
            <v>CANECA METALICA PARA BASUREROS</v>
          </cell>
          <cell r="D745" t="str">
            <v>Insumo</v>
          </cell>
          <cell r="E745" t="str">
            <v>UND</v>
          </cell>
          <cell r="F745">
            <v>1</v>
          </cell>
          <cell r="G745">
            <v>251615</v>
          </cell>
          <cell r="H745">
            <v>251615</v>
          </cell>
        </row>
      </sheetData>
      <sheetData sheetId="5"/>
      <sheetData sheetId="6"/>
      <sheetData sheetId="7">
        <row r="2">
          <cell r="A2" t="str">
            <v>I1</v>
          </cell>
        </row>
      </sheetData>
      <sheetData sheetId="8"/>
      <sheetData sheetId="9"/>
      <sheetData sheetId="10"/>
      <sheetData sheetId="11"/>
      <sheetData sheetId="12"/>
      <sheetData sheetId="1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Y PRESTACIONES"/>
      <sheetName val="DESGLOSE AU"/>
      <sheetName val="APU AMBIENTAL"/>
    </sheetNames>
    <sheetDataSet>
      <sheetData sheetId="0"/>
      <sheetData sheetId="1">
        <row r="13">
          <cell r="C13">
            <v>1310813220.5799999</v>
          </cell>
        </row>
      </sheetData>
      <sheetData sheetId="2"/>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Y PTTO"/>
      <sheetName val="AIU"/>
    </sheetNames>
    <sheetDataSet>
      <sheetData sheetId="0">
        <row r="173">
          <cell r="R173">
            <v>0.3</v>
          </cell>
        </row>
        <row r="180">
          <cell r="C180">
            <v>20</v>
          </cell>
        </row>
        <row r="183">
          <cell r="B183">
            <v>1</v>
          </cell>
          <cell r="C183" t="str">
            <v>COLOMBIA</v>
          </cell>
          <cell r="D183" t="str">
            <v>CASCO URBANO</v>
          </cell>
          <cell r="F183">
            <v>3</v>
          </cell>
        </row>
        <row r="184">
          <cell r="B184">
            <v>2</v>
          </cell>
          <cell r="C184" t="str">
            <v>SANTA ANA</v>
          </cell>
          <cell r="D184" t="str">
            <v>COLOMBIA</v>
          </cell>
          <cell r="F184">
            <v>6</v>
          </cell>
        </row>
        <row r="185">
          <cell r="B185">
            <v>3</v>
          </cell>
          <cell r="C185" t="str">
            <v>SAN MARCOS</v>
          </cell>
          <cell r="D185" t="str">
            <v>COLOMBIA</v>
          </cell>
          <cell r="F185">
            <v>5.29</v>
          </cell>
        </row>
        <row r="186">
          <cell r="B186">
            <v>4</v>
          </cell>
          <cell r="C186" t="str">
            <v>MONGUÍ</v>
          </cell>
          <cell r="D186" t="str">
            <v>COLOMBIA</v>
          </cell>
          <cell r="F186">
            <v>6.02</v>
          </cell>
        </row>
        <row r="187">
          <cell r="B187">
            <v>5</v>
          </cell>
          <cell r="C187" t="str">
            <v>BARAYA</v>
          </cell>
          <cell r="D187" t="str">
            <v>CASCO URBANO</v>
          </cell>
          <cell r="F187">
            <v>1.32</v>
          </cell>
        </row>
        <row r="188">
          <cell r="B188">
            <v>6</v>
          </cell>
          <cell r="C188" t="str">
            <v>REGIONAL SOTO - PATÍA</v>
          </cell>
          <cell r="D188" t="str">
            <v>BARAYA</v>
          </cell>
          <cell r="F188">
            <v>2.7</v>
          </cell>
        </row>
        <row r="189">
          <cell r="B189">
            <v>7</v>
          </cell>
          <cell r="C189" t="str">
            <v>LA UNIÓN</v>
          </cell>
          <cell r="D189" t="str">
            <v>BARAYA</v>
          </cell>
          <cell r="F189">
            <v>3.54</v>
          </cell>
        </row>
        <row r="190">
          <cell r="B190">
            <v>8</v>
          </cell>
          <cell r="C190" t="str">
            <v>TELLO</v>
          </cell>
          <cell r="D190" t="str">
            <v>CASCO URBANO</v>
          </cell>
          <cell r="F190">
            <v>0.85</v>
          </cell>
        </row>
        <row r="191">
          <cell r="B191">
            <v>9</v>
          </cell>
          <cell r="C191" t="str">
            <v>SAN ANDRÉS</v>
          </cell>
          <cell r="D191" t="str">
            <v>TELLO</v>
          </cell>
          <cell r="F191">
            <v>2.2200000000000002</v>
          </cell>
        </row>
        <row r="192">
          <cell r="B192">
            <v>10</v>
          </cell>
          <cell r="C192" t="str">
            <v>CEDRAL</v>
          </cell>
          <cell r="D192" t="str">
            <v>TELLO</v>
          </cell>
          <cell r="F192">
            <v>2.38</v>
          </cell>
        </row>
        <row r="193">
          <cell r="B193">
            <v>11</v>
          </cell>
          <cell r="C193" t="str">
            <v>SIERRA DE LA CAÑADA</v>
          </cell>
          <cell r="D193" t="str">
            <v>TELLO</v>
          </cell>
          <cell r="F193">
            <v>1.96</v>
          </cell>
        </row>
        <row r="194">
          <cell r="B194">
            <v>12</v>
          </cell>
          <cell r="C194" t="str">
            <v>VILLA VIEJA</v>
          </cell>
          <cell r="D194" t="str">
            <v>CASCO URBANO</v>
          </cell>
          <cell r="F194">
            <v>1.1100000000000001</v>
          </cell>
        </row>
        <row r="195">
          <cell r="B195">
            <v>13</v>
          </cell>
          <cell r="C195" t="str">
            <v>SAN ALFONSO</v>
          </cell>
          <cell r="D195" t="str">
            <v>VILLA VIEJA</v>
          </cell>
          <cell r="F195">
            <v>3.43</v>
          </cell>
        </row>
        <row r="196">
          <cell r="B196">
            <v>14</v>
          </cell>
          <cell r="C196" t="str">
            <v>POTOSÍ</v>
          </cell>
          <cell r="D196" t="str">
            <v>VILLA VIEJA</v>
          </cell>
          <cell r="F196">
            <v>3.41</v>
          </cell>
        </row>
        <row r="197">
          <cell r="B197">
            <v>15</v>
          </cell>
          <cell r="C197" t="str">
            <v>LA VICTORIA</v>
          </cell>
          <cell r="D197" t="str">
            <v>VILLA VIEJA</v>
          </cell>
          <cell r="F197">
            <v>2.58</v>
          </cell>
        </row>
        <row r="198">
          <cell r="B198">
            <v>16</v>
          </cell>
          <cell r="C198" t="str">
            <v>RIVERA</v>
          </cell>
          <cell r="D198" t="str">
            <v>CASCO URBANO</v>
          </cell>
          <cell r="F198">
            <v>0.7</v>
          </cell>
        </row>
        <row r="199">
          <cell r="B199">
            <v>17</v>
          </cell>
          <cell r="C199" t="str">
            <v>LA ULLOA</v>
          </cell>
          <cell r="D199" t="str">
            <v>RIVERA</v>
          </cell>
          <cell r="F199">
            <v>1.26</v>
          </cell>
        </row>
        <row r="200">
          <cell r="B200">
            <v>18</v>
          </cell>
          <cell r="C200" t="str">
            <v>CAMPOALEGRE</v>
          </cell>
          <cell r="D200" t="str">
            <v>CASCO URBANO</v>
          </cell>
          <cell r="F200">
            <v>0.79</v>
          </cell>
        </row>
        <row r="201">
          <cell r="B201">
            <v>19</v>
          </cell>
          <cell r="C201" t="str">
            <v>ALGECIRAS</v>
          </cell>
          <cell r="D201" t="str">
            <v>CASCO URBANO</v>
          </cell>
          <cell r="F201">
            <v>1.61</v>
          </cell>
        </row>
        <row r="202">
          <cell r="B202">
            <v>20</v>
          </cell>
          <cell r="C202" t="str">
            <v>Escoger Poblado</v>
          </cell>
          <cell r="D202">
            <v>0</v>
          </cell>
          <cell r="F202">
            <v>1</v>
          </cell>
        </row>
        <row r="243">
          <cell r="F243" t="str">
            <v xml:space="preserve"> 3.33 </v>
          </cell>
        </row>
        <row r="244">
          <cell r="F244" t="str">
            <v xml:space="preserve"> 6.55A </v>
          </cell>
        </row>
        <row r="245">
          <cell r="F245" t="str">
            <v xml:space="preserve"> 8.136A </v>
          </cell>
        </row>
        <row r="246">
          <cell r="F246" t="str">
            <v xml:space="preserve"> 8.300A </v>
          </cell>
        </row>
        <row r="247">
          <cell r="F247" t="str">
            <v xml:space="preserve"> 8.699A </v>
          </cell>
        </row>
        <row r="248">
          <cell r="F248" t="str">
            <v xml:space="preserve"> 8.823B </v>
          </cell>
        </row>
        <row r="249">
          <cell r="F249" t="str">
            <v xml:space="preserve"> 8.823C </v>
          </cell>
        </row>
        <row r="250">
          <cell r="F250" t="str">
            <v xml:space="preserve"> 8.1400B </v>
          </cell>
        </row>
        <row r="251">
          <cell r="F251" t="str">
            <v xml:space="preserve"> 8.1400C </v>
          </cell>
        </row>
        <row r="252">
          <cell r="F252" t="str">
            <v>8.1600</v>
          </cell>
        </row>
        <row r="253">
          <cell r="F253" t="str">
            <v>8.1601</v>
          </cell>
        </row>
        <row r="254">
          <cell r="F254" t="str">
            <v>8.1602</v>
          </cell>
        </row>
        <row r="255">
          <cell r="F255" t="str">
            <v xml:space="preserve"> 19.41A </v>
          </cell>
        </row>
        <row r="256">
          <cell r="F256" t="str">
            <v xml:space="preserve"> 19.50A </v>
          </cell>
        </row>
        <row r="257">
          <cell r="F257" t="str">
            <v xml:space="preserve"> 20.57 </v>
          </cell>
        </row>
        <row r="258">
          <cell r="F258" t="str">
            <v xml:space="preserve"> 20.58 </v>
          </cell>
        </row>
      </sheetData>
      <sheetData sheetId="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 val="Niples"/>
      <sheetName val="Ins_MO"/>
      <sheetName val="Ins_Mat"/>
      <sheetName val="Clasif_Mat"/>
      <sheetName val="Ins_EH"/>
      <sheetName val="Ins_TR"/>
      <sheetName val="Print"/>
      <sheetName val="0.00"/>
      <sheetName val="1.1"/>
      <sheetName val="1.2"/>
      <sheetName val="1.3"/>
      <sheetName val="1.4"/>
      <sheetName val="1.5"/>
      <sheetName val="1.6"/>
      <sheetName val="1.7"/>
      <sheetName val="1.8"/>
      <sheetName val="1.9"/>
      <sheetName val="1.10"/>
      <sheetName val="1.10A"/>
      <sheetName val="1.11"/>
      <sheetName val="1.12"/>
      <sheetName val="1.13"/>
      <sheetName val="2.1"/>
      <sheetName val="2.2"/>
      <sheetName val="2.3"/>
      <sheetName val="2.4"/>
      <sheetName val="2.5"/>
      <sheetName val="2.6"/>
      <sheetName val="2.7"/>
      <sheetName val="2.8"/>
      <sheetName val="2.9"/>
      <sheetName val="2.9A"/>
      <sheetName val="2.10"/>
      <sheetName val="2.11"/>
      <sheetName val="2.12"/>
      <sheetName val="2.13A"/>
      <sheetName val="3.1"/>
      <sheetName val="3.2"/>
      <sheetName val="3.3"/>
      <sheetName val="3.4"/>
      <sheetName val="3.5"/>
      <sheetName val="3.6"/>
      <sheetName val="3.7"/>
      <sheetName val="3.8"/>
      <sheetName val="3.9"/>
      <sheetName val="3.9A"/>
      <sheetName val="3.9B"/>
      <sheetName val="3.9C"/>
      <sheetName val="3.9D"/>
      <sheetName val="3.10"/>
      <sheetName val="3.11"/>
      <sheetName val="3.12"/>
      <sheetName val="3.13"/>
      <sheetName val="3.14"/>
      <sheetName val="3.15"/>
      <sheetName val="3.16J"/>
      <sheetName val="3.17J"/>
      <sheetName val="3.30"/>
      <sheetName val="3.31"/>
      <sheetName val="3.32"/>
      <sheetName val="4.1"/>
      <sheetName val="4.2"/>
      <sheetName val="4.3"/>
      <sheetName val="4.4"/>
      <sheetName val="4.5"/>
      <sheetName val="4.6"/>
      <sheetName val="4.7"/>
      <sheetName val="4.8"/>
      <sheetName val="4.9"/>
      <sheetName val="4.10"/>
      <sheetName val="4.20"/>
      <sheetName val="4.21"/>
      <sheetName val="4.30"/>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1A"/>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15A"/>
      <sheetName val="8.16A"/>
      <sheetName val="8.17A"/>
      <sheetName val="8.19"/>
      <sheetName val="8.19A"/>
      <sheetName val="8.19B"/>
      <sheetName val="8.19C"/>
      <sheetName val="8.19D"/>
      <sheetName val="8.19E"/>
      <sheetName val="8.19F"/>
      <sheetName val="8.19G"/>
      <sheetName val="8.19H"/>
      <sheetName val="8.19I"/>
      <sheetName val="8.19J"/>
      <sheetName val="8.19K"/>
      <sheetName val="8.19L"/>
      <sheetName val="8.19M"/>
      <sheetName val="8.19N"/>
      <sheetName val="8.19O"/>
      <sheetName val="8.19P"/>
      <sheetName val="8.19Q"/>
      <sheetName val="8.19R"/>
      <sheetName val="8.19S"/>
      <sheetName val="8.19T"/>
      <sheetName val="8.19U"/>
      <sheetName val="8.19V"/>
      <sheetName val="8.20"/>
      <sheetName val="8.21"/>
      <sheetName val="8.22"/>
      <sheetName val="8.23"/>
      <sheetName val="8.24"/>
      <sheetName val="8.25"/>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4"/>
      <sheetName val="8.95"/>
      <sheetName val="8.96"/>
      <sheetName val="8.97"/>
      <sheetName val="8.98"/>
      <sheetName val="8.99"/>
      <sheetName val="8.99A"/>
      <sheetName val="8.99B"/>
      <sheetName val="8.100"/>
      <sheetName val="8.101"/>
      <sheetName val="8.102"/>
      <sheetName val="8.103"/>
      <sheetName val="8.104"/>
      <sheetName val="8.105"/>
      <sheetName val="8.106"/>
      <sheetName val="8.107"/>
      <sheetName val="8.108"/>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139"/>
      <sheetName val="8.140"/>
      <sheetName val="8.140A"/>
      <sheetName val="8.141"/>
      <sheetName val="8.142"/>
      <sheetName val="8.143"/>
      <sheetName val="8.144"/>
      <sheetName val="8.145"/>
      <sheetName val="8.146"/>
      <sheetName val="8.147"/>
      <sheetName val="8.148"/>
      <sheetName val="8.149"/>
      <sheetName val="8.150"/>
      <sheetName val="8.151"/>
      <sheetName val="8.152"/>
      <sheetName val="8.153"/>
      <sheetName val="8.153N"/>
      <sheetName val="8.154"/>
      <sheetName val="8.155"/>
      <sheetName val="8.156"/>
      <sheetName val="8.157"/>
      <sheetName val="8.158"/>
      <sheetName val="8.159"/>
      <sheetName val="8.160"/>
      <sheetName val="8.161"/>
      <sheetName val="8.162"/>
      <sheetName val="8.163"/>
      <sheetName val="8.164"/>
      <sheetName val="8.165"/>
      <sheetName val="8.166"/>
      <sheetName val="8.167"/>
      <sheetName val="8.168"/>
      <sheetName val="8.169"/>
      <sheetName val="8.170"/>
      <sheetName val="8.171"/>
      <sheetName val="8.172"/>
      <sheetName val="8.173"/>
      <sheetName val="8.174"/>
      <sheetName val="8.175"/>
      <sheetName val="8.176"/>
      <sheetName val="8.177"/>
      <sheetName val="8.178"/>
      <sheetName val="8.178 A"/>
      <sheetName val="8.179"/>
      <sheetName val="8.180"/>
      <sheetName val="8.181"/>
      <sheetName val="8.182"/>
      <sheetName val="8.183"/>
      <sheetName val="8.184"/>
      <sheetName val="8.185"/>
      <sheetName val="8.186"/>
      <sheetName val="8.187"/>
      <sheetName val="8.188"/>
      <sheetName val="8.189"/>
      <sheetName val="8.190"/>
      <sheetName val="8.190B"/>
      <sheetName val="8.191"/>
      <sheetName val="8.192"/>
      <sheetName val="8.193"/>
      <sheetName val="8.194"/>
      <sheetName val="8.195"/>
      <sheetName val="8.196"/>
      <sheetName val="8.197"/>
      <sheetName val="8.198"/>
      <sheetName val="8.199"/>
      <sheetName val="8.199A"/>
      <sheetName val="8.199B"/>
      <sheetName val="8.199C"/>
      <sheetName val="8.199D"/>
      <sheetName val="8.199E"/>
      <sheetName val="8.199F"/>
      <sheetName val="8.199G"/>
      <sheetName val="8.199H"/>
      <sheetName val="8.199I"/>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26"/>
      <sheetName val="8.230"/>
      <sheetName val="8.231"/>
      <sheetName val="8.232"/>
      <sheetName val="8.233"/>
      <sheetName val="8.234"/>
      <sheetName val="8.235"/>
      <sheetName val="8.236"/>
      <sheetName val="8.237"/>
      <sheetName val="8.238"/>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300"/>
      <sheetName val="8.301"/>
      <sheetName val="8.302"/>
      <sheetName val="8.303"/>
      <sheetName val="8.304"/>
      <sheetName val="8.305"/>
      <sheetName val="8.306"/>
      <sheetName val="8.307"/>
      <sheetName val="8.308"/>
      <sheetName val="8.309"/>
      <sheetName val="8.310"/>
      <sheetName val="8.311"/>
      <sheetName val="8.312"/>
      <sheetName val="8.313"/>
      <sheetName val="8.314"/>
      <sheetName val="8.315"/>
      <sheetName val="8.316"/>
      <sheetName val="8.330"/>
      <sheetName val="8.331"/>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8N"/>
      <sheetName val="8.349"/>
      <sheetName val="8.349N"/>
      <sheetName val="8.350N"/>
      <sheetName val="8.350A"/>
      <sheetName val="8.350B"/>
      <sheetName val="8.350C"/>
      <sheetName val="8.350D"/>
      <sheetName val="8.370"/>
      <sheetName val="8.371"/>
      <sheetName val="8.372"/>
      <sheetName val="8.373"/>
      <sheetName val="8.374"/>
      <sheetName val="8.375"/>
      <sheetName val="8.376"/>
      <sheetName val="8.377"/>
      <sheetName val="8.378"/>
      <sheetName val="8.379"/>
      <sheetName val="8.380"/>
      <sheetName val="8.381A"/>
      <sheetName val="8.400"/>
      <sheetName val="8.400A"/>
      <sheetName val="8.401"/>
      <sheetName val="8.402"/>
      <sheetName val="8.403"/>
      <sheetName val="8.404"/>
      <sheetName val="8.450"/>
      <sheetName val="8.451"/>
      <sheetName val="8.452"/>
      <sheetName val="8.453"/>
      <sheetName val="8.454"/>
      <sheetName val="8.454N"/>
      <sheetName val="8.500"/>
      <sheetName val="8.501"/>
      <sheetName val="8.502"/>
      <sheetName val="8.503A"/>
      <sheetName val="8.504A"/>
      <sheetName val="8.550"/>
      <sheetName val="8.551"/>
      <sheetName val="8.552"/>
      <sheetName val="8.553"/>
      <sheetName val="8.554"/>
      <sheetName val="8.600"/>
      <sheetName val="8.601"/>
      <sheetName val="8.602"/>
      <sheetName val="8.603"/>
      <sheetName val="8.604"/>
      <sheetName val="8.605"/>
      <sheetName val="8.606"/>
      <sheetName val="8.620"/>
      <sheetName val="8.650"/>
      <sheetName val="8.650A"/>
      <sheetName val="8.651"/>
      <sheetName val="8.652"/>
      <sheetName val="8.653"/>
      <sheetName val="8.654"/>
      <sheetName val="8.655"/>
      <sheetName val="8.656"/>
      <sheetName val="8.657"/>
      <sheetName val="8.658"/>
      <sheetName val="8.659"/>
      <sheetName val="8.660"/>
      <sheetName val="8.661"/>
      <sheetName val="8.662"/>
      <sheetName val="8.662A"/>
      <sheetName val="8.662B"/>
      <sheetName val="8.699"/>
      <sheetName val="8.700"/>
      <sheetName val="8.700A"/>
      <sheetName val="8.700B"/>
      <sheetName val="8.701"/>
      <sheetName val="8.702"/>
      <sheetName val="8.703"/>
      <sheetName val="8.704"/>
      <sheetName val="8.705"/>
      <sheetName val="8.705A"/>
      <sheetName val="8.706"/>
      <sheetName val="11A"/>
      <sheetName val="8.707"/>
      <sheetName val="8.708"/>
      <sheetName val="8.709"/>
      <sheetName val="8.710"/>
      <sheetName val="8.711"/>
      <sheetName val="8.712"/>
      <sheetName val="8.713F"/>
      <sheetName val="8.713N"/>
      <sheetName val="8.740"/>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1"/>
      <sheetName val="8.802"/>
      <sheetName val="8.803"/>
      <sheetName val="8.804"/>
      <sheetName val="8.805"/>
      <sheetName val="8.806"/>
      <sheetName val="8.807"/>
      <sheetName val="8.807A"/>
      <sheetName val="8.808"/>
      <sheetName val="8.809"/>
      <sheetName val="8.809A"/>
      <sheetName val="8.809N"/>
      <sheetName val="8.809N1"/>
      <sheetName val="8.809N2"/>
      <sheetName val="8.809N3"/>
      <sheetName val="8.809N4"/>
      <sheetName val="8.809N5"/>
      <sheetName val="8.810"/>
      <sheetName val="8.811"/>
      <sheetName val="8.812"/>
      <sheetName val="8.813"/>
      <sheetName val="8.813A"/>
      <sheetName val="8.814"/>
      <sheetName val="8.815"/>
      <sheetName val="8.816"/>
      <sheetName val="8.817"/>
      <sheetName val="8.818"/>
      <sheetName val="8.819"/>
      <sheetName val="8.819A"/>
      <sheetName val="8.819B"/>
      <sheetName val="8.819C"/>
      <sheetName val="8.819D"/>
      <sheetName val="8.819E"/>
      <sheetName val="8.820"/>
      <sheetName val="8.821"/>
      <sheetName val="8.822"/>
      <sheetName val="8.823"/>
      <sheetName val="8.823A"/>
      <sheetName val="8.823A1"/>
      <sheetName val="8.824"/>
      <sheetName val="8.825"/>
      <sheetName val="8.826"/>
      <sheetName val="8.827"/>
      <sheetName val="8.828"/>
      <sheetName val="8.899"/>
      <sheetName val="8.900"/>
      <sheetName val="8.901"/>
      <sheetName val="8.902"/>
      <sheetName val="8.903"/>
      <sheetName val="8.904"/>
      <sheetName val="8.904A"/>
      <sheetName val="8.904B"/>
      <sheetName val="8.905"/>
      <sheetName val="8.905A"/>
      <sheetName val="8.906"/>
      <sheetName val="8.907"/>
      <sheetName val="8.908"/>
      <sheetName val="8.909"/>
      <sheetName val="8.909N"/>
      <sheetName val="8.910"/>
      <sheetName val="8.910A"/>
      <sheetName val="8.910B"/>
      <sheetName val="8.910C"/>
      <sheetName val="8.910D"/>
      <sheetName val="8.910E"/>
      <sheetName val="8.910F"/>
      <sheetName val="8.910G"/>
      <sheetName val="8.910H"/>
      <sheetName val="8.910I"/>
      <sheetName val="8.910J"/>
      <sheetName val="8.910K"/>
      <sheetName val="8.910L"/>
      <sheetName val="8.910M"/>
      <sheetName val="8.910N"/>
      <sheetName val="8.910O"/>
      <sheetName val="8.910AA"/>
      <sheetName val="8.910AB"/>
      <sheetName val="8.911"/>
      <sheetName val="8.911A"/>
      <sheetName val="8.911B"/>
      <sheetName val="8.911C"/>
      <sheetName val="8.911D"/>
      <sheetName val="8.911E"/>
      <sheetName val="8.911F"/>
      <sheetName val="8.911G"/>
      <sheetName val="8.911H"/>
      <sheetName val="8.911I"/>
      <sheetName val="8.911J"/>
      <sheetName val="8.911K"/>
      <sheetName val="8.911L"/>
      <sheetName val="8.911M"/>
      <sheetName val="8.911N"/>
      <sheetName val="8.911O"/>
      <sheetName val="8.911P"/>
      <sheetName val="8.911Q"/>
      <sheetName val="8.911R"/>
      <sheetName val="8.911S"/>
      <sheetName val="8.911T"/>
      <sheetName val="8.911U"/>
      <sheetName val="8.911V"/>
      <sheetName val="8.911W"/>
      <sheetName val="8.912"/>
      <sheetName val="8.913"/>
      <sheetName val="8.920"/>
      <sheetName val="8.921"/>
      <sheetName val="8.922"/>
      <sheetName val="8.940"/>
      <sheetName val="8.941"/>
      <sheetName val="8.942"/>
      <sheetName val="8.943"/>
      <sheetName val="8.944"/>
      <sheetName val="8.945"/>
      <sheetName val="8.946"/>
      <sheetName val="8.947"/>
      <sheetName val="8.948"/>
      <sheetName val="8.949"/>
      <sheetName val="8.950"/>
      <sheetName val="8.951"/>
      <sheetName val="8.952"/>
      <sheetName val="8.953"/>
      <sheetName val="8.954"/>
      <sheetName val="8.955"/>
      <sheetName val="8.956"/>
      <sheetName val="8.957"/>
      <sheetName val="8.958"/>
      <sheetName val="8.959"/>
      <sheetName val="8.960"/>
      <sheetName val="8.961"/>
      <sheetName val="8.962"/>
      <sheetName val="8.963"/>
      <sheetName val="8.964"/>
      <sheetName val="8.965"/>
      <sheetName val="8.966"/>
      <sheetName val="8.967"/>
      <sheetName val="8.968"/>
      <sheetName val="8.969"/>
      <sheetName val="8.970"/>
      <sheetName val="8.971"/>
      <sheetName val="8.972"/>
      <sheetName val="8.973"/>
      <sheetName val="8.974"/>
      <sheetName val="8.975"/>
      <sheetName val="8.976"/>
      <sheetName val="8.977"/>
      <sheetName val="8.978"/>
      <sheetName val="8.979"/>
      <sheetName val="8.980"/>
      <sheetName val="8.981"/>
      <sheetName val="8.982"/>
      <sheetName val="8.983"/>
      <sheetName val="8.984"/>
      <sheetName val="8.985"/>
      <sheetName val="8.986"/>
      <sheetName val="8.987"/>
      <sheetName val="8.988"/>
      <sheetName val="8.989"/>
      <sheetName val="8.990"/>
      <sheetName val="8.991"/>
      <sheetName val="8.992"/>
      <sheetName val="8.993"/>
      <sheetName val="8.994"/>
      <sheetName val="8.995"/>
      <sheetName val="8.996"/>
      <sheetName val="8.997"/>
      <sheetName val="8.998"/>
      <sheetName val="8.999"/>
      <sheetName val="8.1000"/>
      <sheetName val="8.1001"/>
      <sheetName val="8.1002"/>
      <sheetName val="8.1003"/>
      <sheetName val="8.1003A"/>
      <sheetName val="8.1003B"/>
      <sheetName val="8.1003C"/>
      <sheetName val="8.1003D"/>
      <sheetName val="8.1004"/>
      <sheetName val="8.1005"/>
      <sheetName val="8.1006"/>
      <sheetName val="8.1007"/>
      <sheetName val="8.1008"/>
      <sheetName val="8.1009"/>
      <sheetName val="8.1009F"/>
      <sheetName val="8.1009F2"/>
      <sheetName val="8.1010"/>
      <sheetName val="8.1010N"/>
      <sheetName val="8.1011"/>
      <sheetName val="8.1012"/>
      <sheetName val="8.1013"/>
      <sheetName val="8.1100"/>
      <sheetName val="8.1100A"/>
      <sheetName val="8.1101"/>
      <sheetName val="8.1102"/>
      <sheetName val="8.1103"/>
      <sheetName val="8.1104"/>
      <sheetName val="8.1105"/>
      <sheetName val="8.1106"/>
      <sheetName val="8.1150"/>
      <sheetName val="8.1150A"/>
      <sheetName val="8.1151"/>
      <sheetName val="8.1151A"/>
      <sheetName val="8.1151B"/>
      <sheetName val="8.1152"/>
      <sheetName val="8.1152N"/>
      <sheetName val="8.1152N1"/>
      <sheetName val="8.1153"/>
      <sheetName val="8.1200"/>
      <sheetName val="8.1201"/>
      <sheetName val="8.1202"/>
      <sheetName val="8.1203"/>
      <sheetName val="8.1204"/>
      <sheetName val="8.1300"/>
      <sheetName val="8.1301"/>
      <sheetName val="8.1400"/>
      <sheetName val="8.1400A"/>
      <sheetName val="8.1400B"/>
      <sheetName val="8.1400C"/>
      <sheetName val="8.1500"/>
      <sheetName val="8.1500A"/>
      <sheetName val="8.1500B"/>
      <sheetName val="8.1500C"/>
      <sheetName val="8.1500D"/>
      <sheetName val="8.1500E"/>
      <sheetName val="8.1500F"/>
      <sheetName val="8.1600"/>
      <sheetName val="8.1601"/>
      <sheetName val="8.1602"/>
      <sheetName val="8.1603"/>
      <sheetName val="8.1604"/>
      <sheetName val="8.1605"/>
      <sheetName val="8.1606"/>
      <sheetName val="8.1607"/>
      <sheetName val="8.1608"/>
      <sheetName val="8.1609"/>
      <sheetName val="8.1610"/>
      <sheetName val="8.1611"/>
      <sheetName val="8.1612"/>
      <sheetName val="8.1613"/>
      <sheetName val="8.1614"/>
      <sheetName val="8.1615"/>
      <sheetName val="9.1"/>
      <sheetName val="9.2"/>
      <sheetName val="9.3"/>
      <sheetName val="9.4"/>
      <sheetName val="9.5"/>
      <sheetName val="9.6"/>
      <sheetName val="9.7"/>
      <sheetName val="9.8"/>
      <sheetName val="9.9"/>
      <sheetName val="9.10"/>
      <sheetName val="9.11"/>
      <sheetName val="10.1"/>
      <sheetName val="10.1A"/>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8A"/>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400"/>
      <sheetName val="10.500"/>
      <sheetName val="10.501"/>
      <sheetName val="10.502"/>
      <sheetName val="10.503"/>
      <sheetName val="10.504"/>
      <sheetName val="10.505"/>
      <sheetName val="10.505A"/>
      <sheetName val="10.60"/>
      <sheetName val="10.600"/>
      <sheetName val="11.1"/>
      <sheetName val="11.2"/>
      <sheetName val="11.3"/>
      <sheetName val="11.4"/>
      <sheetName val="11.6"/>
      <sheetName val="11.8"/>
      <sheetName val="11.10"/>
      <sheetName val="11.11"/>
      <sheetName val="11.12"/>
      <sheetName val="11.13"/>
      <sheetName val="11.14"/>
      <sheetName val="11.15"/>
      <sheetName val="11.16"/>
      <sheetName val="11.17"/>
      <sheetName val="11.18"/>
      <sheetName val="11.19"/>
      <sheetName val="11.20"/>
      <sheetName val="11.21"/>
      <sheetName val="11.30"/>
      <sheetName val="11.31"/>
      <sheetName val="11.32"/>
      <sheetName val="11.33"/>
      <sheetName val="12.1"/>
      <sheetName val="12.2"/>
      <sheetName val="12.3"/>
      <sheetName val="12.4"/>
      <sheetName val="12.5"/>
      <sheetName val="12.6"/>
      <sheetName val="12.7"/>
      <sheetName val="12.8"/>
      <sheetName val="13.1"/>
      <sheetName val="13.2"/>
      <sheetName val="13.3"/>
      <sheetName val="14.1"/>
      <sheetName val="14.2"/>
      <sheetName val="18.1"/>
      <sheetName val="18.1.1"/>
      <sheetName val="18.1.2"/>
      <sheetName val="18.1.3"/>
      <sheetName val="19.1"/>
      <sheetName val="19.2"/>
      <sheetName val="19.3"/>
      <sheetName val="19.3A"/>
      <sheetName val="19.4"/>
      <sheetName val="19.5"/>
      <sheetName val="19.6"/>
      <sheetName val="19.7"/>
      <sheetName val="19.8"/>
      <sheetName val="19.9"/>
      <sheetName val="19.10"/>
      <sheetName val="19.11"/>
      <sheetName val="19.12A"/>
      <sheetName val="19.13"/>
      <sheetName val="19.14"/>
      <sheetName val="19.14 A"/>
      <sheetName val="19.15"/>
      <sheetName val="19.15N"/>
      <sheetName val="19.15N1"/>
      <sheetName val="19.15N2"/>
      <sheetName val="19.15N3"/>
      <sheetName val="19.15N4"/>
      <sheetName val="19.15N5"/>
      <sheetName val="19.15N6"/>
      <sheetName val="19.20"/>
      <sheetName val="19.39"/>
      <sheetName val="19.40"/>
      <sheetName val="19.41"/>
      <sheetName val="19.41A"/>
      <sheetName val="19.41B"/>
      <sheetName val="19.42"/>
      <sheetName val="19.43"/>
      <sheetName val="19.44"/>
      <sheetName val="19.45"/>
      <sheetName val="19.46"/>
      <sheetName val="19.47"/>
      <sheetName val="19.48"/>
      <sheetName val="19.49"/>
      <sheetName val="19.50"/>
      <sheetName val="19.50A"/>
      <sheetName val="19.51"/>
      <sheetName val="19.52"/>
      <sheetName val="19.85"/>
      <sheetName val="19.85A"/>
      <sheetName val="19.85B"/>
      <sheetName val="19.86"/>
      <sheetName val="19.87"/>
      <sheetName val="19.88"/>
      <sheetName val="19.89"/>
      <sheetName val="19.90"/>
      <sheetName val="20.1.1"/>
      <sheetName val="20.1.2"/>
      <sheetName val="20.2.1"/>
      <sheetName val="20.2.2"/>
      <sheetName val="20.3.1"/>
      <sheetName val="20.3.2"/>
      <sheetName val="20.3.3"/>
      <sheetName val="20.4.1"/>
      <sheetName val="20.4.2"/>
      <sheetName val="20.4.3"/>
      <sheetName val="20.5.1"/>
      <sheetName val="20.4.4"/>
      <sheetName val="20.4.5"/>
      <sheetName val="20.5.2"/>
      <sheetName val="20.5.3"/>
      <sheetName val="20.6"/>
      <sheetName val="20.7"/>
      <sheetName val="20.8.1"/>
      <sheetName val="20.8.2"/>
      <sheetName val="20.9"/>
      <sheetName val="20.10"/>
      <sheetName val="20.11"/>
      <sheetName val="20.11.1"/>
      <sheetName val="20.11.2"/>
      <sheetName val="20.11.3"/>
      <sheetName val="9A"/>
      <sheetName val="20.11A"/>
      <sheetName val="20.11B"/>
      <sheetName val="20.11C"/>
      <sheetName val="20.11D"/>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49J (2)"/>
      <sheetName val="20.49J (3)"/>
      <sheetName val="20.50J"/>
      <sheetName val="20.51J"/>
      <sheetName val="20.52J"/>
      <sheetName val="20.53J"/>
      <sheetName val="20.54J"/>
      <sheetName val="20.55J"/>
      <sheetName val="20.56J"/>
      <sheetName val="20.57J"/>
      <sheetName val="20.58J"/>
      <sheetName val="20.59J"/>
      <sheetName val="20.60J"/>
      <sheetName val="20.61N"/>
      <sheetName val="20.62N"/>
      <sheetName val="20.63N"/>
      <sheetName val="20.64N"/>
      <sheetName val="20.65N"/>
      <sheetName val="20.66N"/>
      <sheetName val="20.67N"/>
      <sheetName val="20.68N"/>
      <sheetName val="20.69N"/>
      <sheetName val="20.70N"/>
      <sheetName val="20.71N"/>
      <sheetName val="20.72N"/>
      <sheetName val="20.73N"/>
      <sheetName val="20.30"/>
      <sheetName val="20.31"/>
      <sheetName val="20.32"/>
      <sheetName val="20.33"/>
      <sheetName val="20.40"/>
      <sheetName val="20.41"/>
      <sheetName val="20.42"/>
      <sheetName val="20.43"/>
      <sheetName val="20.44"/>
      <sheetName val="20.46"/>
      <sheetName val="20.45"/>
      <sheetName val="20.45A"/>
      <sheetName val="20.45B"/>
      <sheetName val="20.45C"/>
      <sheetName val="20.45D"/>
      <sheetName val="20.45E"/>
      <sheetName val="20.45F"/>
      <sheetName val="20.47"/>
      <sheetName val="20.48"/>
      <sheetName val="20.49"/>
      <sheetName val="20.50"/>
      <sheetName val="20.51"/>
      <sheetName val="20.52"/>
      <sheetName val="20.53"/>
      <sheetName val="20.54"/>
      <sheetName val="20.55"/>
      <sheetName val="20.56"/>
      <sheetName val="20.59"/>
      <sheetName val="20.60"/>
      <sheetName val="20.63"/>
      <sheetName val="20.64"/>
      <sheetName val="20.65"/>
      <sheetName val="20.66"/>
      <sheetName val="12A"/>
      <sheetName val="APU'S CALDAS NSH"/>
    </sheetNames>
    <sheetDataSet>
      <sheetData sheetId="0" refreshError="1"/>
      <sheetData sheetId="1" refreshError="1">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2" refreshError="1">
        <row r="2">
          <cell r="B2" t="str">
            <v>Cuadrilla 3: (1 Oficial y 2 Ayudantes)</v>
          </cell>
          <cell r="C2" t="str">
            <v>DIA</v>
          </cell>
          <cell r="D2">
            <v>71920</v>
          </cell>
        </row>
        <row r="3">
          <cell r="B3" t="str">
            <v>Cuadrilla 4: (1 Oficial y 1 Ayudante)</v>
          </cell>
          <cell r="C3" t="str">
            <v>DIA</v>
          </cell>
          <cell r="D3">
            <v>51680</v>
          </cell>
        </row>
        <row r="4">
          <cell r="B4" t="str">
            <v>Comisión Topografía</v>
          </cell>
          <cell r="C4" t="str">
            <v>DIA</v>
          </cell>
          <cell r="D4">
            <v>212160</v>
          </cell>
        </row>
        <row r="5">
          <cell r="B5" t="str">
            <v>Ayudante Construccion</v>
          </cell>
          <cell r="C5" t="str">
            <v>DIA</v>
          </cell>
          <cell r="D5">
            <v>20240</v>
          </cell>
        </row>
        <row r="6">
          <cell r="B6" t="str">
            <v>Cuadrilla 4: (1 Oficial y 1 Ayudante)</v>
          </cell>
          <cell r="C6" t="str">
            <v>DIA</v>
          </cell>
          <cell r="D6">
            <v>51680</v>
          </cell>
        </row>
        <row r="7">
          <cell r="B7" t="str">
            <v>Cuadrilla 8: Oficial</v>
          </cell>
          <cell r="C7" t="str">
            <v>DIA</v>
          </cell>
          <cell r="D7">
            <v>31440</v>
          </cell>
        </row>
        <row r="8">
          <cell r="B8" t="str">
            <v>Cuadrilla 4: (1 Oficial y 1 Ayudante)</v>
          </cell>
          <cell r="C8" t="str">
            <v>DÍA</v>
          </cell>
          <cell r="D8">
            <v>51680</v>
          </cell>
        </row>
        <row r="9">
          <cell r="B9" t="str">
            <v>Cuadrilla de soldadura</v>
          </cell>
          <cell r="C9" t="str">
            <v>DIA</v>
          </cell>
          <cell r="D9">
            <v>85500</v>
          </cell>
        </row>
        <row r="10">
          <cell r="B10" t="str">
            <v>Cuadrilla 5: Ofic. + 6 Ayud.</v>
          </cell>
          <cell r="C10" t="str">
            <v>DÍA</v>
          </cell>
          <cell r="D10">
            <v>152880</v>
          </cell>
        </row>
        <row r="11">
          <cell r="B11" t="str">
            <v>Cuadrilla 2: (2 Ayudantes)</v>
          </cell>
          <cell r="C11" t="str">
            <v>DIA</v>
          </cell>
          <cell r="D11">
            <v>40480</v>
          </cell>
        </row>
        <row r="12">
          <cell r="B12" t="str">
            <v>Cuadrilla 1: (2 Machineros)</v>
          </cell>
          <cell r="C12" t="str">
            <v>DIA</v>
          </cell>
          <cell r="D12">
            <v>83200</v>
          </cell>
        </row>
        <row r="13">
          <cell r="B13" t="str">
            <v>Cuadrilla 5: (1 Oficial y 3 Ayudante)</v>
          </cell>
          <cell r="C13" t="str">
            <v>DIA</v>
          </cell>
          <cell r="D13">
            <v>92160</v>
          </cell>
        </row>
        <row r="14">
          <cell r="B14" t="str">
            <v>Cuadrilla 6: (1 Oficial y 4 Ayudante)</v>
          </cell>
          <cell r="C14" t="str">
            <v>DIA</v>
          </cell>
          <cell r="D14">
            <v>112400</v>
          </cell>
        </row>
      </sheetData>
      <sheetData sheetId="3" refreshError="1">
        <row r="2">
          <cell r="B2" t="str">
            <v>240 V - 1x15A Iluminación y tomas</v>
          </cell>
        </row>
        <row r="3">
          <cell r="B3" t="str">
            <v>240 V - 2x15A Alumbrado exterior</v>
          </cell>
        </row>
        <row r="4">
          <cell r="B4" t="str">
            <v>240 V - 2x50A Totalizador</v>
          </cell>
        </row>
        <row r="5">
          <cell r="B5" t="str">
            <v>ACCESORIOS</v>
          </cell>
        </row>
        <row r="6">
          <cell r="B6" t="str">
            <v>ACCESORIOS</v>
          </cell>
        </row>
        <row r="7">
          <cell r="B7" t="str">
            <v>Acero de refuerzo 60.000 PSI</v>
          </cell>
        </row>
        <row r="8">
          <cell r="B8" t="str">
            <v xml:space="preserve">Acero de refuerzo 60.000 PSI </v>
          </cell>
        </row>
        <row r="9">
          <cell r="B9" t="str">
            <v>Acero de refuerzo 60.000 PSI (incluye amarre y figuración)</v>
          </cell>
        </row>
        <row r="10">
          <cell r="B10" t="str">
            <v>ACERO DE REFUERZO 60.000 PSI DE 3/8"</v>
          </cell>
        </row>
        <row r="11">
          <cell r="B11" t="str">
            <v>ACERO DE REFUERZO 60.000 PSI DE 5/8"</v>
          </cell>
        </row>
        <row r="12">
          <cell r="B12" t="str">
            <v>ACERO DE REFUERZO DE 3/4" PARA PASOS</v>
          </cell>
        </row>
        <row r="13">
          <cell r="B13" t="str">
            <v>ACERO DE REFUERZO DE 60000 PSI</v>
          </cell>
        </row>
        <row r="14">
          <cell r="B14" t="str">
            <v>Acero galvanizado</v>
          </cell>
        </row>
        <row r="15">
          <cell r="B15" t="str">
            <v>Acometida BT 208/120V Cu #8 y 1#10, AWG THH N 600V</v>
          </cell>
        </row>
        <row r="16">
          <cell r="B16" t="str">
            <v>ACONDICIONADOR</v>
          </cell>
        </row>
        <row r="17">
          <cell r="B17" t="str">
            <v>ACONDICIONADOR SUPERF. (NOVAFORT)</v>
          </cell>
        </row>
        <row r="18">
          <cell r="B18" t="str">
            <v>ACONDICIONADOR SUPERF. NOVAFORT</v>
          </cell>
        </row>
        <row r="19">
          <cell r="B19" t="str">
            <v>Acople universal HD 10"</v>
          </cell>
        </row>
        <row r="20">
          <cell r="B20" t="str">
            <v>Adaptador Brida Universal (100mm)  (4")</v>
          </cell>
        </row>
        <row r="21">
          <cell r="B21" t="str">
            <v>Adaptador Brida Universal (3/4")</v>
          </cell>
        </row>
        <row r="22">
          <cell r="B22" t="str">
            <v>Adaptador Brida Universal (50mm)  (2")</v>
          </cell>
        </row>
        <row r="23">
          <cell r="B23" t="str">
            <v>ADAPTADOR BRIDA UNIVERSAL (50mm)  2"</v>
          </cell>
        </row>
        <row r="24">
          <cell r="B24" t="str">
            <v>Adaptador HD Ø 6" - B x E ; L= 350  mm. - Extremo para PVC</v>
          </cell>
        </row>
        <row r="25">
          <cell r="B25" t="str">
            <v>Adaptador HD Ø 6"-BxE ; L=350mm-Extremo para PVC</v>
          </cell>
        </row>
        <row r="26">
          <cell r="B26" t="str">
            <v>Adaptador HD Ø4" BxE Extremo liso para PVC =250mm</v>
          </cell>
        </row>
        <row r="27">
          <cell r="B27" t="str">
            <v>Adaptador HD Ø6" BxE Extremo liso para PVC =250mm</v>
          </cell>
        </row>
        <row r="28">
          <cell r="B28" t="str">
            <v>ADAPTADOR MACHO PF+UAD  1/2``</v>
          </cell>
        </row>
        <row r="29">
          <cell r="B29" t="str">
            <v>ADHESIVO (NOVAFORT) X 500 gr</v>
          </cell>
        </row>
        <row r="30">
          <cell r="B30" t="str">
            <v>ADHESIVO (NOVAFORT) X 500gr</v>
          </cell>
        </row>
        <row r="31">
          <cell r="B31" t="str">
            <v>ADHESIVO ALCANTARILLADO</v>
          </cell>
        </row>
        <row r="32">
          <cell r="B32" t="str">
            <v>afirmado 2"</v>
          </cell>
        </row>
        <row r="33">
          <cell r="B33" t="str">
            <v>AGENTE DEMOLEDOR NO EXPLOSIVO (ALTA SEGURIDAD)</v>
          </cell>
        </row>
        <row r="34">
          <cell r="B34" t="str">
            <v>Agua</v>
          </cell>
        </row>
        <row r="35">
          <cell r="B35" t="str">
            <v>alambre de puas</v>
          </cell>
        </row>
        <row r="36">
          <cell r="B36" t="str">
            <v>Alambre galvanizado cal 12</v>
          </cell>
        </row>
        <row r="37">
          <cell r="B37" t="str">
            <v>Alambre negro</v>
          </cell>
        </row>
        <row r="38">
          <cell r="B38" t="str">
            <v>ALAMBRE NEGRO C-18</v>
          </cell>
        </row>
        <row r="39">
          <cell r="B39" t="str">
            <v>Alambre negro C-18 K1</v>
          </cell>
        </row>
        <row r="40">
          <cell r="B40" t="str">
            <v>Alfajías en baldosa</v>
          </cell>
        </row>
        <row r="41">
          <cell r="B41" t="str">
            <v>Alfajías en concreto</v>
          </cell>
        </row>
        <row r="42">
          <cell r="B42" t="str">
            <v>amarre para teja</v>
          </cell>
        </row>
        <row r="43">
          <cell r="B43" t="str">
            <v xml:space="preserve">amarre para teja </v>
          </cell>
        </row>
        <row r="44">
          <cell r="B44" t="str">
            <v>ángulo 1"x1"x3/16"</v>
          </cell>
        </row>
        <row r="45">
          <cell r="B45" t="str">
            <v>ÁNGULO 2 X 1/4"</v>
          </cell>
        </row>
        <row r="46">
          <cell r="B46" t="str">
            <v>Ángulo 2"x2"x3/16"</v>
          </cell>
        </row>
        <row r="47">
          <cell r="B47" t="str">
            <v>Ángulo de hierro 1" X 3/8"</v>
          </cell>
        </row>
        <row r="48">
          <cell r="B48" t="str">
            <v>Ángulos 2" X 3/8"</v>
          </cell>
        </row>
        <row r="49">
          <cell r="B49" t="str">
            <v>ANTICORROSIVO</v>
          </cell>
        </row>
        <row r="50">
          <cell r="B50" t="str">
            <v>Antracita filtro seleccionda tamiz 8 - 12</v>
          </cell>
        </row>
        <row r="51">
          <cell r="B51" t="str">
            <v>ANTRACITA FILTRO TAMIZ 8 - 12</v>
          </cell>
        </row>
        <row r="52">
          <cell r="B52" t="str">
            <v>Aparato sanitario</v>
          </cell>
        </row>
        <row r="53">
          <cell r="B53" t="str">
            <v>Arela Lavada de río</v>
          </cell>
        </row>
        <row r="54">
          <cell r="B54" t="str">
            <v>ARENA</v>
          </cell>
        </row>
        <row r="55">
          <cell r="B55" t="str">
            <v>Arena de peña</v>
          </cell>
        </row>
        <row r="56">
          <cell r="B56" t="str">
            <v>ARENA FILTRO SELEC. TAMIZ 30 - 40</v>
          </cell>
        </row>
        <row r="57">
          <cell r="B57" t="str">
            <v>Arena filtro seleccionada tamiz 30 - 40</v>
          </cell>
        </row>
        <row r="58">
          <cell r="B58" t="str">
            <v>Arena Lavada de río</v>
          </cell>
        </row>
        <row r="59">
          <cell r="B59" t="str">
            <v>AROTAPA + AROBASE EN HF</v>
          </cell>
        </row>
        <row r="60">
          <cell r="B60" t="str">
            <v>Balanza analítica XB 120A; 120g; 0,1 mg PRECISA</v>
          </cell>
        </row>
        <row r="61">
          <cell r="B61" t="str">
            <v>Balanza analítica XB 220A; 120g; 0,1 mg PRECISA</v>
          </cell>
        </row>
        <row r="62">
          <cell r="B62" t="str">
            <v>baldosa granito B-10</v>
          </cell>
        </row>
        <row r="63">
          <cell r="B63" t="str">
            <v>BASCULA PARA CILINDROS</v>
          </cell>
        </row>
        <row r="64">
          <cell r="B64" t="str">
            <v>Base granular IP&lt;3%</v>
          </cell>
        </row>
        <row r="65">
          <cell r="B65" t="str">
            <v>Bloque de concreto Liso CT-10</v>
          </cell>
        </row>
        <row r="66">
          <cell r="B66" t="str">
            <v>BLOQUE MURO 15X20X40 No. 6</v>
          </cell>
        </row>
        <row r="67">
          <cell r="B67" t="str">
            <v>BOLSAS DE FIBRA</v>
          </cell>
        </row>
        <row r="68">
          <cell r="B68" t="str">
            <v>Bomba de vacio, 4 CFM, 20 micrones</v>
          </cell>
        </row>
        <row r="69">
          <cell r="B69" t="str">
            <v>Boquilla en bronce para mangera Ø 1 3/4"</v>
          </cell>
        </row>
        <row r="70">
          <cell r="B70" t="str">
            <v>Brida ciega  HD 10" (250mm)</v>
          </cell>
        </row>
        <row r="71">
          <cell r="B71" t="str">
            <v>Brida ciega  HD 12" (300mm)</v>
          </cell>
        </row>
        <row r="72">
          <cell r="B72" t="str">
            <v>Brida ciega  HD 14" (350mm)</v>
          </cell>
        </row>
        <row r="73">
          <cell r="B73" t="str">
            <v>Brida ciega  HD 16" (400mm)</v>
          </cell>
        </row>
        <row r="74">
          <cell r="B74" t="str">
            <v>Brida ciega  HD 18" (450mm)</v>
          </cell>
        </row>
        <row r="75">
          <cell r="B75" t="str">
            <v>Brida ciega  HD 2" (50mm)</v>
          </cell>
        </row>
        <row r="76">
          <cell r="B76" t="str">
            <v>Brida ciega  HD 20" (500mm)</v>
          </cell>
        </row>
        <row r="77">
          <cell r="B77" t="str">
            <v>Brida ciega  HD 3" (75mm)</v>
          </cell>
        </row>
        <row r="78">
          <cell r="B78" t="str">
            <v>Brida ciega  HD 4" (100mm)</v>
          </cell>
        </row>
        <row r="79">
          <cell r="B79" t="str">
            <v>Brida ciega  HD 6" (150mm)</v>
          </cell>
        </row>
        <row r="80">
          <cell r="B80" t="str">
            <v>Brida ciega  HD 8" (200mm)</v>
          </cell>
        </row>
        <row r="81">
          <cell r="B81" t="str">
            <v>brida por acople universal 2"</v>
          </cell>
        </row>
        <row r="82">
          <cell r="B82" t="str">
            <v>Brida Universal x Acople Universal HD 10"</v>
          </cell>
        </row>
        <row r="83">
          <cell r="B83" t="str">
            <v>Brida Universal x Acople Universal HD 12"</v>
          </cell>
        </row>
        <row r="84">
          <cell r="B84" t="str">
            <v>CABLE DE ACERO DE 1/2"</v>
          </cell>
        </row>
        <row r="85">
          <cell r="B85" t="str">
            <v>CABLE DE ACERO DE 3/4"</v>
          </cell>
        </row>
        <row r="86">
          <cell r="B86" t="str">
            <v>CABLE DE ACERO DE 5/8"</v>
          </cell>
        </row>
        <row r="87">
          <cell r="B87" t="str">
            <v>CADENA DE 3/8"</v>
          </cell>
        </row>
        <row r="88">
          <cell r="B88" t="str">
            <v>CAJA VALV TIPO CHOROTE-TRAF-LIVIANO</v>
          </cell>
        </row>
        <row r="89">
          <cell r="B89" t="str">
            <v>CAJA VALV. TIPO CHOROTE-TRAF. LIVIANO</v>
          </cell>
        </row>
        <row r="90">
          <cell r="B90" t="str">
            <v>Cajas de inspección de 70x70x70 cm, tapa en concreto reforzado con marco en ángulo</v>
          </cell>
        </row>
        <row r="91">
          <cell r="B91" t="str">
            <v>CAJILLA CON TAPA H.F. PARA MICROMEDIDOR</v>
          </cell>
        </row>
        <row r="92">
          <cell r="B92" t="str">
            <v>CANDADO DE 3"</v>
          </cell>
        </row>
        <row r="93">
          <cell r="B93" t="str">
            <v>Cemento</v>
          </cell>
        </row>
        <row r="94">
          <cell r="B94" t="str">
            <v>Cemento blanco</v>
          </cell>
        </row>
        <row r="95">
          <cell r="B95" t="str">
            <v>Cemento gris x 50 kg</v>
          </cell>
        </row>
        <row r="96">
          <cell r="B96" t="str">
            <v>CERCO 2.90*0.05*0.10</v>
          </cell>
        </row>
        <row r="97">
          <cell r="B97" t="str">
            <v>CHAPA CON BOCALLAVE Y DOS JUEGOS DE LLAVES</v>
          </cell>
        </row>
        <row r="98">
          <cell r="B98" t="str">
            <v>CILINDRO PARA CLORO 150PSI 68KG</v>
          </cell>
        </row>
        <row r="99">
          <cell r="B99" t="str">
            <v>Cilindro para mezcla rapida</v>
          </cell>
        </row>
        <row r="100">
          <cell r="B100" t="str">
            <v>CINTA PVC V-15 (30M)</v>
          </cell>
        </row>
        <row r="101">
          <cell r="B101" t="str">
            <v>Circuito subterráneo BT de alumbrado exterior, conduit PVC DE1 1/2" conductor de cobre THW 2 # 10 AWG Cu</v>
          </cell>
        </row>
        <row r="102">
          <cell r="B102" t="str">
            <v>CODO 11.25° EX.LISOS PVC/AC (100mm) 4``</v>
          </cell>
        </row>
        <row r="103">
          <cell r="B103" t="str">
            <v>CODO 11.25° EX.LISOS PVC/AC (150mm) 6``</v>
          </cell>
        </row>
        <row r="104">
          <cell r="B104" t="str">
            <v>CODO 11.25° EX.LISOS PVC/AC (200mm) 8``</v>
          </cell>
        </row>
        <row r="105">
          <cell r="B105" t="str">
            <v>CODO 11.25° EX.LISOS PVC/AC (250mm) 10``</v>
          </cell>
        </row>
        <row r="106">
          <cell r="B106" t="str">
            <v>CODO 11.25° EX.LISOS PVC/AC (300mm) 12``</v>
          </cell>
        </row>
        <row r="107">
          <cell r="B107" t="str">
            <v>CODO 11.25° EX.LISOS PVC/AC (350mm) 14``</v>
          </cell>
        </row>
        <row r="108">
          <cell r="B108" t="str">
            <v>CODO 11.25° EX.LISOS PVC/AC (400mm) 16``</v>
          </cell>
        </row>
        <row r="109">
          <cell r="B109" t="str">
            <v>CODO 11.25° EX.LISOS PVC/AC (450mm) 18``</v>
          </cell>
        </row>
        <row r="110">
          <cell r="B110" t="str">
            <v>CODO 11.25° EX.LISOS PVC/AC (500mm) 20``</v>
          </cell>
        </row>
        <row r="111">
          <cell r="B111" t="str">
            <v>CODO 11.25° EX.LISOS PVC/AC (50mm) 2``</v>
          </cell>
        </row>
        <row r="112">
          <cell r="B112" t="str">
            <v>CODO 11.25° EX.LISOS PVC/AC (600mm) 24``</v>
          </cell>
        </row>
        <row r="113">
          <cell r="B113" t="str">
            <v>CODO 11.25° EX.LISOS PVC/AC (75mm) 3``</v>
          </cell>
        </row>
        <row r="114">
          <cell r="B114" t="str">
            <v>CODO 22.5° EX.LISOS PVC/AC (100mm) 4``</v>
          </cell>
        </row>
        <row r="115">
          <cell r="B115" t="str">
            <v>CODO 22.5° EX.LISOS PVC/AC (150mm) 6``</v>
          </cell>
        </row>
        <row r="116">
          <cell r="B116" t="str">
            <v>CODO 22.5° EX.LISOS PVC/AC (200mm) 8``</v>
          </cell>
        </row>
        <row r="117">
          <cell r="B117" t="str">
            <v>CODO 22.5° EX.LISOS PVC/AC (250mm) 10``</v>
          </cell>
        </row>
        <row r="118">
          <cell r="B118" t="str">
            <v>CODO 22.5° EX.LISOS PVC/AC (300mm) 12``</v>
          </cell>
        </row>
        <row r="119">
          <cell r="B119" t="str">
            <v>CODO 22.5° EX.LISOS PVC/AC (350mm) 14``</v>
          </cell>
        </row>
        <row r="120">
          <cell r="B120" t="str">
            <v>CODO 22.5° EX.LISOS PVC/AC (400mm) 16``</v>
          </cell>
        </row>
        <row r="121">
          <cell r="B121" t="str">
            <v>CODO 22.5° EX.LISOS PVC/AC (450mm) 18``</v>
          </cell>
        </row>
        <row r="122">
          <cell r="B122" t="str">
            <v>CODO 22.5° EX.LISOS PVC/AC (500mm) 20``</v>
          </cell>
        </row>
        <row r="123">
          <cell r="B123" t="str">
            <v>CODO 22.5° EX.LISOS PVC/AC (50mm) 2``</v>
          </cell>
        </row>
        <row r="124">
          <cell r="B124" t="str">
            <v>CODO 22.5° EX.LISOS PVC/AC (600mm) 24``</v>
          </cell>
        </row>
        <row r="125">
          <cell r="B125" t="str">
            <v>CODO 22.5° EX.LISOS PVC/AC (75mm) 3``</v>
          </cell>
        </row>
        <row r="126">
          <cell r="B126" t="str">
            <v>CODO 45° EX.BRIDAS (50mm) 2``</v>
          </cell>
        </row>
        <row r="127">
          <cell r="B127" t="str">
            <v>CODO 45° EX.BRIDAS (75mm) 3``</v>
          </cell>
        </row>
        <row r="128">
          <cell r="B128" t="str">
            <v>CODO 45° EX.LISOS PVC/AC (100mm) 4``</v>
          </cell>
        </row>
        <row r="129">
          <cell r="B129" t="str">
            <v>CODO 45° EX.LISOS PVC/AC (150mm) 6``</v>
          </cell>
        </row>
        <row r="130">
          <cell r="B130" t="str">
            <v>CODO 45° EX.LISOS PVC/AC (200mm) 8``</v>
          </cell>
        </row>
        <row r="131">
          <cell r="B131" t="str">
            <v>CODO 45° EX.LISOS PVC/AC (250mm) 10``</v>
          </cell>
        </row>
        <row r="132">
          <cell r="B132" t="str">
            <v>CODO 45° EX.LISOS PVC/AC (300mm) 12``</v>
          </cell>
        </row>
        <row r="133">
          <cell r="B133" t="str">
            <v>CODO 45° EX.LISOS PVC/AC (350mm) 14``</v>
          </cell>
        </row>
        <row r="134">
          <cell r="B134" t="str">
            <v>CODO 45° EX.LISOS PVC/AC (400mm) 16``</v>
          </cell>
        </row>
        <row r="135">
          <cell r="B135" t="str">
            <v>CODO 45° EX.LISOS PVC/AC (450mm) 18``</v>
          </cell>
        </row>
        <row r="136">
          <cell r="B136" t="str">
            <v>CODO 45° EX.LISOS PVC/AC (500mm) 20``</v>
          </cell>
        </row>
        <row r="137">
          <cell r="B137" t="str">
            <v>CODO 45° EX.LISOS PVC/AC (50mm) 2``</v>
          </cell>
        </row>
        <row r="138">
          <cell r="B138" t="str">
            <v>CODO 45° EX.LISOS PVC/AC (600mm) 24``</v>
          </cell>
        </row>
        <row r="139">
          <cell r="B139" t="str">
            <v>CODO 45° EX.LISOS PVC/AC (75mm) 3``</v>
          </cell>
        </row>
        <row r="140">
          <cell r="B140" t="str">
            <v>Codo 45° Extremos Bridas (100mm) (4")</v>
          </cell>
        </row>
        <row r="141">
          <cell r="B141" t="str">
            <v>Codo 45° Extremos Bridas (3/4")</v>
          </cell>
        </row>
        <row r="142">
          <cell r="B142" t="str">
            <v>Codo 45° Extremos Bridas (50mm) (2")</v>
          </cell>
        </row>
        <row r="143">
          <cell r="B143" t="str">
            <v>Codo 45° HD 14" (350mm)</v>
          </cell>
        </row>
        <row r="144">
          <cell r="B144" t="str">
            <v>Codo 45º en H.D. – Presión Trabajo 250 PSI extremos bridas 10”</v>
          </cell>
        </row>
        <row r="145">
          <cell r="B145" t="str">
            <v>Codo 45º en H.D. – Presión Trabajo 250 PSI extremos bridas 12”</v>
          </cell>
        </row>
        <row r="146">
          <cell r="B146" t="str">
            <v>Codo 45º en H.D. – Presión Trabajo 250 PSI extremos bridas 16”</v>
          </cell>
        </row>
        <row r="147">
          <cell r="B147" t="str">
            <v>Codo 45º en H.D. – Presión Trabajo 250 PSI extremos bridas 4”</v>
          </cell>
        </row>
        <row r="148">
          <cell r="B148" t="str">
            <v>Codo 45º en H.D. – Presión Trabajo 250 PSI extremos bridas 6”</v>
          </cell>
        </row>
        <row r="149">
          <cell r="B149" t="str">
            <v>Codo 45º en H.D. – Presión Trabajo 250 PSI extremos bridas 8”</v>
          </cell>
        </row>
        <row r="150">
          <cell r="B150" t="str">
            <v>CODO 90° EX.LISOS PVC/AC (100mm) 4``</v>
          </cell>
        </row>
        <row r="151">
          <cell r="B151" t="str">
            <v>CODO 90° EX.LISOS PVC/AC (150mm) 6``</v>
          </cell>
        </row>
        <row r="152">
          <cell r="B152" t="str">
            <v>CODO 90° EX.LISOS PVC/AC (200mm) 8``</v>
          </cell>
        </row>
        <row r="153">
          <cell r="B153" t="str">
            <v>CODO 90° EX.LISOS PVC/AC (250mm) 10``</v>
          </cell>
        </row>
        <row r="154">
          <cell r="B154" t="str">
            <v>CODO 90° EX.LISOS PVC/AC (300mm) 12``</v>
          </cell>
        </row>
        <row r="155">
          <cell r="B155" t="str">
            <v>CODO 90° EX.LISOS PVC/AC (350mm) 14``</v>
          </cell>
        </row>
        <row r="156">
          <cell r="B156" t="str">
            <v>CODO 90° EX.LISOS PVC/AC (400mm) 16``</v>
          </cell>
        </row>
        <row r="157">
          <cell r="B157" t="str">
            <v>CODO 90° EX.LISOS PVC/AC (450mm) 18``</v>
          </cell>
        </row>
        <row r="158">
          <cell r="B158" t="str">
            <v>CODO 90° EX.LISOS PVC/AC (500mm) 20``</v>
          </cell>
        </row>
        <row r="159">
          <cell r="B159" t="str">
            <v>CODO 90° EX.LISOS PVC/AC (50mm) 2``</v>
          </cell>
        </row>
        <row r="160">
          <cell r="B160" t="str">
            <v>CODO 90° EX.LISOS PVC/AC (600mm) 24``</v>
          </cell>
        </row>
        <row r="161">
          <cell r="B161" t="str">
            <v>CODO 90° EX.LISOS PVC/AC (75mm) 3``</v>
          </cell>
        </row>
        <row r="162">
          <cell r="B162" t="str">
            <v>Codo 90° Extremos Lisos (75mm) (3")</v>
          </cell>
        </row>
        <row r="163">
          <cell r="B163" t="str">
            <v>Codo 90° HD 6" (150mm)</v>
          </cell>
        </row>
        <row r="164">
          <cell r="B164" t="str">
            <v>CODO 90° HD BXB (75mm) 3``</v>
          </cell>
        </row>
        <row r="165">
          <cell r="B165" t="str">
            <v>Codo 90º en H.D. – Presión Trabajo 250 PSI extremos bridas 10”</v>
          </cell>
        </row>
        <row r="166">
          <cell r="B166" t="str">
            <v>Codo 90º en H.D. – Presión Trabajo 250 PSI extremos bridas 12”</v>
          </cell>
        </row>
        <row r="167">
          <cell r="B167" t="str">
            <v>Codo 90º en H.D. – Presión Trabajo 250 PSI extremos bridas 2”</v>
          </cell>
        </row>
        <row r="168">
          <cell r="B168" t="str">
            <v>Codo 90º en H.D. – Presión Trabajo 250 PSI extremos bridas 4”</v>
          </cell>
        </row>
        <row r="169">
          <cell r="B169" t="str">
            <v>Codo 90º en H.D. – Presión Trabajo 250 PSI extremos bridas 6”</v>
          </cell>
        </row>
        <row r="170">
          <cell r="B170" t="str">
            <v>Codo 90º en H.D. – Presión Trabajo 250 PSI extremos bridas 8”</v>
          </cell>
        </row>
        <row r="171">
          <cell r="B171" t="str">
            <v>Codo 90º en H.D. – Presión Trabajo 250 PSI extremos liso x brida 10”</v>
          </cell>
        </row>
        <row r="172">
          <cell r="B172" t="str">
            <v>CODO GRAN RADIO 11.25° (U. PLATINO) RDE21  10``</v>
          </cell>
        </row>
        <row r="173">
          <cell r="B173" t="str">
            <v>CODO GRAN RADIO 11.25° (U. PLATINO) RDE21  12``</v>
          </cell>
        </row>
        <row r="174">
          <cell r="B174" t="str">
            <v>CODO GRAN RADIO 11.25° (U. PLATINO) RDE21  2.1/2``</v>
          </cell>
        </row>
        <row r="175">
          <cell r="B175" t="str">
            <v>CODO GRAN RADIO 11.25° (U. PLATINO) RDE21  2``</v>
          </cell>
        </row>
        <row r="176">
          <cell r="B176" t="str">
            <v>CODO GRAN RADIO 11.25° (U. PLATINO) RDE21  3``</v>
          </cell>
        </row>
        <row r="177">
          <cell r="B177" t="str">
            <v>CODO GRAN RADIO 11.25° (U. PLATINO) RDE21  4``</v>
          </cell>
        </row>
        <row r="178">
          <cell r="B178" t="str">
            <v>CODO GRAN RADIO 11.25° (U. PLATINO) RDE21  6``</v>
          </cell>
        </row>
        <row r="179">
          <cell r="B179" t="str">
            <v>CODO GRAN RADIO 11.25° (U. PLATINO) RDE21  8``</v>
          </cell>
        </row>
        <row r="180">
          <cell r="B180" t="str">
            <v>CODO GRAN RADIO 22.5° (U. PLATINO) RDE21  10``</v>
          </cell>
        </row>
        <row r="181">
          <cell r="B181" t="str">
            <v>CODO GRAN RADIO 22.5° (U. PLATINO) RDE21  12``</v>
          </cell>
        </row>
        <row r="182">
          <cell r="B182" t="str">
            <v>CODO GRAN RADIO 22.5° (U. PLATINO) RDE21  2.1/2``</v>
          </cell>
        </row>
        <row r="183">
          <cell r="B183" t="str">
            <v>CODO GRAN RADIO 22.5° (U. PLATINO) RDE21  2``</v>
          </cell>
        </row>
        <row r="184">
          <cell r="B184" t="str">
            <v>CODO GRAN RADIO 22.5° (U. PLATINO) RDE21  3``</v>
          </cell>
        </row>
        <row r="185">
          <cell r="B185" t="str">
            <v>CODO GRAN RADIO 22.5° (U. PLATINO) RDE21  4``</v>
          </cell>
        </row>
        <row r="186">
          <cell r="B186" t="str">
            <v>CODO GRAN RADIO 22.5° (U. PLATINO) RDE21  6``</v>
          </cell>
        </row>
        <row r="187">
          <cell r="B187" t="str">
            <v>CODO GRAN RADIO 22.5° (U. PLATINO) RDE21  8``</v>
          </cell>
        </row>
        <row r="188">
          <cell r="B188" t="str">
            <v>CODO GRAN RADIO 45° (U. PLATINO) RDE21  10``</v>
          </cell>
        </row>
        <row r="189">
          <cell r="B189" t="str">
            <v>CODO GRAN RADIO 45° (U. PLATINO) RDE21  12``</v>
          </cell>
        </row>
        <row r="190">
          <cell r="B190" t="str">
            <v>CODO GRAN RADIO 45° (U. PLATINO) RDE21  2.1/2``</v>
          </cell>
        </row>
        <row r="191">
          <cell r="B191" t="str">
            <v>CODO GRAN RADIO 45° (U. PLATINO) RDE21  2``</v>
          </cell>
        </row>
        <row r="192">
          <cell r="B192" t="str">
            <v>CODO GRAN RADIO 45° (U. PLATINO) RDE21  3``</v>
          </cell>
        </row>
        <row r="193">
          <cell r="B193" t="str">
            <v>CODO GRAN RADIO 45° (U. PLATINO) RDE21  4``</v>
          </cell>
        </row>
        <row r="194">
          <cell r="B194" t="str">
            <v>CODO GRAN RADIO 45° (U. PLATINO) RDE21  6``</v>
          </cell>
        </row>
        <row r="195">
          <cell r="B195" t="str">
            <v>CODO GRAN RADIO 45° (U. PLATINO) RDE21  8``</v>
          </cell>
        </row>
        <row r="196">
          <cell r="B196" t="str">
            <v>CODO GRAN RADIO 90° (U. PLATINO) RDE21  10``</v>
          </cell>
        </row>
        <row r="197">
          <cell r="B197" t="str">
            <v>CODO GRAN RADIO 90° (U. PLATINO) RDE21  12``</v>
          </cell>
        </row>
        <row r="198">
          <cell r="B198" t="str">
            <v>CODO GRAN RADIO 90° (U. PLATINO) RDE21  2.1/2``</v>
          </cell>
        </row>
        <row r="199">
          <cell r="B199" t="str">
            <v>CODO GRAN RADIO 90° (U. PLATINO) RDE21  2``</v>
          </cell>
        </row>
        <row r="200">
          <cell r="B200" t="str">
            <v>CODO GRAN RADIO 90° (U. PLATINO) RDE21  3``</v>
          </cell>
        </row>
        <row r="201">
          <cell r="B201" t="str">
            <v>CODO GRAN RADIO 90° (U. PLATINO) RDE21  4``</v>
          </cell>
        </row>
        <row r="202">
          <cell r="B202" t="str">
            <v>CODO GRAN RADIO 90° (U. PLATINO) RDE21  6``</v>
          </cell>
        </row>
        <row r="203">
          <cell r="B203" t="str">
            <v>CODO GRAN RADIO 90° (U. PLATINO) RDE21  8``</v>
          </cell>
        </row>
        <row r="204">
          <cell r="B204" t="str">
            <v>CODO RADIO CORTO 45° (U. PLATINO) RDE21  3``</v>
          </cell>
        </row>
        <row r="205">
          <cell r="B205" t="str">
            <v>CODO RADIO CORTO 45° (U. PLATINO) RDE21  4``</v>
          </cell>
        </row>
        <row r="206">
          <cell r="B206" t="str">
            <v>CODO RADIO CORTO 45° (U. PLATINO) RDE21  6``</v>
          </cell>
        </row>
        <row r="207">
          <cell r="B207" t="str">
            <v>CODO RADIO CORTO 45° (U. PLATINO) RDE21  8``</v>
          </cell>
        </row>
        <row r="208">
          <cell r="B208" t="str">
            <v>CODO RADIO CORTO 90° (U. PLATINO) RDE21  2``</v>
          </cell>
        </row>
        <row r="209">
          <cell r="B209" t="str">
            <v>CODO RADIO CORTO 90° (U. PLATINO) RDE21  3``</v>
          </cell>
        </row>
        <row r="210">
          <cell r="B210" t="str">
            <v>CODO RADIO CORTO 90° (U. PLATINO) RDE21  4``</v>
          </cell>
        </row>
        <row r="211">
          <cell r="B211" t="str">
            <v>CODO RADIO CORTO 90° (U. PLATINO) RDE21  6``</v>
          </cell>
        </row>
        <row r="212">
          <cell r="B212" t="str">
            <v>CODO RADIO CORTO 90° (U. PLATINO) RDE21  8``</v>
          </cell>
        </row>
        <row r="213">
          <cell r="B213" t="str">
            <v>CODO SANITARIO 90°(200 mm)</v>
          </cell>
        </row>
        <row r="214">
          <cell r="B214" t="str">
            <v>CODO SANITARIO 90º</v>
          </cell>
        </row>
        <row r="215">
          <cell r="B215" t="str">
            <v>COLLAR DERIVACION (U. PLATINO) RDE21  2.1/2x1/2``</v>
          </cell>
        </row>
        <row r="216">
          <cell r="B216" t="str">
            <v>COLLAR DERIVACION (U. PLATINO) RDE21  2x1/2``</v>
          </cell>
        </row>
        <row r="217">
          <cell r="B217" t="str">
            <v>COLLAR DERIVACION (U. PLATINO) RDE21  3x1/2``</v>
          </cell>
        </row>
        <row r="218">
          <cell r="B218" t="str">
            <v>COLLAR DERIVACION (U. PLATINO) RDE21  4x1/2``</v>
          </cell>
        </row>
        <row r="219">
          <cell r="B219" t="str">
            <v>COLLAR DERIVACION (U. PLATINO) RDE21  4x3/4``</v>
          </cell>
        </row>
        <row r="220">
          <cell r="B220" t="str">
            <v>COLLAR DERIVACION (U. PLATINO) RDE21  6x1/2``</v>
          </cell>
        </row>
        <row r="221">
          <cell r="B221" t="str">
            <v>Collar Derivacion para PVC 10"x3/4``</v>
          </cell>
        </row>
        <row r="222">
          <cell r="B222" t="str">
            <v>COLLAR DERIVACION PARA PVC 10x1``</v>
          </cell>
        </row>
        <row r="223">
          <cell r="B223" t="str">
            <v>COLLAR DERIVACION PARA PVC 12x1``</v>
          </cell>
        </row>
        <row r="224">
          <cell r="B224" t="str">
            <v>Collar Derivacion para PVC 4"x3/4``</v>
          </cell>
        </row>
        <row r="225">
          <cell r="B225" t="str">
            <v>COLLAR DERIVACION PARA PVC 4x3/4``</v>
          </cell>
        </row>
        <row r="226">
          <cell r="B226" t="str">
            <v>Collar Derivacion para PVC 6"x3/4``</v>
          </cell>
        </row>
        <row r="227">
          <cell r="B227" t="str">
            <v>COLLAR DERIVACION PARA PVC 6x1``</v>
          </cell>
        </row>
        <row r="228">
          <cell r="B228" t="str">
            <v>COLLAR DERIVACION PARA PVC 6x3/4``</v>
          </cell>
        </row>
        <row r="229">
          <cell r="B229" t="str">
            <v>Collar Derivacion para PVC 8"x3/4``</v>
          </cell>
        </row>
        <row r="230">
          <cell r="B230" t="str">
            <v>COLLAR DERIVACION PARA PVC 8x1``</v>
          </cell>
        </row>
        <row r="231">
          <cell r="B231" t="str">
            <v>COLLAR DERIVACION PARA PVC 8x3/4``</v>
          </cell>
        </row>
        <row r="232">
          <cell r="B232" t="str">
            <v>COLUMNA DE MANIOBRA (CRM)</v>
          </cell>
        </row>
        <row r="233">
          <cell r="B233" t="str">
            <v>Columna de Maniobra CRM</v>
          </cell>
        </row>
        <row r="234">
          <cell r="B234" t="str">
            <v>Compuerta autocontenida 16"</v>
          </cell>
        </row>
        <row r="235">
          <cell r="B235" t="str">
            <v>Compuerta en madera cecro macho</v>
          </cell>
        </row>
        <row r="236">
          <cell r="B236" t="str">
            <v>COMPUERTA LATERAL DESLIZANTE H.D.  10" SELLO BRONCE</v>
          </cell>
        </row>
        <row r="237">
          <cell r="B237" t="str">
            <v>COMPUERTA LATERAL DESLIZANTE H.D.  14" SELLO BRONCE</v>
          </cell>
        </row>
        <row r="238">
          <cell r="B238" t="str">
            <v>COMPUERTA LATERAL DESLIZANTE H.D.  16" SELLO BRONCE</v>
          </cell>
        </row>
        <row r="239">
          <cell r="B239" t="str">
            <v>COMPUERTA LATERAL DESLIZANTE H.D.  24" SELLO BRONCE</v>
          </cell>
        </row>
        <row r="240">
          <cell r="B240" t="str">
            <v>COMPUERTA LATERAL DESLIZANTE H.D.  8" SELLO BRONCE</v>
          </cell>
        </row>
        <row r="241">
          <cell r="B241" t="str">
            <v>COMPUERTA LATERAL DESLIZANTE H.D. 12" SELLO BRONCE</v>
          </cell>
        </row>
        <row r="242">
          <cell r="B242" t="str">
            <v>COMPUERTA LATERAL DESLIZANTE H.D. 3" SELLO BRONCE</v>
          </cell>
        </row>
        <row r="243">
          <cell r="B243" t="str">
            <v>COMPUERTA LATERAL DESLIZANTE H.D. 4" SELLO BRONCE</v>
          </cell>
        </row>
        <row r="244">
          <cell r="B244" t="str">
            <v>COMPUERTA LATERAL DESLIZANTE H.D. 6" SELLO BRONCE</v>
          </cell>
        </row>
        <row r="245">
          <cell r="B245" t="str">
            <v>COMPUERTA LATERAL DESLIZANTE H.D. 8" SELLO BRONCE</v>
          </cell>
        </row>
        <row r="246">
          <cell r="B246" t="str">
            <v>Compuerta Lateral Deslizante Sello en Bronce 10"</v>
          </cell>
        </row>
        <row r="247">
          <cell r="B247" t="str">
            <v>Compuerta Lateral Deslizante Sello en Bronce 12"</v>
          </cell>
        </row>
        <row r="248">
          <cell r="B248" t="str">
            <v>Compuerta Lateral Deslizante Sello en Bronce 14"</v>
          </cell>
        </row>
        <row r="249">
          <cell r="B249" t="str">
            <v>Compuerta Lateral Deslizante Sello en Bronce 16"</v>
          </cell>
        </row>
        <row r="250">
          <cell r="B250" t="str">
            <v>Compuerta Lateral Deslizante Sello en Bronce 4"</v>
          </cell>
        </row>
        <row r="251">
          <cell r="B251" t="str">
            <v>Compuerta Lateral Deslizante Sello en Bronce 6"</v>
          </cell>
        </row>
        <row r="252">
          <cell r="B252" t="str">
            <v>Compuerta Lateral Deslizante Sello en Bronce 8"</v>
          </cell>
        </row>
        <row r="253">
          <cell r="B253" t="str">
            <v>Concreto 2.000 psi</v>
          </cell>
        </row>
        <row r="254">
          <cell r="B254" t="str">
            <v>Concreto 3.000 PSI</v>
          </cell>
        </row>
        <row r="255">
          <cell r="B255" t="str">
            <v>CONCRETO 3.000 PSI  (FORMALETA)</v>
          </cell>
        </row>
        <row r="256">
          <cell r="B256" t="str">
            <v>Concreto 3.500 PSI</v>
          </cell>
        </row>
        <row r="257">
          <cell r="B257" t="str">
            <v>Concreto 3.500 psi Impermeabilizado</v>
          </cell>
        </row>
        <row r="258">
          <cell r="B258" t="str">
            <v>Concreto 3.500 PSI Impermeabilizado (Incluye formaleta 1/4 usos y colocacion)</v>
          </cell>
        </row>
        <row r="259">
          <cell r="B259" t="str">
            <v>concreto 3000 psi</v>
          </cell>
        </row>
        <row r="260">
          <cell r="B260" t="str">
            <v xml:space="preserve">Concreto 3000 PSI (Clase C) , elab. en obra </v>
          </cell>
        </row>
        <row r="261">
          <cell r="B261" t="str">
            <v>CONCRETO 3000 PSI (SIN FORMALETA)</v>
          </cell>
        </row>
        <row r="262">
          <cell r="B262" t="str">
            <v>CONCRETO 3000 PSI A TODO COSTO</v>
          </cell>
        </row>
        <row r="263">
          <cell r="B263" t="str">
            <v>Concreto 3000 PSI a todo costo y formaleta</v>
          </cell>
        </row>
        <row r="264">
          <cell r="B264" t="str">
            <v>Concreto 3500 PSI impermeabilizado a todo costo y formaleta</v>
          </cell>
        </row>
        <row r="265">
          <cell r="B265" t="str">
            <v>Concreto 3500 PSI para cajas sistemas valvulas, elab. en obra, (inc. formaleta ¼ usos y colocación)</v>
          </cell>
        </row>
        <row r="266">
          <cell r="B266" t="str">
            <v>Concreto 4000 PSI impermeabilizado para muros a todo costo y formaleta</v>
          </cell>
        </row>
        <row r="267">
          <cell r="B267" t="str">
            <v>CONCRETO ASFALTICO</v>
          </cell>
        </row>
        <row r="268">
          <cell r="B268" t="str">
            <v>CONCRETO CICLOPEO DE 2500 PSI</v>
          </cell>
        </row>
        <row r="269">
          <cell r="B269" t="str">
            <v>CONCRETO DE 2500 PSI</v>
          </cell>
        </row>
        <row r="270">
          <cell r="B270" t="str">
            <v>Concreto de 2500 PSI a todo costo</v>
          </cell>
        </row>
        <row r="271">
          <cell r="B271" t="str">
            <v>CONCRETO DE 3000 PSI</v>
          </cell>
        </row>
        <row r="272">
          <cell r="B272" t="str">
            <v>Concreto de 4000 PSI impermeabilizado a todo costo (276 KG/CM2), con formaleta</v>
          </cell>
        </row>
        <row r="273">
          <cell r="B273" t="str">
            <v>Concreto impermeab. 3000 PSI para placa entrepiso, elab. en obra, elevaciones h &lt; 3.0 m (inc. formaleta ¼ usos y colocación)</v>
          </cell>
        </row>
        <row r="274">
          <cell r="B274" t="str">
            <v>Concreto impermeab. 3500 PSI para placa piso. elab. en obra (inc. formaleta 1/4 usos y colocación)</v>
          </cell>
        </row>
        <row r="275">
          <cell r="B275" t="str">
            <v>Concreto impermeabilizado 2500 PSI</v>
          </cell>
        </row>
        <row r="276">
          <cell r="B276" t="str">
            <v>Concreto para solado de 2000 PSI a todo costo</v>
          </cell>
        </row>
        <row r="277">
          <cell r="B277" t="str">
            <v>Concreto para solados de 2000 PSI</v>
          </cell>
        </row>
        <row r="278">
          <cell r="B278" t="str">
            <v xml:space="preserve">Concreto para solados de 2000 PSI a todo costo y formaleta </v>
          </cell>
        </row>
        <row r="279">
          <cell r="B279" t="str">
            <v>Concreto reforzado de 2500 psi, para andenes, espesor 0,1m</v>
          </cell>
        </row>
        <row r="280">
          <cell r="B280" t="str">
            <v>Concreto simple 2500 PSI</v>
          </cell>
        </row>
        <row r="281">
          <cell r="B281" t="str">
            <v>CONCRETO SIMPLE 3000 PSI</v>
          </cell>
        </row>
        <row r="282">
          <cell r="B282" t="str">
            <v>Concreto simple 3500 PSI</v>
          </cell>
        </row>
        <row r="283">
          <cell r="B283" t="str">
            <v>Concreto simple 4000 PSI</v>
          </cell>
        </row>
        <row r="284">
          <cell r="B284" t="str">
            <v>Conductimetro digital </v>
          </cell>
        </row>
        <row r="285">
          <cell r="B285" t="str">
            <v>Conductor ACSR 2 No. 4 AWG</v>
          </cell>
        </row>
        <row r="286">
          <cell r="B286" t="str">
            <v>correas metalicas</v>
          </cell>
        </row>
        <row r="287">
          <cell r="B287" t="str">
            <v>CORTE ACERO DE REFUERZO</v>
          </cell>
        </row>
        <row r="288">
          <cell r="B288" t="str">
            <v>Costal de fibra</v>
          </cell>
        </row>
        <row r="289">
          <cell r="B289" t="str">
            <v>Cruceta HD – Presión Trabajo 250 PSI extremos lisos para PVC/AC 2x2”</v>
          </cell>
        </row>
        <row r="290">
          <cell r="B290" t="str">
            <v>Cruceta HD – Presión Trabajo 250 PSI extremos lisos para PVC/AC 3x2”</v>
          </cell>
        </row>
        <row r="291">
          <cell r="B291" t="str">
            <v>Cruceta HD – Presión Trabajo 250 PSI extremos lisos para PVC/AC 3x3”</v>
          </cell>
        </row>
        <row r="292">
          <cell r="B292" t="str">
            <v>Cruceta HD – Presión Trabajo 250 PSI extremos lisos para PVC/AC 4x4”</v>
          </cell>
        </row>
        <row r="293">
          <cell r="B293" t="str">
            <v>Cuarton 0.05mx0.05mx3m</v>
          </cell>
        </row>
        <row r="294">
          <cell r="B294" t="str">
            <v>CUARTON 0.05x0.05x3 m</v>
          </cell>
        </row>
        <row r="295">
          <cell r="B295" t="str">
            <v>Desmonte y limpieza</v>
          </cell>
        </row>
        <row r="296">
          <cell r="B296" t="str">
            <v>Dosificador de Cal (1-25Kg/h)</v>
          </cell>
        </row>
        <row r="297">
          <cell r="B297" t="str">
            <v>DOSIFICADOR DE CLORO 15.55KG/DIA</v>
          </cell>
        </row>
        <row r="298">
          <cell r="B298" t="str">
            <v>DOSIFICADOR GRAVIM.SULFATO 1-25K/H</v>
          </cell>
        </row>
        <row r="299">
          <cell r="B299" t="str">
            <v>Electrobomba sumergible 1 hp Descarga 3"</v>
          </cell>
        </row>
        <row r="300">
          <cell r="B300" t="str">
            <v>Equipo para ensayo de jarras (4 jarras)</v>
          </cell>
        </row>
        <row r="301">
          <cell r="B301" t="str">
            <v>ESCALERA GATO ANG.2+1/2"x1/4",PASO.TUB.3/4"</v>
          </cell>
        </row>
        <row r="302">
          <cell r="B302" t="str">
            <v>Escaleta tipo gato en hierro liso  1"</v>
          </cell>
        </row>
        <row r="303">
          <cell r="B303" t="str">
            <v>Escaleta tipo gato en hierro liso  3/4"</v>
          </cell>
        </row>
        <row r="304">
          <cell r="B304" t="str">
            <v>Esmalte</v>
          </cell>
        </row>
        <row r="305">
          <cell r="B305" t="str">
            <v>Estopa</v>
          </cell>
        </row>
        <row r="306">
          <cell r="B306" t="str">
            <v>ESTRUCTURA DE SOPORTE DE TUBERIA Y VIENTOS EN ANGULO DE 1" X 3/16" DE L=0,40 M. Y PLATINA DE 1" X 3/16" Y DOS TORNILLOS DE 1/2" GRADO 5, NEOPRENO.</v>
          </cell>
        </row>
        <row r="307">
          <cell r="B307" t="str">
            <v>ESTRUCTURA DE SOPORTE DE TUBERIA Y VIENTOS EN PLATINA DE 1" X 3/16" Y DOS TORNILLOS DE 1/2" GRADO 5, NEOPRENO.</v>
          </cell>
        </row>
        <row r="308">
          <cell r="B308" t="str">
            <v>Estructura retención 211</v>
          </cell>
        </row>
        <row r="309">
          <cell r="B309" t="str">
            <v>Estructura tipo 5 sencilla LA202</v>
          </cell>
        </row>
        <row r="310">
          <cell r="B310" t="str">
            <v>Estructura tipo 731 con pararrayos</v>
          </cell>
        </row>
        <row r="311">
          <cell r="B311" t="str">
            <v>ESTUCOR ESTUCO PLASTICO</v>
          </cell>
        </row>
        <row r="312">
          <cell r="B312" t="str">
            <v>Excavación a todo costo en conglomerado manual</v>
          </cell>
        </row>
        <row r="313">
          <cell r="B313" t="str">
            <v>Excavación a todo factor manual</v>
          </cell>
        </row>
        <row r="314">
          <cell r="B314" t="str">
            <v>Excavación manual a todo factor</v>
          </cell>
        </row>
        <row r="315">
          <cell r="B315" t="str">
            <v>Excavación y relleno con material de excavación y una capa de arena de 20 cms, incluye retiro de sobrantes para circuito subterráneo</v>
          </cell>
        </row>
        <row r="316">
          <cell r="B316" t="str">
            <v>EXPLOSIVO (Incluye estopin y cordon detonante)</v>
          </cell>
        </row>
        <row r="317">
          <cell r="B317" t="str">
            <v xml:space="preserve">FIGURACICÓN ACERO DE REFUERZO </v>
          </cell>
        </row>
        <row r="318">
          <cell r="B318" t="str">
            <v>FILTRO PARA RED DE ACUEDUCTO TIPO Y 3" EXT. BRIDADOS</v>
          </cell>
        </row>
        <row r="319">
          <cell r="B319" t="str">
            <v>FLOTADOR DE 1"</v>
          </cell>
        </row>
        <row r="320">
          <cell r="B320" t="str">
            <v>FLOTADOR DE 2"</v>
          </cell>
        </row>
        <row r="321">
          <cell r="B321" t="str">
            <v>FLOTADOR DE 3"</v>
          </cell>
        </row>
        <row r="322">
          <cell r="B322" t="str">
            <v>FLOTADOR DE 3/4"</v>
          </cell>
        </row>
        <row r="323">
          <cell r="B323" t="str">
            <v>FORMALETA EN MADERA</v>
          </cell>
        </row>
        <row r="324">
          <cell r="B324" t="str">
            <v>FORMALETA EN MADERA PARA ESTRUCTURAS</v>
          </cell>
        </row>
        <row r="325">
          <cell r="B325" t="str">
            <v>FORMALETA METÁLICA PARA POZO</v>
          </cell>
        </row>
        <row r="326">
          <cell r="B326" t="str">
            <v>gancho para teja</v>
          </cell>
        </row>
        <row r="327">
          <cell r="B327" t="str">
            <v>Ganchos de fijación</v>
          </cell>
        </row>
        <row r="328">
          <cell r="B328" t="str">
            <v>Gasolina</v>
          </cell>
        </row>
        <row r="329">
          <cell r="B329" t="str">
            <v xml:space="preserve">geomembrana HDPE 0.75mm cal 30 mil  </v>
          </cell>
        </row>
        <row r="330">
          <cell r="B330" t="str">
            <v>GEOTEXTIL NO TEJIDO GT 140 DE 1800</v>
          </cell>
        </row>
        <row r="331">
          <cell r="B331" t="str">
            <v>GEOTEXTIL NT-2500</v>
          </cell>
        </row>
        <row r="332">
          <cell r="B332" t="str">
            <v>Grava No 4 Triturada 1-1/2" a 3/4"</v>
          </cell>
        </row>
        <row r="333">
          <cell r="B333" t="str">
            <v>Grava No 5 Triturada 1" a 1/2"</v>
          </cell>
        </row>
        <row r="334">
          <cell r="B334" t="str">
            <v>Grava No 6 Triturada 3/4" a 3/8"</v>
          </cell>
        </row>
        <row r="335">
          <cell r="B335" t="str">
            <v>Grava No 7 Triturada 1/2" a 1/4"</v>
          </cell>
        </row>
        <row r="336">
          <cell r="B336" t="str">
            <v>Grava No 8 Triturada 3/4" a 1/4"</v>
          </cell>
        </row>
        <row r="337">
          <cell r="B337" t="str">
            <v>Grava No 9 Triturada 1/2" a 1/8"</v>
          </cell>
        </row>
        <row r="338">
          <cell r="B338" t="str">
            <v>Gravilla</v>
          </cell>
        </row>
        <row r="339">
          <cell r="B339" t="str">
            <v>Gravilla 1/2"</v>
          </cell>
        </row>
        <row r="340">
          <cell r="B340" t="str">
            <v>GRAVILLA FILTRO SELEC. 1/2" - 3/4"</v>
          </cell>
        </row>
        <row r="341">
          <cell r="B341" t="str">
            <v>GRAVILLA FILTRO SELEC. TAMIZ 10 - 12  (2.00mm)</v>
          </cell>
        </row>
        <row r="342">
          <cell r="B342" t="str">
            <v>Griferia ducha</v>
          </cell>
        </row>
        <row r="343">
          <cell r="B343" t="str">
            <v xml:space="preserve">GUADUA </v>
          </cell>
        </row>
        <row r="344">
          <cell r="B344" t="str">
            <v>Guarda escoba en tableta tipo gres</v>
          </cell>
        </row>
        <row r="345">
          <cell r="B345" t="str">
            <v>Guia Vastago Compuerta</v>
          </cell>
        </row>
        <row r="346">
          <cell r="B346" t="str">
            <v>HIDRANTE T.HUMED. CHICAG(MILAN) EXT.LISO/ JR. 3``</v>
          </cell>
        </row>
        <row r="347">
          <cell r="B347" t="str">
            <v>Hierro A-40 liso 1"</v>
          </cell>
        </row>
        <row r="348">
          <cell r="B348" t="str">
            <v>Hoja segueta</v>
          </cell>
        </row>
        <row r="349">
          <cell r="B349" t="str">
            <v>IMPERMEABILIZANTE PALSTOCRETE DM</v>
          </cell>
        </row>
        <row r="350">
          <cell r="B350" t="str">
            <v>Impermeabilizante Plastocrete DM</v>
          </cell>
        </row>
        <row r="351">
          <cell r="B351" t="str">
            <v>IMPRIMANTE</v>
          </cell>
        </row>
        <row r="352">
          <cell r="B352" t="str">
            <v>Juego de incrustaciones</v>
          </cell>
        </row>
        <row r="353">
          <cell r="B353" t="str">
            <v>Juego de probetas para laboratorio, incluye pipeteador</v>
          </cell>
        </row>
        <row r="354">
          <cell r="B354" t="str">
            <v>KIT DE NIVELACIÓN HIDRANTE MILÁN 3" L=300 mm</v>
          </cell>
        </row>
        <row r="355">
          <cell r="B355" t="str">
            <v>KIT SILLA TEE ALCANT. (NOVAFORT) 200X110 8X4``</v>
          </cell>
        </row>
        <row r="356">
          <cell r="B356" t="str">
            <v>KIT SILLA TEE ALCANT. (NOVAFORT) 200X160 8X6``</v>
          </cell>
        </row>
        <row r="357">
          <cell r="B357" t="str">
            <v>KIT SILLA TEE ALCANT. (NOVAFORT) 250X110 10X4``</v>
          </cell>
        </row>
        <row r="358">
          <cell r="B358" t="str">
            <v>KIT SILLA TEE ALCANT. (NOVAFORT) 250X160 10X6``</v>
          </cell>
        </row>
        <row r="359">
          <cell r="B359" t="str">
            <v>KIT SILLA TEE ALCANT. (NOVAFORT) 315X110 12X4``</v>
          </cell>
        </row>
        <row r="360">
          <cell r="B360" t="str">
            <v>KIT SILLA TEE ALCANT. (NOVAFORT) 315X160 12X6``</v>
          </cell>
        </row>
        <row r="361">
          <cell r="B361" t="str">
            <v>KIT SILLA YEE ALCANT (NOVAFORT) 450X160mm 18x6"</v>
          </cell>
        </row>
        <row r="362">
          <cell r="B362" t="str">
            <v>KIT SILLA YEE ALCANT (NOVAFORT) 500X160mm 20x6"</v>
          </cell>
        </row>
        <row r="363">
          <cell r="B363" t="str">
            <v>KIT SILLA YEE ALCANT. (NOVAFORT) 200X110 8X4``</v>
          </cell>
        </row>
        <row r="364">
          <cell r="B364" t="str">
            <v>KIT SILLA YEE ALCANT. (NOVAFORT) 200X160 8X6``</v>
          </cell>
        </row>
        <row r="365">
          <cell r="B365" t="str">
            <v>KIT SILLA YEE ALCANT. (NOVAFORT) 250X110 10X4``</v>
          </cell>
        </row>
        <row r="366">
          <cell r="B366" t="str">
            <v>KIT SILLA YEE ALCANT. (NOVAFORT) 250X160 10X6``</v>
          </cell>
        </row>
        <row r="367">
          <cell r="B367" t="str">
            <v>KIT SILLA YEE ALCANT. (NOVAFORT) 315X110 12X4``</v>
          </cell>
        </row>
        <row r="368">
          <cell r="B368" t="str">
            <v>KIT SILLA YEE ALCANT. (NOVAFORT) 315X160 12X6``</v>
          </cell>
        </row>
        <row r="369">
          <cell r="B369" t="str">
            <v>KIT SILLA YEE ALCANT. (NOVAFORT) 380X160 14X6``</v>
          </cell>
        </row>
        <row r="370">
          <cell r="B370" t="str">
            <v>KIT SILLA YEE ALCANT. (NOVAFORT) 410X160 16X6``</v>
          </cell>
        </row>
        <row r="371">
          <cell r="B371" t="str">
            <v>LADRILLO No. 40X20X15</v>
          </cell>
        </row>
        <row r="372">
          <cell r="B372" t="str">
            <v>Ladrillo Tolete</v>
          </cell>
        </row>
        <row r="373">
          <cell r="B373" t="str">
            <v>Lámina compuerta PRFV</v>
          </cell>
        </row>
        <row r="374">
          <cell r="B374" t="str">
            <v>Lámina de alfajor 1.5" X 1/8"</v>
          </cell>
        </row>
        <row r="375">
          <cell r="B375" t="str">
            <v>Lámina en acrílico para vertedero sutro</v>
          </cell>
        </row>
        <row r="376">
          <cell r="B376" t="str">
            <v>Lámina galvanizada calibre 16 1.22x2.44</v>
          </cell>
        </row>
        <row r="377">
          <cell r="B377" t="str">
            <v>Lámina Metálica</v>
          </cell>
        </row>
        <row r="378">
          <cell r="B378" t="str">
            <v>Lavamanos (incluye griferia)</v>
          </cell>
        </row>
        <row r="379">
          <cell r="B379" t="str">
            <v>Lavaplatos en acero inoxidable (incluye griferia)</v>
          </cell>
        </row>
        <row r="380">
          <cell r="B380" t="str">
            <v>LIMPIADOR PARA PVC (1/4 o 760 grms)</v>
          </cell>
        </row>
        <row r="381">
          <cell r="B381" t="str">
            <v>LUBRICANTE PARA PVC</v>
          </cell>
        </row>
        <row r="382">
          <cell r="B382" t="str">
            <v>Lubricante PVC x 500gr</v>
          </cell>
        </row>
        <row r="383">
          <cell r="B383" t="str">
            <v>Luminaria de sodio 70W, 220V</v>
          </cell>
        </row>
        <row r="384">
          <cell r="B384" t="str">
            <v>MACROMEDIDOR TIPO WOLTMAN PN16 DN100  (4``)</v>
          </cell>
        </row>
        <row r="385">
          <cell r="B385" t="str">
            <v>MACROMEDIDOR TIPO WOLTMAN PN16 DN150  (6``)</v>
          </cell>
        </row>
        <row r="386">
          <cell r="B386" t="str">
            <v>MACROMEDIDOR TIPO WOLTMAN PN16 DN200  (8``)</v>
          </cell>
        </row>
        <row r="387">
          <cell r="B387" t="str">
            <v>MACROMEDIDOR TIPO WOLTMAN PN16 DN250  (10``)</v>
          </cell>
        </row>
        <row r="388">
          <cell r="B388" t="str">
            <v>Macromedidor ultrasónico</v>
          </cell>
        </row>
        <row r="389">
          <cell r="B389" t="str">
            <v xml:space="preserve">MADERA ROLLIZA </v>
          </cell>
        </row>
        <row r="390">
          <cell r="B390" t="str">
            <v>Madera Rolliza (d=0,15m)</v>
          </cell>
        </row>
        <row r="391">
          <cell r="B391" t="str">
            <v>Malla electrosoldada Q1</v>
          </cell>
        </row>
        <row r="392">
          <cell r="B392" t="str">
            <v>Malla electrosoldada R4</v>
          </cell>
        </row>
        <row r="393">
          <cell r="B393" t="str">
            <v>Malla eslabonada 2"*2"* 2,5m</v>
          </cell>
        </row>
        <row r="394">
          <cell r="B394" t="str">
            <v>Malla eslabonada galvanizada 2"*2"</v>
          </cell>
        </row>
        <row r="395">
          <cell r="B395" t="str">
            <v>MALLA GAVION 2x1x1m TRIPLE TORSION CAL.12</v>
          </cell>
        </row>
        <row r="396">
          <cell r="B396" t="str">
            <v>Manguera de lavado Ø 1 3/4", incluye acoples</v>
          </cell>
        </row>
        <row r="397">
          <cell r="B397" t="str">
            <v>MANGUERA PEAD AQUAFLEX 1/2"</v>
          </cell>
        </row>
        <row r="398">
          <cell r="B398" t="str">
            <v>Manometro Inoxidable de 0-3000 PSI</v>
          </cell>
        </row>
        <row r="399">
          <cell r="B399" t="str">
            <v>MANÓMETRO ROSCADO 1/2"</v>
          </cell>
        </row>
        <row r="400">
          <cell r="B400" t="str">
            <v>mascara proteccion quimicos</v>
          </cell>
        </row>
        <row r="401">
          <cell r="B401" t="str">
            <v>Material de rio tamaño maximo 2"</v>
          </cell>
        </row>
        <row r="402">
          <cell r="B402" t="str">
            <v>Material para subbase granular IP&lt;6%</v>
          </cell>
        </row>
        <row r="403">
          <cell r="B403" t="str">
            <v>Mechero D/Alcohol D/Mecha y portamecha</v>
          </cell>
        </row>
        <row r="404">
          <cell r="B404" t="str">
            <v>Medidor de cloro libre y total Clorimetro, 0.00 a 3.50 ppm (mg/L)</v>
          </cell>
        </row>
        <row r="405">
          <cell r="B405" t="str">
            <v>MEDIDOR VEL.CHORRO.UNICO CLAS.B 1/2``</v>
          </cell>
        </row>
        <row r="406">
          <cell r="B406" t="str">
            <v>Mezcla asfáltica tipo MDC II</v>
          </cell>
        </row>
        <row r="407">
          <cell r="B407" t="str">
            <v>MICROMEDIDOR DE VELOCIDAD DE 1/2"</v>
          </cell>
        </row>
        <row r="408">
          <cell r="B408" t="str">
            <v>MICROMEDIDOR DE VELOCIDAD DE 3/4"</v>
          </cell>
        </row>
        <row r="409">
          <cell r="B409" t="str">
            <v>MODULOS EN MALLA ESLABON/T. GALV 2"(L), TAPAS,&lt;,PL</v>
          </cell>
        </row>
        <row r="410">
          <cell r="B410" t="str">
            <v>Módulos en malla eslabonada Galv. 2"(L) Tapas</v>
          </cell>
        </row>
        <row r="411">
          <cell r="B411" t="str">
            <v>MORTERO 1:3</v>
          </cell>
        </row>
        <row r="412">
          <cell r="B412" t="str">
            <v>MORTERO 1:4</v>
          </cell>
        </row>
        <row r="413">
          <cell r="B413" t="str">
            <v>Mortero 1:5 para pega</v>
          </cell>
        </row>
        <row r="414">
          <cell r="B414" t="str">
            <v xml:space="preserve">Motobomba de 1 HP </v>
          </cell>
        </row>
        <row r="415">
          <cell r="B415" t="str">
            <v>Motobomba de turbina vertical, 10JC con motor de 1760 RPM, impulsor tipo A No. 3094 Succ. 6". Desc. 8" (American-Marsh Pumps o Equivalente)</v>
          </cell>
        </row>
        <row r="416">
          <cell r="B416" t="str">
            <v>MURO LADRILLO PRENSADO A LA VISTA  T. S/FE 0.12</v>
          </cell>
        </row>
        <row r="417">
          <cell r="B417" t="str">
            <v>MURO LADRILLO PRENSADO A LA VISTA DOBLE</v>
          </cell>
        </row>
        <row r="418">
          <cell r="B418" t="str">
            <v>Nevera 6 pies</v>
          </cell>
        </row>
        <row r="419">
          <cell r="B419" t="str">
            <v>Niple HD ∅10'' BxB L = 0,36 m</v>
          </cell>
        </row>
        <row r="420">
          <cell r="B420" t="str">
            <v>Niple HD ∅10'' BxB L = 1,2 m</v>
          </cell>
        </row>
        <row r="421">
          <cell r="B421" t="str">
            <v>Niple HD ∅10'' BxB L = 1,45 m</v>
          </cell>
        </row>
        <row r="422">
          <cell r="B422" t="str">
            <v>Niple HD ∅10'' BxB L = 1,78 m</v>
          </cell>
        </row>
        <row r="423">
          <cell r="B423" t="str">
            <v>Niple HD ∅10'' BxB L = 2,17 m</v>
          </cell>
        </row>
        <row r="424">
          <cell r="B424" t="str">
            <v>Niple HD ∅10'' BxB L = 2.08 m</v>
          </cell>
        </row>
        <row r="425">
          <cell r="B425" t="str">
            <v>Niple HD ∅10'' BxB L = 3 m</v>
          </cell>
        </row>
        <row r="426">
          <cell r="B426" t="str">
            <v>Niple HD ∅10'' BxB L = 3.28 m</v>
          </cell>
        </row>
        <row r="427">
          <cell r="B427" t="str">
            <v>Niple HD ∅10'' BxB L = 4,32 m</v>
          </cell>
        </row>
        <row r="428">
          <cell r="B428" t="str">
            <v>Niple HD ∅10'' BxB L = 4.43 m</v>
          </cell>
        </row>
        <row r="429">
          <cell r="B429" t="str">
            <v>Niple HD ∅10'' BxE L = 0.2 m</v>
          </cell>
        </row>
        <row r="430">
          <cell r="B430" t="str">
            <v>Niple HD ∅10'' BxE L = 1.63 m</v>
          </cell>
        </row>
        <row r="431">
          <cell r="B431" t="str">
            <v>Niple HD ∅10'' BxE L = 1.74 m</v>
          </cell>
        </row>
        <row r="432">
          <cell r="B432" t="str">
            <v>Niple HD ∅10'' BxE L = 2,3 m</v>
          </cell>
        </row>
        <row r="433">
          <cell r="B433" t="str">
            <v>Niple HD ∅10'' BxE L = 3.28 m</v>
          </cell>
        </row>
        <row r="434">
          <cell r="B434" t="str">
            <v>Niple HD ∅10'' ExE L = 3.4 m</v>
          </cell>
        </row>
        <row r="435">
          <cell r="B435" t="str">
            <v>Niple HD ∅12'' BxB L = 0.3 m</v>
          </cell>
        </row>
        <row r="436">
          <cell r="B436" t="str">
            <v>Niple HD ∅12'' BxB L = 0.35 m</v>
          </cell>
        </row>
        <row r="437">
          <cell r="B437" t="str">
            <v>Niple HD ∅12'' BxB L = 1,42 m</v>
          </cell>
        </row>
        <row r="438">
          <cell r="B438" t="str">
            <v>Niple HD ∅12'' BxB L = 1,5 m</v>
          </cell>
        </row>
        <row r="439">
          <cell r="B439" t="str">
            <v>Niple HD ∅12'' BxB L = 1.5 m</v>
          </cell>
        </row>
        <row r="440">
          <cell r="B440" t="str">
            <v>Niple HD ∅12'' BxB L = 4,23 m</v>
          </cell>
        </row>
        <row r="441">
          <cell r="B441" t="str">
            <v>Niple HD ∅12'' BxE L = 0,4 m</v>
          </cell>
        </row>
        <row r="442">
          <cell r="B442" t="str">
            <v>Niple HD ∅16'' BxE L = 0.53 m</v>
          </cell>
        </row>
        <row r="443">
          <cell r="B443" t="str">
            <v>Niple HD ∅16'' BxE L = 1.77 m</v>
          </cell>
        </row>
        <row r="444">
          <cell r="B444" t="str">
            <v>Niple HD ∅16'' ExE L = 1.0 m</v>
          </cell>
        </row>
        <row r="445">
          <cell r="B445" t="str">
            <v>Niple HD ∅16'' ExE L = 2.9 m</v>
          </cell>
        </row>
        <row r="446">
          <cell r="B446" t="str">
            <v>Niple HD ∅2'' BxE L = 1,7 m</v>
          </cell>
        </row>
        <row r="447">
          <cell r="B447" t="str">
            <v>Niple HD ∅3'' BxE L = 1 m</v>
          </cell>
        </row>
        <row r="448">
          <cell r="B448" t="str">
            <v>Niple HD ∅4'' BxB L = 0,2 m</v>
          </cell>
        </row>
        <row r="449">
          <cell r="B449" t="str">
            <v>Niple HD ∅4'' BxB L = 0,38 m</v>
          </cell>
        </row>
        <row r="450">
          <cell r="B450" t="str">
            <v>Niple HD ∅4'' BxB L = 0,5 m</v>
          </cell>
        </row>
        <row r="451">
          <cell r="B451" t="str">
            <v>Niple HD ∅4'' BxE L = 0,28 m</v>
          </cell>
        </row>
        <row r="452">
          <cell r="B452" t="str">
            <v>Niple HD ∅4'' BxE L = 0,35 m</v>
          </cell>
        </row>
        <row r="453">
          <cell r="B453" t="str">
            <v>Niple HD ∅4'' BxE L = 0,38 m</v>
          </cell>
        </row>
        <row r="454">
          <cell r="B454" t="str">
            <v>Niple HD ∅4'' BxE L = 0,4 m</v>
          </cell>
        </row>
        <row r="455">
          <cell r="B455" t="str">
            <v>Niple HD ∅4'' BxE L = 0,65 m</v>
          </cell>
        </row>
        <row r="456">
          <cell r="B456" t="str">
            <v>Niple HD ∅4'' BxE L = 1,35 m</v>
          </cell>
        </row>
        <row r="457">
          <cell r="B457" t="str">
            <v>Niple HD ∅6'' BxB L = 0,15 m</v>
          </cell>
        </row>
        <row r="458">
          <cell r="B458" t="str">
            <v>Niple HD ∅6'' BxB L = 0,42 m</v>
          </cell>
        </row>
        <row r="459">
          <cell r="B459" t="str">
            <v>Niple HD ∅6'' BxB L = 0,45 m</v>
          </cell>
        </row>
        <row r="460">
          <cell r="B460" t="str">
            <v>Niple HD ∅6'' BxB L = 1,88 m</v>
          </cell>
        </row>
        <row r="461">
          <cell r="B461" t="str">
            <v>Niple HD ∅6'' BxB L = 1.92 m</v>
          </cell>
        </row>
        <row r="462">
          <cell r="B462" t="str">
            <v>Niple HD ∅6'' BxB L = 2,07 m</v>
          </cell>
        </row>
        <row r="463">
          <cell r="B463" t="str">
            <v>Niple HD ∅6'' BxB L = 2.6 m</v>
          </cell>
        </row>
        <row r="464">
          <cell r="B464" t="str">
            <v>Niple HD ∅6'' BxE L = 0,28 m</v>
          </cell>
        </row>
        <row r="465">
          <cell r="B465" t="str">
            <v>Niple HD ∅6'' BxE L = 1,2 m</v>
          </cell>
        </row>
        <row r="466">
          <cell r="B466" t="str">
            <v>Niple HD ∅6'' BxE L = 1.92 m</v>
          </cell>
        </row>
        <row r="467">
          <cell r="B467" t="str">
            <v>Niple HD ∅6'' BxE L = 2.7 m</v>
          </cell>
        </row>
        <row r="468">
          <cell r="B468" t="str">
            <v>Niple HD ∅6'' BxE L = 3.71 m</v>
          </cell>
        </row>
        <row r="469">
          <cell r="B469" t="str">
            <v>Niple HD ∅8'' BxB L = 0,78 m</v>
          </cell>
        </row>
        <row r="470">
          <cell r="B470" t="str">
            <v>Niple HD ∅8'' BxE L = 0,27 m</v>
          </cell>
        </row>
        <row r="471">
          <cell r="B471" t="str">
            <v>Niple HD Ø 10"-BxB; L=0,36m</v>
          </cell>
        </row>
        <row r="472">
          <cell r="B472" t="str">
            <v>Niple HD Ø 10"-BxB; L=0,44m</v>
          </cell>
        </row>
        <row r="473">
          <cell r="B473" t="str">
            <v>Niple HD Ø 10"-BxB; L=0,50m</v>
          </cell>
        </row>
        <row r="474">
          <cell r="B474" t="str">
            <v>Niple HD Ø 10"-BxB; L=0,89m</v>
          </cell>
        </row>
        <row r="475">
          <cell r="B475" t="str">
            <v>Niple HD Ø 10"-BxB; L=1,10m</v>
          </cell>
        </row>
        <row r="476">
          <cell r="B476" t="str">
            <v>Niple HD Ø 10"-BxB; L=1,22m</v>
          </cell>
        </row>
        <row r="477">
          <cell r="B477" t="str">
            <v>Niple HD Ø 10"-BxB; L=1,30m</v>
          </cell>
        </row>
        <row r="478">
          <cell r="B478" t="str">
            <v>Niple HD Ø 10"-BxB; L=1,42m</v>
          </cell>
        </row>
        <row r="479">
          <cell r="B479" t="str">
            <v>Niple HD Ø 10"-BxB; L=1,45m</v>
          </cell>
        </row>
        <row r="480">
          <cell r="B480" t="str">
            <v>Niple HD Ø 10"-BxB; L=1,50m</v>
          </cell>
        </row>
        <row r="481">
          <cell r="B481" t="str">
            <v>Niple HD Ø 10"-BxB; L=1,50m</v>
          </cell>
        </row>
        <row r="482">
          <cell r="B482" t="str">
            <v>Niple HD Ø 10"-BxB; L=1,74m</v>
          </cell>
        </row>
        <row r="483">
          <cell r="B483" t="str">
            <v>Niple HD Ø 10"-BxB; L=2,03m</v>
          </cell>
        </row>
        <row r="484">
          <cell r="B484" t="str">
            <v>Niple HD Ø 10"-BxB; L=2,76m</v>
          </cell>
        </row>
        <row r="485">
          <cell r="B485" t="str">
            <v>Niple HD Ø 10"-BxB; L=3,10m</v>
          </cell>
        </row>
        <row r="486">
          <cell r="B486" t="str">
            <v>Niple HD Ø 10"-BxB; L=3,35m</v>
          </cell>
        </row>
        <row r="487">
          <cell r="B487" t="str">
            <v>Niple HD Ø 10"-BxB; L=4,32m</v>
          </cell>
        </row>
        <row r="488">
          <cell r="B488" t="str">
            <v>Niple HD Ø 10"-BxB; L=5,90m</v>
          </cell>
        </row>
        <row r="489">
          <cell r="B489" t="str">
            <v>Niple HD Ø 12"-BxB; L=0,15m</v>
          </cell>
        </row>
        <row r="490">
          <cell r="B490" t="str">
            <v>Niple HD Ø 12"-BxB; L=0,80m</v>
          </cell>
        </row>
        <row r="491">
          <cell r="B491" t="str">
            <v>Niple HD Ø 12"-BxB; L=1,75m</v>
          </cell>
        </row>
        <row r="492">
          <cell r="B492" t="str">
            <v>Niple HD Ø 12"-BxB; L=2m</v>
          </cell>
        </row>
        <row r="493">
          <cell r="B493" t="str">
            <v>Niple HD ø 2" BxB L=0.27 m</v>
          </cell>
        </row>
        <row r="494">
          <cell r="B494" t="str">
            <v>Niple HD Ø 3" - B x B; L= 300mm</v>
          </cell>
        </row>
        <row r="495">
          <cell r="B495" t="str">
            <v>Niple HD Ø 3" - B x B; L= 400mm</v>
          </cell>
        </row>
        <row r="496">
          <cell r="B496" t="str">
            <v>Niple HD Ø 3"-BxB; L=0,17m</v>
          </cell>
        </row>
        <row r="497">
          <cell r="B497" t="str">
            <v>Niple HD Ø 3"-BxB; L=0,25m</v>
          </cell>
        </row>
        <row r="498">
          <cell r="B498" t="str">
            <v>Niple HD Ø 3"-BxB; L=0,30m</v>
          </cell>
        </row>
        <row r="499">
          <cell r="B499" t="str">
            <v>Niple HD Ø 3"-BxB; L=0,35m</v>
          </cell>
        </row>
        <row r="500">
          <cell r="B500" t="str">
            <v>Niple HD Ø 3"-BxB; L=0,40m</v>
          </cell>
        </row>
        <row r="501">
          <cell r="B501" t="str">
            <v>Niple HD Ø 3"-BxB; L=0,60m</v>
          </cell>
        </row>
        <row r="502">
          <cell r="B502" t="str">
            <v>Niple HD Ø 4"-BxB; L=0,17m</v>
          </cell>
        </row>
        <row r="503">
          <cell r="B503" t="str">
            <v>Niple HD Ø 4"-BxB; L=0,25m</v>
          </cell>
        </row>
        <row r="504">
          <cell r="B504" t="str">
            <v>Niple HD Ø 4"-BxB; L=0,65m</v>
          </cell>
        </row>
        <row r="505">
          <cell r="B505" t="str">
            <v>Niple HD Ø 4"-BxB; L=1,35m</v>
          </cell>
        </row>
        <row r="506">
          <cell r="B506" t="str">
            <v>Niple HD Ø 6"-BxB; L=0,28m</v>
          </cell>
        </row>
        <row r="507">
          <cell r="B507" t="str">
            <v>Niple HD Ø 6"-BxB; L=2,11m</v>
          </cell>
        </row>
        <row r="508">
          <cell r="B508" t="str">
            <v>Niple HD Ø 8"-BxB; L=0,27m</v>
          </cell>
        </row>
        <row r="509">
          <cell r="B509" t="str">
            <v>Niple HD Ø 8"-BxB; L=0,36m</v>
          </cell>
        </row>
        <row r="510">
          <cell r="B510" t="str">
            <v>Niple HD Ø 8"-BxB; L=0,39m</v>
          </cell>
        </row>
        <row r="511">
          <cell r="B511" t="str">
            <v>Niple HD Ø 8"-BxB; L=0,50m</v>
          </cell>
        </row>
        <row r="512">
          <cell r="B512" t="str">
            <v>Niple HD Ø 8"-BxB; L=0,52m</v>
          </cell>
        </row>
        <row r="513">
          <cell r="B513" t="str">
            <v>Niple HD Ø 8"-BxB; L=0,55m</v>
          </cell>
        </row>
        <row r="514">
          <cell r="B514" t="str">
            <v>Niple HD Ø 8"-BxB; L=0,57m</v>
          </cell>
        </row>
        <row r="515">
          <cell r="B515" t="str">
            <v>Niple HD Ø 8"-BxB; L=0,60m</v>
          </cell>
        </row>
        <row r="516">
          <cell r="B516" t="str">
            <v>Niple HD Ø 8"-BxB; L=0,70m</v>
          </cell>
        </row>
        <row r="517">
          <cell r="B517" t="str">
            <v>Niple HD Ø 8"-BxB; L=0,78m</v>
          </cell>
        </row>
        <row r="518">
          <cell r="B518" t="str">
            <v>Niple HD Ø 8"-BxB; L=0,80m</v>
          </cell>
        </row>
        <row r="519">
          <cell r="B519" t="str">
            <v>Niple HD Ø 8"-BxB; L=1,20m</v>
          </cell>
        </row>
        <row r="520">
          <cell r="B520" t="str">
            <v>Niple HD Ø 8"-BxB; L=1,35m</v>
          </cell>
        </row>
        <row r="521">
          <cell r="B521" t="str">
            <v>Niple HD Ø 8"-BxB; L=1,45m</v>
          </cell>
        </row>
        <row r="522">
          <cell r="B522" t="str">
            <v>Niple HD Ø 8"-BxB; L=1,54m</v>
          </cell>
        </row>
        <row r="523">
          <cell r="B523" t="str">
            <v>Niple HD Ø 8"-BxB; L=1,70m</v>
          </cell>
        </row>
        <row r="524">
          <cell r="B524" t="str">
            <v>Niple HD Ø 8"-BxB; L=1m</v>
          </cell>
        </row>
        <row r="525">
          <cell r="B525" t="str">
            <v>Niple HD Ø 8"-BxB; L=2,18m</v>
          </cell>
        </row>
        <row r="526">
          <cell r="B526" t="str">
            <v>Niple HD Ø 8"-BxB; L=4,32m</v>
          </cell>
        </row>
        <row r="527">
          <cell r="B527" t="str">
            <v>Niple pasamuro 10" HD BxB L=2,17m</v>
          </cell>
        </row>
        <row r="528">
          <cell r="B528" t="str">
            <v>Niple pasamuro 10" HD BxB L=3,35m</v>
          </cell>
        </row>
        <row r="529">
          <cell r="B529" t="str">
            <v>Niple pasamuro 3" HD BxB L=2,39m</v>
          </cell>
        </row>
        <row r="530">
          <cell r="B530" t="str">
            <v>Niple pasamuro 6" HD BxB L=0,71m Z=0,20m</v>
          </cell>
        </row>
        <row r="531">
          <cell r="B531" t="str">
            <v>Niple pasamuro 6" HD BxB L=1,55m</v>
          </cell>
        </row>
        <row r="532">
          <cell r="B532" t="str">
            <v>Niple pasamuro 6" HD BxB L=1,79m</v>
          </cell>
        </row>
        <row r="533">
          <cell r="B533" t="str">
            <v>Niple pasamuro 6" HD BxB L=2,15m</v>
          </cell>
        </row>
        <row r="534">
          <cell r="B534" t="str">
            <v>Niple pasamuro 6" HD BxB L=2,20m</v>
          </cell>
        </row>
        <row r="535">
          <cell r="B535" t="str">
            <v>Nivelación base Colchonetas Reno</v>
          </cell>
        </row>
        <row r="536">
          <cell r="B536" t="str">
            <v>PAÑETE EXTERIOR</v>
          </cell>
        </row>
        <row r="537">
          <cell r="B537" t="str">
            <v>PAÑETE IMPERMEABILIZADO</v>
          </cell>
        </row>
        <row r="538">
          <cell r="B538" t="str">
            <v>Pasamuro HD ∅10'' BxB L = 0,5 m z = 0 m</v>
          </cell>
        </row>
        <row r="539">
          <cell r="B539" t="str">
            <v>Pasamuro HD ∅10'' BxB L = 0,52 m z = 0,26 m</v>
          </cell>
        </row>
        <row r="540">
          <cell r="B540" t="str">
            <v>Pasamuro HD ∅10'' BxB L = 0.39 m z = 0.21 m</v>
          </cell>
        </row>
        <row r="541">
          <cell r="B541" t="str">
            <v>Pasamuro HD ∅10'' BxB L = 0.45 m z = 0.25 m</v>
          </cell>
        </row>
        <row r="542">
          <cell r="B542" t="str">
            <v>Pasamuro HD ∅10'' BxB L = 0.5 m z = 0.32 m</v>
          </cell>
        </row>
        <row r="543">
          <cell r="B543" t="str">
            <v>Pasamuro HD ∅10'' BxE L = 0,44 m z = 0,11 m</v>
          </cell>
        </row>
        <row r="544">
          <cell r="B544" t="str">
            <v>Pasamuro HD ∅10'' BxE L = 0.43 m z = 0.33 m</v>
          </cell>
        </row>
        <row r="545">
          <cell r="B545" t="str">
            <v>Pasamuro HD ∅10'' BxE L = 0.5 m z = 0.27 m</v>
          </cell>
        </row>
        <row r="546">
          <cell r="B546" t="str">
            <v>Pasamuro HD ∅10'' BxE L = 0.6 m z = 0.48 m</v>
          </cell>
        </row>
        <row r="547">
          <cell r="B547" t="str">
            <v>Pasamuro HD ∅10'' ExE L = 1.69 m z = 0.16 m</v>
          </cell>
        </row>
        <row r="548">
          <cell r="B548" t="str">
            <v>Pasamuro HD ∅12'' BxB L = 0.45 m z = 0.25 m</v>
          </cell>
        </row>
        <row r="549">
          <cell r="B549" t="str">
            <v>Pasamuro HD ∅12'' BxE L = 0,44 m z = 0,29 m</v>
          </cell>
        </row>
        <row r="550">
          <cell r="B550" t="str">
            <v>Pasamuro HD ∅12'' ExE L = 0.6 m z = 0.17 m</v>
          </cell>
        </row>
        <row r="551">
          <cell r="B551" t="str">
            <v>Pasamuro HD ∅16'' BxB L = 0.41 m z = 0.3 m</v>
          </cell>
        </row>
        <row r="552">
          <cell r="B552" t="str">
            <v>Pasamuro HD ∅16'' BxB L = 0.68 m z = 0.34 m</v>
          </cell>
        </row>
        <row r="553">
          <cell r="B553" t="str">
            <v>Pasamuro HD ∅16'' BxE L = 0.61 m z = 0.47 m</v>
          </cell>
        </row>
        <row r="554">
          <cell r="B554" t="str">
            <v>Pasamuro HD ∅16'' ExE L = 1.69 m z = 0.16 m</v>
          </cell>
        </row>
        <row r="555">
          <cell r="B555" t="str">
            <v>Pasamuro HD ∅2'' BxE L = 0,35 m z = 0,23 m</v>
          </cell>
        </row>
        <row r="556">
          <cell r="B556" t="str">
            <v>Pasamuro HD ∅2'' BxE L = 0.38 m z = 0.25 m</v>
          </cell>
        </row>
        <row r="557">
          <cell r="B557" t="str">
            <v>Pasamuro HD ∅4'' BxB L = 0,3 m z = 0,15 m</v>
          </cell>
        </row>
        <row r="558">
          <cell r="B558" t="str">
            <v>Pasamuro HD ∅4'' BxE L = 0,3 m z = 0,2 m</v>
          </cell>
        </row>
        <row r="559">
          <cell r="B559" t="str">
            <v>Pasamuro HD ∅4'' BxE L = 0,33 m z = 0,12 m</v>
          </cell>
        </row>
        <row r="560">
          <cell r="B560" t="str">
            <v>Pasamuro HD ∅4'' BxE L = 0,35 m z = 0,12 m</v>
          </cell>
        </row>
        <row r="561">
          <cell r="B561" t="str">
            <v>Pasamuro HD ∅4'' BxE L = 0,4 m z = 0,25 m</v>
          </cell>
        </row>
        <row r="562">
          <cell r="B562" t="str">
            <v>Pasamuro HD ∅4'' BxE L = 0,5 m z = 0,25 m</v>
          </cell>
        </row>
        <row r="563">
          <cell r="B563" t="str">
            <v>Pasamuro HD ∅4'' BxE L = 0,78 m z = 0,25 m</v>
          </cell>
        </row>
        <row r="564">
          <cell r="B564" t="str">
            <v>Pasamuro HD ∅4'' ExE L = 2,09 m z = 0,1 m</v>
          </cell>
        </row>
        <row r="565">
          <cell r="B565" t="str">
            <v>Pasamuro HD ∅6'' BxE L = 0,23 m z = 0,8 m</v>
          </cell>
        </row>
        <row r="566">
          <cell r="B566" t="str">
            <v>Pasamuro HD ∅6'' BxE L = 0.3 m z = 0.1 m</v>
          </cell>
        </row>
        <row r="567">
          <cell r="B567" t="str">
            <v>Pasamuro HD ∅6'' BxE L = 0.32 m z = 0.2 m</v>
          </cell>
        </row>
        <row r="568">
          <cell r="B568" t="str">
            <v>Pasamuro HD ∅6'' BxE L = 0.4 m z = 0.27 m</v>
          </cell>
        </row>
        <row r="569">
          <cell r="B569" t="str">
            <v>Pasamuro HD ∅6'' BxE L = 0.5 m z = 0.27 m</v>
          </cell>
        </row>
        <row r="570">
          <cell r="B570" t="str">
            <v>Pasamuro HD ∅8'' BxE L = 0,2 m z = 0,1 m</v>
          </cell>
        </row>
        <row r="571">
          <cell r="B571" t="str">
            <v>Pasamuro HD ∅8'' BxE L = 0,7 m z = 0,58 m</v>
          </cell>
        </row>
        <row r="572">
          <cell r="B572" t="str">
            <v>Pasamuro HD ∅8'' BxE L = 0,8 m z = 0,12 m</v>
          </cell>
        </row>
        <row r="573">
          <cell r="B573" t="str">
            <v>Pasamuro HD ∅8'' BxE L = 3,28 m z = 0,41 m</v>
          </cell>
        </row>
        <row r="574">
          <cell r="B574" t="str">
            <v xml:space="preserve">Pasamuro HD Ø 10"-BxB L=0,15m </v>
          </cell>
        </row>
        <row r="575">
          <cell r="B575" t="str">
            <v xml:space="preserve">Pasamuro HD Ø 10"-BxB L=0,30m </v>
          </cell>
        </row>
        <row r="576">
          <cell r="B576" t="str">
            <v>Pasamuro HD Ø 10"-BxB L=0,44m</v>
          </cell>
        </row>
        <row r="577">
          <cell r="B577" t="str">
            <v xml:space="preserve">Pasamuro HD Ø 10"-BxB L=0,50m </v>
          </cell>
        </row>
        <row r="578">
          <cell r="B578" t="str">
            <v>Pasamuro HD Ø 10"-BxB L=0,52m</v>
          </cell>
        </row>
        <row r="579">
          <cell r="B579" t="str">
            <v xml:space="preserve">Pasamuro HD Ø 10"-BxB L=0,56m </v>
          </cell>
        </row>
        <row r="580">
          <cell r="B580" t="str">
            <v xml:space="preserve">Pasamuro HD Ø 10"-BxB L=1,60m </v>
          </cell>
        </row>
        <row r="581">
          <cell r="B581" t="str">
            <v xml:space="preserve">Pasamuro HD Ø 12"-BxB L=0,30m </v>
          </cell>
        </row>
        <row r="582">
          <cell r="B582" t="str">
            <v xml:space="preserve">Pasamuro HD Ø 12"-BxB L=0,35m </v>
          </cell>
        </row>
        <row r="583">
          <cell r="B583" t="str">
            <v xml:space="preserve">Pasamuro HD Ø 12"-BxB L=1,56m </v>
          </cell>
        </row>
        <row r="584">
          <cell r="B584" t="str">
            <v xml:space="preserve">Pasamuro HD Ø 14"-BxB L=0,15m </v>
          </cell>
        </row>
        <row r="585">
          <cell r="B585" t="str">
            <v xml:space="preserve">Pasamuro HD Ø 14"-BxB L=0,25m </v>
          </cell>
        </row>
        <row r="586">
          <cell r="B586" t="str">
            <v xml:space="preserve">Pasamuro HD Ø 14"-BxB L=0,40m </v>
          </cell>
        </row>
        <row r="587">
          <cell r="B587" t="str">
            <v xml:space="preserve">Pasamuro HD Ø 14"-BxB L=1,69m </v>
          </cell>
        </row>
        <row r="588">
          <cell r="B588" t="str">
            <v xml:space="preserve">Pasamuro HD Ø 16"-BxB L=0,25m </v>
          </cell>
        </row>
        <row r="589">
          <cell r="B589" t="str">
            <v xml:space="preserve">Pasamuro HD Ø 16"-BxB L=1,69m </v>
          </cell>
        </row>
        <row r="590">
          <cell r="B590" t="str">
            <v xml:space="preserve">Pasamuro HD Ø 2"-BxB L=0,35m </v>
          </cell>
        </row>
        <row r="591">
          <cell r="B591" t="str">
            <v xml:space="preserve">Pasamuro HD Ø 2"-BxB L=0,35m </v>
          </cell>
        </row>
        <row r="592">
          <cell r="B592" t="str">
            <v xml:space="preserve">Pasamuro HD Ø 2"-BxB L=2,45m </v>
          </cell>
        </row>
        <row r="593">
          <cell r="B593" t="str">
            <v>Pasamuro HD Ø 3"-BxB L=0,40m</v>
          </cell>
        </row>
        <row r="594">
          <cell r="B594" t="str">
            <v>Pasamuro HD Ø 4"-BxB L=0,2,09m</v>
          </cell>
        </row>
        <row r="595">
          <cell r="B595" t="str">
            <v>Pasamuro HD Ø 4"-BxB L=0,23m</v>
          </cell>
        </row>
        <row r="596">
          <cell r="B596" t="str">
            <v>Pasamuro HD Ø 4"-BxB L=0,30m</v>
          </cell>
        </row>
        <row r="597">
          <cell r="B597" t="str">
            <v>Pasamuro HD Ø 4"-BxB L=0,33m</v>
          </cell>
        </row>
        <row r="598">
          <cell r="B598" t="str">
            <v>Pasamuro HD Ø 4"-BxB L=0,35m</v>
          </cell>
        </row>
        <row r="599">
          <cell r="B599" t="str">
            <v>Pasamuro HD Ø 4"-BxB L=0,40m</v>
          </cell>
        </row>
        <row r="600">
          <cell r="B600" t="str">
            <v>Pasamuro HD Ø 4"-BxB L=2,09m</v>
          </cell>
        </row>
        <row r="601">
          <cell r="B601" t="str">
            <v>Pasamuro HD Ø 6" - B x B; L= 600mm Z=300m</v>
          </cell>
        </row>
        <row r="602">
          <cell r="B602" t="str">
            <v xml:space="preserve">Pasamuro HD Ø 6"-BxB L=0,20m </v>
          </cell>
        </row>
        <row r="603">
          <cell r="B603" t="str">
            <v xml:space="preserve">Pasamuro HD Ø 6"-BxB L=0,23m </v>
          </cell>
        </row>
        <row r="604">
          <cell r="B604" t="str">
            <v xml:space="preserve">Pasamuro HD Ø 6"-BxB L=0,35m </v>
          </cell>
        </row>
        <row r="605">
          <cell r="B605" t="str">
            <v xml:space="preserve">Pasamuro HD Ø 6"-BxB L=0,40m </v>
          </cell>
        </row>
        <row r="606">
          <cell r="B606" t="str">
            <v xml:space="preserve">Pasamuro HD Ø 6"-BxB L=0,60m </v>
          </cell>
        </row>
        <row r="607">
          <cell r="B607" t="str">
            <v xml:space="preserve">Pasamuro HD Ø 6"-BxB L=0,63m </v>
          </cell>
        </row>
        <row r="608">
          <cell r="B608" t="str">
            <v xml:space="preserve">Pasamuro HD Ø 8"-BxB L=0,15m </v>
          </cell>
        </row>
        <row r="609">
          <cell r="B609" t="str">
            <v xml:space="preserve">Pasamuro HD Ø 8"-BxB L=0,40m </v>
          </cell>
        </row>
        <row r="610">
          <cell r="B610" t="str">
            <v xml:space="preserve">Pasamuro HD Ø 8"-BxB L=0,50m </v>
          </cell>
        </row>
        <row r="611">
          <cell r="B611" t="str">
            <v xml:space="preserve">Pasamuro HD Ø 8"-BxB L=0,55m </v>
          </cell>
        </row>
        <row r="612">
          <cell r="B612" t="str">
            <v xml:space="preserve">Pasamuro HD Ø 8"-BxB L=0,70m </v>
          </cell>
        </row>
        <row r="613">
          <cell r="B613" t="str">
            <v xml:space="preserve">Pasamuro HD Ø 8"-BxB L=0,80m </v>
          </cell>
        </row>
        <row r="614">
          <cell r="B614" t="str">
            <v xml:space="preserve">Pasamuro HD Ø 8"-BxB L=0,80m </v>
          </cell>
        </row>
        <row r="615">
          <cell r="B615" t="str">
            <v xml:space="preserve">Pasamuro HD Ø 8"-BxB L=0,87m </v>
          </cell>
        </row>
        <row r="616">
          <cell r="B616" t="str">
            <v xml:space="preserve">Pasamuro HD Ø 8"-BxB L=3,28m </v>
          </cell>
        </row>
        <row r="617">
          <cell r="B617" t="str">
            <v xml:space="preserve">Pasamuros HD ∅4" ExE L=0,20 m z= 0.10 m </v>
          </cell>
        </row>
        <row r="618">
          <cell r="B618" t="str">
            <v>Pavimento rigido (MR 41 Kg/cm2)</v>
          </cell>
        </row>
        <row r="619">
          <cell r="B619" t="str">
            <v>PENDOLONES Y PERROS</v>
          </cell>
        </row>
        <row r="620">
          <cell r="B620" t="str">
            <v>Perfil C 1.5" x 3/8" - 1"</v>
          </cell>
        </row>
        <row r="621">
          <cell r="B621" t="str">
            <v>Perfil en acero galvanizado 120x60x120 mm</v>
          </cell>
        </row>
        <row r="622">
          <cell r="B622" t="str">
            <v>Perno de anclaje 1/2" L=15 cm</v>
          </cell>
        </row>
        <row r="623">
          <cell r="B623" t="str">
            <v>PERNO KB II - 14134</v>
          </cell>
        </row>
        <row r="624">
          <cell r="B624" t="str">
            <v>Perno para anclaje 1/2 L=15cm</v>
          </cell>
        </row>
        <row r="625">
          <cell r="B625" t="str">
            <v>Pernos de 1/2" en acero (fy = 60.000 PSI) L=0,30 m. (Incluye arandelas y tuercas)</v>
          </cell>
        </row>
        <row r="626">
          <cell r="B626" t="str">
            <v>PHmetro digital</v>
          </cell>
        </row>
        <row r="627">
          <cell r="B627" t="str">
            <v>Piedra de canto rodado</v>
          </cell>
        </row>
        <row r="628">
          <cell r="B628" t="str">
            <v>Piedra Media Zonga</v>
          </cell>
        </row>
        <row r="629">
          <cell r="B629" t="str">
            <v>PIEDRA MEDIANA ZONGA</v>
          </cell>
        </row>
        <row r="630">
          <cell r="B630" t="str">
            <v>PINTURA ALUMOL</v>
          </cell>
        </row>
        <row r="631">
          <cell r="B631" t="str">
            <v>Placa cubierta pozo D=1,50m</v>
          </cell>
        </row>
        <row r="632">
          <cell r="B632" t="str">
            <v>Platina 1/2x1/8"</v>
          </cell>
        </row>
        <row r="633">
          <cell r="B633" t="str">
            <v>PLATINA DE 3"X1/4" EN ACERO A-36</v>
          </cell>
        </row>
        <row r="634">
          <cell r="B634" t="str">
            <v>Platinas 1.5" x 3/8"</v>
          </cell>
        </row>
        <row r="635">
          <cell r="B635" t="str">
            <v>Polietileno Calibre (6)</v>
          </cell>
        </row>
        <row r="636">
          <cell r="B636" t="str">
            <v xml:space="preserve">POLIETILENO CALIBRE 6 </v>
          </cell>
        </row>
        <row r="637">
          <cell r="B637" t="str">
            <v>POLIN DE 2.90*0.05*0.05</v>
          </cell>
        </row>
        <row r="638">
          <cell r="B638" t="str">
            <v>Polín de madera 0.05x0.05x3</v>
          </cell>
        </row>
        <row r="639">
          <cell r="B639" t="str">
            <v>Poste de concreto 12 m x 1050 kg</v>
          </cell>
        </row>
        <row r="640">
          <cell r="B640" t="str">
            <v>Poste de concreto 12 m x 510 kg línea</v>
          </cell>
        </row>
        <row r="641">
          <cell r="B641" t="str">
            <v>Poste de concreto 12 m x 750 kg</v>
          </cell>
        </row>
        <row r="642">
          <cell r="B642" t="str">
            <v>Poste de concreto 8 m x 510 kg línea</v>
          </cell>
        </row>
        <row r="643">
          <cell r="B643" t="str">
            <v>Pruebas medidas de resistividad a tierra y puesta en servicio, incluye instrumento de medida experto eléctrico y ayudante</v>
          </cell>
        </row>
        <row r="644">
          <cell r="B644" t="str">
            <v>Puerta en lamina colroll cal. 12 de 2,5</v>
          </cell>
        </row>
        <row r="645">
          <cell r="B645" t="str">
            <v>Puerta en lamina colroll cal. 18 de 0,9</v>
          </cell>
        </row>
        <row r="646">
          <cell r="B646" t="str">
            <v xml:space="preserve">PUERTA EN LAMINA CR. CAL. 20 DE 2X1, CON LUCETA </v>
          </cell>
        </row>
        <row r="647">
          <cell r="B647" t="str">
            <v>Puerta metálica 200 x 150</v>
          </cell>
        </row>
        <row r="648">
          <cell r="B648" t="str">
            <v>Puerta metalica en lamina clb 18 de 0,6 x 2,11</v>
          </cell>
        </row>
        <row r="649">
          <cell r="B649" t="str">
            <v>Puerta metalica en lamina clb 18 de 0,7 x 2,11</v>
          </cell>
        </row>
        <row r="650">
          <cell r="B650" t="str">
            <v>Puerta metalica en lamina clb 18 de 0,8 x 2,11</v>
          </cell>
        </row>
        <row r="651">
          <cell r="B651" t="str">
            <v>Puerta metalica en lamina clb 18 de 0,9 x 2,11</v>
          </cell>
        </row>
        <row r="652">
          <cell r="B652" t="str">
            <v>Puesta a tierra BT con 2 varillas, Cooper Weld 5/8", 108 m unida con alambre de cobre # 4, cada 3 m en terreno natural para concretar neutor de servicio y línea a tierra de protección de chasís y polos de tierra</v>
          </cell>
        </row>
        <row r="653">
          <cell r="B653" t="str">
            <v>Puesta a tierra pararrayo de media tensión</v>
          </cell>
        </row>
        <row r="654">
          <cell r="B654" t="str">
            <v xml:space="preserve">PUNTILLA </v>
          </cell>
        </row>
        <row r="655">
          <cell r="B655" t="str">
            <v>Puntilla 1"-4"</v>
          </cell>
        </row>
        <row r="656">
          <cell r="B656" t="str">
            <v>PUNTILLA 1`` - 4``</v>
          </cell>
        </row>
        <row r="657">
          <cell r="B657" t="str">
            <v>Punto hidráulico</v>
          </cell>
        </row>
        <row r="658">
          <cell r="B658" t="str">
            <v>Punto Sanitario</v>
          </cell>
        </row>
        <row r="659">
          <cell r="B659" t="str">
            <v>RECEBO SELECCIONADO</v>
          </cell>
        </row>
        <row r="660">
          <cell r="B660" t="str">
            <v>Recolección, cargue de material sobrante en volqueta hasta botadero distancia menor a 3 km. Incluye: herramienta menor, transporte, mano de obra y todo lo necesario para la correcta ejecución de la obra</v>
          </cell>
        </row>
        <row r="661">
          <cell r="B661" t="str">
            <v>REDUCC. EX. BRIDAS (150 a 75mm) 6X3``</v>
          </cell>
        </row>
        <row r="662">
          <cell r="B662" t="str">
            <v>REDUCC. EX. LISOS PVC/AC (50 a 31mm) 2X3/4``</v>
          </cell>
        </row>
        <row r="663">
          <cell r="B663" t="str">
            <v>REDUCCION 3"X2" EN HD EXTREMOS BRIDAS</v>
          </cell>
        </row>
        <row r="664">
          <cell r="B664" t="str">
            <v>REDUCCION 3X2" BRIDADA</v>
          </cell>
        </row>
        <row r="665">
          <cell r="B665" t="str">
            <v>REDUCCION 6" x 3" HD JUNTA HIDRAULICA</v>
          </cell>
        </row>
        <row r="666">
          <cell r="B666" t="str">
            <v>Reducción de 6"x4” en HD extremos bridados</v>
          </cell>
        </row>
        <row r="667">
          <cell r="B667" t="str">
            <v>Reducción HD - PVC/AC 10x8” extremos lisos</v>
          </cell>
        </row>
        <row r="668">
          <cell r="B668" t="str">
            <v>Reducción HD - PVC/AC 12x8” extremos lisos</v>
          </cell>
        </row>
        <row r="669">
          <cell r="B669" t="str">
            <v>Reducción HD - PVC/AC 3x2” extremos lisos</v>
          </cell>
        </row>
        <row r="670">
          <cell r="B670" t="str">
            <v>Reducción HD - PVC/AC 4x2” extremos lisos</v>
          </cell>
        </row>
        <row r="671">
          <cell r="B671" t="str">
            <v>Reducción HD - PVC/AC 4x3” extremos lisos</v>
          </cell>
        </row>
        <row r="672">
          <cell r="B672" t="str">
            <v>Reducción HD - PVC/AC 6x4” extremos lisos</v>
          </cell>
        </row>
        <row r="673">
          <cell r="B673" t="str">
            <v>Reducción HD - PVC/AC 8x3” JH PVC</v>
          </cell>
        </row>
        <row r="674">
          <cell r="B674" t="str">
            <v>Reducción HD - PVC/AC 8x6” extremos lisos</v>
          </cell>
        </row>
        <row r="675">
          <cell r="B675" t="str">
            <v>Reducción HD 10"x6" J.H. PVC</v>
          </cell>
        </row>
        <row r="676">
          <cell r="B676" t="str">
            <v>Reducción HD 6"x3” extremos lisos</v>
          </cell>
        </row>
        <row r="677">
          <cell r="B677" t="str">
            <v>Reducción PVC 10" x 8"</v>
          </cell>
        </row>
        <row r="678">
          <cell r="B678" t="str">
            <v>Reducción PVC 2 1/2" X 2</v>
          </cell>
        </row>
        <row r="679">
          <cell r="B679" t="str">
            <v>Reducción PVC 2" X 1 1/2"</v>
          </cell>
        </row>
        <row r="680">
          <cell r="B680" t="str">
            <v>Reducción PVC 3" X 2 1/2"</v>
          </cell>
        </row>
        <row r="681">
          <cell r="B681" t="str">
            <v>Reducción PVC 3" X 2"</v>
          </cell>
        </row>
        <row r="682">
          <cell r="B682" t="str">
            <v>Reducción PVC 4" X 2 1/2"</v>
          </cell>
        </row>
        <row r="683">
          <cell r="B683" t="str">
            <v>Reducción PVC 4" X 2"</v>
          </cell>
        </row>
        <row r="684">
          <cell r="B684" t="str">
            <v>Reducción PVC 4" X 3"</v>
          </cell>
        </row>
        <row r="685">
          <cell r="B685" t="str">
            <v>Reducción PVC 6 X 4"</v>
          </cell>
        </row>
        <row r="686">
          <cell r="B686" t="str">
            <v>Reducción PVC 6" X 3"</v>
          </cell>
        </row>
        <row r="687">
          <cell r="B687" t="str">
            <v>Reducción PVC 8" X 6"</v>
          </cell>
        </row>
        <row r="688">
          <cell r="B688" t="str">
            <v>REGISTRO CORTINA RED WHITE ROSCADO 1/2"</v>
          </cell>
        </row>
        <row r="689">
          <cell r="B689" t="str">
            <v>Registro de bola 1/2"</v>
          </cell>
        </row>
        <row r="690">
          <cell r="B690" t="str">
            <v>REGISTRO DE CORTE 1"</v>
          </cell>
        </row>
        <row r="691">
          <cell r="B691" t="str">
            <v>REGISTRO DE CORTE 1/2"</v>
          </cell>
        </row>
        <row r="692">
          <cell r="B692" t="str">
            <v>REGISTRO DE CORTE 3/4"</v>
          </cell>
        </row>
        <row r="693">
          <cell r="B693" t="str">
            <v>Registro roscado 3/4"</v>
          </cell>
        </row>
        <row r="694">
          <cell r="B694" t="str">
            <v>Reglilla en acrilico para aforo</v>
          </cell>
        </row>
        <row r="695">
          <cell r="B695" t="str">
            <v>Rejilla metálica de ventilación 0,35 x 0,6</v>
          </cell>
        </row>
        <row r="696">
          <cell r="B696" t="str">
            <v>Rejilla metálica de ventilación 0,35 x 0,7</v>
          </cell>
        </row>
        <row r="697">
          <cell r="B697" t="str">
            <v>Rejilla metálica de ventilación 0,35 x 0,8</v>
          </cell>
        </row>
        <row r="698">
          <cell r="B698" t="str">
            <v>Rejilla metálica de ventilación 0,35 x 0,9</v>
          </cell>
        </row>
        <row r="699">
          <cell r="B699" t="str">
            <v>Relleno con epóxico tipo granete 5 de Red Head o equivalente</v>
          </cell>
        </row>
        <row r="700">
          <cell r="B700" t="str">
            <v>Relleno Tipo 2 – Material seleccionado proveniente de la excavación (Relleno, tapado y apisonado a todo factor, incluye: material seleccionado de la misma excavación, equipos, herramientas y mano de obra)</v>
          </cell>
        </row>
        <row r="701">
          <cell r="B701" t="str">
            <v>Relleno Tipo 7 – Afirmado, tamaño máximo 2”</v>
          </cell>
        </row>
        <row r="702">
          <cell r="B702" t="str">
            <v>Repisa 0,05mx0,10mx3m</v>
          </cell>
        </row>
        <row r="703">
          <cell r="B703" t="str">
            <v>REPISA 0.05x0.10x3 m</v>
          </cell>
        </row>
        <row r="704">
          <cell r="B704" t="str">
            <v>Retiro material sobrante excavacion</v>
          </cell>
        </row>
        <row r="705">
          <cell r="B705" t="str">
            <v>RUEDA MANEJO (150-2000mm) 6-8"</v>
          </cell>
        </row>
        <row r="706">
          <cell r="B706" t="str">
            <v>RUEDA MANEJO (250-400mm) 10-16"</v>
          </cell>
        </row>
        <row r="707">
          <cell r="B707" t="str">
            <v>RUEDA MANEJO (250-400mm) 10-16``</v>
          </cell>
        </row>
        <row r="708">
          <cell r="B708" t="str">
            <v>RUEDA MANEJO (450- 500 - 600mm) 18" - 20" - 24</v>
          </cell>
        </row>
        <row r="709">
          <cell r="B709" t="str">
            <v>Rueda Manejo 10"-12"-14"-16"</v>
          </cell>
        </row>
        <row r="710">
          <cell r="B710" t="str">
            <v>RUEDA MANEJO 2 - 4"</v>
          </cell>
        </row>
        <row r="711">
          <cell r="B711" t="str">
            <v>Rueda Manejo 2"-3"-4"</v>
          </cell>
        </row>
        <row r="712">
          <cell r="B712" t="str">
            <v>RUEDA MANEJO 6 - 8"</v>
          </cell>
        </row>
        <row r="713">
          <cell r="B713" t="str">
            <v>Rueda Manejo 6"-8"</v>
          </cell>
        </row>
        <row r="714">
          <cell r="B714" t="str">
            <v>Salidas de alumbrado con roseta, bombillo de aplique de 30W fluorescente (ahorrador) compacto</v>
          </cell>
        </row>
        <row r="715">
          <cell r="B715" t="str">
            <v>Salidas de alumbrado en pared exterior con pantalla intemperie en aplique</v>
          </cell>
        </row>
        <row r="716">
          <cell r="B716" t="str">
            <v>Salidas de tomacorriente 15A;110V</v>
          </cell>
        </row>
        <row r="717">
          <cell r="B717" t="str">
            <v>Salidas de tomacorriente 20A;220V</v>
          </cell>
        </row>
        <row r="718">
          <cell r="B718" t="str">
            <v>Sika Anchofir 4 (300 cc)</v>
          </cell>
        </row>
        <row r="719">
          <cell r="B719" t="str">
            <v>SIKADUR 32 PRIMER (x 3.0 kg)</v>
          </cell>
        </row>
        <row r="720">
          <cell r="B720" t="str">
            <v>Sikadur Anchorfix</v>
          </cell>
        </row>
        <row r="721">
          <cell r="B721" t="str">
            <v>Sikadur Anchorfix-4 (600 ml)</v>
          </cell>
        </row>
        <row r="722">
          <cell r="B722" t="str">
            <v>SILLA TEE (NOVAFORT)  400X160  16X6``</v>
          </cell>
        </row>
        <row r="723">
          <cell r="B723" t="str">
            <v>SILLA TEE (NOVAFORT) 400X110 16X4``</v>
          </cell>
        </row>
        <row r="724">
          <cell r="B724" t="str">
            <v>SILLA TEE (NOVAFORT) 450X160 18X6``</v>
          </cell>
        </row>
        <row r="725">
          <cell r="B725" t="str">
            <v>SILLA TEE (NOVAFORT) 500X160 20X6``</v>
          </cell>
        </row>
        <row r="726">
          <cell r="B726" t="str">
            <v>SILLA YEE (NOVAFORT)  400X160  16X6``</v>
          </cell>
        </row>
        <row r="727">
          <cell r="B727" t="str">
            <v>SILLA YEE (NOVAFORT) 400X110 16X4``</v>
          </cell>
        </row>
        <row r="728">
          <cell r="B728" t="str">
            <v>SILLA YEE (NOVAFORT) 450X160 18X6``</v>
          </cell>
        </row>
        <row r="729">
          <cell r="B729" t="str">
            <v>SILLA YEE (NOVAFORT) 500X160 20X6``</v>
          </cell>
        </row>
        <row r="730">
          <cell r="B730" t="str">
            <v>Sistema para purga 2" en tubería de PVC de 12" - 160 psi.</v>
          </cell>
        </row>
        <row r="731">
          <cell r="B731" t="str">
            <v>Sistema para ventosa de 2" en tubería PVC de 3" . Incluye te en HD de 3"x2", válvula compuerta elástica bridada de 2" y válvula de ventosa bridada de 2".</v>
          </cell>
        </row>
        <row r="732">
          <cell r="B732" t="str">
            <v>Sistema Ventosa 1/2" (Incluye collar de derivación y ventosa doble acción extremo rosca)</v>
          </cell>
        </row>
        <row r="733">
          <cell r="B733" t="str">
            <v>SOLDADURA 1/8 - METAL</v>
          </cell>
        </row>
        <row r="734">
          <cell r="B734" t="str">
            <v>Soldadura 60.13 de 1/8</v>
          </cell>
        </row>
        <row r="735">
          <cell r="B735" t="str">
            <v>SOLDADURA PVC (1/4 de Gal)</v>
          </cell>
        </row>
        <row r="736">
          <cell r="B736" t="str">
            <v>SOLDADURA PVC 1/4 GLN</v>
          </cell>
        </row>
        <row r="737">
          <cell r="B737" t="str">
            <v xml:space="preserve">Soporte Guia Vastago Compuerta </v>
          </cell>
        </row>
        <row r="738">
          <cell r="B738" t="str">
            <v>Subterránea y canalización PVC 1/2" hasta T y contador kWh</v>
          </cell>
        </row>
        <row r="739">
          <cell r="B739" t="str">
            <v>Suministro e instal. de válvula compuerta elástica HD 3” (inc rueda de manejo, vástago ascendente, extremo brida)</v>
          </cell>
        </row>
        <row r="740">
          <cell r="B740" t="str">
            <v>Suministro e instalación de módulos de sedimentación de ABS con protección para rayos ultravioleta</v>
          </cell>
        </row>
        <row r="741">
          <cell r="B741" t="str">
            <v>Suministro e instalación de tubería PVC para
alcantarillados 4" (inc. nivelación de precisión)</v>
          </cell>
        </row>
        <row r="742">
          <cell r="B742" t="str">
            <v>Suministro e instalación de válvula de altitud 6"</v>
          </cell>
        </row>
        <row r="743">
          <cell r="B743" t="str">
            <v>Suministro Niple HD Ø 2" - B x B ; L= 2000 mm</v>
          </cell>
        </row>
        <row r="744">
          <cell r="B744" t="str">
            <v>Tabla Burra (0.03mx0.30mx3m)</v>
          </cell>
        </row>
        <row r="745">
          <cell r="B745" t="str">
            <v>TABLA BURRA 0.03x0.30x3 m</v>
          </cell>
        </row>
        <row r="746">
          <cell r="B746" t="str">
            <v>TABLA BURRA 2.90*0.25*.03</v>
          </cell>
        </row>
        <row r="747">
          <cell r="B747" t="str">
            <v>Tabla burra de .03x0.3x3</v>
          </cell>
        </row>
        <row r="748">
          <cell r="B748" t="str">
            <v>Tabla burra de 0.03x0.3x3</v>
          </cell>
        </row>
        <row r="749">
          <cell r="B749" t="str">
            <v>Tableta ceramica 20*20</v>
          </cell>
        </row>
        <row r="750">
          <cell r="B750" t="str">
            <v>TABLON</v>
          </cell>
        </row>
        <row r="751">
          <cell r="B751" t="str">
            <v>TABLON GRES</v>
          </cell>
        </row>
        <row r="752">
          <cell r="B752" t="str">
            <v>TAPA HF DE 0.60 TL</v>
          </cell>
        </row>
        <row r="753">
          <cell r="B753" t="str">
            <v>TAPA HF Y ARO BASE TP.</v>
          </cell>
        </row>
        <row r="754">
          <cell r="B754" t="str">
            <v>Tapa MANHOLE 60 CM, CON BISAGRA</v>
          </cell>
        </row>
        <row r="755">
          <cell r="B755" t="str">
            <v>Tapa Seguridad Cierre Permanente</v>
          </cell>
        </row>
        <row r="756">
          <cell r="B756" t="str">
            <v>Tapa y arobase de HF tipo tráfico liviano</v>
          </cell>
        </row>
        <row r="757">
          <cell r="B757" t="str">
            <v>TAPON DE 3"</v>
          </cell>
        </row>
        <row r="758">
          <cell r="B758" t="str">
            <v>Tapón HD – Presión Trabajo 250 PSI extremos lisos para PVC/AC 10”</v>
          </cell>
        </row>
        <row r="759">
          <cell r="B759" t="str">
            <v>Tapón HD – Presión Trabajo 250 PSI extremos lisos para PVC/AC 12”</v>
          </cell>
        </row>
        <row r="760">
          <cell r="B760" t="str">
            <v>Tapón HD – Presión Trabajo 250 PSI extremos lisos para PVC/AC 2”</v>
          </cell>
        </row>
        <row r="761">
          <cell r="B761" t="str">
            <v>Tapón HD – Presión Trabajo 250 PSI extremos lisos para PVC/AC 3”</v>
          </cell>
        </row>
        <row r="762">
          <cell r="B762" t="str">
            <v>Tapón HD – Presión Trabajo 250 PSI extremos lisos para PVC/AC 4”</v>
          </cell>
        </row>
        <row r="763">
          <cell r="B763" t="str">
            <v>Tapón HD – Presión Trabajo 250 PSI extremos lisos para PVC/AC 6”</v>
          </cell>
        </row>
        <row r="764">
          <cell r="B764" t="str">
            <v>Tapón HD – Presión Trabajo 250 PSI extremos lisos para PVC/AC 8”</v>
          </cell>
        </row>
        <row r="765">
          <cell r="B765" t="str">
            <v>Tapón PVC – 2 1/2”</v>
          </cell>
        </row>
        <row r="766">
          <cell r="B766" t="str">
            <v>Tapón PVC – 2”</v>
          </cell>
        </row>
        <row r="767">
          <cell r="B767" t="str">
            <v>Tapón PVC – 3”</v>
          </cell>
        </row>
        <row r="768">
          <cell r="B768" t="str">
            <v>Tapón PVC – 4”</v>
          </cell>
        </row>
        <row r="769">
          <cell r="B769" t="str">
            <v>Tapón PVC – 6”</v>
          </cell>
        </row>
        <row r="770">
          <cell r="B770" t="str">
            <v>Tapón PVC – 8”</v>
          </cell>
        </row>
        <row r="771">
          <cell r="B771" t="str">
            <v>Tapón PVC – Presión E.L. 2”</v>
          </cell>
        </row>
        <row r="772">
          <cell r="B772" t="str">
            <v>Tapón PVC – Unión Platino  3”</v>
          </cell>
        </row>
        <row r="773">
          <cell r="B773" t="str">
            <v>Tapón PVC – Unión Platino 4”</v>
          </cell>
        </row>
        <row r="774">
          <cell r="B774" t="str">
            <v>Tapón PVC – Unión Platino 6”</v>
          </cell>
        </row>
        <row r="775">
          <cell r="B775" t="str">
            <v>Tapón PVC – Unión Platino 8”</v>
          </cell>
        </row>
        <row r="776">
          <cell r="B776" t="str">
            <v>Tapon roscado (18mm) 3/4"</v>
          </cell>
        </row>
        <row r="777">
          <cell r="B777" t="str">
            <v>TAPON ROSCADO (25mm) 1``</v>
          </cell>
        </row>
        <row r="778">
          <cell r="B778" t="str">
            <v>TAPON TUB.PVC/AC (18mm) 3/4``</v>
          </cell>
        </row>
        <row r="779">
          <cell r="B779" t="str">
            <v>TAPON TUB.PVC/AC (25mm) 1`</v>
          </cell>
        </row>
        <row r="780">
          <cell r="B780" t="str">
            <v xml:space="preserve">Te HD –  PVC/AC 10x10” extremos lisos </v>
          </cell>
        </row>
        <row r="781">
          <cell r="B781" t="str">
            <v xml:space="preserve">Te HD –  PVC/AC 6x4” extremos lisos </v>
          </cell>
        </row>
        <row r="782">
          <cell r="B782" t="str">
            <v xml:space="preserve">Te HD –  PVC/AC 8x6” extremos lisos </v>
          </cell>
        </row>
        <row r="783">
          <cell r="B783" t="str">
            <v>Te HD – PVC/AC 10x10” extremos bridados</v>
          </cell>
        </row>
        <row r="784">
          <cell r="B784" t="str">
            <v>Te HD – PVC/AC 10x2” extremos bridados</v>
          </cell>
        </row>
        <row r="785">
          <cell r="B785" t="str">
            <v>Te HD – PVC/AC 10x2” extremos lisos</v>
          </cell>
        </row>
        <row r="786">
          <cell r="B786" t="str">
            <v>Te HD – PVC/AC 10x3” extremos bridados</v>
          </cell>
        </row>
        <row r="787">
          <cell r="B787" t="str">
            <v>Te HD – PVC/AC 10x4” extremos bridados</v>
          </cell>
        </row>
        <row r="788">
          <cell r="B788" t="str">
            <v>Te HD – PVC/AC 10x6” extremos bridados</v>
          </cell>
        </row>
        <row r="789">
          <cell r="B789" t="str">
            <v>Te HD – PVC/AC 10x6” extremos lisos</v>
          </cell>
        </row>
        <row r="790">
          <cell r="B790" t="str">
            <v>Te HD – PVC/AC 10x8” extremos bridados</v>
          </cell>
        </row>
        <row r="791">
          <cell r="B791" t="str">
            <v>Te HD – PVC/AC 12x12” extremos bridados</v>
          </cell>
        </row>
        <row r="792">
          <cell r="B792" t="str">
            <v>Te HD – PVC/AC 16x10” extremos lisos</v>
          </cell>
        </row>
        <row r="793">
          <cell r="B793" t="str">
            <v>Te HD – PVC/AC 16x6” extremos lisos</v>
          </cell>
        </row>
        <row r="794">
          <cell r="B794" t="str">
            <v>Te HD – PVC/AC 3x2” extremos bridados</v>
          </cell>
        </row>
        <row r="795">
          <cell r="B795" t="str">
            <v>Te HD – PVC/AC 4x2” extremos bridados</v>
          </cell>
        </row>
        <row r="796">
          <cell r="B796" t="str">
            <v>Te HD – PVC/AC 4x3” extremos bridados</v>
          </cell>
        </row>
        <row r="797">
          <cell r="B797" t="str">
            <v>Te HD – PVC/AC 4x4” extremos bridados</v>
          </cell>
        </row>
        <row r="798">
          <cell r="B798" t="str">
            <v>Te HD – PVC/AC 6x2” extremos bridados</v>
          </cell>
        </row>
        <row r="799">
          <cell r="B799" t="str">
            <v>Te HD – PVC/AC 6x3” extremos bridados</v>
          </cell>
        </row>
        <row r="800">
          <cell r="B800" t="str">
            <v>Te HD – PVC/AC 6x3” extremos lisos</v>
          </cell>
        </row>
        <row r="801">
          <cell r="B801" t="str">
            <v>Te HD – PVC/AC 6x4” extremos bridados</v>
          </cell>
        </row>
        <row r="802">
          <cell r="B802" t="str">
            <v>Te HD – PVC/AC 6x6” extremos bridados</v>
          </cell>
        </row>
        <row r="803">
          <cell r="B803" t="str">
            <v>Te HD – PVC/AC 6x6” extremos lisos</v>
          </cell>
        </row>
        <row r="804">
          <cell r="B804" t="str">
            <v>Te HD – PVC/AC 8x2” extremos bridados</v>
          </cell>
        </row>
        <row r="805">
          <cell r="B805" t="str">
            <v>Te HD – PVC/AC 8x3” extremos bridados</v>
          </cell>
        </row>
        <row r="806">
          <cell r="B806" t="str">
            <v>Te HD – PVC/AC 8x3” extremos lisos</v>
          </cell>
        </row>
        <row r="807">
          <cell r="B807" t="str">
            <v>Te HD – PVC/AC 8x4” extremos bridados</v>
          </cell>
        </row>
        <row r="808">
          <cell r="B808" t="str">
            <v>Te HD – PVC/AC 8x4” extremos lisos</v>
          </cell>
        </row>
        <row r="809">
          <cell r="B809" t="str">
            <v>Te HD – PVC/AC 8x6” extremos bridados</v>
          </cell>
        </row>
        <row r="810">
          <cell r="B810" t="str">
            <v>Te HD – PVC/AC 8x8” extremos bridados</v>
          </cell>
        </row>
        <row r="811">
          <cell r="B811" t="str">
            <v>Te HD – PVC/AC 8x8” extremos lisos</v>
          </cell>
        </row>
        <row r="812">
          <cell r="B812" t="str">
            <v>TE HD EXTREMOS LISOS 10" Y BRIDADO 2"</v>
          </cell>
        </row>
        <row r="813">
          <cell r="B813" t="str">
            <v>TE HD EXTREMOS LISOS 6" Y BRIDADO 2"</v>
          </cell>
        </row>
        <row r="814">
          <cell r="B814" t="str">
            <v>Te PVC –   3”</v>
          </cell>
        </row>
        <row r="815">
          <cell r="B815" t="str">
            <v>Te PVC –   3x2x2”</v>
          </cell>
        </row>
        <row r="816">
          <cell r="B816" t="str">
            <v>Te PVC –   3x2x3”</v>
          </cell>
        </row>
        <row r="817">
          <cell r="B817" t="str">
            <v>Te PVC –   4x2x4”</v>
          </cell>
        </row>
        <row r="818">
          <cell r="B818" t="str">
            <v>Te PVC  Unión platino 2 1/2"</v>
          </cell>
        </row>
        <row r="819">
          <cell r="B819" t="str">
            <v>Te PVC  Unión platino 6"</v>
          </cell>
        </row>
        <row r="820">
          <cell r="B820" t="str">
            <v>Te PVC  Unión platino 6x4"</v>
          </cell>
        </row>
        <row r="821">
          <cell r="B821" t="str">
            <v>Te PVC 2”</v>
          </cell>
        </row>
        <row r="822">
          <cell r="B822" t="str">
            <v xml:space="preserve">Te PVC Unión platino 1 1/2" </v>
          </cell>
        </row>
        <row r="823">
          <cell r="B823" t="str">
            <v xml:space="preserve">Te PVC Unión platino 2" </v>
          </cell>
        </row>
        <row r="824">
          <cell r="B824" t="str">
            <v xml:space="preserve">Te PVC Unión platino 3" </v>
          </cell>
        </row>
        <row r="825">
          <cell r="B825" t="str">
            <v xml:space="preserve">Te PVC Unión platino 3x2" </v>
          </cell>
        </row>
        <row r="826">
          <cell r="B826" t="str">
            <v xml:space="preserve">Te PVC Unión platino 4" </v>
          </cell>
        </row>
        <row r="827">
          <cell r="B827" t="str">
            <v xml:space="preserve">Te PVC Unión platino 4x2" </v>
          </cell>
        </row>
        <row r="828">
          <cell r="B828" t="str">
            <v xml:space="preserve">Te PVC Unión platino 4x3" </v>
          </cell>
        </row>
        <row r="829">
          <cell r="B829" t="str">
            <v xml:space="preserve">Te PVC Unión platino 6x3" </v>
          </cell>
        </row>
        <row r="830">
          <cell r="B830" t="str">
            <v>Te reducida PVC  Unión platino 3x2 1/2"</v>
          </cell>
        </row>
        <row r="831">
          <cell r="B831" t="str">
            <v>TEE EXT. JUN.RAPIDA PVC (75x50mm) 3X2``</v>
          </cell>
        </row>
        <row r="832">
          <cell r="B832" t="str">
            <v>TEE EXT. LISO PVC/AC (100x75mm) 4X3``</v>
          </cell>
        </row>
        <row r="833">
          <cell r="B833" t="str">
            <v>TEE EXT. LISO PVC/AC (150x75mm) 6X3``</v>
          </cell>
        </row>
        <row r="834">
          <cell r="B834" t="str">
            <v>TEE EXT. LISO PVC/AC (200x75mm) 8X3``</v>
          </cell>
        </row>
        <row r="835">
          <cell r="B835" t="str">
            <v>Tee H.D. Presión Trabajo 250PSI- BxB (3x3")</v>
          </cell>
        </row>
        <row r="836">
          <cell r="B836" t="str">
            <v xml:space="preserve">Tee HD 10" X 10" (250mmx250mm)  </v>
          </cell>
        </row>
        <row r="837">
          <cell r="B837" t="str">
            <v xml:space="preserve">Tee HD 10" X 2" (250mmx50mm)  </v>
          </cell>
        </row>
        <row r="838">
          <cell r="B838" t="str">
            <v xml:space="preserve">TEE HD 10" X 2" BRIDADA (254x50mm) </v>
          </cell>
        </row>
        <row r="839">
          <cell r="B839" t="str">
            <v xml:space="preserve">TEE HD 10" X 3" BRIDADA (254x75mm) </v>
          </cell>
        </row>
        <row r="840">
          <cell r="B840" t="str">
            <v xml:space="preserve">Tee HD 10" X 4" (250mmx100mm)  </v>
          </cell>
        </row>
        <row r="841">
          <cell r="B841" t="str">
            <v xml:space="preserve">TEE HD 10" X 4" BRIDADA (250x100mm) </v>
          </cell>
        </row>
        <row r="842">
          <cell r="B842" t="str">
            <v xml:space="preserve">TEE HD 10" X 6" BRIDADA (250x160mm) </v>
          </cell>
        </row>
        <row r="843">
          <cell r="B843" t="str">
            <v xml:space="preserve">Tee HD 10" X 8" (250mmx200mm)  </v>
          </cell>
        </row>
        <row r="844">
          <cell r="B844" t="str">
            <v xml:space="preserve">TEE HD 3" X 2" BRIDADA (200x50mm)  </v>
          </cell>
        </row>
        <row r="845">
          <cell r="B845" t="str">
            <v xml:space="preserve">Tee HD 3" X 3" (75mmx75mm)  </v>
          </cell>
        </row>
        <row r="846">
          <cell r="B846" t="str">
            <v xml:space="preserve">Tee HD 4" X 2" (100mmx50mm)  </v>
          </cell>
        </row>
        <row r="847">
          <cell r="B847" t="str">
            <v xml:space="preserve">TEE HD 4" X 2" BRIDADA (200x50mm)  </v>
          </cell>
        </row>
        <row r="848">
          <cell r="B848" t="str">
            <v>TEE HD 4" X 3" BRIDADA</v>
          </cell>
        </row>
        <row r="849">
          <cell r="B849" t="str">
            <v xml:space="preserve">Tee HD 6" X 2" (150mmx50mm)  </v>
          </cell>
        </row>
        <row r="850">
          <cell r="B850" t="str">
            <v xml:space="preserve">TEE HD 6" X 2" BRIDADA (200x50mm)  </v>
          </cell>
        </row>
        <row r="851">
          <cell r="B851" t="str">
            <v xml:space="preserve">Tee HD 6" X 3" (150mmx75mm)  </v>
          </cell>
        </row>
        <row r="852">
          <cell r="B852" t="str">
            <v xml:space="preserve">Tee HD 6" X 3/4" </v>
          </cell>
        </row>
        <row r="853">
          <cell r="B853" t="str">
            <v xml:space="preserve">Tee HD 6" X 4" (150mmx100mm)  </v>
          </cell>
        </row>
        <row r="854">
          <cell r="B854" t="str">
            <v xml:space="preserve">Tee HD 6" X 6" (150mmx150mm)  </v>
          </cell>
        </row>
        <row r="855">
          <cell r="B855" t="str">
            <v xml:space="preserve">Tee HD 8" X 2" (200mmx50mm)  </v>
          </cell>
        </row>
        <row r="856">
          <cell r="B856" t="str">
            <v xml:space="preserve">TEE HD 8" X 2" BRIDADA (200x50mm)  </v>
          </cell>
        </row>
        <row r="857">
          <cell r="B857" t="str">
            <v>TEE HD EXT. LISO 10" PARA PVC X BRIDA 2" (250x50mm) 10X2"</v>
          </cell>
        </row>
        <row r="858">
          <cell r="B858" t="str">
            <v>TEE HD EXT. LISO 12" PARA PVC X BRIDA 3" (275x75mm) 12X3"</v>
          </cell>
        </row>
        <row r="859">
          <cell r="B859" t="str">
            <v>TEE HD EXT. LISO 3" PARA PVC X BRIDA 2" (75x50mm) 3X2"</v>
          </cell>
        </row>
        <row r="860">
          <cell r="B860" t="str">
            <v>TEE HD EXT. LISO 4" PARA PVC X BRIDA 2" (100x50mm) 6X2"</v>
          </cell>
        </row>
        <row r="861">
          <cell r="B861" t="str">
            <v>TEE HD EXT. LISO 6" PARA PVC X BRIDA 2" (160x50mm) 6X2"</v>
          </cell>
        </row>
        <row r="862">
          <cell r="B862" t="str">
            <v>TEE HD EXT. LISO 8" PARA PVC X BRIDA 2" (200x50mm) 8X2"</v>
          </cell>
        </row>
        <row r="863">
          <cell r="B863" t="str">
            <v>Tee HD Extremo Liso 10" para PVC x Brida 2" (250x100mm) 10"X4"</v>
          </cell>
        </row>
        <row r="864">
          <cell r="B864" t="str">
            <v>Tee HD Extremo Liso 4" para PVC x Brida 2" (100x50mm) 4"X2"</v>
          </cell>
        </row>
        <row r="865">
          <cell r="B865" t="str">
            <v>Tee HD Extremo Liso 6" para PVC x Brida 2" (160x50mm) 6"X2"</v>
          </cell>
        </row>
        <row r="866">
          <cell r="B866" t="str">
            <v>Tee HD Extremo Liso 6" para PVC x Brida 3/4"</v>
          </cell>
        </row>
        <row r="867">
          <cell r="B867" t="str">
            <v>Tee HD Extremo Liso 6" para PVC x Brida 4" (160x100mm) 6"X4"</v>
          </cell>
        </row>
        <row r="868">
          <cell r="B868" t="str">
            <v>Tee HD Extremo Liso 8" para PVC x Brida 2" (200x100mm) 8"X4"</v>
          </cell>
        </row>
        <row r="869">
          <cell r="B869" t="str">
            <v>TEFLON</v>
          </cell>
        </row>
        <row r="870">
          <cell r="B870" t="str">
            <v>Teja AJOVER termoacustica</v>
          </cell>
        </row>
        <row r="871">
          <cell r="B871" t="str">
            <v>Teja ondulada 1000 No. 8</v>
          </cell>
        </row>
        <row r="872">
          <cell r="B872" t="str">
            <v>Teja Traslucida No 6 (1,83x0,92m)</v>
          </cell>
        </row>
        <row r="873">
          <cell r="B873" t="str">
            <v>Templete directo a tierra media tensión</v>
          </cell>
        </row>
        <row r="874">
          <cell r="B874" t="str">
            <v>Termometro -10 +420ºC Silver Brand o similar</v>
          </cell>
        </row>
        <row r="875">
          <cell r="B875" t="str">
            <v>TORNILLERÍA COMPUERTA DESLIZ. H.D. x JGO</v>
          </cell>
        </row>
        <row r="876">
          <cell r="B876" t="str">
            <v>Tornillo autoperforante</v>
          </cell>
        </row>
        <row r="877">
          <cell r="B877" t="str">
            <v>Tornillo fijador de ala</v>
          </cell>
        </row>
        <row r="878">
          <cell r="B878" t="str">
            <v>Traje proteccion quimicos</v>
          </cell>
        </row>
        <row r="879">
          <cell r="B879" t="str">
            <v>Transformador de 5 kVA 2F3H</v>
          </cell>
        </row>
        <row r="880">
          <cell r="B880" t="str">
            <v>Tubería (U. Platino) RDE  13.5   (315 PSI) 4``</v>
          </cell>
        </row>
        <row r="881">
          <cell r="B881" t="str">
            <v>Tubería (U. Platino) RDE  13.5   (315 PSI) 6``</v>
          </cell>
        </row>
        <row r="882">
          <cell r="B882" t="str">
            <v>Tubería (U. Platino) RDE  13.5   (315 PSI) 8``</v>
          </cell>
        </row>
        <row r="883">
          <cell r="B883" t="str">
            <v>Tuberia (U. Platino) RDE 32,5 (10")</v>
          </cell>
        </row>
        <row r="884">
          <cell r="B884" t="str">
            <v>Tuberia (U. Platino) RDE 32,5 (8")</v>
          </cell>
        </row>
        <row r="885">
          <cell r="B885" t="str">
            <v>TUBERIA (U. PLATINO) RDE21  10``</v>
          </cell>
        </row>
        <row r="886">
          <cell r="B886" t="str">
            <v>TUBERIA (U. PLATINO) RDE21  12``</v>
          </cell>
        </row>
        <row r="887">
          <cell r="B887" t="str">
            <v>TUBERIA (U. PLATINO) RDE21  14``</v>
          </cell>
        </row>
        <row r="888">
          <cell r="B888" t="str">
            <v>TUBERIA (U. PLATINO) RDE21  16``</v>
          </cell>
        </row>
        <row r="889">
          <cell r="B889" t="str">
            <v>TUBERIA (U. PLATINO) RDE21  18``</v>
          </cell>
        </row>
        <row r="890">
          <cell r="B890" t="str">
            <v>TUBERIA (U. PLATINO) RDE21  2.1/2``</v>
          </cell>
        </row>
        <row r="891">
          <cell r="B891" t="str">
            <v>TUBERIA (U. PLATINO) RDE21  2``</v>
          </cell>
        </row>
        <row r="892">
          <cell r="B892" t="str">
            <v>TUBERIA (U. PLATINO) RDE21  20``</v>
          </cell>
        </row>
        <row r="893">
          <cell r="B893" t="str">
            <v>TUBERIA (U. PLATINO) RDE21  3``</v>
          </cell>
        </row>
        <row r="894">
          <cell r="B894" t="str">
            <v>TUBERIA (U. PLATINO) RDE21  3``</v>
          </cell>
        </row>
        <row r="895">
          <cell r="B895" t="str">
            <v>TUBERIA (U. PLATINO) RDE21  4``</v>
          </cell>
        </row>
        <row r="896">
          <cell r="B896" t="str">
            <v>TUBERIA (U. PLATINO) RDE21  6``</v>
          </cell>
        </row>
        <row r="897">
          <cell r="B897" t="str">
            <v>TUBERIA (U. PLATINO) RDE21  8``</v>
          </cell>
        </row>
        <row r="898">
          <cell r="B898" t="str">
            <v>TUBERIA (U. PLATINO) RDE26  10``</v>
          </cell>
        </row>
        <row r="899">
          <cell r="B899" t="str">
            <v>TUBERIA (U. PLATINO) RDE26  12``</v>
          </cell>
        </row>
        <row r="900">
          <cell r="B900" t="str">
            <v>TUBERIA (U. PLATINO) RDE26  14``</v>
          </cell>
        </row>
        <row r="901">
          <cell r="B901" t="str">
            <v>TUBERIA (U. PLATINO) RDE26  16``</v>
          </cell>
        </row>
        <row r="902">
          <cell r="B902" t="str">
            <v>TUBERIA (U. PLATINO) RDE26  18``</v>
          </cell>
        </row>
        <row r="903">
          <cell r="B903" t="str">
            <v>TUBERIA (U. PLATINO) RDE26  2.1/2``</v>
          </cell>
        </row>
        <row r="904">
          <cell r="B904" t="str">
            <v>TUBERIA (U. PLATINO) RDE26  2``</v>
          </cell>
        </row>
        <row r="905">
          <cell r="B905" t="str">
            <v>TUBERIA (U. PLATINO) RDE26  20``</v>
          </cell>
        </row>
        <row r="906">
          <cell r="B906" t="str">
            <v>TUBERIA (U. PLATINO) RDE26  3``</v>
          </cell>
        </row>
        <row r="907">
          <cell r="B907" t="str">
            <v>TUBERIA (U. PLATINO) RDE26  4``</v>
          </cell>
        </row>
        <row r="908">
          <cell r="B908" t="str">
            <v>TUBERIA (U. PLATINO) RDE26  6``</v>
          </cell>
        </row>
        <row r="909">
          <cell r="B909" t="str">
            <v>TUBERIA (U. PLATINO) RDE26  8``</v>
          </cell>
        </row>
        <row r="910">
          <cell r="B910" t="str">
            <v>Tuberia (U. Platino) RDE26 (4")</v>
          </cell>
        </row>
        <row r="911">
          <cell r="B911" t="str">
            <v>Tuberia (U. Platino) RDE26 (6")</v>
          </cell>
        </row>
        <row r="912">
          <cell r="B912" t="str">
            <v>TUBERIA (U. PLATINO) RDE32.5  10``</v>
          </cell>
        </row>
        <row r="913">
          <cell r="B913" t="str">
            <v>TUBERIA (U. PLATINO) RDE32.5  12``</v>
          </cell>
        </row>
        <row r="914">
          <cell r="B914" t="str">
            <v>TUBERIA (U. PLATINO) RDE32.5  14``</v>
          </cell>
        </row>
        <row r="915">
          <cell r="B915" t="str">
            <v>TUBERIA (U. PLATINO) RDE32.5  16``</v>
          </cell>
        </row>
        <row r="916">
          <cell r="B916" t="str">
            <v>TUBERIA (U. PLATINO) RDE32.5  18``</v>
          </cell>
        </row>
        <row r="917">
          <cell r="B917" t="str">
            <v>TUBERIA (U. PLATINO) RDE32.5  20``</v>
          </cell>
        </row>
        <row r="918">
          <cell r="B918" t="str">
            <v>TUBERIA (U. PLATINO) RDE32.5  3``</v>
          </cell>
        </row>
        <row r="919">
          <cell r="B919" t="str">
            <v>TUBERIA (U. PLATINO) RDE32.5  4``</v>
          </cell>
        </row>
        <row r="920">
          <cell r="B920" t="str">
            <v>TUBERIA (U. PLATINO) RDE32.5  6``</v>
          </cell>
        </row>
        <row r="921">
          <cell r="B921" t="str">
            <v>TUBERIA (U. PLATINO) RDE32.5  8``</v>
          </cell>
        </row>
        <row r="922">
          <cell r="B922" t="str">
            <v>TUBERIA (U. PLATINO) RDE41  10``</v>
          </cell>
        </row>
        <row r="923">
          <cell r="B923" t="str">
            <v>TUBERIA (U. PLATINO) RDE41  12``</v>
          </cell>
        </row>
        <row r="924">
          <cell r="B924" t="str">
            <v>TUBERIA (U. PLATINO) RDE41  14``</v>
          </cell>
        </row>
        <row r="925">
          <cell r="B925" t="str">
            <v>TUBERIA (U. PLATINO) RDE41  16``</v>
          </cell>
        </row>
        <row r="926">
          <cell r="B926" t="str">
            <v>TUBERIA (U. PLATINO) RDE41  18``</v>
          </cell>
        </row>
        <row r="927">
          <cell r="B927" t="str">
            <v>TUBERIA (U. PLATINO) RDE41  20``</v>
          </cell>
        </row>
        <row r="928">
          <cell r="B928" t="str">
            <v>TUBERIA (U. PLATINO) RDE41  4``</v>
          </cell>
        </row>
        <row r="929">
          <cell r="B929" t="str">
            <v>TUBERIA (U. PLATINO) RDE41  6``</v>
          </cell>
        </row>
        <row r="930">
          <cell r="B930" t="str">
            <v>TUBERIA (U. PLATINO) RDE41  8``</v>
          </cell>
        </row>
        <row r="931">
          <cell r="B931" t="str">
            <v>Tubería alcant. concreto simple 150mm 6`` junta espigo campana y empaque de caucho</v>
          </cell>
        </row>
        <row r="932">
          <cell r="B932" t="str">
            <v>Tubería alcant. concreto simple 200mm 8`` junta espigo campana y empaque de caucho</v>
          </cell>
        </row>
        <row r="933">
          <cell r="B933" t="str">
            <v>Tubería alcant. concreto simple 250mm 10`` junta espigo campana y empaque de caucho</v>
          </cell>
        </row>
        <row r="934">
          <cell r="B934" t="str">
            <v>Tubería alcant. concreto simple 315mm 12`` junta espigo campana y empaque de caucho</v>
          </cell>
        </row>
        <row r="935">
          <cell r="B935" t="str">
            <v>Tubería alcant. PVC (Novafort) 100mm 4``</v>
          </cell>
        </row>
        <row r="936">
          <cell r="B936" t="str">
            <v>Tubería alcant. PVC (Novafort) 160mm 6``</v>
          </cell>
        </row>
        <row r="937">
          <cell r="B937" t="str">
            <v>TUBERIA ALCANT. PVC (NOVAFORT) 200mm 8``</v>
          </cell>
        </row>
        <row r="938">
          <cell r="B938" t="str">
            <v>Tubería alcant. PVC (Novafort) 200mm 8``</v>
          </cell>
        </row>
        <row r="939">
          <cell r="B939" t="str">
            <v>Tubería alcant. PVC (Novafort) 250mm 10``</v>
          </cell>
        </row>
        <row r="940">
          <cell r="B940" t="str">
            <v>Tubería alcant. PVC (Novafort) 315mm 12``</v>
          </cell>
        </row>
        <row r="941">
          <cell r="B941" t="str">
            <v>Tubería alcant. PVC (Novafort) 355mm 14``</v>
          </cell>
        </row>
        <row r="942">
          <cell r="B942" t="str">
            <v>Tubería alcant. PVC (Novafort) 400mm 16``</v>
          </cell>
        </row>
        <row r="943">
          <cell r="B943" t="str">
            <v>Tubería alcant. PVC (Novafort) 450mm 18``</v>
          </cell>
        </row>
        <row r="944">
          <cell r="B944" t="str">
            <v>Tubería alcant. PVC (Novafort) 500mm 20``</v>
          </cell>
        </row>
        <row r="945">
          <cell r="B945" t="str">
            <v>Tubería alcant. PVC (Novaloc)  610mm 24``</v>
          </cell>
        </row>
        <row r="946">
          <cell r="B946" t="str">
            <v>Tubería alcant. PVC (Novaloc) 27``</v>
          </cell>
        </row>
        <row r="947">
          <cell r="B947" t="str">
            <v>Tubería alcant. PVC (Novaloc) 30``</v>
          </cell>
        </row>
        <row r="948">
          <cell r="B948" t="str">
            <v>Tubería alcant. PVC (Novaloc) 33``</v>
          </cell>
        </row>
        <row r="949">
          <cell r="B949" t="str">
            <v>Tubería alcant. PVC (Novaloc) 36``</v>
          </cell>
        </row>
        <row r="950">
          <cell r="B950" t="str">
            <v>Tubería alcant. PVC (Novaloc) 39``</v>
          </cell>
        </row>
        <row r="951">
          <cell r="B951" t="str">
            <v>Tubería alcant. PVC (Novaloc) 42``</v>
          </cell>
        </row>
        <row r="952">
          <cell r="B952" t="str">
            <v>Tubería alcant. PVC (Novaloc) 45``</v>
          </cell>
        </row>
        <row r="953">
          <cell r="B953" t="str">
            <v>Tubería alcant. PVC (Novaloc) 48``</v>
          </cell>
        </row>
        <row r="954">
          <cell r="B954" t="str">
            <v>Tubería alcant. PVC (Novaloc) 51``</v>
          </cell>
        </row>
        <row r="955">
          <cell r="B955" t="str">
            <v>Tubería alcant. PVC (Novaloc) 54``</v>
          </cell>
        </row>
        <row r="956">
          <cell r="B956" t="str">
            <v>Tubería alcant. PVC (Novaloc) 57``</v>
          </cell>
        </row>
        <row r="957">
          <cell r="B957" t="str">
            <v>Tubería alcant. PVC (Novaloc) 60``</v>
          </cell>
        </row>
        <row r="958">
          <cell r="B958" t="str">
            <v>TUBERIA ALCANT. PVC 100 mm 4``</v>
          </cell>
        </row>
        <row r="959">
          <cell r="B959" t="str">
            <v>Tuberia alcantarillado</v>
          </cell>
        </row>
        <row r="960">
          <cell r="B960" t="str">
            <v>TUBERIA CONCRETO ACUED. ESPIGO CAMPANA 10"</v>
          </cell>
        </row>
        <row r="961">
          <cell r="B961" t="str">
            <v>TUBERIA CONCRETO ACUED. ESPIGO CAMPANA 14"</v>
          </cell>
        </row>
        <row r="962">
          <cell r="B962" t="str">
            <v xml:space="preserve">Tuberia en acero ASTM A-53 SCH 40 10" </v>
          </cell>
        </row>
        <row r="963">
          <cell r="B963" t="str">
            <v xml:space="preserve">Tuberia en acero ASTM A-53 SCH 40 12" </v>
          </cell>
        </row>
        <row r="964">
          <cell r="B964" t="str">
            <v xml:space="preserve">Tuberia en acero ASTM A-53 SCH 40 14" </v>
          </cell>
        </row>
        <row r="965">
          <cell r="B965" t="str">
            <v xml:space="preserve">Tuberia en acero ASTM A-53 SCH 40 3" </v>
          </cell>
        </row>
        <row r="966">
          <cell r="B966" t="str">
            <v xml:space="preserve">Tuberia en acero ASTM A-53 SCH 40 4" </v>
          </cell>
        </row>
        <row r="967">
          <cell r="B967" t="str">
            <v xml:space="preserve">Tuberia en acero ASTM A-53 SCH 40 6" </v>
          </cell>
        </row>
        <row r="968">
          <cell r="B968" t="str">
            <v xml:space="preserve">Tuberia en acero ASTM A-53 SCH 40 8" </v>
          </cell>
        </row>
        <row r="969">
          <cell r="B969" t="str">
            <v>Tuberia en H.D 10"(250mm)</v>
          </cell>
        </row>
        <row r="970">
          <cell r="B970" t="str">
            <v>Tuberia en H.D 12"(300mm)</v>
          </cell>
        </row>
        <row r="971">
          <cell r="B971" t="str">
            <v>Tuberia en HD de Ø 1 1/4"</v>
          </cell>
        </row>
        <row r="972">
          <cell r="B972" t="str">
            <v>TUBERIA PF+UAD RDE9  1/2``</v>
          </cell>
        </row>
        <row r="973">
          <cell r="B973" t="str">
            <v>TUBERIA PVC ACUED. PRES. EXT. LISOS RDE11  3/4"</v>
          </cell>
        </row>
        <row r="974">
          <cell r="B974" t="str">
            <v>TUBERIA PVC ACUED. PRES. EXT. LISOS RDE13.5  1"</v>
          </cell>
        </row>
        <row r="975">
          <cell r="B975" t="str">
            <v>TUBERIA PVC ACUED. PRES. EXT. LISOS RDE13.5  1/2"</v>
          </cell>
        </row>
        <row r="976">
          <cell r="B976" t="str">
            <v>TUBERIA PVC ACUED. PRES. EXT. LISOS RDE21  1 1/2"</v>
          </cell>
        </row>
        <row r="977">
          <cell r="B977" t="str">
            <v>TUBERIA PVC ACUED. PRES. EXT. LISOS RDE21  1 1/4"</v>
          </cell>
        </row>
        <row r="978">
          <cell r="B978" t="str">
            <v>TUBERIA PVC ACUED. PRES. EXT. LISOS RDE21  1"</v>
          </cell>
        </row>
        <row r="979">
          <cell r="B979" t="str">
            <v>TUBERIA PVC ACUED. PRES. EXT. LISOS RDE21  2"</v>
          </cell>
        </row>
        <row r="980">
          <cell r="B980" t="str">
            <v>TUBERIA PVC ACUED. PRES. EXT. LISOS RDE21  3/4"</v>
          </cell>
        </row>
        <row r="981">
          <cell r="B981" t="str">
            <v>TUBERIA PVC ACUED. PRES. EXT. LISOS RDE9  1/2"</v>
          </cell>
        </row>
        <row r="982">
          <cell r="B982" t="str">
            <v>Tuberia PVC corrugada 4"</v>
          </cell>
        </row>
        <row r="983">
          <cell r="B983" t="str">
            <v>Tuberia PVC corrugada 8"</v>
          </cell>
        </row>
        <row r="984">
          <cell r="B984" t="str">
            <v>Tuberia PVC Novafort 10" (250m)</v>
          </cell>
        </row>
        <row r="985">
          <cell r="B985" t="str">
            <v>Tuberia PVC Novafort 12" (315m)</v>
          </cell>
        </row>
        <row r="986">
          <cell r="B986" t="str">
            <v>Tuberia PVC Novafort 14" (350m)</v>
          </cell>
        </row>
        <row r="987">
          <cell r="B987" t="str">
            <v>Tuberia PVC Novafort 16" (400m)</v>
          </cell>
        </row>
        <row r="988">
          <cell r="B988" t="str">
            <v>Tuberia PVC Novafort 18" (450m)</v>
          </cell>
        </row>
        <row r="989">
          <cell r="B989" t="str">
            <v>Tuberia PVC Novafort 20" (500m)</v>
          </cell>
        </row>
        <row r="990">
          <cell r="B990" t="str">
            <v>Tuberia PVC Novafort 4" (110m)</v>
          </cell>
        </row>
        <row r="991">
          <cell r="B991" t="str">
            <v>Tuberia PVC Novafort 6" (160m)</v>
          </cell>
        </row>
        <row r="992">
          <cell r="B992" t="str">
            <v>Tuberia PVC Novafort 8" (200m)</v>
          </cell>
        </row>
        <row r="993">
          <cell r="B993" t="str">
            <v>TUBO PVC NOVAFORT D=8"</v>
          </cell>
        </row>
        <row r="994">
          <cell r="B994" t="str">
            <v>Turbidimetro digital de mesa</v>
          </cell>
        </row>
        <row r="995">
          <cell r="B995" t="str">
            <v>Turbina vertical Multietapas 8" Bridas</v>
          </cell>
        </row>
        <row r="996">
          <cell r="B996" t="str">
            <v>UNION ACUED. PVC  1 1/2"</v>
          </cell>
        </row>
        <row r="997">
          <cell r="B997" t="str">
            <v>UNION ACUED. PVC  1 1/4"</v>
          </cell>
        </row>
        <row r="998">
          <cell r="B998" t="str">
            <v>UNION ACUED. PVC  1"</v>
          </cell>
        </row>
        <row r="999">
          <cell r="B999" t="str">
            <v>UNION ACUED. PVC  1/2"</v>
          </cell>
        </row>
        <row r="1000">
          <cell r="B1000" t="str">
            <v>UNION ACUED. PVC  3/4"</v>
          </cell>
        </row>
        <row r="1001">
          <cell r="B1001" t="str">
            <v>Union Alcantarillado PVC (NOVAFORT) 110 mm 4"</v>
          </cell>
        </row>
        <row r="1002">
          <cell r="B1002" t="str">
            <v>Union Alcantarillado PVC (NOVAFORT) 160 mm 6"</v>
          </cell>
        </row>
        <row r="1003">
          <cell r="B1003" t="str">
            <v>Union Alcantarillado PVC (NOVAFORT) 200 mm 8"</v>
          </cell>
        </row>
        <row r="1004">
          <cell r="B1004" t="str">
            <v>Union Alcantarillado PVC (NOVAFORT) 250 mm 10"</v>
          </cell>
        </row>
        <row r="1005">
          <cell r="B1005" t="str">
            <v>Union Alcantarillado PVC (NOVAFORT) 315 mm 12"</v>
          </cell>
        </row>
        <row r="1006">
          <cell r="B1006" t="str">
            <v>Union Alcantarillado PVC (NOVAFORT) 350 mm 14"</v>
          </cell>
        </row>
        <row r="1007">
          <cell r="B1007" t="str">
            <v>Union Alcantarillado PVC (NOVAFORT) 400 mm 16"</v>
          </cell>
        </row>
        <row r="1008">
          <cell r="B1008" t="str">
            <v>Union Alcantarillado PVC (NOVAFORT) 450 mm 18"</v>
          </cell>
        </row>
        <row r="1009">
          <cell r="B1009" t="str">
            <v>Union Alcantarillado PVC (NOVAFORT) 500 mm 20"</v>
          </cell>
        </row>
        <row r="1010">
          <cell r="B1010" t="str">
            <v>Unión de construcción y reparación HD 6"</v>
          </cell>
        </row>
        <row r="1011">
          <cell r="B1011" t="str">
            <v>UNIÓN DE DESMONTAJE 10"</v>
          </cell>
        </row>
        <row r="1012">
          <cell r="B1012" t="str">
            <v>UNION DE DESMONTAJE 12"</v>
          </cell>
        </row>
        <row r="1013">
          <cell r="B1013" t="str">
            <v>UNION DE DESMONTAJE 14"</v>
          </cell>
        </row>
        <row r="1014">
          <cell r="B1014" t="str">
            <v>UNION DE DESMONTAJE 16"</v>
          </cell>
        </row>
        <row r="1015">
          <cell r="B1015" t="str">
            <v>UNION DE DESMONTAJE 2"</v>
          </cell>
        </row>
        <row r="1016">
          <cell r="B1016" t="str">
            <v>Union de desmontaje 3"</v>
          </cell>
        </row>
        <row r="1017">
          <cell r="B1017" t="str">
            <v>UNIÓN DE DESMONTAJE 3"</v>
          </cell>
        </row>
        <row r="1018">
          <cell r="B1018" t="str">
            <v>Union de desmontaje 4"</v>
          </cell>
        </row>
        <row r="1019">
          <cell r="B1019" t="str">
            <v>UNIÓN DE DESMONTAJE 4"</v>
          </cell>
        </row>
        <row r="1020">
          <cell r="B1020" t="str">
            <v>Union de desmontaje 6"</v>
          </cell>
        </row>
        <row r="1021">
          <cell r="B1021" t="str">
            <v>UNIÓN DE DESMONTAJE 6"</v>
          </cell>
        </row>
        <row r="1022">
          <cell r="B1022" t="str">
            <v>UNION DE DESMONTAJE 8"</v>
          </cell>
        </row>
        <row r="1023">
          <cell r="B1023" t="str">
            <v>Unión de desmontaje autoportante 2" extremos bridas</v>
          </cell>
        </row>
        <row r="1024">
          <cell r="B1024" t="str">
            <v>Unión de desmontaje autoportante 6" extremos bridas</v>
          </cell>
        </row>
        <row r="1025">
          <cell r="B1025" t="str">
            <v>Unión de desmontaje autoportante HD 6"</v>
          </cell>
        </row>
        <row r="1026">
          <cell r="B1026" t="str">
            <v>Unión de reparación PVC –  2 1/2"</v>
          </cell>
        </row>
        <row r="1027">
          <cell r="B1027" t="str">
            <v>UNION REPARACION (U. PLATINO) RDE21 10``</v>
          </cell>
        </row>
        <row r="1028">
          <cell r="B1028" t="str">
            <v>UNION REPARACION (U. PLATINO) RDE21 2``</v>
          </cell>
        </row>
        <row r="1029">
          <cell r="B1029" t="str">
            <v>UNION REPARACION (U. PLATINO) RDE21 3``</v>
          </cell>
        </row>
        <row r="1030">
          <cell r="B1030" t="str">
            <v>UNION REPARACION (U. PLATINO) RDE21 4``</v>
          </cell>
        </row>
        <row r="1031">
          <cell r="B1031" t="str">
            <v>UNION REPARACION (U. PLATINO) RDE21 6``</v>
          </cell>
        </row>
        <row r="1032">
          <cell r="B1032" t="str">
            <v>UNION REPARACION (U. PLATINO) RDE21 8``</v>
          </cell>
        </row>
        <row r="1033">
          <cell r="B1033" t="str">
            <v>Unión tipo Dresser HD 10" (250mm)</v>
          </cell>
        </row>
        <row r="1034">
          <cell r="B1034" t="str">
            <v>Unión tipo Dresser HD 12" (300mm)</v>
          </cell>
        </row>
        <row r="1035">
          <cell r="B1035" t="str">
            <v>Unión tipo Dresser HD 14" (350mm)</v>
          </cell>
        </row>
        <row r="1036">
          <cell r="B1036" t="str">
            <v>Unión tipo Dresser HD 16" (400mm)</v>
          </cell>
        </row>
        <row r="1037">
          <cell r="B1037" t="str">
            <v>Unión tipo Dresser HD 18" (450mm)</v>
          </cell>
        </row>
        <row r="1038">
          <cell r="B1038" t="str">
            <v>Unión tipo Dresser HD 2" (50mm)</v>
          </cell>
        </row>
        <row r="1039">
          <cell r="B1039" t="str">
            <v>Unión tipo Dresser HD 20" (500mm)</v>
          </cell>
        </row>
        <row r="1040">
          <cell r="B1040" t="str">
            <v>Unión tipo Dresser HD 3" (75mm)</v>
          </cell>
        </row>
        <row r="1041">
          <cell r="B1041" t="str">
            <v>Unión tipo Dresser HD 4" (100mm)</v>
          </cell>
        </row>
        <row r="1042">
          <cell r="B1042" t="str">
            <v>Unión tipo Dresser HD 6" (150mm)</v>
          </cell>
        </row>
        <row r="1043">
          <cell r="B1043" t="str">
            <v>Unión tipo Dresser HD 8" (200mm)</v>
          </cell>
        </row>
        <row r="1044">
          <cell r="B1044" t="str">
            <v>Union Universal HD-10" (rango 268 mm a 286 mm) R1</v>
          </cell>
        </row>
        <row r="1045">
          <cell r="B1045" t="str">
            <v>Union Universal HD-10" (rango 292 mm a 310 mm) R2</v>
          </cell>
        </row>
        <row r="1046">
          <cell r="B1046" t="str">
            <v>Union Universal HD-12" (rango 315 mm a 333 mm) R1</v>
          </cell>
        </row>
        <row r="1047">
          <cell r="B1047" t="str">
            <v>Union Universal HD-12" (rango 350 mm a 368 mm) R3</v>
          </cell>
        </row>
        <row r="1048">
          <cell r="B1048" t="str">
            <v>Union Universal HD-16" (417 mm a 432 mm)</v>
          </cell>
        </row>
        <row r="1049">
          <cell r="B1049" t="str">
            <v>Union Universal HD-2" (rango 57 mm a 70 mm)</v>
          </cell>
        </row>
        <row r="1050">
          <cell r="B1050" t="str">
            <v>Union Universal HD-3" (rango 85 mm a 103 mm)</v>
          </cell>
        </row>
        <row r="1051">
          <cell r="B1051" t="str">
            <v>Union Universal HD-4" (rango 110 mm a 128 mm)</v>
          </cell>
        </row>
        <row r="1052">
          <cell r="B1052" t="str">
            <v>Union Universal HD-6" (rango 159 mm a 181 mm) R1</v>
          </cell>
        </row>
        <row r="1053">
          <cell r="B1053" t="str">
            <v>Union Universal HD-6" (rango 167 mm a 189 mm) R2</v>
          </cell>
        </row>
        <row r="1054">
          <cell r="B1054" t="str">
            <v>Union Universal HD-8" (rango 218 mm a 235 mm) R1</v>
          </cell>
        </row>
        <row r="1055">
          <cell r="B1055" t="str">
            <v>Union Universal HD-8" (rango 234 mm a 252 mm) R2</v>
          </cell>
        </row>
        <row r="1056">
          <cell r="B1056" t="str">
            <v>VALV. COMP.S.ELAST. H.D. EXT.BRIDA (100mm)  4"</v>
          </cell>
        </row>
        <row r="1057">
          <cell r="B1057" t="str">
            <v>VALV. COMP.S.ELAST. H.D. EXT.BRIDA (150mm)  6"</v>
          </cell>
        </row>
        <row r="1058">
          <cell r="B1058" t="str">
            <v>VALV. COMP.S.ELAST. H.D. EXT.BRIDA (200mm)  8"</v>
          </cell>
        </row>
        <row r="1059">
          <cell r="B1059" t="str">
            <v>VALV. COMP.S.ELAST. H.D. EXT.BRIDA (250mm)  10"</v>
          </cell>
        </row>
        <row r="1060">
          <cell r="B1060" t="str">
            <v>VALV. COMP.S.ELAST. H.D. EXT.BRIDA (250mm)  12"</v>
          </cell>
        </row>
        <row r="1061">
          <cell r="B1061" t="str">
            <v>VALV. COMP.S.ELAST. H.D. EXT.BRIDA (50mm)  2"</v>
          </cell>
        </row>
        <row r="1062">
          <cell r="B1062" t="str">
            <v>VALV. COMP.S.ELAST. H.D. EXT.BRIDA (80mm)  3"</v>
          </cell>
        </row>
        <row r="1063">
          <cell r="B1063" t="str">
            <v>VALVULA COMP. ELÁST., EXTR. LISOS/JH (75mm) 3``</v>
          </cell>
        </row>
        <row r="1064">
          <cell r="B1064" t="str">
            <v>Valvula Compuerta Elastica Extremos Brida Vastago no Ascendente (100mm)  4"</v>
          </cell>
        </row>
        <row r="1065">
          <cell r="B1065" t="str">
            <v>Valvula Compuerta Elastica Extremos Brida Vastago no Ascendente (150mm)  6"</v>
          </cell>
        </row>
        <row r="1066">
          <cell r="B1066" t="str">
            <v>Valvula Compuerta Elastica Extremos Brida Vastago no Ascendente (50mm)  2"</v>
          </cell>
        </row>
        <row r="1067">
          <cell r="B1067" t="str">
            <v>Valvula Compuerta Elastica Extremos Brida Vastago no Ascendente (75mm)  3"</v>
          </cell>
        </row>
        <row r="1068">
          <cell r="B1068" t="str">
            <v>Valvula Compuerta Elastica Extremos Brida Vastago no Ascendente 3/4"</v>
          </cell>
        </row>
        <row r="1069">
          <cell r="B1069" t="str">
            <v>VÁLVULA COMPUERTA SELLO BRONCE DE 10"</v>
          </cell>
        </row>
        <row r="1070">
          <cell r="B1070" t="str">
            <v>VÁLVULA COMPUERTA SELLO BRONCE DE 10" BxB</v>
          </cell>
        </row>
        <row r="1071">
          <cell r="B1071" t="str">
            <v>VÁLVULA COMPUERTA SELLO BRONCE DE 2"</v>
          </cell>
        </row>
        <row r="1072">
          <cell r="B1072" t="str">
            <v>VÁLVULA COMPUERTA SELLO BRONCE DE 2-1/2"</v>
          </cell>
        </row>
        <row r="1073">
          <cell r="B1073" t="str">
            <v>VÁLVULA COMPUERTA SELLO BRONCE DE 3"</v>
          </cell>
        </row>
        <row r="1074">
          <cell r="B1074" t="str">
            <v>VÁLVULA COMPUERTA SELLO BRONCE DE 4"</v>
          </cell>
        </row>
        <row r="1075">
          <cell r="B1075" t="str">
            <v>VÁLVULA COMPUERTA SELLO BRONCE DE 6"</v>
          </cell>
        </row>
        <row r="1076">
          <cell r="B1076" t="str">
            <v>VÁLVULA COMPUERTA SELLO BRONCE DE 8" HD</v>
          </cell>
        </row>
        <row r="1077">
          <cell r="B1077" t="str">
            <v>Válvula de chapaleta 4" (100mm)</v>
          </cell>
        </row>
        <row r="1078">
          <cell r="B1078" t="str">
            <v>VALVULA DE MARIPOSA   4"</v>
          </cell>
        </row>
        <row r="1079">
          <cell r="B1079" t="str">
            <v xml:space="preserve">VALVULA DE MARIPOSA  2" </v>
          </cell>
        </row>
        <row r="1080">
          <cell r="B1080" t="str">
            <v xml:space="preserve">VALVULA DE MARIPOSA  3" </v>
          </cell>
        </row>
        <row r="1081">
          <cell r="B1081" t="str">
            <v>VALVULA DE MARIPOSA 10"</v>
          </cell>
        </row>
        <row r="1082">
          <cell r="B1082" t="str">
            <v>VALVULA DE MARIPOSA 6"</v>
          </cell>
        </row>
        <row r="1083">
          <cell r="B1083" t="str">
            <v>VALVULA DE MARIPOSA 8"</v>
          </cell>
        </row>
        <row r="1084">
          <cell r="B1084" t="str">
            <v>VALVULA DE MARIPOSA HD ∅2" BXB, DE OPERACION MANUAL</v>
          </cell>
        </row>
        <row r="1085">
          <cell r="B1085" t="str">
            <v>Válvula de pie 8" con coladera</v>
          </cell>
        </row>
        <row r="1086">
          <cell r="B1086" t="str">
            <v>Válvula de retención (cheque) 10" (250mm)</v>
          </cell>
        </row>
        <row r="1087">
          <cell r="B1087" t="str">
            <v>Válvula de retención (cheque) 12" (300mm)</v>
          </cell>
        </row>
        <row r="1088">
          <cell r="B1088" t="str">
            <v>Válvula de retención (cheque) 2" (50mm)</v>
          </cell>
        </row>
        <row r="1089">
          <cell r="B1089" t="str">
            <v>Válvula de retención (cheque) 3" (75mm)</v>
          </cell>
        </row>
        <row r="1090">
          <cell r="B1090" t="str">
            <v>Válvula de retención (cheque) 4" (100mm)</v>
          </cell>
        </row>
        <row r="1091">
          <cell r="B1091" t="str">
            <v>Válvula de retención (cheque) 6" (150mm)</v>
          </cell>
        </row>
        <row r="1092">
          <cell r="B1092" t="str">
            <v>Válvula de retención (cheque) 8" (200mm)</v>
          </cell>
        </row>
        <row r="1093">
          <cell r="B1093" t="str">
            <v>VALVULA REDUCTORA DE PRESIÓN  ANTICAVITACION 3"</v>
          </cell>
        </row>
        <row r="1094">
          <cell r="B1094" t="str">
            <v>Valvula reductora de presion 3"</v>
          </cell>
        </row>
        <row r="1095">
          <cell r="B1095" t="str">
            <v>ValvulaMariposa 8"</v>
          </cell>
        </row>
        <row r="1096">
          <cell r="B1096" t="str">
            <v>Varilla de 1/2" L= 1,06para tensores</v>
          </cell>
        </row>
        <row r="1097">
          <cell r="B1097" t="str">
            <v>varilla lisa 1"</v>
          </cell>
        </row>
        <row r="1098">
          <cell r="B1098" t="str">
            <v>Varilla Lisa 1" (6m)</v>
          </cell>
        </row>
        <row r="1099">
          <cell r="B1099" t="str">
            <v>varilla lisa 1/2"</v>
          </cell>
        </row>
        <row r="1100">
          <cell r="B1100" t="str">
            <v>Varilla lisa tipo A-37</v>
          </cell>
        </row>
        <row r="1101">
          <cell r="B1101" t="str">
            <v>VASTAGO EXTENS. ACERO, VALV. 10" - 14"</v>
          </cell>
        </row>
        <row r="1102">
          <cell r="B1102" t="str">
            <v>VASTAGO EXTENS. ACERO, VALV. 10`` - 14``</v>
          </cell>
        </row>
        <row r="1103">
          <cell r="B1103" t="str">
            <v>VASTAGO EXTENS. ACERO, VALV. 16`` - MAYOR.</v>
          </cell>
        </row>
        <row r="1104">
          <cell r="B1104" t="str">
            <v>VASTAGO EXTENS. ACERO, VALV. 2 - 4"</v>
          </cell>
        </row>
        <row r="1105">
          <cell r="B1105" t="str">
            <v>VASTAGO EXTENS. ACERO, VALV. 6 - 8"</v>
          </cell>
        </row>
        <row r="1106">
          <cell r="B1106" t="str">
            <v>VASTAGO EXTENS. ACERO, VALV. 6"</v>
          </cell>
        </row>
        <row r="1107">
          <cell r="B1107" t="str">
            <v>VASTAGO EXTENS. ACERO, VALV. 8`` - 10``</v>
          </cell>
        </row>
        <row r="1108">
          <cell r="B1108" t="str">
            <v>Vastago Extension 10"-16" (L=1m)</v>
          </cell>
        </row>
        <row r="1109">
          <cell r="B1109" t="str">
            <v>Vastago Extension 2"-4" (L=1m)</v>
          </cell>
        </row>
        <row r="1110">
          <cell r="B1110" t="str">
            <v>Vastago Extension 6"-8" (L=1m)</v>
          </cell>
        </row>
        <row r="1111">
          <cell r="B1111" t="str">
            <v>Vent-al  5020 de 100 x 100</v>
          </cell>
        </row>
        <row r="1112">
          <cell r="B1112" t="str">
            <v>Vent-al  5020 de 200 x 100</v>
          </cell>
        </row>
        <row r="1113">
          <cell r="B1113" t="str">
            <v>VENTANA DE 2X1 M. CON REJA LAMINA CAL. 20 DOS NAVES</v>
          </cell>
        </row>
        <row r="1114">
          <cell r="B1114" t="str">
            <v>Ventana Madera</v>
          </cell>
        </row>
        <row r="1115">
          <cell r="B1115" t="str">
            <v>VENTOSA CAM.DOBL.ACC.MULTIP. 2" BRIDA</v>
          </cell>
        </row>
        <row r="1116">
          <cell r="B1116" t="str">
            <v>VENTOSA CAM.DOBL.ACC.MULTIP. 2`` BRIDA</v>
          </cell>
        </row>
        <row r="1117">
          <cell r="B1117" t="str">
            <v>VENTOSA CAM.DOBL.ACC.MULTIP. 3`` BRIDA</v>
          </cell>
        </row>
        <row r="1118">
          <cell r="B1118" t="str">
            <v>VENTOSA CAM.SENCILLA DOBL.ACC. 3/4`` BRIDA</v>
          </cell>
        </row>
        <row r="1119">
          <cell r="B1119" t="str">
            <v>Ventosa Camara Doble Accion Multiple 2" Brida</v>
          </cell>
        </row>
        <row r="1120">
          <cell r="B1120" t="str">
            <v>Ventosa Camara Doble Accion Multiple 3" Brida</v>
          </cell>
        </row>
        <row r="1121">
          <cell r="B1121" t="str">
            <v>Ventosa Camara Doble Accion Multiple 3/4" Brida</v>
          </cell>
        </row>
        <row r="1122">
          <cell r="B1122" t="str">
            <v>Ventosa Camara Doble Accion Multiple 4" Brida</v>
          </cell>
        </row>
        <row r="1123">
          <cell r="B1123" t="str">
            <v>Ventosa Camara Doble Accion Multiple 6" Brida</v>
          </cell>
        </row>
        <row r="1124">
          <cell r="B1124" t="str">
            <v>Vidrio 4 mm</v>
          </cell>
        </row>
        <row r="1125">
          <cell r="B1125" t="str">
            <v>Viguetas prefabricadas (falso fondo) de 2,4 de longitud 0,27 y 0.30 m de base y de altura con 46 orificios φ3/4" (23 por cada costado separados cada 0.09 m centro a centro)</v>
          </cell>
        </row>
        <row r="1126">
          <cell r="B1126" t="str">
            <v>VINILO TIPO CORAZA</v>
          </cell>
        </row>
        <row r="1127">
          <cell r="B1127" t="str">
            <v>VINILO TIPO I</v>
          </cell>
        </row>
        <row r="1128">
          <cell r="B1128" t="str">
            <v>VINILTEX TIPO UNO</v>
          </cell>
        </row>
        <row r="1129">
          <cell r="B1129" t="str">
            <v>Win plastico</v>
          </cell>
        </row>
        <row r="1130">
          <cell r="B1130" t="str">
            <v>YEE 45 HD 6" JUNTA HIDRAULICA</v>
          </cell>
        </row>
        <row r="1131">
          <cell r="B1131" t="str">
            <v xml:space="preserve">Yee HD 3" X 3" (75mmx75mm)  </v>
          </cell>
        </row>
        <row r="1132">
          <cell r="B1132" t="str">
            <v>Listón cedro macho</v>
          </cell>
        </row>
        <row r="1133">
          <cell r="B1133" t="str">
            <v>Listón en ordinario</v>
          </cell>
        </row>
        <row r="1134">
          <cell r="B1134" t="str">
            <v>Adaptador Brida Universal (75mm)  (3")</v>
          </cell>
        </row>
        <row r="1135">
          <cell r="B1135" t="str">
            <v>CODO RADIO CORTO 45° (U. PLATINO) RDE21  2``</v>
          </cell>
        </row>
        <row r="1136">
          <cell r="B1136" t="str">
            <v>CODO RADIO CORTO 90° 1"</v>
          </cell>
        </row>
        <row r="1137">
          <cell r="B1137" t="str">
            <v>CODO RADIO CORTO 22.50° (U.PLATINO) RDE 21 2"</v>
          </cell>
        </row>
        <row r="1138">
          <cell r="B1138" t="str">
            <v>CODO RADIO CORTO 22.50° (U.PLATINO) RDE 21 4"</v>
          </cell>
        </row>
        <row r="1139">
          <cell r="B1139" t="str">
            <v>CODO RADIO CORTO 22.50° (U.PLATINO) RDE 21 6"</v>
          </cell>
        </row>
        <row r="1140">
          <cell r="B1140" t="str">
            <v>CODO RADIO CORTO 22.50° (U.PLATINO) RDE 21 8"</v>
          </cell>
        </row>
        <row r="1141">
          <cell r="B1141" t="str">
            <v>CODO RADIO CORTO 11.25° (U.PLATINO) RDE 21 8"</v>
          </cell>
        </row>
        <row r="1142">
          <cell r="B1142" t="str">
            <v>CODO RADIO CORTO 11.25° (U.PLATINO) RDE 21 6"</v>
          </cell>
        </row>
        <row r="1143">
          <cell r="B1143" t="str">
            <v>CODO RADIO CORTO 11.25° (U.PLATINO) RDE 21 3"</v>
          </cell>
        </row>
        <row r="1144">
          <cell r="B1144" t="str">
            <v>Cruceta HD – Presión Trabajo 250 PSI extremos lisos para PVC/AC 6x6”</v>
          </cell>
        </row>
        <row r="1145">
          <cell r="B1145" t="str">
            <v xml:space="preserve">Grama </v>
          </cell>
        </row>
        <row r="1146">
          <cell r="B1146" t="str">
            <v>Grifo Roscado Bronce 3/4"</v>
          </cell>
        </row>
        <row r="1147">
          <cell r="B1147" t="str">
            <v>HIDRANTE T.HUMED. CHICAG(MILAN) EXT.LISO/ JR. 2``</v>
          </cell>
        </row>
        <row r="1148">
          <cell r="B1148" t="str">
            <v>KIT DE NIVELACIÓN HIDRANTE MILÁN 2" L=300 mm</v>
          </cell>
        </row>
        <row r="1149">
          <cell r="B1149" t="str">
            <v>Niple HD Ø 4"-BxB; L=1,10m</v>
          </cell>
        </row>
        <row r="1150">
          <cell r="B1150" t="str">
            <v>Pasamuro HD ∅8'' BxE L = 0,45 m Z=0,23m</v>
          </cell>
        </row>
        <row r="1151">
          <cell r="B1151" t="str">
            <v xml:space="preserve">Pasamuro HD Ø 10"-BxB L=0,25m </v>
          </cell>
        </row>
        <row r="1152">
          <cell r="B1152" t="str">
            <v>Reducción HD - PVC/AC 8x3” extremos lisos</v>
          </cell>
        </row>
        <row r="1153">
          <cell r="B1153" t="str">
            <v>Reducción PVC 3" X 1"</v>
          </cell>
        </row>
        <row r="1154">
          <cell r="B1154" t="str">
            <v>Reducción PVC 2" X 1"</v>
          </cell>
        </row>
        <row r="1155">
          <cell r="B1155" t="str">
            <v>Reducción PVC 6" X 2"</v>
          </cell>
        </row>
        <row r="1156">
          <cell r="B1156" t="str">
            <v>Tapón PVC – 1”</v>
          </cell>
        </row>
        <row r="1157">
          <cell r="B1157" t="str">
            <v>Tee PVC 1"x1"</v>
          </cell>
        </row>
        <row r="1158">
          <cell r="B1158" t="str">
            <v xml:space="preserve">TEE HD 3" X 6" BRIDADA (75x150mm) </v>
          </cell>
        </row>
        <row r="1159">
          <cell r="B1159" t="str">
            <v>Tierra Negra</v>
          </cell>
        </row>
        <row r="1160">
          <cell r="B1160" t="str">
            <v>Tubería (U. Platino) RDE  13.5   (315 PSI) 1``</v>
          </cell>
        </row>
        <row r="1161">
          <cell r="B1161" t="str">
            <v>VÁLVULA COMPUERTA SELLO BRONCE DE 1"</v>
          </cell>
        </row>
        <row r="1162">
          <cell r="B1162" t="str">
            <v>Ventosa Camara Doble Accion Multiple 1" Brida</v>
          </cell>
        </row>
        <row r="1163">
          <cell r="B1163" t="str">
            <v>Niple HD ∅1'' BxE L = 11,90 m</v>
          </cell>
        </row>
        <row r="1164">
          <cell r="B1164" t="str">
            <v>Niple HD ∅1'' BxE L = 2,18 m</v>
          </cell>
        </row>
        <row r="1165">
          <cell r="B1165" t="str">
            <v>Niple HD ∅3'' BxE L = 0,52 m</v>
          </cell>
        </row>
        <row r="1166">
          <cell r="B1166" t="str">
            <v>Niple HD ∅4'' BxE L = 0,45 m</v>
          </cell>
        </row>
        <row r="1167">
          <cell r="B1167" t="str">
            <v>Niple HD ∅4'' BxE L = 1,80 m</v>
          </cell>
        </row>
        <row r="1168">
          <cell r="B1168" t="str">
            <v>Niple HD ∅4'' BxE L = 11,10 m</v>
          </cell>
        </row>
        <row r="1169">
          <cell r="B1169" t="str">
            <v>Niple HD ∅4'' BxE L = 1,70 m</v>
          </cell>
        </row>
        <row r="1170">
          <cell r="B1170" t="str">
            <v>Niple HD ∅4'' BxE L = 0,80 m</v>
          </cell>
        </row>
        <row r="1171">
          <cell r="B1171" t="str">
            <v>Niple HD ∅4'' BxE L = 11,85 m</v>
          </cell>
        </row>
        <row r="1172">
          <cell r="B1172" t="str">
            <v>Niple HD ∅4'' BxE L = 2,05 m</v>
          </cell>
        </row>
        <row r="1173">
          <cell r="B1173" t="str">
            <v>Niple HD Ø 3"-BxB; L=1,24m</v>
          </cell>
        </row>
        <row r="1174">
          <cell r="B1174" t="str">
            <v>Niple HD Ø 4"-BxB; L=3,95m</v>
          </cell>
        </row>
        <row r="1175">
          <cell r="B1175" t="str">
            <v>Niple HD Ø 8"-BxB; L=0,47m</v>
          </cell>
        </row>
        <row r="1176">
          <cell r="B1176" t="str">
            <v>Niple HD Ø 10"-BxB; L=0,71m</v>
          </cell>
        </row>
        <row r="1177">
          <cell r="B1177" t="str">
            <v>Niple HD Ø 6"-BxB; L=0,70m</v>
          </cell>
        </row>
        <row r="1178">
          <cell r="B1178" t="str">
            <v>Niple HD Ø 6"-BxB; L=2,20m</v>
          </cell>
        </row>
        <row r="1179">
          <cell r="B1179" t="str">
            <v>Pasamuro HD Ø 2"-BxB L=0,40m</v>
          </cell>
        </row>
        <row r="1180">
          <cell r="B1180" t="str">
            <v>Pasamuro HD Ø 2"-BxB L=0,65m</v>
          </cell>
        </row>
        <row r="1181">
          <cell r="B1181" t="str">
            <v>Pasamuro HD Ø 3"-BxB L=0,20m</v>
          </cell>
        </row>
        <row r="1182">
          <cell r="B1182" t="str">
            <v>Pasamuro HD Ø 3"-BxB L=0,25m</v>
          </cell>
        </row>
        <row r="1183">
          <cell r="B1183" t="str">
            <v>Pasamuro HD Ø 3"-BxB L=0,50m</v>
          </cell>
        </row>
        <row r="1184">
          <cell r="B1184" t="str">
            <v>Pasamuro HD Ø 4"-BxB L=0,25m</v>
          </cell>
        </row>
        <row r="1185">
          <cell r="B1185" t="str">
            <v xml:space="preserve">Pasamuro HD Ø 4"-BxB L=0,45m </v>
          </cell>
        </row>
        <row r="1186">
          <cell r="B1186" t="str">
            <v xml:space="preserve">Pasamuro HD Ø 6"-BxB L=0,25m </v>
          </cell>
        </row>
        <row r="1187">
          <cell r="B1187" t="str">
            <v xml:space="preserve">Pasamuro HD Ø 6"-BxB L=0,75m </v>
          </cell>
        </row>
        <row r="1188">
          <cell r="B1188" t="str">
            <v xml:space="preserve">Pasamuro HD Ø 6"-BxB L=2,45m </v>
          </cell>
        </row>
        <row r="1189">
          <cell r="B1189" t="str">
            <v xml:space="preserve">Pasamuro HD Ø 8"-BxB L=0,45m </v>
          </cell>
        </row>
        <row r="1190">
          <cell r="B1190" t="str">
            <v xml:space="preserve">Pasamuro HD Ø 8"-BxB L=0,37m </v>
          </cell>
        </row>
        <row r="1191">
          <cell r="B1191" t="str">
            <v>Pasamuro HD Ø 10"-BxB L=0,40m</v>
          </cell>
        </row>
        <row r="1192">
          <cell r="B1192" t="str">
            <v>Tuberia PVC Novafort 20" (500mm)</v>
          </cell>
        </row>
        <row r="1193">
          <cell r="B1193" t="str">
            <v>Tuberia PVC Novafort 18" (450mm)</v>
          </cell>
        </row>
        <row r="1194">
          <cell r="B1194" t="str">
            <v>Tuberia PVC Novafort 16" (400mm)</v>
          </cell>
        </row>
        <row r="1195">
          <cell r="B1195" t="str">
            <v>Tuberia PVC Novafort 14" (355mm)</v>
          </cell>
        </row>
        <row r="1196">
          <cell r="B1196" t="str">
            <v>Tuberia PVC Novafort 12" (315mm)</v>
          </cell>
        </row>
        <row r="1197">
          <cell r="B1197" t="str">
            <v>Tuberia PVC Novafort 10" (250mm)</v>
          </cell>
        </row>
        <row r="1198">
          <cell r="B1198" t="str">
            <v>Tuberia PVC Novafort 6" (160mm)</v>
          </cell>
        </row>
        <row r="1199">
          <cell r="B1199" t="str">
            <v>Tuberia PVC Novafort 4" (110mm)</v>
          </cell>
        </row>
        <row r="1200">
          <cell r="B1200" t="str">
            <v>Tuberia PVC-P 4" RDE 21</v>
          </cell>
        </row>
        <row r="1201">
          <cell r="B1201" t="str">
            <v>Tuberia PVC-P 6" RDE 21</v>
          </cell>
        </row>
        <row r="1202">
          <cell r="B1202" t="str">
            <v>Union Alcantarillado PVC (NOVAFORT) 355 mm 14"</v>
          </cell>
        </row>
        <row r="1203">
          <cell r="B1203" t="str">
            <v>Brida + Acople Universal 3"</v>
          </cell>
        </row>
        <row r="1204">
          <cell r="B1204" t="str">
            <v>Paso Elevado</v>
          </cell>
        </row>
        <row r="1205">
          <cell r="B1205" t="str">
            <v>Lámina cold rolled galvanizada cal. 16 1,22x2,44</v>
          </cell>
        </row>
        <row r="1206">
          <cell r="B1206" t="str">
            <v>Tira de caucho para empaques</v>
          </cell>
        </row>
        <row r="1207">
          <cell r="B1207" t="str">
            <v>Ángulo 1/2"x1/2"x3/16"</v>
          </cell>
        </row>
        <row r="1208">
          <cell r="B1208" t="str">
            <v>Alumol</v>
          </cell>
        </row>
        <row r="1209">
          <cell r="B1209" t="str">
            <v>Tubo estructural redondo 4" x 3.00 m</v>
          </cell>
        </row>
        <row r="1210">
          <cell r="B1210" t="str">
            <v>Platina 0,29x0,29x1/4"</v>
          </cell>
        </row>
        <row r="1211">
          <cell r="B1211" t="str">
            <v>Platina 0,10x0,15x1/4"</v>
          </cell>
        </row>
        <row r="1212">
          <cell r="B1212" t="str">
            <v>ACCESORIOS</v>
          </cell>
        </row>
        <row r="1213">
          <cell r="B1213" t="str">
            <v>ángulo 1"x1/4"x3/16"</v>
          </cell>
        </row>
        <row r="1214">
          <cell r="B1214" t="str">
            <v>COLLAR DERIVACION PARA PVC 3x3/4``</v>
          </cell>
        </row>
        <row r="1215">
          <cell r="B1215" t="str">
            <v>COLLAR DERIVACION PARA PVC 2x3/4``</v>
          </cell>
        </row>
        <row r="1216">
          <cell r="B1216" t="str">
            <v>válvula de flotador 4" (Hierro Control Piloto HKZP)</v>
          </cell>
        </row>
        <row r="1217">
          <cell r="B1217" t="str">
            <v>Te HD – Presión Trabajo 250 PSI extremos bridados 3x3”</v>
          </cell>
        </row>
        <row r="1218">
          <cell r="B1218" t="str">
            <v>Tee HD Ø 2" x 2" Bridas.</v>
          </cell>
        </row>
        <row r="1219">
          <cell r="B1219" t="str">
            <v>Válvula flotador bridada 2" modelo 124-01 de CLA-VAL.</v>
          </cell>
        </row>
        <row r="1220">
          <cell r="B1220" t="str">
            <v>ángulo en acero estructural 2x3/16" de 6 m</v>
          </cell>
        </row>
        <row r="1221">
          <cell r="B1221" t="str">
            <v>ángulo en acero estructural 2x1/8" de 6 m</v>
          </cell>
        </row>
        <row r="1222">
          <cell r="B1222" t="str">
            <v>Codo 90º en H.D. – Presión Trabajo 250 PSI extremos bridas 2½”</v>
          </cell>
        </row>
        <row r="1223">
          <cell r="B1223" t="str">
            <v>Te HD – Presión Trabajo 250 PSI extremos bridados 2½ x 2½”</v>
          </cell>
        </row>
        <row r="1224">
          <cell r="B1224" t="str">
            <v>Codo 45º en H.D. – Presión Trabajo 250 PSI extremos bridas 2½”</v>
          </cell>
        </row>
        <row r="1225">
          <cell r="B1225" t="str">
            <v>Alambre de puas 2</v>
          </cell>
        </row>
        <row r="1226">
          <cell r="B1226" t="str">
            <v>Poste de concreto 10 m x 510 kg Linea.</v>
          </cell>
        </row>
        <row r="1227">
          <cell r="B1227" t="str">
            <v>Tablero Parcial 4 circuitos.</v>
          </cell>
        </row>
        <row r="1228">
          <cell r="B1228" t="str">
            <v>Alambre cobre THW 12 AWG THHN/NN</v>
          </cell>
        </row>
        <row r="1229">
          <cell r="B1229" t="str">
            <v>Alambre cobre THW 10 AWG THHN/NN</v>
          </cell>
        </row>
        <row r="1230">
          <cell r="B1230" t="str">
            <v>Tubo Conduit PVC 1/2"</v>
          </cell>
        </row>
        <row r="1231">
          <cell r="B1231" t="str">
            <v>Interruptor Sencillo</v>
          </cell>
        </row>
        <row r="1232">
          <cell r="B1232" t="str">
            <v>Interruptor Doble</v>
          </cell>
        </row>
        <row r="1233">
          <cell r="B1233" t="str">
            <v>Roseta (Plafon)</v>
          </cell>
        </row>
        <row r="1234">
          <cell r="B1234" t="str">
            <v>Toma Doble Americana</v>
          </cell>
        </row>
        <row r="1235">
          <cell r="B1235" t="str">
            <v>Toma Trifásica</v>
          </cell>
        </row>
        <row r="1236">
          <cell r="B1236" t="str">
            <v>Arrancador directo manual</v>
          </cell>
        </row>
        <row r="1237">
          <cell r="B1237" t="str">
            <v>Gabinete para medidor</v>
          </cell>
        </row>
      </sheetData>
      <sheetData sheetId="4" refreshError="1"/>
      <sheetData sheetId="5" refreshError="1">
        <row r="2">
          <cell r="B2" t="str">
            <v>Herramienta Menor (3% MO)</v>
          </cell>
          <cell r="C2" t="str">
            <v>Gl</v>
          </cell>
          <cell r="D2">
            <v>0.03</v>
          </cell>
        </row>
        <row r="3">
          <cell r="B3" t="str">
            <v>Retroexcavadora de Llantas (Incluye Operario)</v>
          </cell>
          <cell r="C3" t="str">
            <v>Dia</v>
          </cell>
          <cell r="D3">
            <v>120000</v>
          </cell>
        </row>
        <row r="4">
          <cell r="B4" t="str">
            <v>Compresor (Incluye. Martillo, Operario, Combustible)</v>
          </cell>
          <cell r="C4" t="str">
            <v>Hr</v>
          </cell>
          <cell r="D4">
            <v>56900</v>
          </cell>
        </row>
        <row r="5">
          <cell r="B5" t="str">
            <v>COMPRESOR</v>
          </cell>
          <cell r="D5">
            <v>55000</v>
          </cell>
        </row>
        <row r="6">
          <cell r="B6" t="str">
            <v>VOLQUETA DE 5 M3</v>
          </cell>
          <cell r="C6" t="str">
            <v>m3</v>
          </cell>
          <cell r="D6">
            <v>10000</v>
          </cell>
        </row>
        <row r="7">
          <cell r="B7" t="str">
            <v>Vibrocompactador a Gasolina Tipo Canguro</v>
          </cell>
          <cell r="C7" t="str">
            <v>Hr</v>
          </cell>
          <cell r="D7">
            <v>5270</v>
          </cell>
        </row>
        <row r="8">
          <cell r="B8" t="str">
            <v>Retroexcavadora de Llantas (Incluye Operario)</v>
          </cell>
          <cell r="C8" t="str">
            <v>HR</v>
          </cell>
          <cell r="D8">
            <v>45000</v>
          </cell>
        </row>
        <row r="9">
          <cell r="B9" t="str">
            <v>Vibrocompactador 10Ton</v>
          </cell>
          <cell r="C9" t="str">
            <v>HR</v>
          </cell>
          <cell r="D9">
            <v>80000</v>
          </cell>
        </row>
        <row r="10">
          <cell r="B10" t="str">
            <v>Pulidora con disco diamantado</v>
          </cell>
          <cell r="C10" t="str">
            <v>Dia</v>
          </cell>
          <cell r="D10">
            <v>21000</v>
          </cell>
        </row>
        <row r="11">
          <cell r="B11" t="str">
            <v>CORTADORA CONCRETO (CORTE)</v>
          </cell>
          <cell r="D11">
            <v>7100</v>
          </cell>
        </row>
        <row r="12">
          <cell r="B12" t="str">
            <v>Finisher</v>
          </cell>
          <cell r="D12">
            <v>1100000</v>
          </cell>
        </row>
        <row r="13">
          <cell r="B13" t="str">
            <v>Vibrador de mezcla (Gasolina)</v>
          </cell>
          <cell r="C13" t="str">
            <v>Dia</v>
          </cell>
          <cell r="D13">
            <v>33659</v>
          </cell>
        </row>
        <row r="14">
          <cell r="B14" t="str">
            <v>Mezcladora Gasolina (1.5-2.0 Btos.)</v>
          </cell>
          <cell r="C14" t="str">
            <v>Dia</v>
          </cell>
          <cell r="D14">
            <v>52593</v>
          </cell>
        </row>
        <row r="15">
          <cell r="B15" t="str">
            <v>Equipo diferencial para 500kg</v>
          </cell>
          <cell r="C15" t="str">
            <v>Día</v>
          </cell>
          <cell r="D15">
            <v>50000</v>
          </cell>
        </row>
        <row r="16">
          <cell r="B16" t="str">
            <v>Herramienta menor</v>
          </cell>
          <cell r="C16" t="str">
            <v>GL</v>
          </cell>
          <cell r="D16">
            <v>3259</v>
          </cell>
        </row>
        <row r="17">
          <cell r="B17" t="str">
            <v>EQUIPO DE SOLDADURA</v>
          </cell>
          <cell r="D17">
            <v>16666.669999999998</v>
          </cell>
        </row>
        <row r="18">
          <cell r="B18" t="str">
            <v>HERRAMIENTA MENOR  (3% MO)</v>
          </cell>
          <cell r="D18">
            <v>3500.6020049999997</v>
          </cell>
        </row>
        <row r="19">
          <cell r="B19" t="str">
            <v>Andamio</v>
          </cell>
          <cell r="C19" t="str">
            <v>Dia</v>
          </cell>
          <cell r="D19">
            <v>300</v>
          </cell>
        </row>
        <row r="20">
          <cell r="B20" t="str">
            <v>PLUMA GRUA (CAP. 250KG)</v>
          </cell>
          <cell r="C20" t="str">
            <v>DIA</v>
          </cell>
          <cell r="D20">
            <v>67280</v>
          </cell>
        </row>
        <row r="22">
          <cell r="B22" t="str">
            <v>RETROEXCAVADORA DE ORUGA</v>
          </cell>
          <cell r="D22">
            <v>90000</v>
          </cell>
        </row>
        <row r="23">
          <cell r="B23" t="str">
            <v>Taladro industrial</v>
          </cell>
          <cell r="C23" t="str">
            <v>DÍA</v>
          </cell>
          <cell r="D23">
            <v>30000</v>
          </cell>
        </row>
        <row r="24">
          <cell r="B24" t="str">
            <v>EQUIPO DE SOLDADURA ELECTRICA</v>
          </cell>
          <cell r="D24">
            <v>50000</v>
          </cell>
        </row>
        <row r="25">
          <cell r="B25" t="str">
            <v>EQUIPO (CORTADORA, SIERRA, ELECTRICO, TALADRO, PULIDORA)</v>
          </cell>
          <cell r="D25">
            <v>2542</v>
          </cell>
        </row>
        <row r="26">
          <cell r="B26" t="str">
            <v>TALADRO INDUSTRIAL</v>
          </cell>
          <cell r="C26" t="str">
            <v>DÍA</v>
          </cell>
          <cell r="D26">
            <v>27450</v>
          </cell>
        </row>
        <row r="27">
          <cell r="B27" t="str">
            <v>Estacion Electronica</v>
          </cell>
          <cell r="C27" t="str">
            <v>Hr</v>
          </cell>
          <cell r="D27">
            <v>6549</v>
          </cell>
        </row>
        <row r="28">
          <cell r="B28" t="str">
            <v>Guadañadora</v>
          </cell>
          <cell r="C28" t="str">
            <v>Hr</v>
          </cell>
          <cell r="D28">
            <v>3848</v>
          </cell>
        </row>
        <row r="29">
          <cell r="B29" t="str">
            <v>Vibrocompactador a Gasolina Tipo Rana</v>
          </cell>
          <cell r="C29" t="str">
            <v>día</v>
          </cell>
          <cell r="D29">
            <v>35910</v>
          </cell>
        </row>
        <row r="30">
          <cell r="B30" t="str">
            <v>COMPACTADOR TANDEN (INC. OPERADOR Y COMBUST.)</v>
          </cell>
          <cell r="C30" t="str">
            <v>día</v>
          </cell>
          <cell r="D30">
            <v>70486.2</v>
          </cell>
        </row>
        <row r="31">
          <cell r="B31" t="str">
            <v>MOTOBOMBA GASOL./ELECT. (5 HP) 3``</v>
          </cell>
          <cell r="C31" t="str">
            <v>mes</v>
          </cell>
          <cell r="D31">
            <v>769500</v>
          </cell>
        </row>
        <row r="32">
          <cell r="B32" t="str">
            <v>Pistola para aplicación de epóxico</v>
          </cell>
          <cell r="C32" t="str">
            <v>día</v>
          </cell>
          <cell r="D32">
            <v>12000</v>
          </cell>
        </row>
        <row r="33">
          <cell r="B33" t="str">
            <v>Paral telescópico (3m)</v>
          </cell>
          <cell r="C33" t="str">
            <v>día</v>
          </cell>
          <cell r="D33">
            <v>309</v>
          </cell>
        </row>
      </sheetData>
      <sheetData sheetId="6" refreshError="1">
        <row r="2">
          <cell r="B2" t="str">
            <v>Transporte de maquinaria y equipo</v>
          </cell>
        </row>
        <row r="3">
          <cell r="B3" t="str">
            <v>Transporte de materiales</v>
          </cell>
          <cell r="C3" t="str">
            <v>Gl</v>
          </cell>
          <cell r="D3">
            <v>0.15</v>
          </cell>
        </row>
        <row r="4">
          <cell r="B4" t="str">
            <v>Volqueta 6m³</v>
          </cell>
          <cell r="C4" t="str">
            <v>Vj</v>
          </cell>
          <cell r="D4">
            <v>30226</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15%</v>
          </cell>
          <cell r="C9" t="str">
            <v>%</v>
          </cell>
          <cell r="D9">
            <v>0.15</v>
          </cell>
        </row>
        <row r="10">
          <cell r="B10" t="str">
            <v>Transporte factor 2%</v>
          </cell>
          <cell r="C10" t="str">
            <v>Gl</v>
          </cell>
          <cell r="D10">
            <v>0.02</v>
          </cell>
        </row>
        <row r="11">
          <cell r="B11" t="str">
            <v>Transporte factor 8%</v>
          </cell>
          <cell r="C11" t="str">
            <v>%</v>
          </cell>
          <cell r="D11">
            <v>0.08</v>
          </cell>
        </row>
        <row r="12">
          <cell r="B12" t="str">
            <v>TRANSPORTE FACTOR 2% MO</v>
          </cell>
          <cell r="C12" t="str">
            <v>Gl</v>
          </cell>
          <cell r="D12">
            <v>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cell r="B1" t="str">
            <v>DESCRIPCION</v>
          </cell>
          <cell r="C1" t="str">
            <v>UND</v>
          </cell>
          <cell r="D1" t="str">
            <v>VR/ UNIT</v>
          </cell>
        </row>
        <row r="2">
          <cell r="A2">
            <v>1</v>
          </cell>
          <cell r="B2" t="str">
            <v>PUNTILLA PROMEDIO</v>
          </cell>
          <cell r="C2" t="str">
            <v>LB</v>
          </cell>
          <cell r="D2">
            <v>2000</v>
          </cell>
        </row>
        <row r="3">
          <cell r="A3">
            <v>2</v>
          </cell>
          <cell r="B3" t="str">
            <v>POLIN</v>
          </cell>
          <cell r="C3" t="str">
            <v>ML</v>
          </cell>
          <cell r="D3">
            <v>1200</v>
          </cell>
        </row>
        <row r="4">
          <cell r="A4">
            <v>3</v>
          </cell>
          <cell r="B4" t="str">
            <v>CERCO</v>
          </cell>
          <cell r="C4" t="str">
            <v>ML</v>
          </cell>
          <cell r="D4">
            <v>2000</v>
          </cell>
        </row>
        <row r="5">
          <cell r="A5">
            <v>4</v>
          </cell>
          <cell r="B5" t="str">
            <v>ALAMBRE NEGRO No. 18</v>
          </cell>
          <cell r="C5" t="str">
            <v>KG</v>
          </cell>
          <cell r="D5">
            <v>2600</v>
          </cell>
          <cell r="F5" t="str">
            <v>OFICIAL</v>
          </cell>
        </row>
        <row r="6">
          <cell r="A6">
            <v>5</v>
          </cell>
          <cell r="B6" t="str">
            <v>CEMENTO</v>
          </cell>
          <cell r="C6" t="str">
            <v>KG</v>
          </cell>
          <cell r="D6">
            <v>400</v>
          </cell>
        </row>
        <row r="7">
          <cell r="A7">
            <v>6</v>
          </cell>
          <cell r="B7" t="str">
            <v>ARENA</v>
          </cell>
          <cell r="C7" t="str">
            <v>M3</v>
          </cell>
          <cell r="D7">
            <v>50000</v>
          </cell>
        </row>
        <row r="8">
          <cell r="A8">
            <v>7</v>
          </cell>
          <cell r="B8" t="str">
            <v>AGUA</v>
          </cell>
          <cell r="C8" t="str">
            <v>LT</v>
          </cell>
          <cell r="D8">
            <v>2</v>
          </cell>
        </row>
        <row r="9">
          <cell r="A9">
            <v>8</v>
          </cell>
          <cell r="B9" t="str">
            <v>GRAVILLA DE 1/2</v>
          </cell>
          <cell r="C9" t="str">
            <v>M3</v>
          </cell>
          <cell r="D9">
            <v>70000</v>
          </cell>
        </row>
        <row r="10">
          <cell r="A10">
            <v>9</v>
          </cell>
          <cell r="B10" t="str">
            <v>MEZCLADORA</v>
          </cell>
          <cell r="C10" t="str">
            <v>DIA</v>
          </cell>
          <cell r="D10">
            <v>45000</v>
          </cell>
          <cell r="G10">
            <v>0.85</v>
          </cell>
        </row>
        <row r="11">
          <cell r="A11">
            <v>10</v>
          </cell>
          <cell r="B11" t="str">
            <v>VIBRADOR</v>
          </cell>
          <cell r="C11" t="str">
            <v>DIA</v>
          </cell>
          <cell r="D11">
            <v>25000</v>
          </cell>
        </row>
        <row r="12">
          <cell r="A12">
            <v>11</v>
          </cell>
          <cell r="B12" t="str">
            <v>IMPERMEABILIZANTE</v>
          </cell>
          <cell r="C12" t="str">
            <v>LT</v>
          </cell>
          <cell r="D12">
            <v>7500</v>
          </cell>
        </row>
        <row r="13">
          <cell r="A13">
            <v>12</v>
          </cell>
          <cell r="B13" t="str">
            <v>ACERO DE REFUERZO</v>
          </cell>
          <cell r="C13" t="str">
            <v>KG</v>
          </cell>
          <cell r="D13">
            <v>2400</v>
          </cell>
        </row>
        <row r="14">
          <cell r="A14">
            <v>13</v>
          </cell>
          <cell r="B14" t="str">
            <v>TUBO PVC - P 4" U-Z RDE 26</v>
          </cell>
          <cell r="C14" t="str">
            <v>TUBO</v>
          </cell>
          <cell r="D14">
            <v>35500</v>
          </cell>
        </row>
        <row r="15">
          <cell r="A15">
            <v>14</v>
          </cell>
          <cell r="B15" t="str">
            <v>LUBRICANTE</v>
          </cell>
          <cell r="C15" t="str">
            <v>GL</v>
          </cell>
          <cell r="D15">
            <v>4500</v>
          </cell>
        </row>
        <row r="16">
          <cell r="A16">
            <v>15</v>
          </cell>
          <cell r="B16" t="str">
            <v>TUBO PVC - P 3/4" RDE 21</v>
          </cell>
          <cell r="C16" t="str">
            <v>ML</v>
          </cell>
          <cell r="D16">
            <v>2500</v>
          </cell>
        </row>
        <row r="17">
          <cell r="A17">
            <v>16</v>
          </cell>
          <cell r="B17" t="str">
            <v>LIMPIADOR Y SOLUCION</v>
          </cell>
          <cell r="C17" t="str">
            <v>GL</v>
          </cell>
          <cell r="D17">
            <v>6000</v>
          </cell>
        </row>
        <row r="18">
          <cell r="A18">
            <v>17</v>
          </cell>
          <cell r="B18" t="str">
            <v>UNION PVC 3/4"</v>
          </cell>
          <cell r="C18" t="str">
            <v>UN</v>
          </cell>
          <cell r="D18">
            <v>580</v>
          </cell>
        </row>
        <row r="19">
          <cell r="A19">
            <v>18</v>
          </cell>
          <cell r="B19" t="str">
            <v>TUBO PVC - P 2" U-Z</v>
          </cell>
          <cell r="C19" t="str">
            <v>ML</v>
          </cell>
          <cell r="D19">
            <v>15000</v>
          </cell>
        </row>
        <row r="20">
          <cell r="A20">
            <v>19</v>
          </cell>
          <cell r="B20" t="str">
            <v>TUBO PVC - P 1 1/2"</v>
          </cell>
          <cell r="C20" t="str">
            <v>ML</v>
          </cell>
          <cell r="D20">
            <v>12000</v>
          </cell>
        </row>
        <row r="21">
          <cell r="A21">
            <v>20</v>
          </cell>
          <cell r="B21" t="str">
            <v>UNION PVC 1 1/2"</v>
          </cell>
          <cell r="C21" t="str">
            <v>UN</v>
          </cell>
          <cell r="D21">
            <v>2350</v>
          </cell>
        </row>
        <row r="22">
          <cell r="A22">
            <v>21</v>
          </cell>
          <cell r="B22" t="str">
            <v>TUBO PVC - P 1"</v>
          </cell>
          <cell r="C22" t="str">
            <v>ML</v>
          </cell>
          <cell r="D22">
            <v>5200</v>
          </cell>
        </row>
        <row r="23">
          <cell r="A23">
            <v>22</v>
          </cell>
          <cell r="B23" t="str">
            <v>UNION PVC - P 1"</v>
          </cell>
          <cell r="C23" t="str">
            <v>UN</v>
          </cell>
          <cell r="D23">
            <v>950</v>
          </cell>
        </row>
        <row r="24">
          <cell r="A24">
            <v>23</v>
          </cell>
          <cell r="B24" t="str">
            <v>TUBO 1/2" PVC - P RDE 13,5</v>
          </cell>
          <cell r="C24" t="str">
            <v>ML</v>
          </cell>
          <cell r="D24">
            <v>1500</v>
          </cell>
        </row>
        <row r="25">
          <cell r="A25">
            <v>24</v>
          </cell>
          <cell r="B25" t="str">
            <v>ACCESORIOS PVC</v>
          </cell>
          <cell r="C25" t="str">
            <v>UN</v>
          </cell>
          <cell r="D25">
            <v>600</v>
          </cell>
        </row>
        <row r="26">
          <cell r="A26">
            <v>25</v>
          </cell>
          <cell r="B26" t="str">
            <v>VALVULA CORTINA 4" HF</v>
          </cell>
          <cell r="C26" t="str">
            <v>UN</v>
          </cell>
          <cell r="D26">
            <v>780000</v>
          </cell>
        </row>
        <row r="27">
          <cell r="A27">
            <v>26</v>
          </cell>
          <cell r="B27" t="str">
            <v>TUBERIA SANITARIA PVC 4" DE REBOSO</v>
          </cell>
          <cell r="C27" t="str">
            <v>TUBO</v>
          </cell>
          <cell r="D27">
            <v>35500</v>
          </cell>
        </row>
        <row r="28">
          <cell r="A28">
            <v>27</v>
          </cell>
          <cell r="B28" t="str">
            <v>CODO PVC - S 4" 90º</v>
          </cell>
          <cell r="C28" t="str">
            <v>UN</v>
          </cell>
          <cell r="D28">
            <v>11700</v>
          </cell>
        </row>
        <row r="29">
          <cell r="A29">
            <v>28</v>
          </cell>
          <cell r="B29" t="str">
            <v>TUBO PVC - P U-Z 1 1/4" RDE 21</v>
          </cell>
          <cell r="C29" t="str">
            <v>ML</v>
          </cell>
          <cell r="D29">
            <v>14400</v>
          </cell>
        </row>
        <row r="30">
          <cell r="A30">
            <v>29</v>
          </cell>
          <cell r="B30" t="str">
            <v>VALVULA DE REGISTRO DE 1/2"</v>
          </cell>
          <cell r="C30" t="str">
            <v>UN</v>
          </cell>
          <cell r="D30">
            <v>12000</v>
          </cell>
        </row>
        <row r="31">
          <cell r="A31">
            <v>30</v>
          </cell>
          <cell r="B31" t="str">
            <v>ADAPTADOR MACHO PVC - P 1/2"</v>
          </cell>
          <cell r="C31" t="str">
            <v>UN</v>
          </cell>
          <cell r="D31">
            <v>390</v>
          </cell>
        </row>
        <row r="32">
          <cell r="A32">
            <v>31</v>
          </cell>
          <cell r="B32" t="str">
            <v>ADAPTADOR HEMBRA PVC - P 1/2"</v>
          </cell>
          <cell r="C32" t="str">
            <v>UN</v>
          </cell>
          <cell r="D32">
            <v>800</v>
          </cell>
        </row>
        <row r="33">
          <cell r="A33">
            <v>32</v>
          </cell>
          <cell r="B33" t="str">
            <v>NIPLE HG (1/2*0,60 - 1/2*,2 - 1/2*1,50)</v>
          </cell>
          <cell r="C33" t="str">
            <v>UN</v>
          </cell>
          <cell r="D33">
            <v>22000</v>
          </cell>
        </row>
        <row r="34">
          <cell r="A34">
            <v>33</v>
          </cell>
          <cell r="B34" t="str">
            <v>CODO HG 1/2"*90- UNION HG 1/2"</v>
          </cell>
          <cell r="C34" t="str">
            <v>UN</v>
          </cell>
          <cell r="D34">
            <v>4000</v>
          </cell>
        </row>
        <row r="35">
          <cell r="A35">
            <v>34</v>
          </cell>
          <cell r="B35" t="str">
            <v>LLAVE TERMINAL DE 1/2"</v>
          </cell>
          <cell r="C35" t="str">
            <v>UN</v>
          </cell>
          <cell r="D35">
            <v>12000</v>
          </cell>
        </row>
        <row r="36">
          <cell r="A36">
            <v>35</v>
          </cell>
          <cell r="B36" t="str">
            <v>MICROMEDIDOR DE 1/2"</v>
          </cell>
          <cell r="C36" t="str">
            <v>UN</v>
          </cell>
          <cell r="D36">
            <v>65000</v>
          </cell>
        </row>
        <row r="37">
          <cell r="A37">
            <v>36</v>
          </cell>
          <cell r="B37" t="str">
            <v>VALVULA DE BOLA DE 1 1/2</v>
          </cell>
          <cell r="C37" t="str">
            <v>UN</v>
          </cell>
          <cell r="D37">
            <v>35000</v>
          </cell>
        </row>
        <row r="38">
          <cell r="A38">
            <v>37</v>
          </cell>
          <cell r="B38" t="str">
            <v>TEE PVC  1/2"</v>
          </cell>
          <cell r="C38" t="str">
            <v>UN</v>
          </cell>
          <cell r="D38">
            <v>8400</v>
          </cell>
        </row>
        <row r="39">
          <cell r="A39">
            <v>38</v>
          </cell>
          <cell r="B39" t="str">
            <v>ADAPTADOR MACHO PVC - P 1 1/2"</v>
          </cell>
          <cell r="C39" t="str">
            <v>UN</v>
          </cell>
          <cell r="D39">
            <v>3700</v>
          </cell>
        </row>
        <row r="40">
          <cell r="A40">
            <v>39</v>
          </cell>
          <cell r="B40" t="str">
            <v>VALVULA CORTINA 1"</v>
          </cell>
          <cell r="C40" t="str">
            <v>UN</v>
          </cell>
          <cell r="D40">
            <v>35000</v>
          </cell>
        </row>
        <row r="41">
          <cell r="A41">
            <v>40</v>
          </cell>
          <cell r="B41" t="str">
            <v>ADAPTADOR MACHO DE 1"</v>
          </cell>
          <cell r="C41" t="str">
            <v>UN</v>
          </cell>
          <cell r="D41">
            <v>1480</v>
          </cell>
        </row>
        <row r="42">
          <cell r="A42">
            <v>41</v>
          </cell>
          <cell r="B42" t="str">
            <v>VENTOSA DOBLE ACCION 1/2"</v>
          </cell>
          <cell r="C42" t="str">
            <v>UN</v>
          </cell>
          <cell r="D42">
            <v>180000</v>
          </cell>
        </row>
        <row r="43">
          <cell r="A43">
            <v>42</v>
          </cell>
          <cell r="B43" t="str">
            <v>COLLAR DE DERIVACION  DE 2"x1/2"</v>
          </cell>
          <cell r="C43" t="str">
            <v>UN</v>
          </cell>
          <cell r="D43">
            <v>5000</v>
          </cell>
        </row>
        <row r="44">
          <cell r="A44">
            <v>43</v>
          </cell>
          <cell r="B44" t="str">
            <v>NIPLE HG 1/2" * 0,50</v>
          </cell>
          <cell r="C44" t="str">
            <v>UN</v>
          </cell>
          <cell r="D44">
            <v>8000</v>
          </cell>
        </row>
        <row r="45">
          <cell r="A45">
            <v>44</v>
          </cell>
          <cell r="B45" t="str">
            <v>FLOTADOR Y ACCESORIOS</v>
          </cell>
          <cell r="C45" t="str">
            <v>GL</v>
          </cell>
          <cell r="D45">
            <v>264500</v>
          </cell>
        </row>
        <row r="46">
          <cell r="A46">
            <v>45</v>
          </cell>
          <cell r="B46" t="str">
            <v>CADENA HG 3/4"</v>
          </cell>
          <cell r="C46" t="str">
            <v>GL</v>
          </cell>
          <cell r="D46">
            <v>20000</v>
          </cell>
        </row>
        <row r="47">
          <cell r="A47">
            <v>46</v>
          </cell>
          <cell r="B47" t="str">
            <v>LIMPADOR Y SOLDADURA PVC 1/4 GAL</v>
          </cell>
          <cell r="C47" t="str">
            <v>GL</v>
          </cell>
          <cell r="D47">
            <v>60000</v>
          </cell>
        </row>
        <row r="48">
          <cell r="A48">
            <v>47</v>
          </cell>
          <cell r="B48" t="str">
            <v>UNION PVC - P 1/2"</v>
          </cell>
          <cell r="C48" t="str">
            <v>UN</v>
          </cell>
          <cell r="D48">
            <v>366</v>
          </cell>
        </row>
        <row r="49">
          <cell r="A49">
            <v>48</v>
          </cell>
          <cell r="B49" t="str">
            <v>VALVULA PURGA 3/4</v>
          </cell>
          <cell r="C49" t="str">
            <v>UN</v>
          </cell>
          <cell r="D49">
            <v>20000</v>
          </cell>
        </row>
        <row r="50">
          <cell r="A50">
            <v>49</v>
          </cell>
          <cell r="B50" t="str">
            <v>VALVULA DE CONTROL DE 3/4</v>
          </cell>
          <cell r="C50" t="str">
            <v>UN</v>
          </cell>
          <cell r="D50">
            <v>20000</v>
          </cell>
        </row>
        <row r="51">
          <cell r="A51">
            <v>50</v>
          </cell>
          <cell r="B51" t="str">
            <v>ADAPTADOR MACHO DE 3/4"</v>
          </cell>
          <cell r="C51" t="str">
            <v>UN</v>
          </cell>
          <cell r="D51">
            <v>708</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4200</v>
          </cell>
        </row>
        <row r="65">
          <cell r="A65">
            <v>64</v>
          </cell>
          <cell r="B65" t="str">
            <v>TUBERIA PVC RDE 32,5 DE 4" UM</v>
          </cell>
          <cell r="C65" t="str">
            <v>TUBO</v>
          </cell>
          <cell r="D65">
            <v>85000</v>
          </cell>
        </row>
        <row r="66">
          <cell r="A66">
            <v>65</v>
          </cell>
          <cell r="B66" t="str">
            <v>TUBERIA PVC RDE 26 DE 4" UM</v>
          </cell>
          <cell r="C66" t="str">
            <v>TUBO</v>
          </cell>
        </row>
        <row r="67">
          <cell r="A67">
            <v>66</v>
          </cell>
          <cell r="B67" t="str">
            <v>TUBERIA PVC RDE 32,5 DE 3" UM</v>
          </cell>
          <cell r="C67" t="str">
            <v>TUBO</v>
          </cell>
        </row>
        <row r="68">
          <cell r="A68">
            <v>67</v>
          </cell>
          <cell r="B68" t="str">
            <v>TUBERIA PVC RDE 26 DE 3" UM</v>
          </cell>
          <cell r="C68" t="str">
            <v>TUBO</v>
          </cell>
        </row>
        <row r="69">
          <cell r="A69">
            <v>68</v>
          </cell>
          <cell r="B69" t="str">
            <v>TUBERIA PVC RDE 21 DE 3" UM</v>
          </cell>
          <cell r="C69" t="str">
            <v>TUBO</v>
          </cell>
        </row>
        <row r="70">
          <cell r="A70">
            <v>69</v>
          </cell>
          <cell r="B70" t="str">
            <v>TUBERIA PVC RDE 26 DE 2 1/2" UM</v>
          </cell>
          <cell r="C70" t="str">
            <v>TUBO</v>
          </cell>
        </row>
        <row r="71">
          <cell r="A71">
            <v>70</v>
          </cell>
          <cell r="B71" t="str">
            <v>TUBERIA PVC RDE 26 DE 2" UM</v>
          </cell>
          <cell r="C71" t="str">
            <v>TUBO</v>
          </cell>
        </row>
        <row r="72">
          <cell r="A72">
            <v>71</v>
          </cell>
          <cell r="B72" t="str">
            <v>TUBERIA PVC RDE 21 DE 1 1/2" US</v>
          </cell>
          <cell r="C72" t="str">
            <v>TUBO</v>
          </cell>
        </row>
        <row r="73">
          <cell r="A73">
            <v>72</v>
          </cell>
          <cell r="B73" t="str">
            <v>TUBERIA PVC RDE 21 DE 1 1/4" US</v>
          </cell>
          <cell r="C73" t="str">
            <v>TUBO</v>
          </cell>
        </row>
        <row r="74">
          <cell r="A74">
            <v>73</v>
          </cell>
          <cell r="B74" t="str">
            <v>TUBERIA PVC RDE 21 DE 1" US</v>
          </cell>
          <cell r="C74" t="str">
            <v>TUBO</v>
          </cell>
        </row>
        <row r="75">
          <cell r="A75">
            <v>74</v>
          </cell>
          <cell r="B75" t="str">
            <v>TUBERIA PVC RDE 21 DE 3/4" US</v>
          </cell>
          <cell r="C75" t="str">
            <v>TUBO</v>
          </cell>
        </row>
        <row r="76">
          <cell r="A76">
            <v>75</v>
          </cell>
          <cell r="B76" t="str">
            <v>TUBERIA PVC RDE 13,5 DE 1/2" US</v>
          </cell>
          <cell r="C76" t="str">
            <v>TUBO</v>
          </cell>
        </row>
        <row r="77">
          <cell r="A77">
            <v>76</v>
          </cell>
          <cell r="B77" t="str">
            <v>UNION PVC DE 1 1/2"</v>
          </cell>
          <cell r="C77" t="str">
            <v>UN</v>
          </cell>
        </row>
        <row r="78">
          <cell r="A78">
            <v>77</v>
          </cell>
          <cell r="B78" t="str">
            <v>UNION PVC DE 1 1/4"</v>
          </cell>
          <cell r="C78" t="str">
            <v>UN</v>
          </cell>
        </row>
        <row r="79">
          <cell r="A79">
            <v>78</v>
          </cell>
          <cell r="B79" t="str">
            <v>UNION PVC DE 1 "</v>
          </cell>
          <cell r="C79" t="str">
            <v>UN</v>
          </cell>
        </row>
        <row r="80">
          <cell r="A80">
            <v>79</v>
          </cell>
          <cell r="B80" t="str">
            <v>UNION PVC DE 3/4"</v>
          </cell>
          <cell r="C80" t="str">
            <v>UN</v>
          </cell>
        </row>
        <row r="81">
          <cell r="A81">
            <v>80</v>
          </cell>
          <cell r="B81" t="str">
            <v>UNION PVC DE 1/2"</v>
          </cell>
          <cell r="C81" t="str">
            <v>UN</v>
          </cell>
        </row>
        <row r="82">
          <cell r="A82">
            <v>81</v>
          </cell>
          <cell r="B82" t="str">
            <v>REDUCCION  PVC DE 4"x 3"</v>
          </cell>
          <cell r="C82" t="str">
            <v>UN</v>
          </cell>
        </row>
        <row r="83">
          <cell r="A83">
            <v>82</v>
          </cell>
          <cell r="B83" t="str">
            <v>REDUCCION  PVC DE 3"x 2 1/2"</v>
          </cell>
          <cell r="C83" t="str">
            <v>UN</v>
          </cell>
        </row>
        <row r="84">
          <cell r="A84">
            <v>83</v>
          </cell>
          <cell r="B84" t="str">
            <v>REDUCCION  PVC DE 2 1 /2"x 2"</v>
          </cell>
          <cell r="C84" t="str">
            <v>UN</v>
          </cell>
        </row>
        <row r="85">
          <cell r="A85">
            <v>84</v>
          </cell>
          <cell r="B85" t="str">
            <v>BUJE SOLDADO PVC DE 2"x 1 1/2"</v>
          </cell>
          <cell r="C85" t="str">
            <v>UN</v>
          </cell>
        </row>
        <row r="86">
          <cell r="A86">
            <v>85</v>
          </cell>
          <cell r="B86" t="str">
            <v>BUJE SOLDADO PVC DE 1 1/2"x 1 1/4"</v>
          </cell>
          <cell r="C86" t="str">
            <v>UN</v>
          </cell>
        </row>
        <row r="87">
          <cell r="A87">
            <v>86</v>
          </cell>
          <cell r="B87" t="str">
            <v>BUJE SOLDADO PVC DE 1  1/2"x 1 "</v>
          </cell>
          <cell r="C87" t="str">
            <v>UN</v>
          </cell>
        </row>
        <row r="88">
          <cell r="A88">
            <v>87</v>
          </cell>
          <cell r="B88" t="str">
            <v>BUJE SOLDADO PVC DE 1 1/4"x 1"</v>
          </cell>
          <cell r="C88" t="str">
            <v>UN</v>
          </cell>
        </row>
        <row r="89">
          <cell r="A89">
            <v>88</v>
          </cell>
          <cell r="B89" t="str">
            <v>BUJE SOLDADO PVC DE 1  1/4"x 3/4"</v>
          </cell>
          <cell r="C89" t="str">
            <v>UN</v>
          </cell>
        </row>
        <row r="90">
          <cell r="A90">
            <v>89</v>
          </cell>
          <cell r="B90" t="str">
            <v>BUJE SOLDADO PVC DE 1"x 3/4"</v>
          </cell>
          <cell r="C90" t="str">
            <v>UN</v>
          </cell>
        </row>
        <row r="91">
          <cell r="A91">
            <v>90</v>
          </cell>
          <cell r="B91" t="str">
            <v>BUJE SOLDADO PVC DE 1"x 1/2"</v>
          </cell>
          <cell r="C91" t="str">
            <v>UN</v>
          </cell>
        </row>
        <row r="92">
          <cell r="A92">
            <v>91</v>
          </cell>
          <cell r="B92" t="str">
            <v>BUJE SOLDADO PVC DE 3/4"x 1/2"</v>
          </cell>
          <cell r="C92" t="str">
            <v>UN</v>
          </cell>
        </row>
        <row r="93">
          <cell r="A93">
            <v>92</v>
          </cell>
          <cell r="B93" t="str">
            <v>TEE PVC DE 1 1/2"</v>
          </cell>
          <cell r="C93" t="str">
            <v>UN</v>
          </cell>
        </row>
        <row r="94">
          <cell r="A94">
            <v>93</v>
          </cell>
          <cell r="B94" t="str">
            <v>TEE PVC DE 1 1/4"</v>
          </cell>
          <cell r="C94" t="str">
            <v>UN</v>
          </cell>
        </row>
        <row r="95">
          <cell r="A95">
            <v>94</v>
          </cell>
          <cell r="B95" t="str">
            <v>TEE PVC DE 1"</v>
          </cell>
          <cell r="C95" t="str">
            <v>UN</v>
          </cell>
        </row>
        <row r="96">
          <cell r="A96">
            <v>95</v>
          </cell>
          <cell r="B96" t="str">
            <v>TEE PVC REDUCIDA DE 1"x3/4"</v>
          </cell>
          <cell r="C96" t="str">
            <v>UN</v>
          </cell>
        </row>
        <row r="97">
          <cell r="A97">
            <v>96</v>
          </cell>
          <cell r="B97" t="str">
            <v>TEE PVC REDUCIDA DE 3/4"x1/2"</v>
          </cell>
          <cell r="C97" t="str">
            <v>UN</v>
          </cell>
        </row>
        <row r="98">
          <cell r="A98">
            <v>97</v>
          </cell>
          <cell r="B98" t="str">
            <v>VALVULA DE CORTINA DE 2  1 /2"</v>
          </cell>
          <cell r="C98" t="str">
            <v>UN</v>
          </cell>
        </row>
        <row r="99">
          <cell r="A99">
            <v>98</v>
          </cell>
          <cell r="B99" t="str">
            <v>VALVULA DE CORTINA DE 2"</v>
          </cell>
          <cell r="C99" t="str">
            <v>UN</v>
          </cell>
        </row>
        <row r="100">
          <cell r="A100">
            <v>99</v>
          </cell>
          <cell r="B100" t="str">
            <v>VALVULA DE CORTINA DE 1 1 /2"</v>
          </cell>
          <cell r="C100" t="str">
            <v>UN</v>
          </cell>
        </row>
        <row r="101">
          <cell r="A101">
            <v>100</v>
          </cell>
          <cell r="B101" t="str">
            <v>VALVULA DE CORTINA DE 1 1 /4"</v>
          </cell>
          <cell r="C101" t="str">
            <v>UN</v>
          </cell>
        </row>
        <row r="102">
          <cell r="A102">
            <v>101</v>
          </cell>
          <cell r="B102" t="str">
            <v>COLLAR DE DERIVACION  DE 4"x1/2"</v>
          </cell>
          <cell r="C102" t="str">
            <v>UN</v>
          </cell>
        </row>
        <row r="103">
          <cell r="A103">
            <v>102</v>
          </cell>
          <cell r="B103" t="str">
            <v>COLLAR DE DERIVACION  DE 3"x1/2"</v>
          </cell>
          <cell r="C103" t="str">
            <v>UN</v>
          </cell>
        </row>
        <row r="104">
          <cell r="A104">
            <v>103</v>
          </cell>
          <cell r="B104" t="str">
            <v>COLLAR DE DERIVACION  DE 2 1/2"x1/2"</v>
          </cell>
          <cell r="C104" t="str">
            <v>UN</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MANO_OBRA"/>
      <sheetName val="MANO_OBRA1"/>
      <sheetName val="MANO_OBRA2"/>
    </sheetNames>
    <sheetDataSet>
      <sheetData sheetId="0">
        <row r="2">
          <cell r="B2">
            <v>0</v>
          </cell>
        </row>
      </sheetData>
      <sheetData sheetId="1">
        <row r="2">
          <cell r="B2">
            <v>0</v>
          </cell>
        </row>
      </sheetData>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sheetData sheetId="9"/>
      <sheetData sheetId="1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restaciones"/>
      <sheetName val="DESMONTE Y LIMPIEZA EN BOSQUE "/>
      <sheetName val="DESMONTE Y LIMPIEZA NO BOSQUE "/>
      <sheetName val="DEMOLICIÓN DE PAVIMENTOS"/>
      <sheetName val="REMOCIÓN DE ALCANTARILLAS  "/>
      <sheetName val="EXCAVACIÓN SIN CLASIFICAR"/>
      <sheetName val="EXPLANACIÓN ROCA"/>
      <sheetName val="EXPLANACIÓN MATERIAL COMÚN"/>
      <sheetName val="REMOCIÓN DE DERRUMBES"/>
      <sheetName val="TERRAPLENES"/>
      <sheetName val="CONFORMACIÓN DE LA CALZADA"/>
      <sheetName val="AFIRMADO"/>
      <sheetName val="SUBBASE"/>
      <sheetName val="BASE"/>
      <sheetName val="EXC.PARA REP.PAVIMENTO"/>
      <sheetName val="IMPRIMACIÓN"/>
      <sheetName val="RIEGO DE LIGA"/>
      <sheetName val="MDC-1"/>
      <sheetName val="MDC-2"/>
      <sheetName val="PARCHEO"/>
      <sheetName val="SELLO DE GRIETAS"/>
      <sheetName val="PAV-CONC.-HIDRÁULICO MR 42 "/>
      <sheetName val="PAV-CONC.-HIDRÁULICO MR 45 "/>
      <sheetName val="ADOQUIN"/>
      <sheetName val="GRAMOQUIN"/>
      <sheetName val="EXCAVACIÓN"/>
      <sheetName val="EXC.ROCA.SECO"/>
      <sheetName val="EXCAVACIÓN ROCA+AGUA"/>
      <sheetName val="EXC.VARIAS.MAT.SECO"/>
      <sheetName val="RELLENOS PARA ESTRUCTURAS"/>
      <sheetName val="PILOTES PRE-EXC."/>
      <sheetName val="PILOTE FUNDIDO"/>
      <sheetName val="CAMISA PERM.(ANILLOS CONC)"/>
      <sheetName val="ANCLAJE ACTIVO"/>
      <sheetName val="ANCLAJE PASIVO"/>
      <sheetName val="CONCRETO CLASE A (INSUMO)"/>
      <sheetName val="CONCRETO CLASE C (INSUMO)"/>
      <sheetName val="CONCRETO CLASE D (INSUMO)"/>
      <sheetName val="CONCRETO CLASE E (INSUMO)"/>
      <sheetName val="CONCRETO CLASE F (INSUMO)"/>
      <sheetName val="CONCRETO CLASE G (INSUMO)"/>
      <sheetName val="CONCRETO CLASE C"/>
      <sheetName val="CONCRETO CLASE D "/>
      <sheetName val="CONCRETO CLASE E"/>
      <sheetName val="CONCRETO CLASE F(LIMPIEZA)"/>
      <sheetName val="CONCRETO CLASE G"/>
      <sheetName val="CONCRETO CLASE C (Infra)"/>
      <sheetName val="CONCRETO CLASE C (Super) "/>
      <sheetName val="CONC. A MACIZO"/>
      <sheetName val="CONC. A ARCO"/>
      <sheetName val="CONC. A ARCO Y VIGAS"/>
      <sheetName val="CONC. A VIGAS TRANS.PREF"/>
      <sheetName val="CONC. A VIGAS LONG.PREF"/>
      <sheetName val="CONC. A REMATE VIGAS"/>
      <sheetName val="CONC. A TABLERO FONDO"/>
      <sheetName val="CONC. A TABLERO SUP."/>
      <sheetName val="CONC. A VIGA PREF.PUENTE"/>
      <sheetName val="CONC. A LOSA PUENTE"/>
      <sheetName val="CONC. CLASE C PILA"/>
      <sheetName val="CONC. CLASE C ZAPATAS"/>
      <sheetName val="CONC. CLASE C PEDESTALES"/>
      <sheetName val="CONC. CLASE C VIGAS"/>
      <sheetName val="CONC. CLASE COLUMNAS"/>
      <sheetName val="CONC. CLASE C VIGAS Y ESPALDAR"/>
      <sheetName val="CONC. C LOSA superior PILA"/>
      <sheetName val="CONC. C sobre LOSA PILA"/>
      <sheetName val="CONC. C BORDILLO"/>
      <sheetName val="CONC. C ANDEN ALIG."/>
      <sheetName val="CONC. CLASE D BASE PILA"/>
      <sheetName val="CONC. CLASE D IMPOSTA"/>
      <sheetName val="CONCRETO CLASE D(PIG.)"/>
      <sheetName val="CONTENEDOR DE RAÍCES"/>
      <sheetName val="ACERO DE REFUERZO"/>
      <sheetName val="MALLA REFUERZO"/>
      <sheetName val="INST.TENSIO.TENS"/>
      <sheetName val="REF TENSION.TORON 1-2&quot;"/>
      <sheetName val="REF TENSION.TORON 5-8&quot;"/>
      <sheetName val="APOYOS ELAST."/>
      <sheetName val="SELLOS PUENTES "/>
      <sheetName val="APYO ELAS.REDON"/>
      <sheetName val="APYO ELAS.CUAD"/>
      <sheetName val="JUNTA DILAT. TIPO A"/>
      <sheetName val="JUNTA DILAT. TIPO B"/>
      <sheetName val="CON.MESA NIV.ELAST"/>
      <sheetName val="JUNTA DILAT."/>
      <sheetName val="ESTRUCTURA METALICA"/>
      <sheetName val="PINTURA ESTRUCTURA METALICA"/>
      <sheetName val="SUMINS.INST.PEND"/>
      <sheetName val="BARRA ACERO"/>
      <sheetName val="BARANDAS METALICAS"/>
      <sheetName val="TUBERÍA DE CONCRETO 16&quot;"/>
      <sheetName val="TUBERÍA DE CONCRETO 20&quot;"/>
      <sheetName val="TUBERÍA DE CONCRETO 24&quot;"/>
      <sheetName val="TUBERÍA DE CONCRETO 36&quot;"/>
      <sheetName val="TUBERIA PERF. 2&quot;"/>
      <sheetName val="CUNETAS"/>
      <sheetName val="BORDILLO TIPO A"/>
      <sheetName val="BORDILLO TIPO B"/>
      <sheetName val="SARDINEL"/>
      <sheetName val="BARRERA"/>
      <sheetName val="GEOTEXTIL"/>
      <sheetName val="MATERIAL DRENANTE"/>
      <sheetName val="MATERIAL COBERTURA"/>
      <sheetName val="TUBERIA MICROPERFORADA"/>
      <sheetName val="DREN HORIZONTAL"/>
      <sheetName val="CONC. CLASE C+ARMADURA"/>
      <sheetName val="RELLENO GRANULAR"/>
      <sheetName val="GAVIONES"/>
      <sheetName val="IMP.DE ESTRUCTURAS"/>
      <sheetName val="LÍNEA DE DEMARCACIÓN "/>
      <sheetName val="MARCA VIAL"/>
      <sheetName val="TACHA REFLECTIVA  "/>
      <sheetName val="SEÑAL VERTICAL GRUPO I"/>
      <sheetName val="SEÑAL TIPO BANDERA"/>
      <sheetName val="SEÑAL VERTICAL"/>
      <sheetName val="CERCA DE ALAMBRE DE PÚAS"/>
      <sheetName val="JUNTA CONSTRUCCION"/>
      <sheetName val="TUBERIA 6 &quot;"/>
      <sheetName val="ENROCADO"/>
      <sheetName val="CÁMARA INSPECCIÓN"/>
      <sheetName val="PINTURA PROTECCIÓN"/>
      <sheetName val="EMPRADIZACION CESPED"/>
      <sheetName val="EMPRADIZACION SEMILLA"/>
      <sheetName val="ESPECIE ORNAMENTAL"/>
      <sheetName val="BARRERAS CON LIMONCILLO"/>
      <sheetName val="BARRERAS PORTE BAJO"/>
      <sheetName val="BARRERAS RÍGIDA ALTA"/>
      <sheetName val="BARRERAS RÍGIDA BAJA"/>
      <sheetName val="ARBOLES"/>
      <sheetName val="ARBUSTOS"/>
      <sheetName val="RASTROJO"/>
      <sheetName val="REVEGETALIZACIÓN"/>
      <sheetName val="INDUCCION PROFUNDA"/>
      <sheetName val="CONTROL COBERTURA VEGETAL"/>
      <sheetName val="ESTAQUILLADO"/>
      <sheetName val="MAMPOSTERIA EN SECO"/>
      <sheetName val="TAPONAMIENTO GRIETAS"/>
      <sheetName val="GEOTEXTIL estabilizacion"/>
      <sheetName val="TRINCHOS"/>
      <sheetName val="PERFORACIÓN TIERRA"/>
      <sheetName val="PERFORACIÓN CONGLOMERADO"/>
      <sheetName val="ARBOL ACACIA ROJA"/>
      <sheetName val="ARBOL ACACIA RUBIÑA"/>
      <sheetName val="ARBOL ALMENDRO"/>
      <sheetName val="ARBOL ARBOLOCO"/>
      <sheetName val="ARBOL BALSO BLANCO"/>
      <sheetName val="ÁRBOL BALSO Panelero"/>
      <sheetName val="ARBOL BALSO TAMBOR"/>
      <sheetName val="BAMBÚ"/>
      <sheetName val="ARBOL CADMIA"/>
      <sheetName val="ARBOL CALISTEMO"/>
      <sheetName val="ÁRBOL CAFÉ "/>
      <sheetName val="ÁRBOL CARACOLÍ "/>
      <sheetName val="ARBOL CARATEJO"/>
      <sheetName val="ARBOL CARB. QUIEBRACHO"/>
      <sheetName val="ÁRBOL CARB. GIGANTE"/>
      <sheetName val="ARBOL CARB. ROJO"/>
      <sheetName val="ARBOL CEDRO NEGRO"/>
      <sheetName val="ARBOL CEIBA"/>
      <sheetName val="ÁRBOL DRAGO "/>
      <sheetName val="GUADUA "/>
      <sheetName val="ÁRBOL GUALANDAY "/>
      <sheetName val="ÁRBOL GUAMO"/>
      <sheetName val="ARBOL GUAYABO"/>
      <sheetName val="ARBOL GUAYACAN AMARILLO"/>
      <sheetName val="ARBOL GUAYACAN ROSADO"/>
      <sheetName val="ARBOL HELECHO ARBOREO"/>
      <sheetName val="ÁRBOL LIMÓN"/>
      <sheetName val="ÁRBOL LIMÓN SWINGLIA"/>
      <sheetName val="ARBOL LLUVIA DE ORO"/>
      <sheetName val="ARBOL MAGNOLIO "/>
      <sheetName val="ARBOL MANGO"/>
      <sheetName val="ÁRBOL MANO DE OSO"/>
      <sheetName val="ARBOL MATARRATON"/>
      <sheetName val="ÁRBOL NARANJO"/>
      <sheetName val="PLÁTANO"/>
      <sheetName val="ARBOL SAMAN "/>
      <sheetName val="ARBOL TECA"/>
      <sheetName val="ARBOL TOTUMO"/>
      <sheetName val="ARBOL TULIPAN AFRICANO"/>
      <sheetName val="ARBOL YARUMO"/>
      <sheetName val="ÁRBOL YARUMO NEGRO"/>
      <sheetName val="ARBOL ZAPOTE"/>
      <sheetName val="PALMA BOTELLA"/>
      <sheetName val="PALMA DE CERA"/>
      <sheetName val="PALMA COROZO"/>
      <sheetName val="PALMA PHOENIX"/>
      <sheetName val="PALMA ZANCONA"/>
      <sheetName val="PALMA DEL VIAJERO"/>
      <sheetName val="MUEBLE URBANO"/>
      <sheetName val="BOLARDO"/>
      <sheetName val="APLIQUE PISO"/>
      <sheetName val="BANCA SIMPLE"/>
      <sheetName val="BANCA COMPUESTA"/>
      <sheetName val="APOYO ISQUIÁTICO"/>
      <sheetName val="BICICLETERO"/>
      <sheetName val="BEBEDERO"/>
      <sheetName val="PAPELERA"/>
      <sheetName val="MUEBLE ESTIRAMIENTO"/>
      <sheetName val="POSTE ZIGZAG "/>
      <sheetName val="MUEBLE ESTIRAMIENTO COMP."/>
      <sheetName val="ARO GIRATORIA  "/>
      <sheetName val="MUEBLE ESTIRAMIENTO MULT."/>
      <sheetName val="BARRAS ACROBÁTICAS "/>
      <sheetName val="JUEGO LANZA PELOTAS"/>
      <sheetName val="JUEGO MUSICAL"/>
      <sheetName val="JUEGO AGILIDAD MENTAL"/>
      <sheetName val="BANCO GIRATORIO"/>
      <sheetName val="CABALLO MANOLO"/>
      <sheetName val="MURO LIVIANO"/>
      <sheetName val="TUBERIA PRESION ⅟2"/>
      <sheetName val="TUBERIA PRESION ¾"/>
      <sheetName val="PUNTO HIDRAULICO"/>
      <sheetName val="VÁLVULA ¾ "/>
      <sheetName val="TUBERIA PVC 2&quot;"/>
      <sheetName val="TUBERIA PVC 3&quot; "/>
      <sheetName val="TUBERIA PVC 4&quot;  "/>
      <sheetName val="REJILLA DE PISO"/>
      <sheetName val="CAJA DE INSPECCIÓN"/>
      <sheetName val="LAVAMANOS"/>
      <sheetName val="LAVAMANOS EMPOTRAR"/>
      <sheetName val="SANITARIO"/>
      <sheetName val="ORINAL"/>
      <sheetName val="TERRAZO"/>
      <sheetName val="MEDIACAÑA EN GRANO"/>
      <sheetName val="ENCHAPE BAÑOS"/>
      <sheetName val="MESON CONCRETO"/>
      <sheetName val="MESON EN ACERO INOX."/>
      <sheetName val="BARRA EN ACERO INOX."/>
      <sheetName val="ENTREPAÑOS ACERO INOX."/>
      <sheetName val="ESTUFA"/>
      <sheetName val="LAVAPLATOS"/>
      <sheetName val="CIELORASO"/>
      <sheetName val="LAMPARA 2X16"/>
      <sheetName val="PUERTA P1"/>
      <sheetName val="PUERTA P2"/>
      <sheetName val="PUERTA P3"/>
      <sheetName val="PUERTA P4"/>
      <sheetName val="PUERTA P5"/>
      <sheetName val="PUERTA P6"/>
      <sheetName val="VENTANA V1 "/>
      <sheetName val="VENTANA V1A"/>
      <sheetName val="VENTANA V2"/>
      <sheetName val="VENTANA V3"/>
      <sheetName val="VENTANA V4"/>
      <sheetName val="VENTANA V5"/>
      <sheetName val="VENTANA V6"/>
      <sheetName val="VENTANA V7"/>
      <sheetName val="VENTANA V8"/>
      <sheetName val="CELOSÍA"/>
      <sheetName val="REJA EN VARILLA"/>
      <sheetName val="MALLA EXPANDIDA "/>
      <sheetName val="CUBIERTA TEJA SIN TRASLAPO"/>
      <sheetName val="CANAL EN LAMINA GALV."/>
      <sheetName val="ACOMETIDA ELÉCTRICA"/>
      <sheetName val="CONTADOR"/>
      <sheetName val="VARILLA COPERWELD"/>
      <sheetName val="TABLERO GENERAL"/>
      <sheetName val="TOMACORRIENTE"/>
      <sheetName val="TOMACORRIENTE ESTUFA"/>
      <sheetName val="INTERRUPTOR SENCILLO"/>
      <sheetName val="INTERRUPTOR DOBLE"/>
      <sheetName val="ARENA COMPACTADA"/>
      <sheetName val="TRANSPORTES"/>
      <sheetName val="TRANSPORTES &gt; 1000 m"/>
      <sheetName val="TRANSPORTES DE DERRUMBES "/>
      <sheetName val="RESUMEN Í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PTO FASE 1 "/>
      <sheetName val="EQUIPOS "/>
      <sheetName val="MATERIALES"/>
      <sheetName val="MANO DE OBRA"/>
      <sheetName val="PPTO FINAL ETAPA 1 ALT 1"/>
      <sheetName val="1.PRELIMINARES"/>
      <sheetName val="2.MOV TIERRA"/>
      <sheetName val="3. SUMINISTRO TUBERIAS "/>
      <sheetName val="3. INSTALACION TUBERIAS "/>
      <sheetName val="4.ESTRUCTURAS"/>
      <sheetName val="5. VARIOS"/>
      <sheetName val="PMT - PMA"/>
      <sheetName val="PPTO FASE 1  (2)"/>
      <sheetName val="ITEMS PPTO ALTERNATIVA 1"/>
      <sheetName val="Presupuesto Interventoria"/>
      <sheetName val="Factor multiplicador"/>
      <sheetName val="Desglose AIU"/>
      <sheetName val="Desglose AIU Sumin"/>
      <sheetName val="PPTO FINAL ALT 1"/>
      <sheetName val="DESGLOSE AIU OBRA"/>
      <sheetName val="DESGLOSE AIU SUMINISTROS"/>
      <sheetName val="INTER-OBRA"/>
      <sheetName val="INTER-SUMIN"/>
      <sheetName val="FM"/>
      <sheetName val="CRONOGRAMA"/>
    </sheetNames>
    <sheetDataSet>
      <sheetData sheetId="0" refreshError="1">
        <row r="11">
          <cell r="B11" t="str">
            <v>Unid</v>
          </cell>
        </row>
        <row r="12">
          <cell r="B12" t="str">
            <v>ml</v>
          </cell>
        </row>
        <row r="13">
          <cell r="B13" t="str">
            <v>m2</v>
          </cell>
        </row>
        <row r="14">
          <cell r="B14" t="str">
            <v>m3</v>
          </cell>
        </row>
        <row r="15">
          <cell r="B15" t="str">
            <v>Kg</v>
          </cell>
        </row>
        <row r="16">
          <cell r="B16" t="str">
            <v>kg/m</v>
          </cell>
        </row>
        <row r="17">
          <cell r="B17" t="str">
            <v>Dia</v>
          </cell>
        </row>
        <row r="18">
          <cell r="B18" t="str">
            <v>m3-Km</v>
          </cell>
        </row>
        <row r="19">
          <cell r="B19" t="str">
            <v>Global</v>
          </cell>
        </row>
        <row r="20">
          <cell r="B20" t="str">
            <v>kg/Unidad</v>
          </cell>
        </row>
      </sheetData>
      <sheetData sheetId="1" refreshError="1"/>
      <sheetData sheetId="2" refreshError="1">
        <row r="6">
          <cell r="B6" t="str">
            <v>compresor 1 martillo - 100 m</v>
          </cell>
          <cell r="C6" t="str">
            <v>hora</v>
          </cell>
          <cell r="D6">
            <v>78000</v>
          </cell>
        </row>
        <row r="7">
          <cell r="B7" t="str">
            <v>compresor 2 martillos - 100 m</v>
          </cell>
          <cell r="C7" t="str">
            <v>hora</v>
          </cell>
          <cell r="D7">
            <v>110000</v>
          </cell>
        </row>
        <row r="8">
          <cell r="B8" t="str">
            <v>cortadora de asfalto concreto+operador</v>
          </cell>
          <cell r="C8" t="str">
            <v>dia</v>
          </cell>
          <cell r="D8">
            <v>120000</v>
          </cell>
        </row>
        <row r="9">
          <cell r="B9" t="str">
            <v>equipos topografia para urbanismo</v>
          </cell>
          <cell r="C9" t="str">
            <v>dia</v>
          </cell>
          <cell r="D9">
            <v>80000</v>
          </cell>
        </row>
        <row r="10">
          <cell r="B10" t="str">
            <v>mezcladora de concreto motor Diesel 1 bulto</v>
          </cell>
          <cell r="C10" t="str">
            <v>dia</v>
          </cell>
          <cell r="D10">
            <v>85000</v>
          </cell>
        </row>
        <row r="11">
          <cell r="B11" t="str">
            <v>retroexcavadora cargadora (serie 400 cat o similar)</v>
          </cell>
          <cell r="C11" t="str">
            <v>hora</v>
          </cell>
          <cell r="D11">
            <v>120000</v>
          </cell>
        </row>
        <row r="12">
          <cell r="B12" t="str">
            <v>retroexcavadora oruga (serie 310, 320 CAT o similar)</v>
          </cell>
          <cell r="C12" t="str">
            <v>hora</v>
          </cell>
          <cell r="D12">
            <v>180000</v>
          </cell>
        </row>
        <row r="13">
          <cell r="B13" t="str">
            <v>vibrador electrico para concreto</v>
          </cell>
          <cell r="C13" t="str">
            <v>dia</v>
          </cell>
          <cell r="D13">
            <v>65000</v>
          </cell>
        </row>
        <row r="14">
          <cell r="B14" t="str">
            <v>vibro compactador tipo saltarín</v>
          </cell>
          <cell r="C14" t="str">
            <v>hora</v>
          </cell>
          <cell r="D14">
            <v>25000</v>
          </cell>
        </row>
        <row r="15">
          <cell r="B15" t="str">
            <v>Transporte de material sobrante y escombros</v>
          </cell>
          <cell r="C15" t="str">
            <v>m3-km</v>
          </cell>
          <cell r="D15">
            <v>900</v>
          </cell>
        </row>
        <row r="16">
          <cell r="B16" t="str">
            <v xml:space="preserve">Transporte. </v>
          </cell>
          <cell r="C16" t="str">
            <v>glb</v>
          </cell>
          <cell r="D16">
            <v>50000</v>
          </cell>
        </row>
        <row r="17">
          <cell r="B17" t="str">
            <v>Flete agregados de Rio, (arena, triturado)</v>
          </cell>
          <cell r="C17" t="str">
            <v>m3-km</v>
          </cell>
          <cell r="D17">
            <v>1200</v>
          </cell>
        </row>
        <row r="18">
          <cell r="B18" t="str">
            <v>Flete Cemento</v>
          </cell>
          <cell r="C18" t="str">
            <v>kg-km</v>
          </cell>
          <cell r="D18">
            <v>1.2</v>
          </cell>
        </row>
        <row r="19">
          <cell r="B19" t="str">
            <v>Vibrador</v>
          </cell>
          <cell r="C19" t="str">
            <v>hora</v>
          </cell>
          <cell r="D19">
            <v>23000</v>
          </cell>
        </row>
        <row r="20">
          <cell r="B20" t="str">
            <v>Formaleta</v>
          </cell>
          <cell r="C20" t="str">
            <v>u</v>
          </cell>
          <cell r="D20">
            <v>40000</v>
          </cell>
        </row>
        <row r="21">
          <cell r="B21" t="str">
            <v>Formaleta (juntas de bordillos, juntas de cunetas, muros, concretos)</v>
          </cell>
          <cell r="C21" t="str">
            <v>día</v>
          </cell>
          <cell r="D21">
            <v>12000</v>
          </cell>
        </row>
        <row r="22">
          <cell r="B22" t="str">
            <v>Transporte de tubería</v>
          </cell>
          <cell r="C22" t="str">
            <v>ml</v>
          </cell>
          <cell r="D22">
            <v>8500</v>
          </cell>
        </row>
        <row r="23">
          <cell r="B23" t="str">
            <v>Formaleta (tablero madera, cerchas, paral metal y otros)</v>
          </cell>
          <cell r="C23" t="str">
            <v>dia</v>
          </cell>
          <cell r="D23">
            <v>10500</v>
          </cell>
        </row>
        <row r="24">
          <cell r="B24">
            <v>0</v>
          </cell>
          <cell r="C24">
            <v>0</v>
          </cell>
          <cell r="D24">
            <v>0</v>
          </cell>
        </row>
        <row r="26">
          <cell r="B26">
            <v>0</v>
          </cell>
        </row>
      </sheetData>
      <sheetData sheetId="3" refreshError="1"/>
      <sheetData sheetId="4" refreshError="1">
        <row r="6">
          <cell r="B6" t="str">
            <v>OFICIAL</v>
          </cell>
          <cell r="C6">
            <v>60000</v>
          </cell>
          <cell r="D6">
            <v>0.8</v>
          </cell>
          <cell r="E6">
            <v>108000</v>
          </cell>
        </row>
        <row r="7">
          <cell r="B7" t="str">
            <v>AYUDANTE</v>
          </cell>
          <cell r="C7">
            <v>30000</v>
          </cell>
          <cell r="D7">
            <v>0.8</v>
          </cell>
          <cell r="E7">
            <v>54000</v>
          </cell>
        </row>
        <row r="8">
          <cell r="B8" t="str">
            <v xml:space="preserve">AYUDANTE EXCAVACIONES </v>
          </cell>
          <cell r="C8">
            <v>30000</v>
          </cell>
          <cell r="D8">
            <v>0.8</v>
          </cell>
          <cell r="E8">
            <v>54000</v>
          </cell>
        </row>
        <row r="9">
          <cell r="B9" t="str">
            <v>AYUDANTE DERRUMBES</v>
          </cell>
          <cell r="C9">
            <v>30000</v>
          </cell>
          <cell r="D9">
            <v>0.8</v>
          </cell>
          <cell r="E9">
            <v>54000</v>
          </cell>
        </row>
        <row r="10">
          <cell r="B10" t="str">
            <v xml:space="preserve">AYUDANTE CONTROL DE AGUAS </v>
          </cell>
          <cell r="C10">
            <v>30000</v>
          </cell>
          <cell r="D10">
            <v>0.8</v>
          </cell>
          <cell r="E10">
            <v>54000</v>
          </cell>
        </row>
        <row r="11">
          <cell r="B11" t="str">
            <v xml:space="preserve">AYUDANTE DISTRIBUCION MATERIAL A MANO </v>
          </cell>
          <cell r="C11">
            <v>30000</v>
          </cell>
          <cell r="D11">
            <v>0.8</v>
          </cell>
          <cell r="E11">
            <v>54000</v>
          </cell>
        </row>
        <row r="12">
          <cell r="B12" t="str">
            <v xml:space="preserve">AYUDANTE COMPACTACION MATERIAL A MANO </v>
          </cell>
          <cell r="C12">
            <v>30000</v>
          </cell>
          <cell r="D12">
            <v>0.8</v>
          </cell>
          <cell r="E12">
            <v>54000</v>
          </cell>
        </row>
        <row r="13">
          <cell r="B13" t="str">
            <v xml:space="preserve">AYUDANTE TRANSPORTE INTERNO </v>
          </cell>
          <cell r="C13">
            <v>30000</v>
          </cell>
          <cell r="D13">
            <v>0.8</v>
          </cell>
          <cell r="E13">
            <v>54000</v>
          </cell>
        </row>
        <row r="14">
          <cell r="B14" t="str">
            <v xml:space="preserve">AYUDANTE RETIRO DE SOBRANTES </v>
          </cell>
          <cell r="C14">
            <v>30000</v>
          </cell>
          <cell r="D14">
            <v>0.8</v>
          </cell>
          <cell r="E14">
            <v>54000</v>
          </cell>
        </row>
        <row r="15">
          <cell r="B15" t="str">
            <v>AYUDANTE RIEGO</v>
          </cell>
          <cell r="C15">
            <v>30000</v>
          </cell>
          <cell r="D15">
            <v>0.8</v>
          </cell>
          <cell r="E15">
            <v>54000</v>
          </cell>
        </row>
        <row r="16">
          <cell r="B16" t="str">
            <v>COMIS. 1 TOPOGRAFO, 2 CADENEROS</v>
          </cell>
          <cell r="C16">
            <v>190000</v>
          </cell>
          <cell r="D16">
            <v>0.8</v>
          </cell>
          <cell r="E16">
            <v>342000</v>
          </cell>
        </row>
        <row r="17">
          <cell r="B17" t="str">
            <v>CUADRI. 2 AYUDANTES</v>
          </cell>
          <cell r="C17">
            <v>60000</v>
          </cell>
          <cell r="D17">
            <v>0.8</v>
          </cell>
          <cell r="E17">
            <v>108000</v>
          </cell>
        </row>
        <row r="18">
          <cell r="B18" t="str">
            <v>CUADRI. 3 AYUDANTES</v>
          </cell>
          <cell r="C18">
            <v>90000</v>
          </cell>
          <cell r="D18">
            <v>0.8</v>
          </cell>
          <cell r="E18">
            <v>162000</v>
          </cell>
        </row>
        <row r="19">
          <cell r="B19" t="str">
            <v>CUADRI. 4 AYUDANTES</v>
          </cell>
          <cell r="C19">
            <v>120000</v>
          </cell>
          <cell r="D19">
            <v>0.8</v>
          </cell>
          <cell r="E19">
            <v>216000</v>
          </cell>
        </row>
        <row r="20">
          <cell r="B20" t="str">
            <v>CUADRI. 8 AYUDANTES</v>
          </cell>
          <cell r="C20">
            <v>240000</v>
          </cell>
          <cell r="D20">
            <v>0.8</v>
          </cell>
          <cell r="E20">
            <v>432000</v>
          </cell>
        </row>
        <row r="21">
          <cell r="B21" t="str">
            <v>CUADRI. 1 OFICIAL 1 AYUDANTE</v>
          </cell>
          <cell r="C21">
            <v>90000</v>
          </cell>
          <cell r="D21">
            <v>0.8</v>
          </cell>
          <cell r="E21">
            <v>162000</v>
          </cell>
        </row>
        <row r="22">
          <cell r="B22" t="str">
            <v>CUADRI. 1 OFICIAL 2 AYUDANTE</v>
          </cell>
          <cell r="C22">
            <v>120000</v>
          </cell>
          <cell r="D22">
            <v>0.8</v>
          </cell>
          <cell r="E22">
            <v>216000</v>
          </cell>
        </row>
        <row r="23">
          <cell r="B23" t="str">
            <v>CUADRI. 1 OFICIAL 3AYUDANTE</v>
          </cell>
          <cell r="C23">
            <v>150000</v>
          </cell>
          <cell r="D23">
            <v>0.8</v>
          </cell>
          <cell r="E23">
            <v>270000</v>
          </cell>
        </row>
        <row r="24">
          <cell r="B24" t="str">
            <v>CUADRI. 1 OFICIAL 4 AYUDANTE</v>
          </cell>
          <cell r="C24">
            <v>180000</v>
          </cell>
          <cell r="D24">
            <v>0.8</v>
          </cell>
          <cell r="E24">
            <v>324000</v>
          </cell>
        </row>
        <row r="25">
          <cell r="B25" t="str">
            <v>CUADRI. 1 OFICIAL 6 AYUDANTE</v>
          </cell>
          <cell r="C25">
            <v>240000</v>
          </cell>
          <cell r="D25">
            <v>0.8</v>
          </cell>
          <cell r="E25">
            <v>432000</v>
          </cell>
        </row>
        <row r="26">
          <cell r="B26" t="str">
            <v>CUADRI. 1 OFICIAL 8 AYUDANTE</v>
          </cell>
          <cell r="C26">
            <v>300000</v>
          </cell>
          <cell r="D26">
            <v>0.8</v>
          </cell>
          <cell r="E26">
            <v>540000</v>
          </cell>
        </row>
        <row r="27">
          <cell r="B27" t="str">
            <v>CUADRI. 2 OFICIAL 6 AYUDANTE</v>
          </cell>
          <cell r="C27">
            <v>300000</v>
          </cell>
          <cell r="D27">
            <v>0.8</v>
          </cell>
          <cell r="E27">
            <v>540000</v>
          </cell>
        </row>
        <row r="28">
          <cell r="B28" t="str">
            <v>CUADRI. 2 OFICIAL 7 AYUDANTE</v>
          </cell>
          <cell r="C28">
            <v>330000</v>
          </cell>
          <cell r="D28">
            <v>0.8</v>
          </cell>
          <cell r="E28">
            <v>594000</v>
          </cell>
        </row>
        <row r="29">
          <cell r="B29" t="str">
            <v>CUADRI. 3 OFICIAL 9 AYUDANTE</v>
          </cell>
          <cell r="C29">
            <v>450000</v>
          </cell>
          <cell r="D29">
            <v>0.8</v>
          </cell>
          <cell r="E29">
            <v>810000</v>
          </cell>
        </row>
        <row r="30">
          <cell r="B30" t="str">
            <v>COMIS. ELECTRICA SUPERVISOR, TECNICO, 2 AYUDANTES</v>
          </cell>
          <cell r="C30">
            <v>480000</v>
          </cell>
          <cell r="D30">
            <v>0.8</v>
          </cell>
          <cell r="E30">
            <v>864000</v>
          </cell>
        </row>
        <row r="31">
          <cell r="B31" t="str">
            <v>TECNICO ELECTRICO</v>
          </cell>
          <cell r="C31">
            <v>60000</v>
          </cell>
          <cell r="D31">
            <v>0.8</v>
          </cell>
          <cell r="E31">
            <v>108000</v>
          </cell>
        </row>
        <row r="32">
          <cell r="B32" t="str">
            <v>CARPINTERO, 1 AYUDANTE</v>
          </cell>
          <cell r="C32">
            <v>75000</v>
          </cell>
          <cell r="D32">
            <v>0.8</v>
          </cell>
          <cell r="E32">
            <v>135000</v>
          </cell>
        </row>
        <row r="33">
          <cell r="B33" t="str">
            <v>OPERADOR COMPRESOR</v>
          </cell>
          <cell r="C33">
            <v>50000</v>
          </cell>
          <cell r="D33">
            <v>0.8</v>
          </cell>
          <cell r="E33">
            <v>90000</v>
          </cell>
        </row>
        <row r="34">
          <cell r="B34" t="str">
            <v>SUBC. SUMINISTRO E INSTALACION DE JUNTA INDUCIDA</v>
          </cell>
          <cell r="C34">
            <v>11000</v>
          </cell>
          <cell r="D34">
            <v>0</v>
          </cell>
          <cell r="E34">
            <v>11000</v>
          </cell>
        </row>
        <row r="35">
          <cell r="B35" t="str">
            <v>CELADOR</v>
          </cell>
          <cell r="C35">
            <v>56000</v>
          </cell>
          <cell r="D35">
            <v>0.8</v>
          </cell>
          <cell r="E35">
            <v>100800</v>
          </cell>
        </row>
        <row r="36">
          <cell r="B36" t="str">
            <v>SERVICIO DE ENERGIA</v>
          </cell>
          <cell r="C36">
            <v>340000</v>
          </cell>
          <cell r="D36">
            <v>0</v>
          </cell>
          <cell r="E36">
            <v>340000</v>
          </cell>
        </row>
        <row r="37">
          <cell r="B37" t="str">
            <v>SERVICIO DE TELEFONO</v>
          </cell>
          <cell r="C37">
            <v>100000</v>
          </cell>
          <cell r="D37">
            <v>0</v>
          </cell>
          <cell r="E37">
            <v>100000</v>
          </cell>
        </row>
        <row r="38">
          <cell r="B38" t="str">
            <v>CUADRI. CEMENTO EXPANSIVO</v>
          </cell>
          <cell r="C38">
            <v>130000</v>
          </cell>
          <cell r="D38">
            <v>0.8</v>
          </cell>
          <cell r="E38">
            <v>234000</v>
          </cell>
        </row>
        <row r="39">
          <cell r="D39">
            <v>0</v>
          </cell>
        </row>
        <row r="40">
          <cell r="D40">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ZANJA"/>
      <sheetName val="D.DISEÑO"/>
      <sheetName val="CANTIDADES"/>
      <sheetName val="ENTIBADO"/>
      <sheetName val="OTRO"/>
      <sheetName val="CILINDROS"/>
      <sheetName val="RESUMEN"/>
      <sheetName val="RESUMEN CANTIDADES Y PTTO"/>
    </sheetNames>
    <sheetDataSet>
      <sheetData sheetId="0" refreshError="1"/>
      <sheetData sheetId="1">
        <row r="11">
          <cell r="E11" t="str">
            <v>VIA</v>
          </cell>
        </row>
        <row r="12">
          <cell r="E12" t="str">
            <v>NO</v>
          </cell>
        </row>
      </sheetData>
      <sheetData sheetId="2" refreshError="1"/>
      <sheetData sheetId="3" refreshError="1"/>
      <sheetData sheetId="4" refreshError="1"/>
      <sheetData sheetId="5" refreshError="1"/>
      <sheetData sheetId="6" refreshError="1"/>
      <sheetData sheetId="7">
        <row r="8">
          <cell r="D8" t="str">
            <v>UNIDAD</v>
          </cell>
        </row>
      </sheetData>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La Secreta"/>
      <sheetName val="Cronograma"/>
      <sheetName val="xxxx"/>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RCADO"/>
      <sheetName val="FICHAS"/>
    </sheetNames>
    <sheetDataSet>
      <sheetData sheetId="0"/>
      <sheetData sheetId="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ALÚO"/>
      <sheetName val="MERCADO 2-GEOREF"/>
      <sheetName val="fichas"/>
      <sheetName val="AREAS"/>
      <sheetName val="FITTO"/>
      <sheetName val="DAÑO EMERGENTE"/>
      <sheetName val="MERCADO"/>
      <sheetName val="Hoja2"/>
      <sheetName val="Hoja1"/>
      <sheetName val="Hoja3"/>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 val="Análisis de precios"/>
    </sheetNames>
    <sheetDataSet>
      <sheetData sheetId="0" refreshError="1">
        <row r="14">
          <cell r="B14" t="str">
            <v>Andamio Tubular</v>
          </cell>
          <cell r="C14" t="str">
            <v>Dia</v>
          </cell>
          <cell r="D14">
            <v>950</v>
          </cell>
        </row>
        <row r="15">
          <cell r="B15" t="str">
            <v>Bulldozer D-6 Caterpillar</v>
          </cell>
          <cell r="C15" t="str">
            <v>Hora</v>
          </cell>
          <cell r="D15">
            <v>80000</v>
          </cell>
        </row>
        <row r="16">
          <cell r="B16" t="str">
            <v>Campamento</v>
          </cell>
          <cell r="C16" t="str">
            <v>Glb</v>
          </cell>
          <cell r="D16">
            <v>250000</v>
          </cell>
        </row>
        <row r="17">
          <cell r="B17" t="str">
            <v>Cargador 0.50 M3 sobre llantas</v>
          </cell>
          <cell r="C17" t="str">
            <v>Hora</v>
          </cell>
          <cell r="D17">
            <v>80000</v>
          </cell>
        </row>
        <row r="18">
          <cell r="B18" t="str">
            <v>Equipo de soldadura</v>
          </cell>
          <cell r="C18" t="str">
            <v>Dia</v>
          </cell>
          <cell r="D18">
            <v>50000</v>
          </cell>
        </row>
        <row r="19">
          <cell r="B19" t="str">
            <v>Equipo de Topografia</v>
          </cell>
          <cell r="C19" t="str">
            <v>Dia</v>
          </cell>
          <cell r="D19">
            <v>70000</v>
          </cell>
        </row>
        <row r="20">
          <cell r="B20" t="str">
            <v>Formaleta</v>
          </cell>
          <cell r="C20" t="str">
            <v>Hora</v>
          </cell>
          <cell r="D20">
            <v>2850</v>
          </cell>
        </row>
        <row r="21">
          <cell r="B21" t="str">
            <v>Herramienta Electrica</v>
          </cell>
          <cell r="C21" t="str">
            <v>Hora</v>
          </cell>
          <cell r="D21">
            <v>1200</v>
          </cell>
        </row>
        <row r="22">
          <cell r="B22" t="str">
            <v>Herramienta Menor</v>
          </cell>
          <cell r="C22" t="str">
            <v>Hora</v>
          </cell>
          <cell r="D22">
            <v>1000</v>
          </cell>
        </row>
        <row r="23">
          <cell r="B23" t="str">
            <v>Mezcladora</v>
          </cell>
          <cell r="C23" t="str">
            <v>Hora</v>
          </cell>
          <cell r="D23">
            <v>9500</v>
          </cell>
        </row>
        <row r="24">
          <cell r="B24" t="str">
            <v>Microbús</v>
          </cell>
          <cell r="C24" t="str">
            <v>Hora</v>
          </cell>
          <cell r="D24">
            <v>20000</v>
          </cell>
        </row>
        <row r="25">
          <cell r="B25" t="str">
            <v xml:space="preserve">Vehículo </v>
          </cell>
          <cell r="C25" t="str">
            <v>Hora</v>
          </cell>
          <cell r="D25">
            <v>12000</v>
          </cell>
        </row>
        <row r="26">
          <cell r="B26" t="str">
            <v>Vibrador a gasolina</v>
          </cell>
          <cell r="C26" t="str">
            <v>Hora</v>
          </cell>
          <cell r="D26">
            <v>7000</v>
          </cell>
        </row>
        <row r="27">
          <cell r="B27" t="str">
            <v>Vibrocompactador Manual</v>
          </cell>
          <cell r="C27" t="str">
            <v>Hora</v>
          </cell>
          <cell r="D27">
            <v>10000</v>
          </cell>
        </row>
        <row r="28">
          <cell r="B28" t="str">
            <v>Volqueta de 6 m3</v>
          </cell>
          <cell r="C28" t="str">
            <v>Hora</v>
          </cell>
          <cell r="D28">
            <v>45000</v>
          </cell>
        </row>
        <row r="36">
          <cell r="B36" t="str">
            <v>Auxiliar Laboratorista</v>
          </cell>
        </row>
        <row r="37">
          <cell r="B37" t="str">
            <v>Ayudante</v>
          </cell>
        </row>
        <row r="38">
          <cell r="B38" t="str">
            <v>Cuadrilla 2 ayudantes</v>
          </cell>
        </row>
        <row r="39">
          <cell r="B39" t="str">
            <v>Cuadrilla 4 Ayudantes</v>
          </cell>
        </row>
        <row r="40">
          <cell r="B40" t="str">
            <v>Cadenero 1</v>
          </cell>
        </row>
        <row r="41">
          <cell r="B41" t="str">
            <v>Cadenero 2</v>
          </cell>
        </row>
        <row r="42">
          <cell r="B42" t="str">
            <v>Conductor</v>
          </cell>
        </row>
        <row r="43">
          <cell r="B43" t="str">
            <v>Contador</v>
          </cell>
        </row>
        <row r="44">
          <cell r="B44" t="str">
            <v>Electricista</v>
          </cell>
        </row>
        <row r="45">
          <cell r="B45" t="str">
            <v>Ingeniero Auxiliar</v>
          </cell>
        </row>
        <row r="46">
          <cell r="B46" t="str">
            <v>Ingeniero Director de Obra</v>
          </cell>
        </row>
        <row r="47">
          <cell r="B47" t="str">
            <v>Ingeniero Residente</v>
          </cell>
        </row>
        <row r="48">
          <cell r="B48" t="str">
            <v>Inspector de Obra</v>
          </cell>
        </row>
        <row r="49">
          <cell r="B49" t="str">
            <v>Laboratorista</v>
          </cell>
        </row>
        <row r="50">
          <cell r="B50" t="str">
            <v>Maestro</v>
          </cell>
        </row>
        <row r="51">
          <cell r="B51" t="str">
            <v>Oficial</v>
          </cell>
        </row>
        <row r="52">
          <cell r="B52" t="str">
            <v>Soldador</v>
          </cell>
        </row>
        <row r="53">
          <cell r="B53" t="str">
            <v>Secretaria</v>
          </cell>
        </row>
        <row r="54">
          <cell r="B54" t="str">
            <v>Topógrafo</v>
          </cell>
        </row>
        <row r="55">
          <cell r="B55" t="str">
            <v>Vigilante</v>
          </cell>
        </row>
        <row r="61">
          <cell r="B61" t="str">
            <v>Accesorios Canaleta</v>
          </cell>
        </row>
        <row r="62">
          <cell r="B62" t="str">
            <v>Accesorios Lavaplatos ( Canastilla , sifón)</v>
          </cell>
        </row>
        <row r="63">
          <cell r="B63" t="str">
            <v>Accesorios PVC</v>
          </cell>
        </row>
        <row r="64">
          <cell r="B64" t="str">
            <v>Acero de Refuerzo de 60000 PSI (Figurado)</v>
          </cell>
        </row>
        <row r="65">
          <cell r="B65" t="str">
            <v>Acero Fy 60000 PSI</v>
          </cell>
        </row>
        <row r="66">
          <cell r="B66" t="str">
            <v>Adaptador PVC 1/2" Conduit</v>
          </cell>
        </row>
        <row r="67">
          <cell r="B67" t="str">
            <v>Agua</v>
          </cell>
        </row>
        <row r="68">
          <cell r="B68" t="str">
            <v>Alambre Aislado No.10 THHN-THWN 90 600W</v>
          </cell>
        </row>
        <row r="69">
          <cell r="B69" t="str">
            <v>Alambre Aislado No.12 THHN-THWN 90</v>
          </cell>
        </row>
        <row r="70">
          <cell r="B70" t="str">
            <v>Alambre Aislado No.14 THHN-THWN 90 600V</v>
          </cell>
        </row>
        <row r="71">
          <cell r="B71" t="str">
            <v>Alambre Negro Cal 18</v>
          </cell>
        </row>
        <row r="72">
          <cell r="B72" t="str">
            <v>Alambre Telefonico 2x18 procables</v>
          </cell>
        </row>
        <row r="73">
          <cell r="B73" t="str">
            <v>Angulo 1x1x1/8"</v>
          </cell>
        </row>
        <row r="74">
          <cell r="B74" t="str">
            <v>Angulo 3/4" x 1/8"</v>
          </cell>
        </row>
        <row r="75">
          <cell r="B75" t="str">
            <v>Anticorrosivo Rojo Pintuco ó Similar</v>
          </cell>
        </row>
        <row r="76">
          <cell r="B76" t="str">
            <v>Arena</v>
          </cell>
        </row>
        <row r="77">
          <cell r="B77" t="str">
            <v>Balasto 2x48</v>
          </cell>
        </row>
        <row r="78">
          <cell r="B78" t="str">
            <v>Bisagra Aluminio Exterior Exterior 3"</v>
          </cell>
        </row>
        <row r="79">
          <cell r="B79" t="str">
            <v>Bloque H-15</v>
          </cell>
        </row>
        <row r="80">
          <cell r="B80" t="str">
            <v>Bloque Nº 4</v>
          </cell>
        </row>
        <row r="81">
          <cell r="B81" t="str">
            <v>Boquillas COD ½ "+ TUERCA</v>
          </cell>
        </row>
        <row r="82">
          <cell r="B82" t="str">
            <v>Boquillas COD 1 "+ TUERCA</v>
          </cell>
        </row>
        <row r="83">
          <cell r="B83" t="str">
            <v>Caballete teja Ondulada Eternit</v>
          </cell>
        </row>
        <row r="84">
          <cell r="B84" t="str">
            <v>Caballete Termoacústico x 2 m</v>
          </cell>
        </row>
        <row r="85">
          <cell r="B85" t="str">
            <v xml:space="preserve">Cable Cobre desnudo Nº1/0 </v>
          </cell>
        </row>
        <row r="86">
          <cell r="B86" t="str">
            <v>Cable Dats UTP 4 pares</v>
          </cell>
        </row>
        <row r="87">
          <cell r="B87" t="str">
            <v>Caja 60X60X15 Paso</v>
          </cell>
        </row>
        <row r="88">
          <cell r="B88" t="str">
            <v>Caja Monofasica 4 circuitos</v>
          </cell>
        </row>
        <row r="89">
          <cell r="B89" t="str">
            <v>Caja para Toma de Red</v>
          </cell>
        </row>
        <row r="90">
          <cell r="B90" t="str">
            <v>CAJA SENCILLA  CONDUIT.</v>
          </cell>
        </row>
        <row r="91">
          <cell r="B91" t="str">
            <v>Canal Aguas Lluvias Lámina Galvanizada Cal 24</v>
          </cell>
        </row>
        <row r="92">
          <cell r="B92" t="str">
            <v>Canaleta Plástica 10x4</v>
          </cell>
        </row>
        <row r="93">
          <cell r="B93" t="str">
            <v>Caolin 25 Kilos</v>
          </cell>
        </row>
        <row r="94">
          <cell r="B94" t="str">
            <v>Cemento</v>
          </cell>
        </row>
        <row r="95">
          <cell r="B95" t="str">
            <v>Cemento Blanco</v>
          </cell>
        </row>
        <row r="96">
          <cell r="B96" t="str">
            <v>Ceramica Blanca 20x20</v>
          </cell>
        </row>
        <row r="97">
          <cell r="B97" t="str">
            <v xml:space="preserve">Cerradura de Sobreponer  Puerta Metálica </v>
          </cell>
        </row>
        <row r="98">
          <cell r="B98" t="str">
            <v>Codo  90° sanitario 2" PAVCO</v>
          </cell>
        </row>
        <row r="99">
          <cell r="B99" t="str">
            <v>Codo 45°  3" PVC</v>
          </cell>
        </row>
        <row r="100">
          <cell r="B100" t="str">
            <v>Codo 45° Presión 1" PVC</v>
          </cell>
        </row>
        <row r="101">
          <cell r="B101" t="str">
            <v>Codo 45° SANITARIO 4" PVC</v>
          </cell>
        </row>
        <row r="102">
          <cell r="B102" t="str">
            <v>Codo 45º Presión PVC 1/2"</v>
          </cell>
        </row>
        <row r="103">
          <cell r="B103" t="str">
            <v xml:space="preserve">Codo 90°  Sanitario f 4" P.V.C. </v>
          </cell>
        </row>
        <row r="104">
          <cell r="B104" t="str">
            <v>Codo 90° PRESION 1" PVC</v>
          </cell>
        </row>
        <row r="105">
          <cell r="B105" t="str">
            <v>Codo 90° PRESION 1½" PVC</v>
          </cell>
        </row>
        <row r="106">
          <cell r="B106" t="str">
            <v>Codo 90° PRESION 2" PVC</v>
          </cell>
        </row>
        <row r="107">
          <cell r="B107" t="str">
            <v>Codo 90º Presión PVC 3/4"</v>
          </cell>
        </row>
        <row r="108">
          <cell r="B108" t="str">
            <v xml:space="preserve">Concreto 1500 PSI </v>
          </cell>
        </row>
        <row r="109">
          <cell r="B109" t="str">
            <v xml:space="preserve">Concreto 2500 PSI </v>
          </cell>
        </row>
        <row r="110">
          <cell r="B110" t="str">
            <v>Concreto 3000 PSI</v>
          </cell>
        </row>
        <row r="111">
          <cell r="B111" t="str">
            <v>Conectores en Cobre</v>
          </cell>
        </row>
        <row r="112">
          <cell r="B112" t="str">
            <v>Conectores RJ45</v>
          </cell>
        </row>
        <row r="113">
          <cell r="B113" t="str">
            <v>Chazo 1/4"</v>
          </cell>
        </row>
        <row r="114">
          <cell r="B114" t="str">
            <v>Dilatación Plástica</v>
          </cell>
        </row>
        <row r="115">
          <cell r="B115" t="str">
            <v xml:space="preserve">DUCHA SENCILLA PRYSMA </v>
          </cell>
        </row>
        <row r="116">
          <cell r="B116" t="str">
            <v>Durmiente 4m x 0.04 x 0.04</v>
          </cell>
        </row>
        <row r="117">
          <cell r="B117" t="str">
            <v>Enchape Blanco Corona o similar</v>
          </cell>
        </row>
        <row r="118">
          <cell r="B118" t="str">
            <v>Enchape de Piso Blanco Corona o similar</v>
          </cell>
        </row>
        <row r="119">
          <cell r="B119" t="str">
            <v>Esmalte Pintuco ó Similar</v>
          </cell>
        </row>
        <row r="120">
          <cell r="B120" t="str">
            <v>Estuco</v>
          </cell>
        </row>
        <row r="121">
          <cell r="B121" t="str">
            <v>Gabinete Switch</v>
          </cell>
        </row>
        <row r="122">
          <cell r="B122" t="str">
            <v>Gancho Sujeción Canal</v>
          </cell>
        </row>
        <row r="123">
          <cell r="B123" t="str">
            <v>Gancho Teja Ondulada</v>
          </cell>
        </row>
        <row r="124">
          <cell r="B124" t="str">
            <v xml:space="preserve">Griferia Lavaplatos Mezclador </v>
          </cell>
        </row>
        <row r="125">
          <cell r="B125" t="str">
            <v>Hidrosolta</v>
          </cell>
        </row>
        <row r="126">
          <cell r="B126" t="str">
            <v>Impermeabilizante Plastocrete DM 20</v>
          </cell>
        </row>
        <row r="127">
          <cell r="B127" t="str">
            <v>Incrustacionesen porcelana para baño</v>
          </cell>
        </row>
        <row r="128">
          <cell r="B128" t="str">
            <v>INTERRUPTOR DOBLE 600 AVE</v>
          </cell>
        </row>
        <row r="129">
          <cell r="B129" t="str">
            <v>Interruptor Sencillo</v>
          </cell>
        </row>
        <row r="130">
          <cell r="B130" t="str">
            <v>JUEGO INCRUSTACIONES ASTRO 6 PIEZAS</v>
          </cell>
        </row>
        <row r="131">
          <cell r="B131" t="str">
            <v>Ladrillo a la Vista</v>
          </cell>
        </row>
        <row r="132">
          <cell r="B132" t="str">
            <v>Ladrillo H-10</v>
          </cell>
        </row>
        <row r="133">
          <cell r="B133" t="str">
            <v>Ladrillo Prensado</v>
          </cell>
        </row>
        <row r="134">
          <cell r="B134" t="str">
            <v>Ladrillo Rustico a la Vista</v>
          </cell>
        </row>
        <row r="135">
          <cell r="B135" t="str">
            <v>Ladrillo T1</v>
          </cell>
        </row>
        <row r="136">
          <cell r="B136" t="str">
            <v>Lamina Cold Rolled Cal 18</v>
          </cell>
        </row>
        <row r="137">
          <cell r="B137" t="str">
            <v>Lamina Cold Rolled Cal 18( M2)</v>
          </cell>
        </row>
        <row r="138">
          <cell r="B138" t="str">
            <v>Lamina Galvanizada cal 22</v>
          </cell>
        </row>
        <row r="139">
          <cell r="B139" t="str">
            <v>Lampara Fluorescente 2x48</v>
          </cell>
        </row>
        <row r="140">
          <cell r="B140" t="str">
            <v>Lavamanos de una llave</v>
          </cell>
        </row>
        <row r="141">
          <cell r="B141" t="str">
            <v>Lavaplatos De Empotrar Acero Inoxidable 62X48cms</v>
          </cell>
        </row>
        <row r="142">
          <cell r="B142" t="str">
            <v>Lija</v>
          </cell>
        </row>
        <row r="143">
          <cell r="B143" t="str">
            <v>LIMPIADOR REMOVEDOR 760 Gr</v>
          </cell>
        </row>
        <row r="144">
          <cell r="B144" t="str">
            <v>Listón Ordinario 3x0.25x0.03</v>
          </cell>
        </row>
        <row r="145">
          <cell r="B145" t="str">
            <v xml:space="preserve">Malla Electrosoldada H-257 </v>
          </cell>
        </row>
        <row r="146">
          <cell r="B146" t="str">
            <v>Manija para ventana</v>
          </cell>
        </row>
        <row r="147">
          <cell r="B147" t="str">
            <v>Mortero 1:3</v>
          </cell>
        </row>
        <row r="148">
          <cell r="B148" t="str">
            <v>Mortero 1:4</v>
          </cell>
        </row>
        <row r="149">
          <cell r="B149" t="str">
            <v>Orinal Mediano con Grifería</v>
          </cell>
        </row>
        <row r="150">
          <cell r="B150" t="str">
            <v xml:space="preserve">PEGACOR MAX BLANCO </v>
          </cell>
        </row>
        <row r="151">
          <cell r="B151" t="str">
            <v>PERFIL DE ALUMINIO</v>
          </cell>
        </row>
        <row r="152">
          <cell r="B152" t="str">
            <v>Perno Roscado 2"</v>
          </cell>
        </row>
        <row r="153">
          <cell r="B153" t="str">
            <v>Piedra Rajón</v>
          </cell>
        </row>
        <row r="154">
          <cell r="B154" t="str">
            <v>Pintura en Vinilo Tipo I</v>
          </cell>
        </row>
        <row r="155">
          <cell r="B155" t="str">
            <v>Pintura Esmalte Blanco Electrostático</v>
          </cell>
        </row>
        <row r="156">
          <cell r="B156" t="str">
            <v>Pintura Esmalte Blanco Electrostático</v>
          </cell>
        </row>
        <row r="157">
          <cell r="B157" t="str">
            <v>Pintura Koraza</v>
          </cell>
        </row>
        <row r="158">
          <cell r="B158" t="str">
            <v>Piso en Cerámica Tráfico Pesado 30X30 cms</v>
          </cell>
        </row>
        <row r="159">
          <cell r="B159" t="str">
            <v>Plug RJ-45</v>
          </cell>
        </row>
        <row r="160">
          <cell r="B160" t="str">
            <v>puerta reja en tubo cuadrado cal 3/4"</v>
          </cell>
        </row>
        <row r="161">
          <cell r="B161" t="str">
            <v>Puertas en Lámina Cal 18</v>
          </cell>
        </row>
        <row r="162">
          <cell r="B162" t="str">
            <v>Puertas en Lámina Cal 18 1.20 X2.0m</v>
          </cell>
        </row>
        <row r="163">
          <cell r="B163" t="str">
            <v xml:space="preserve">Puntilla 2" </v>
          </cell>
        </row>
        <row r="164">
          <cell r="B164" t="str">
            <v>Recebo/Material de sub base</v>
          </cell>
        </row>
        <row r="165">
          <cell r="B165" t="str">
            <v>Registro Paso 3/4"</v>
          </cell>
        </row>
        <row r="166">
          <cell r="B166" t="str">
            <v>REGISTRO PASO Dto. 1/2"</v>
          </cell>
        </row>
        <row r="167">
          <cell r="B167" t="str">
            <v>Reja Metálica Varilla f 10.5mm 5.50X3.30m</v>
          </cell>
        </row>
        <row r="168">
          <cell r="B168" t="str">
            <v>Reja Metálica, Tubo Cuadrado Lám Cal 20 de 1 1/2"</v>
          </cell>
        </row>
        <row r="169">
          <cell r="B169" t="str">
            <v>ROSETA (PLAFON)</v>
          </cell>
        </row>
        <row r="170">
          <cell r="B170" t="str">
            <v>Sanitario Acuacer Blanco</v>
          </cell>
        </row>
        <row r="171">
          <cell r="B171" t="str">
            <v>SOLDADURA PVC LIQUIDA ¼ Gl</v>
          </cell>
        </row>
        <row r="172">
          <cell r="B172" t="str">
            <v>Soldadura West Arco 7018</v>
          </cell>
        </row>
        <row r="173">
          <cell r="B173" t="str">
            <v>Soldadura y Limpiador</v>
          </cell>
        </row>
        <row r="174">
          <cell r="B174" t="str">
            <v>Switch de 16 Puertos</v>
          </cell>
        </row>
        <row r="175">
          <cell r="B175" t="str">
            <v>Tabla Chapa 0.30x0.25x3</v>
          </cell>
        </row>
        <row r="176">
          <cell r="B176" t="str">
            <v>Tableta Alfa</v>
          </cell>
        </row>
        <row r="177">
          <cell r="B177" t="str">
            <v>Taco 30A Enchifable</v>
          </cell>
        </row>
        <row r="178">
          <cell r="B178" t="str">
            <v>Tanque Ecoplast 500 Lts</v>
          </cell>
        </row>
        <row r="179">
          <cell r="B179" t="str">
            <v>Tee PVC 3/4"</v>
          </cell>
        </row>
        <row r="180">
          <cell r="B180" t="str">
            <v>Teflón</v>
          </cell>
        </row>
        <row r="181">
          <cell r="B181" t="str">
            <v>Teja Eternit</v>
          </cell>
        </row>
        <row r="182">
          <cell r="B182" t="str">
            <v>TEJA ETERNIT BARROCA No. 4 COLOR</v>
          </cell>
        </row>
        <row r="183">
          <cell r="B183" t="str">
            <v>Teja Termoacústica A360 ó Similar</v>
          </cell>
        </row>
        <row r="184">
          <cell r="B184" t="str">
            <v>Teja termoacústica trapezoidal</v>
          </cell>
        </row>
        <row r="185">
          <cell r="B185" t="str">
            <v>Toma RJ45 Transm. Datos</v>
          </cell>
        </row>
        <row r="186">
          <cell r="B186" t="str">
            <v>Toma Telefonico</v>
          </cell>
        </row>
        <row r="187">
          <cell r="B187" t="str">
            <v>Tomacorriente Doble</v>
          </cell>
        </row>
        <row r="188">
          <cell r="B188" t="str">
            <v>Tornillo fijacion Cubierta</v>
          </cell>
        </row>
        <row r="189">
          <cell r="B189" t="str">
            <v>Tornillo Goloso 4 x 1/4</v>
          </cell>
        </row>
        <row r="190">
          <cell r="B190" t="str">
            <v>Triturado 3/4"</v>
          </cell>
        </row>
        <row r="191">
          <cell r="B191" t="str">
            <v>Tuberia D=10" HF</v>
          </cell>
        </row>
        <row r="192">
          <cell r="B192" t="str">
            <v>Tuberia D=10" PVC RDE 41"</v>
          </cell>
        </row>
        <row r="193">
          <cell r="B193" t="str">
            <v>Tuberia D=3" PVC RDE 21"</v>
          </cell>
        </row>
        <row r="194">
          <cell r="B194" t="str">
            <v>Tuberia D=3" PVC RDE 41"</v>
          </cell>
        </row>
        <row r="195">
          <cell r="B195" t="str">
            <v>Tuberia D=4" PVC RDE 21"</v>
          </cell>
        </row>
        <row r="196">
          <cell r="B196" t="str">
            <v>Tuberia D=4" PVC RDE 41"</v>
          </cell>
        </row>
        <row r="197">
          <cell r="B197" t="str">
            <v>Tuberia D=6" PVC RDE 21"</v>
          </cell>
        </row>
        <row r="198">
          <cell r="B198" t="str">
            <v>Tuberia D=8" PVC RDE 41"</v>
          </cell>
        </row>
        <row r="199">
          <cell r="B199" t="str">
            <v>Tubería P.V.C. Aguas Lluvias f 4 pulgadas</v>
          </cell>
        </row>
        <row r="200">
          <cell r="B200" t="str">
            <v>Tuberia Presión  ½" PVC RDE 13.5</v>
          </cell>
        </row>
        <row r="201">
          <cell r="B201" t="str">
            <v>TUBO 3" PVC ALL</v>
          </cell>
        </row>
        <row r="202">
          <cell r="B202" t="str">
            <v>Tubo Conduit EMT 1"</v>
          </cell>
        </row>
        <row r="203">
          <cell r="B203" t="str">
            <v>Tubo Conduit EMT 1/2"</v>
          </cell>
        </row>
        <row r="204">
          <cell r="B204" t="str">
            <v>Tubo Fluorescente 48W</v>
          </cell>
        </row>
        <row r="205">
          <cell r="B205" t="str">
            <v>TUBO PRESION 1" PVC RDE 13.5</v>
          </cell>
        </row>
        <row r="206">
          <cell r="B206" t="str">
            <v>TUBO PRESION 1½" PVC</v>
          </cell>
        </row>
        <row r="207">
          <cell r="B207" t="str">
            <v>TUBO PRESION 3/4" PVC</v>
          </cell>
        </row>
        <row r="208">
          <cell r="B208" t="str">
            <v>TUBO PRESION 3/4" PVC RDE 11</v>
          </cell>
        </row>
        <row r="209">
          <cell r="B209" t="str">
            <v>Tubo Rectangular 3"x1.5"</v>
          </cell>
        </row>
        <row r="210">
          <cell r="B210" t="str">
            <v>TUBO SANITARIO 2" PVC</v>
          </cell>
        </row>
        <row r="211">
          <cell r="B211" t="str">
            <v>TUBO SANITARIO 4" PVC</v>
          </cell>
        </row>
        <row r="212">
          <cell r="B212" t="str">
            <v>TUBO SANITARIO 6" PVC</v>
          </cell>
        </row>
        <row r="213">
          <cell r="B213" t="str">
            <v>Unión  P.V.C Sanitaria f  4"</v>
          </cell>
        </row>
        <row r="214">
          <cell r="B214" t="str">
            <v>Unión Conduit EMT 1/2"</v>
          </cell>
        </row>
        <row r="215">
          <cell r="B215" t="str">
            <v>Unión Sanitaria 6"</v>
          </cell>
        </row>
        <row r="216">
          <cell r="B216" t="str">
            <v>VALVULA H.F. DE 3" COMPUERTA VASTAGO NO ASCENDENTE ELAST.</v>
          </cell>
        </row>
        <row r="217">
          <cell r="B217" t="str">
            <v>Válvula P/agua Cierre rápido 1"</v>
          </cell>
        </row>
        <row r="218">
          <cell r="B218" t="str">
            <v>Válvula para PVC 10"</v>
          </cell>
        </row>
        <row r="219">
          <cell r="B219" t="str">
            <v>Válvula para PVC 4"</v>
          </cell>
        </row>
        <row r="220">
          <cell r="B220" t="str">
            <v>Válvula para PVC 6"</v>
          </cell>
        </row>
        <row r="221">
          <cell r="B221" t="str">
            <v>Válvula para PVC 8"</v>
          </cell>
        </row>
        <row r="222">
          <cell r="B222" t="str">
            <v>Varilla   1/2 X 60.000 X 6 MTS</v>
          </cell>
        </row>
        <row r="223">
          <cell r="B223" t="str">
            <v>Varilla   3/8 X 60.000 X 6 MTS</v>
          </cell>
        </row>
        <row r="224">
          <cell r="B224" t="str">
            <v>Varilla   5/8 X 60.000 X 6 MTS</v>
          </cell>
        </row>
        <row r="225">
          <cell r="B225" t="str">
            <v xml:space="preserve">Varilla Cooper Well 5/8"x2.40m Cobre </v>
          </cell>
        </row>
        <row r="226">
          <cell r="B226" t="str">
            <v>Ventanas en Lámina Cal 18</v>
          </cell>
        </row>
        <row r="227">
          <cell r="B227" t="str">
            <v>Ventanas Marco de Aluminio</v>
          </cell>
        </row>
        <row r="228">
          <cell r="B228" t="str">
            <v>Vidrio plano liso 4mm</v>
          </cell>
        </row>
        <row r="229">
          <cell r="B229" t="str">
            <v>Viga de Madera</v>
          </cell>
        </row>
        <row r="230">
          <cell r="B230" t="str">
            <v>Viniltex</v>
          </cell>
        </row>
        <row r="231">
          <cell r="B231" t="str">
            <v>YEE SANITARIA PVC 2"</v>
          </cell>
        </row>
        <row r="232">
          <cell r="B232" t="str">
            <v>YEE SANITARIA PVC RED 6"-4"</v>
          </cell>
        </row>
        <row r="233">
          <cell r="B233" t="str">
            <v>Yeso x25 Kg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 val="FLUJOS"/>
      <sheetName val="5094-2003"/>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DENA DE VALOR "/>
      <sheetName val="PRESUPUESTO GENERAL "/>
      <sheetName val="PRESUPUESTO GENERAL  (2)"/>
      <sheetName val="AIU "/>
      <sheetName val="AIU SUMINISTRO "/>
      <sheetName val="ENSAYOS OBRA "/>
      <sheetName val="Factor prestacional "/>
      <sheetName val="APU RETIE"/>
      <sheetName val="1542"/>
      <sheetName val="1543"/>
      <sheetName val="PPTO PAGA"/>
      <sheetName val="APU PAGA"/>
      <sheetName val="INSUMOS PAGA"/>
      <sheetName val="PPTO PMT"/>
      <sheetName val="APU PMT"/>
      <sheetName val="INSUMOS PMT"/>
      <sheetName val="PAPSO "/>
      <sheetName val="INTERVENTORIA"/>
      <sheetName val="FM "/>
      <sheetName val="ENSAYOS INT "/>
      <sheetName val="SUPERVISION"/>
      <sheetName val="PERMISOS "/>
      <sheetName val="E"/>
      <sheetName val="T"/>
      <sheetName val="M"/>
      <sheetName val="1.1"/>
      <sheetName val="1.2"/>
      <sheetName val="1.3"/>
      <sheetName val="2.1"/>
      <sheetName val="3.1"/>
      <sheetName val="3.2"/>
      <sheetName val="3.3"/>
      <sheetName val="3.4"/>
      <sheetName val="4.1"/>
      <sheetName val="4.2"/>
      <sheetName val="4.3"/>
      <sheetName val="5.1"/>
      <sheetName val="6.1"/>
      <sheetName val="6.2"/>
      <sheetName val="6.3"/>
      <sheetName val="7.1"/>
      <sheetName val="8.1"/>
      <sheetName val="9.1"/>
      <sheetName val="10.1"/>
      <sheetName val="11.1"/>
      <sheetName val="12.1"/>
      <sheetName val="13.1"/>
      <sheetName val="14.1"/>
      <sheetName val="14.2"/>
      <sheetName val="14.3"/>
      <sheetName val="14.4"/>
      <sheetName val="15.1"/>
      <sheetName val="15.2"/>
      <sheetName val="15.3"/>
      <sheetName val="15.4"/>
      <sheetName val="15.5"/>
      <sheetName val="15.6"/>
      <sheetName val="15.7"/>
      <sheetName val="15.8"/>
      <sheetName val="15.9"/>
      <sheetName val="15.10"/>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6"/>
      <sheetName val="16.27"/>
      <sheetName val="16.28"/>
      <sheetName val="16.29"/>
      <sheetName val="16.30"/>
      <sheetName val="16.31"/>
      <sheetName val="16.32"/>
      <sheetName val="16.33"/>
      <sheetName val="16.34"/>
      <sheetName val="16.35"/>
      <sheetName val="16.36"/>
      <sheetName val="16.37"/>
      <sheetName val="16.38"/>
      <sheetName val="16.39"/>
      <sheetName val="16.40"/>
      <sheetName val="16.41"/>
      <sheetName val="17.1"/>
      <sheetName val="17.2"/>
      <sheetName val="18.1"/>
      <sheetName val="18.2"/>
      <sheetName val="19.1"/>
      <sheetName val="19.2"/>
      <sheetName val="19.3"/>
      <sheetName val="19.4"/>
      <sheetName val="19.5"/>
      <sheetName val="19.6"/>
      <sheetName val="20.1"/>
      <sheetName val="20.2"/>
      <sheetName val="20.3"/>
      <sheetName val="21.1"/>
      <sheetName val="21.2"/>
      <sheetName val="21.3"/>
      <sheetName val="21.4"/>
      <sheetName val="21.5"/>
      <sheetName val="21.6"/>
      <sheetName val="21.7"/>
      <sheetName val="22.1"/>
      <sheetName val="22.2"/>
      <sheetName val="22.3"/>
      <sheetName val="22.4"/>
      <sheetName val="22.5"/>
      <sheetName val="23.1"/>
      <sheetName val="23.2"/>
      <sheetName val="23.3"/>
      <sheetName val="23.4"/>
      <sheetName val="23.5"/>
      <sheetName val="23.6"/>
      <sheetName val="23.7"/>
      <sheetName val="23.8"/>
      <sheetName val="24.1"/>
      <sheetName val="24.2"/>
      <sheetName val="24.3"/>
      <sheetName val="24.4"/>
      <sheetName val="25.1"/>
      <sheetName val="25.2"/>
      <sheetName val="25.3"/>
      <sheetName val="25.4"/>
      <sheetName val="25.5"/>
      <sheetName val="25.6"/>
      <sheetName val="25.7"/>
      <sheetName val="25.8"/>
      <sheetName val="26.1"/>
      <sheetName val="26.2"/>
      <sheetName val="27.1"/>
      <sheetName val="27.2"/>
      <sheetName val="28.1"/>
      <sheetName val="28.2"/>
      <sheetName val="29.1"/>
      <sheetName val="29.2"/>
      <sheetName val="29.3"/>
      <sheetName val="29.4"/>
      <sheetName val="29.5"/>
      <sheetName val="29.6"/>
      <sheetName val="29.7"/>
      <sheetName val="29.8"/>
      <sheetName val="29.9"/>
      <sheetName val="29.10"/>
      <sheetName val="C1.1"/>
      <sheetName val="C1.2"/>
      <sheetName val="C1.3"/>
      <sheetName val="C2.1"/>
      <sheetName val="C3.1"/>
      <sheetName val="C3.2 "/>
      <sheetName val="C3.3 "/>
      <sheetName val="C3.4 "/>
      <sheetName val="C4.1 "/>
      <sheetName val="C4.2 "/>
      <sheetName val="C4.3"/>
      <sheetName val="C5.1"/>
      <sheetName val="C6.1"/>
      <sheetName val="C6.2"/>
      <sheetName val="C6.3"/>
      <sheetName val="C7.1"/>
      <sheetName val="C8.1"/>
      <sheetName val="C9.1"/>
      <sheetName val="C10.1"/>
      <sheetName val="C11.1"/>
      <sheetName val="C12.1"/>
      <sheetName val="C13.1"/>
      <sheetName val="C14.1"/>
      <sheetName val="C14.2"/>
      <sheetName val="C14.3 "/>
      <sheetName val="C14.4"/>
      <sheetName val="C15.1"/>
      <sheetName val="C15.2"/>
      <sheetName val="C15.3"/>
      <sheetName val="C15.4"/>
      <sheetName val="C15.5"/>
      <sheetName val="C15.6"/>
      <sheetName val="C15.7"/>
      <sheetName val="C15.8"/>
      <sheetName val="C15.9"/>
      <sheetName val="C15.10"/>
      <sheetName val="C16.1"/>
      <sheetName val="C16.2"/>
      <sheetName val="C16.3"/>
      <sheetName val="C16.4"/>
      <sheetName val="C16.5"/>
      <sheetName val="C16.6"/>
      <sheetName val="C16.7"/>
      <sheetName val="C16.8"/>
      <sheetName val="C16.9"/>
      <sheetName val="C16.10"/>
      <sheetName val="C16.11"/>
      <sheetName val="C16.12"/>
      <sheetName val="C16.13"/>
      <sheetName val="C16.14"/>
      <sheetName val="C16.15"/>
      <sheetName val="C16.16"/>
      <sheetName val="C16.17"/>
      <sheetName val="C16.18"/>
      <sheetName val="C16.19"/>
      <sheetName val="C16.20"/>
      <sheetName val="C16.21"/>
      <sheetName val="C16.22"/>
      <sheetName val="C16.23"/>
      <sheetName val="C16.24"/>
      <sheetName val="C16.25"/>
      <sheetName val="C16.26"/>
      <sheetName val="C16.27"/>
      <sheetName val="C16.28"/>
      <sheetName val="C16.29"/>
      <sheetName val="C16.30"/>
      <sheetName val="C16.31"/>
      <sheetName val="C16.32"/>
      <sheetName val="C16.33"/>
      <sheetName val="C16.34"/>
      <sheetName val="C16.35"/>
      <sheetName val="C16.36"/>
      <sheetName val="C16.37"/>
      <sheetName val="C16.38"/>
      <sheetName val="C16.39"/>
      <sheetName val="C16.40"/>
      <sheetName val="C16.41"/>
      <sheetName val="C17.1"/>
      <sheetName val="C17.2"/>
      <sheetName val="C18.1"/>
      <sheetName val="C18.2 "/>
      <sheetName val="C19.1"/>
      <sheetName val="C19.2"/>
      <sheetName val="C19.3"/>
      <sheetName val="C19.4"/>
      <sheetName val="C19.5"/>
      <sheetName val="C19.6"/>
      <sheetName val="C20.1 "/>
      <sheetName val="C20.2"/>
      <sheetName val="C20.3 "/>
      <sheetName val="C21.1"/>
      <sheetName val="C21.2"/>
      <sheetName val="C21.3"/>
      <sheetName val="C21.4"/>
      <sheetName val="C21.5 "/>
      <sheetName val="C21.6"/>
      <sheetName val="C21.7 "/>
      <sheetName val="C22.1"/>
      <sheetName val="C22.2 "/>
      <sheetName val="C22.3 "/>
      <sheetName val="C22.4  "/>
      <sheetName val="C22.5 "/>
      <sheetName val="C23.1  "/>
      <sheetName val="C23.2 "/>
      <sheetName val="C23.3 "/>
      <sheetName val="C23.4 "/>
      <sheetName val="C23.5 "/>
      <sheetName val="C23.6 "/>
      <sheetName val="C23.7 "/>
      <sheetName val="C23.8 "/>
      <sheetName val="C24.1"/>
      <sheetName val="C24.2 "/>
      <sheetName val="C24.3 "/>
      <sheetName val="C24.4"/>
      <sheetName val="C25.1 "/>
      <sheetName val="C25.2 "/>
      <sheetName val="C25.3 "/>
      <sheetName val="C25.4"/>
      <sheetName val="C25.5 "/>
      <sheetName val="C25.6"/>
      <sheetName val="C25.7"/>
      <sheetName val="C25.8 "/>
      <sheetName val="C26.1 "/>
      <sheetName val="C26.2 "/>
      <sheetName val="C27.1"/>
      <sheetName val="C27.2 "/>
      <sheetName val="C28.1 "/>
      <sheetName val="C28.2 "/>
      <sheetName val="C29.1 "/>
      <sheetName val="C29.2 "/>
      <sheetName val="C29.3 "/>
      <sheetName val="C29.4 "/>
      <sheetName val="C29.5 "/>
      <sheetName val="C29.6 "/>
      <sheetName val="C29.7"/>
      <sheetName val="C29.8 "/>
      <sheetName val="C29.9 "/>
      <sheetName val="C29.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restaciones"/>
      <sheetName val="DESMONTE Y LIMPIEZA EN BOSQUE "/>
      <sheetName val="DESMONTE Y LIMPIEZA NO BOSQUE "/>
      <sheetName val="DEMOLICIÓN DE PAVIMENTOS"/>
      <sheetName val="REMOCIÓN DE ALCANTARILLAS  "/>
      <sheetName val="EXCAVACIÓN SIN CLASIFICAR"/>
      <sheetName val="EXPLANACIÓN ROCA"/>
      <sheetName val="EXPLANACIÓN MATERIAL COMÚN"/>
      <sheetName val="REMOCIÓN DE DERRUMBES"/>
      <sheetName val="TERRAPLENES"/>
      <sheetName val="CONFORMACIÓN DE LA CALZADA"/>
      <sheetName val="AFIRMADO"/>
      <sheetName val="SUBBASE"/>
      <sheetName val="BASE"/>
      <sheetName val="EXC.PARA REP.PAVIMENTO"/>
      <sheetName val="IMPRIMACIÓN"/>
      <sheetName val="RIEGO DE LIGA"/>
      <sheetName val="MDC-1"/>
      <sheetName val="MDC-2"/>
      <sheetName val="PARCHEO"/>
      <sheetName val="SELLO DE GRIETAS"/>
      <sheetName val="PAV-CONC.-HIDRÁULICO MR 42 "/>
      <sheetName val="PAV-CONC.-HIDRÁULICO MR 45 "/>
      <sheetName val="ADOQUIN"/>
      <sheetName val="GRAMOQUIN"/>
      <sheetName val="EXCAVACIÓN"/>
      <sheetName val="EXC.ROCA.SECO"/>
      <sheetName val="EXCAVACIÓN ROCA+AGUA"/>
      <sheetName val="EXC.VARIAS.MAT.SECO"/>
      <sheetName val="RELLENOS PARA ESTRUCTURAS"/>
      <sheetName val="PILOTES PRE-EXC."/>
      <sheetName val="PILOTE FUNDIDO"/>
      <sheetName val="CAMISA PERM.(ANILLOS CONC)"/>
      <sheetName val="ANCLAJE ACTIVO"/>
      <sheetName val="ANCLAJE PASIVO"/>
      <sheetName val="CONCRETO CLASE A (INSUMO)"/>
      <sheetName val="CONCRETO CLASE C (INSUMO)"/>
      <sheetName val="CONCRETO CLASE D (INSUMO)"/>
      <sheetName val="CONCRETO CLASE E (INSUMO)"/>
      <sheetName val="CONCRETO CLASE F (INSUMO)"/>
      <sheetName val="CONCRETO CLASE G (INSUMO)"/>
      <sheetName val="CONCRETO CLASE C"/>
      <sheetName val="CONCRETO CLASE D "/>
      <sheetName val="CONCRETO CLASE E"/>
      <sheetName val="CONCRETO CLASE F(LIMPIEZA)"/>
      <sheetName val="CONCRETO CLASE G"/>
      <sheetName val="CONCRETO CLASE C (Infra)"/>
      <sheetName val="CONCRETO CLASE C (Super) "/>
      <sheetName val="CONC. A MACIZO"/>
      <sheetName val="CONC. A ARCO"/>
      <sheetName val="CONC. A ARCO Y VIGAS"/>
      <sheetName val="CONC. A VIGAS TRANS.PREF"/>
      <sheetName val="CONC. A VIGAS LONG.PREF"/>
      <sheetName val="CONC. A REMATE VIGAS"/>
      <sheetName val="CONC. A TABLERO FONDO"/>
      <sheetName val="CONC. A TABLERO SUP."/>
      <sheetName val="CONC. A VIGA PREF.PUENTE"/>
      <sheetName val="CONC. A LOSA PUENTE"/>
      <sheetName val="CONC. CLASE C PILA"/>
      <sheetName val="CONC. CLASE C ZAPATAS"/>
      <sheetName val="CONC. CLASE C PEDESTALES"/>
      <sheetName val="CONC. CLASE C VIGAS"/>
      <sheetName val="CONC. CLASE COLUMNAS"/>
      <sheetName val="CONC. CLASE C VIGAS Y ESPALDAR"/>
      <sheetName val="CONC. C LOSA superior PILA"/>
      <sheetName val="CONC. C sobre LOSA PILA"/>
      <sheetName val="CONC. C BORDILLO"/>
      <sheetName val="CONC. C ANDEN ALIG."/>
      <sheetName val="CONC. CLASE D BASE PILA"/>
      <sheetName val="CONC. CLASE D IMPOSTA"/>
      <sheetName val="CONCRETO CLASE D(PIG.)"/>
      <sheetName val="CONTENEDOR DE RAÍCES"/>
      <sheetName val="ACERO DE REFUERZO"/>
      <sheetName val="MALLA REFUERZO"/>
      <sheetName val="INST.TENSIO.TENS"/>
      <sheetName val="REF TENSION.TORON 1-2&quot;"/>
      <sheetName val="REF TENSION.TORON 5-8&quot;"/>
      <sheetName val="APOYOS ELAST."/>
      <sheetName val="SELLOS PUENTES "/>
      <sheetName val="APYO ELAS.REDON"/>
      <sheetName val="APYO ELAS.CUAD"/>
      <sheetName val="JUNTA DILAT. TIPO A"/>
      <sheetName val="JUNTA DILAT. TIPO B"/>
      <sheetName val="CON.MESA NIV.ELAST"/>
      <sheetName val="JUNTA DILAT."/>
      <sheetName val="ESTRUCTURA METALICA"/>
      <sheetName val="PINTURA ESTRUCTURA METALICA"/>
      <sheetName val="SUMINS.INST.PEND"/>
      <sheetName val="BARRA ACERO"/>
      <sheetName val="BARANDAS METALICAS"/>
      <sheetName val="TUBERÍA DE CONCRETO 16&quot;"/>
      <sheetName val="TUBERÍA DE CONCRETO 20&quot;"/>
      <sheetName val="TUBERÍA DE CONCRETO 24&quot;"/>
      <sheetName val="TUBERÍA DE CONCRETO 36&quot;"/>
      <sheetName val="TUBERIA PERF. 2&quot;"/>
      <sheetName val="CUNETAS"/>
      <sheetName val="BORDILLO TIPO A"/>
      <sheetName val="BORDILLO TIPO B"/>
      <sheetName val="SARDINEL"/>
      <sheetName val="BARRERA"/>
      <sheetName val="GEOTEXTIL"/>
      <sheetName val="MATERIAL DRENANTE"/>
      <sheetName val="MATERIAL COBERTURA"/>
      <sheetName val="TUBERIA MICROPERFORADA"/>
      <sheetName val="DREN HORIZONTAL"/>
      <sheetName val="CONC. CLASE C+ARMADURA"/>
      <sheetName val="RELLENO GRANULAR"/>
      <sheetName val="GAVIONES"/>
      <sheetName val="IMP.DE ESTRUCTURAS"/>
      <sheetName val="LÍNEA DE DEMARCACIÓN "/>
      <sheetName val="MARCA VIAL"/>
      <sheetName val="TACHA REFLECTIVA  "/>
      <sheetName val="SEÑAL TIPO BANDERA"/>
      <sheetName val="SEÑAL VERTICAL"/>
      <sheetName val="CERCA DE ALAMBRE DE PÚAS"/>
      <sheetName val="JUNTA CONSTRUCCION"/>
      <sheetName val="TUBERIA 6 &quot;"/>
      <sheetName val="ENROCADO"/>
      <sheetName val="CÁMARA INSPECCIÓN"/>
      <sheetName val="PINTURA PROTECCIÓN"/>
      <sheetName val="EMPRADIZACION CESPED"/>
      <sheetName val="EMPRADIZACION SEMILLA"/>
      <sheetName val="ESPECIE ORNAMENTAL"/>
      <sheetName val="BARRERAS CON LIMONCILLO"/>
      <sheetName val="BARRERAS PORTE BAJO"/>
      <sheetName val="BARRERAS RÍGIDA ALTA"/>
      <sheetName val="BARRERAS RÍGIDA BAJA"/>
      <sheetName val="ARBOLES"/>
      <sheetName val="ARBUSTOS"/>
      <sheetName val="RASTROJO"/>
      <sheetName val="REVEGETALIZACIÓN"/>
      <sheetName val="INDUCCION PROFUNDA"/>
      <sheetName val="CONTROL COBERTURA VEGETAL"/>
      <sheetName val="ESTAQUILLADO"/>
      <sheetName val="MAMPOSTERIA EN SECO"/>
      <sheetName val="TAPONAMIENTO GRIETAS"/>
      <sheetName val="GEOTEXTIL estabilizacion"/>
      <sheetName val="TRINCHOS"/>
      <sheetName val="PERFORACIÓN TIERRA"/>
      <sheetName val="PERFORACIÓN CONGLOMERADO"/>
      <sheetName val="ARBOL ACACIA ROJA"/>
      <sheetName val="ARBOL ACACIA RUBIÑA"/>
      <sheetName val="ARBOL ALMENDRO"/>
      <sheetName val="ARBOL ARBOLOCO"/>
      <sheetName val="ARBOL BALSO BLANCO"/>
      <sheetName val="ÁRBOL BALSO Panelero"/>
      <sheetName val="ARBOL BALSO TAMBOR"/>
      <sheetName val="BAMBÚ"/>
      <sheetName val="ARBOL CADMIA"/>
      <sheetName val="ARBOL CALISTEMO"/>
      <sheetName val="ÁRBOL CAFÉ "/>
      <sheetName val="ÁRBOL CARACOLÍ "/>
      <sheetName val="ARBOL CARATEJO"/>
      <sheetName val="ARBOL CARB. QUIEBRACHO"/>
      <sheetName val="ÁRBOL CARB. GIGANTE"/>
      <sheetName val="ARBOL CARB. ROJO"/>
      <sheetName val="ARBOL CEDRO NEGRO"/>
      <sheetName val="ARBOL CEIBA"/>
      <sheetName val="ÁRBOL DRAGO "/>
      <sheetName val="GUADUA "/>
      <sheetName val="ÁRBOL GUALANDAY "/>
      <sheetName val="ÁRBOL GUAMO"/>
      <sheetName val="ARBOL GUAYABO"/>
      <sheetName val="ARBOL GUAYACAN AMARILLO"/>
      <sheetName val="ARBOL GUAYACAN ROSADO"/>
      <sheetName val="ARBOL HELECHO ARBOREO"/>
      <sheetName val="ÁRBOL LIMÓN"/>
      <sheetName val="ÁRBOL LIMÓN SWINGLIA"/>
      <sheetName val="ARBOL LLUVIA DE ORO"/>
      <sheetName val="ARBOL MAGNOLIO "/>
      <sheetName val="ARBOL MANGO"/>
      <sheetName val="ÁRBOL MANO DE OSO"/>
      <sheetName val="ARBOL MATARRATON"/>
      <sheetName val="ÁRBOL NARANJO"/>
      <sheetName val="PLÁTANO"/>
      <sheetName val="ARBOL SAMAN "/>
      <sheetName val="ARBOL TECA"/>
      <sheetName val="ARBOL TOTUMO"/>
      <sheetName val="ARBOL TULIPAN AFRICANO"/>
      <sheetName val="ARBOL YARUMO"/>
      <sheetName val="ÁRBOL YARUMO NEGRO"/>
      <sheetName val="ARBOL ZAPOTE"/>
      <sheetName val="PALMA BOTELLA"/>
      <sheetName val="PALMA DE CERA"/>
      <sheetName val="PALMA COROZO"/>
      <sheetName val="PALMA PHOENIX"/>
      <sheetName val="PALMA ZANCONA"/>
      <sheetName val="PALMA DEL VIAJERO"/>
      <sheetName val="MUEBLE URBANO"/>
      <sheetName val="BOLARDO"/>
      <sheetName val="APLIQUE PISO"/>
      <sheetName val="BANCA SIMPLE"/>
      <sheetName val="BANCA COMPUESTA"/>
      <sheetName val="APOYO ISQUIÁTICO"/>
      <sheetName val="BICICLETERO"/>
      <sheetName val="BEBEDERO"/>
      <sheetName val="PAPELERA"/>
      <sheetName val="MUEBLE ESTIRAMIENTO"/>
      <sheetName val="POSTE ZIGZAG "/>
      <sheetName val="MUEBLE ESTIRAMIENTO COMP."/>
      <sheetName val="ARO GIRATORIA  "/>
      <sheetName val="MUEBLE ESTIRAMIENTO MULT."/>
      <sheetName val="BARRAS ACROBÁTICAS "/>
      <sheetName val="JUEGO LANZA PELOTAS"/>
      <sheetName val="JUEGO MUSICAL"/>
      <sheetName val="JUEGO AGILIDAD MENTAL"/>
      <sheetName val="BANCO GIRATORIO"/>
      <sheetName val="CABALLO MANOLO"/>
      <sheetName val="MURO LIVIANO"/>
      <sheetName val="TUBERIA PRESION ⅟2"/>
      <sheetName val="TUBERIA PRESION ¾"/>
      <sheetName val="PUNTO HIDRAULICO"/>
      <sheetName val="VÁLVULA ¾ "/>
      <sheetName val="TUBERIA PVC 2&quot;"/>
      <sheetName val="TUBERIA PVC 3&quot; "/>
      <sheetName val="TUBERIA PVC 4&quot;  "/>
      <sheetName val="REJILLA DE PISO"/>
      <sheetName val="CAJA DE INSPECCIÓN"/>
      <sheetName val="LAVAMANOS"/>
      <sheetName val="LAVAMANOS EMPOTRAR"/>
      <sheetName val="SANITARIO"/>
      <sheetName val="ORINAL"/>
      <sheetName val="TERRAZO"/>
      <sheetName val="MEDIACAÑA EN GRANO"/>
      <sheetName val="ENCHAPE BAÑOS"/>
      <sheetName val="MESON CONCRETO"/>
      <sheetName val="MESON EN ACERO INOX."/>
      <sheetName val="BARRA EN ACERO INOX."/>
      <sheetName val="ENTREPAÑOS ACERO INOX."/>
      <sheetName val="ESTUFA"/>
      <sheetName val="LAVAPLATOS"/>
      <sheetName val="CIELORASO"/>
      <sheetName val="LAMPARA 2X16"/>
      <sheetName val="PUERTA P1"/>
      <sheetName val="PUERTA P2"/>
      <sheetName val="PUERTA P3"/>
      <sheetName val="PUERTA P4"/>
      <sheetName val="PUERTA P5"/>
      <sheetName val="PUERTA P6"/>
      <sheetName val="VENTANA V1 "/>
      <sheetName val="VENTANA V1A"/>
      <sheetName val="VENTANA V2"/>
      <sheetName val="VENTANA V3"/>
      <sheetName val="VENTANA V4"/>
      <sheetName val="VENTANA V5"/>
      <sheetName val="VENTANA V6"/>
      <sheetName val="VENTANA V7"/>
      <sheetName val="VENTANA V8"/>
      <sheetName val="CELOSÍA"/>
      <sheetName val="REJA EN VARILLA"/>
      <sheetName val="MALLA EXPANDIDA "/>
      <sheetName val="CUBIERTA TEJA SIN TRASLAPO"/>
      <sheetName val="CANAL EN LAMINA GALV."/>
      <sheetName val="ACOMETIDA ELÉCTRICA"/>
      <sheetName val="CONTADOR"/>
      <sheetName val="VARILLA COPERWELD"/>
      <sheetName val="TABLERO GENERAL"/>
      <sheetName val="TOMACORRIENTE"/>
      <sheetName val="TOMACORRIENTE ESTUFA"/>
      <sheetName val="INTERRUPTOR SENCILLO"/>
      <sheetName val="INTERRUPTOR DOBLE"/>
      <sheetName val="TRANSPORTES"/>
      <sheetName val="TRANSPORTES &gt; 1000 m"/>
      <sheetName val="TRANSPORTES DE DERRUMBES "/>
      <sheetName val="RESUMEN ÍTEMS"/>
      <sheetName val="PRESUPUESTO HIDRAULICA"/>
      <sheetName val="PRESUPUESTO DISEÑO GEOM."/>
      <sheetName val="GEOTECNIA"/>
      <sheetName val="PUENTE Q. CARMINALES"/>
      <sheetName val="PUENTE Q. BERRION"/>
      <sheetName val="PUENTE RÍO CHINCHINÁ"/>
      <sheetName val="PAISAJISMO"/>
      <sheetName val="PAVIMENTOS"/>
      <sheetName val="PRESUPUESTO PAV. FLEX"/>
      <sheetName val="PRESUPUESTO PAV. 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y pasamuro"/>
      <sheetName val="OFICIAL"/>
      <sheetName val="AYUDANTE"/>
      <sheetName val="DIBUJANTE"/>
      <sheetName val="CADENERO"/>
      <sheetName val="Listado"/>
      <sheetName val="Listado Base"/>
      <sheetName val="INSUMOS"/>
      <sheetName val="RELACION"/>
      <sheetName val="DATOS"/>
      <sheetName val="LISTA APU"/>
      <sheetName val="PRESUPUESTO CAMPOALEGRE"/>
      <sheetName val="RESUMEN"/>
      <sheetName val="% AIU"/>
      <sheetName val="1,01"/>
      <sheetName val="1,02"/>
      <sheetName val="1,03"/>
      <sheetName val="1,04"/>
      <sheetName val="1,05"/>
      <sheetName val="1,06"/>
      <sheetName val="1,07"/>
      <sheetName val="1,08"/>
      <sheetName val="1,09"/>
      <sheetName val="1,10"/>
      <sheetName val="1,11"/>
      <sheetName val="1,12"/>
      <sheetName val="1,13"/>
      <sheetName val="1,15"/>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8A"/>
      <sheetName val="2,19"/>
      <sheetName val="2,20"/>
      <sheetName val="2,21"/>
      <sheetName val="2,22"/>
      <sheetName val="2,51"/>
      <sheetName val="2,52"/>
      <sheetName val="3,01"/>
      <sheetName val="3,02"/>
      <sheetName val="3,03"/>
      <sheetName val="3,04"/>
      <sheetName val="3,05"/>
      <sheetName val="3,06"/>
      <sheetName val="3,07"/>
      <sheetName val="3,08"/>
      <sheetName val="3,09"/>
      <sheetName val="3,10"/>
      <sheetName val="3,11"/>
      <sheetName val="3,12"/>
      <sheetName val="3,13"/>
      <sheetName val="4,01"/>
      <sheetName val="4,2"/>
      <sheetName val="4,3"/>
      <sheetName val="4,4"/>
      <sheetName val="4,5"/>
      <sheetName val="4,6"/>
      <sheetName val="4,7"/>
      <sheetName val="4,8"/>
      <sheetName val="4,9"/>
      <sheetName val="4,10"/>
      <sheetName val="4,11"/>
      <sheetName val="4,13"/>
      <sheetName val="4,12"/>
      <sheetName val="5,1"/>
      <sheetName val="5,2"/>
      <sheetName val="5,3"/>
      <sheetName val="5,4"/>
      <sheetName val="5,5"/>
      <sheetName val="5,6"/>
      <sheetName val="5,8"/>
      <sheetName val="5,9"/>
      <sheetName val="6,01"/>
      <sheetName val="6,0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8,95"/>
      <sheetName val="8,96"/>
      <sheetName val="8,97"/>
      <sheetName val="8,98"/>
      <sheetName val="8,99"/>
      <sheetName val="8,100"/>
      <sheetName val="8,101"/>
      <sheetName val="8,102"/>
      <sheetName val="8,103"/>
      <sheetName val="8,104"/>
      <sheetName val="8,105"/>
      <sheetName val="8,106"/>
      <sheetName val="8,107"/>
      <sheetName val="8,108"/>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139"/>
      <sheetName val="8,140"/>
      <sheetName val="8,141"/>
      <sheetName val="8,142"/>
      <sheetName val="8,143"/>
      <sheetName val="8,144"/>
      <sheetName val="8,145"/>
      <sheetName val="8,146"/>
      <sheetName val="8,147"/>
      <sheetName val="8,148"/>
      <sheetName val="8,149"/>
      <sheetName val="8,150"/>
      <sheetName val="8,151"/>
      <sheetName val="8,152"/>
      <sheetName val="8,153"/>
      <sheetName val="8,154"/>
      <sheetName val="8,155"/>
      <sheetName val="8,156"/>
      <sheetName val="8,157"/>
      <sheetName val="8,158"/>
      <sheetName val="8,159"/>
      <sheetName val="8,160"/>
      <sheetName val="8,161"/>
      <sheetName val="8,162"/>
      <sheetName val="8,163"/>
      <sheetName val="8,164"/>
      <sheetName val="8,165"/>
      <sheetName val="8,166"/>
      <sheetName val="8,167"/>
      <sheetName val="8,168"/>
      <sheetName val="8,169"/>
      <sheetName val="8,170"/>
      <sheetName val="8,171"/>
      <sheetName val="8,172"/>
      <sheetName val="8,173"/>
      <sheetName val="8,174"/>
      <sheetName val="8,175"/>
      <sheetName val="8,176"/>
      <sheetName val="8,177"/>
      <sheetName val="8,178"/>
      <sheetName val="8,179"/>
      <sheetName val="8,180"/>
      <sheetName val="8,181"/>
      <sheetName val="8,182"/>
      <sheetName val="8,183"/>
      <sheetName val="8,184"/>
      <sheetName val="8,185"/>
      <sheetName val="8,186"/>
      <sheetName val="8,187"/>
      <sheetName val="8,188"/>
      <sheetName val="8,189"/>
      <sheetName val="8,190"/>
      <sheetName val="8,191"/>
      <sheetName val="8,192"/>
      <sheetName val="8,193"/>
      <sheetName val="8,194"/>
      <sheetName val="8,195"/>
      <sheetName val="8,196"/>
      <sheetName val="8,197"/>
      <sheetName val="8,198"/>
      <sheetName val="8,199"/>
      <sheetName val="8,200"/>
      <sheetName val="8,201"/>
      <sheetName val="8,202"/>
      <sheetName val="8,203"/>
      <sheetName val="8,204"/>
      <sheetName val="8,205"/>
      <sheetName val="8,206"/>
      <sheetName val="8,207"/>
      <sheetName val="8,208"/>
      <sheetName val="8,209"/>
      <sheetName val="8,210"/>
      <sheetName val="8,211"/>
      <sheetName val="8,212"/>
      <sheetName val="8,213"/>
      <sheetName val="8,2131"/>
      <sheetName val="8,214"/>
      <sheetName val="8,215"/>
      <sheetName val="8,216"/>
      <sheetName val="8,217"/>
      <sheetName val="8,218"/>
      <sheetName val="8,219"/>
      <sheetName val="8,220"/>
      <sheetName val="8,221"/>
      <sheetName val="8,222"/>
      <sheetName val="8,223"/>
      <sheetName val="8,224"/>
      <sheetName val="8,225"/>
      <sheetName val="8,266"/>
      <sheetName val="8,267"/>
      <sheetName val="8,268"/>
      <sheetName val="8,269"/>
      <sheetName val="8,301"/>
      <sheetName val="8,302"/>
      <sheetName val="8,303"/>
      <sheetName val="8,304"/>
      <sheetName val="8,305"/>
      <sheetName val="8,351"/>
      <sheetName val="8,352"/>
      <sheetName val="8,353"/>
      <sheetName val="8,401"/>
      <sheetName val="8,402"/>
      <sheetName val="8,403"/>
      <sheetName val="8,404"/>
      <sheetName val="8,405"/>
      <sheetName val="8,406"/>
      <sheetName val="8,3008"/>
      <sheetName val="8,407"/>
      <sheetName val="8,408"/>
      <sheetName val="8,409"/>
      <sheetName val="8,1001"/>
      <sheetName val="8,1002"/>
      <sheetName val="8,1003"/>
      <sheetName val="8,1004"/>
      <sheetName val="8,1005"/>
      <sheetName val="8,1006"/>
      <sheetName val="8,1007"/>
      <sheetName val="8,1008"/>
      <sheetName val="8,1009"/>
      <sheetName val="8,1011"/>
      <sheetName val="8,1012"/>
      <sheetName val="8,1013"/>
      <sheetName val="8,2001"/>
      <sheetName val="8,2002"/>
      <sheetName val="8,2003"/>
      <sheetName val="8,2004"/>
      <sheetName val="8,2101"/>
      <sheetName val="8,2102"/>
      <sheetName val="8,2103"/>
      <sheetName val="8,2104"/>
      <sheetName val="8,2105"/>
      <sheetName val="8,2106"/>
      <sheetName val="8,2107"/>
      <sheetName val="8,2108"/>
      <sheetName val="8,2109"/>
      <sheetName val="8,2111"/>
      <sheetName val="8,2112"/>
      <sheetName val="8,3001"/>
      <sheetName val="8,3002"/>
      <sheetName val="8,3003"/>
      <sheetName val="8,3004"/>
      <sheetName val="8,3005"/>
      <sheetName val="8,3006"/>
      <sheetName val="8,3007"/>
      <sheetName val="8,407 (2)"/>
      <sheetName val="8,408 (2)"/>
      <sheetName val="8,1001 (2)"/>
      <sheetName val="8,1002 (2)"/>
      <sheetName val="8,1003 (2)"/>
      <sheetName val="8,1004 (2)"/>
      <sheetName val="8,1005 (2)"/>
      <sheetName val="8,1006 (2)"/>
      <sheetName val="8,1007 (2)"/>
      <sheetName val="8,1008 (2)"/>
      <sheetName val="8,1009 (2)"/>
      <sheetName val="8,3013"/>
      <sheetName val="8,3014"/>
      <sheetName val="8,3015"/>
      <sheetName val="8,3017"/>
      <sheetName val="8,3016"/>
      <sheetName val="8,3018"/>
      <sheetName val="8,3019"/>
      <sheetName val="8,3022"/>
      <sheetName val="8,3021"/>
      <sheetName val="8,3023"/>
      <sheetName val="8,3024"/>
      <sheetName val="8,3025"/>
      <sheetName val="8,3026"/>
      <sheetName val="8,3027"/>
      <sheetName val="8,3028"/>
      <sheetName val="8,3029"/>
      <sheetName val="8,3031"/>
      <sheetName val="8,3033"/>
      <sheetName val="8,3034"/>
      <sheetName val="8,3035"/>
      <sheetName val="9,02"/>
      <sheetName val="9,01"/>
      <sheetName val="9,03"/>
      <sheetName val="10,001"/>
      <sheetName val="10,002"/>
      <sheetName val="10,003"/>
      <sheetName val="10,005"/>
      <sheetName val="10,006"/>
      <sheetName val="10,009"/>
      <sheetName val="10,012"/>
      <sheetName val="10,022"/>
      <sheetName val="10,027"/>
      <sheetName val="10,033"/>
      <sheetName val="10,042"/>
      <sheetName val="10,052"/>
      <sheetName val="10,072"/>
      <sheetName val="10,083"/>
      <sheetName val="10,084"/>
      <sheetName val="10,093"/>
      <sheetName val="10,098"/>
      <sheetName val="10,103"/>
      <sheetName val="10,105"/>
      <sheetName val="10,106"/>
      <sheetName val="10,108"/>
      <sheetName val="10,111"/>
      <sheetName val="10,112"/>
      <sheetName val="10,113"/>
      <sheetName val="10,116"/>
      <sheetName val="10,117"/>
      <sheetName val="10,126"/>
      <sheetName val="10,127"/>
      <sheetName val="11,01"/>
      <sheetName val="11,02"/>
      <sheetName val="11,03"/>
      <sheetName val="11,04"/>
      <sheetName val="11,05"/>
      <sheetName val="11,07"/>
      <sheetName val="11,09"/>
      <sheetName val="11,11"/>
      <sheetName val="11,12"/>
      <sheetName val="11,14"/>
      <sheetName val="11,15"/>
      <sheetName val="11,21"/>
      <sheetName val="11,22"/>
      <sheetName val="11,23"/>
      <sheetName val="11,24"/>
      <sheetName val="11,25"/>
      <sheetName val="11,26"/>
      <sheetName val="11,27"/>
      <sheetName val="11,28"/>
      <sheetName val="11,29"/>
      <sheetName val="11,3"/>
      <sheetName val="11,31"/>
      <sheetName val="11,32"/>
      <sheetName val="11,33"/>
      <sheetName val="11,34"/>
      <sheetName val="11,35"/>
      <sheetName val="13,01"/>
      <sheetName val="13,04"/>
      <sheetName val="14,02"/>
      <sheetName val="14,03"/>
      <sheetName val="14,04"/>
      <sheetName val="14,05"/>
      <sheetName val="14,07"/>
      <sheetName val="14,1"/>
      <sheetName val="14,11"/>
      <sheetName val="14,12"/>
      <sheetName val="14,13"/>
      <sheetName val="14,14"/>
      <sheetName val="14,15"/>
      <sheetName val="14,16"/>
      <sheetName val="14,17"/>
      <sheetName val="14,18"/>
      <sheetName val="14,19"/>
      <sheetName val="16,01"/>
      <sheetName val="16,06"/>
      <sheetName val="16,07"/>
      <sheetName val="16,14"/>
      <sheetName val="16,16"/>
      <sheetName val="16,17"/>
      <sheetName val="16,19"/>
      <sheetName val="16,2"/>
      <sheetName val="16,23"/>
      <sheetName val="16,25"/>
      <sheetName val="16,26"/>
      <sheetName val="16,27"/>
      <sheetName val="16,28"/>
      <sheetName val="16,29"/>
      <sheetName val="16,30"/>
      <sheetName val="16,31"/>
      <sheetName val="16,32"/>
      <sheetName val="16,33"/>
      <sheetName val="16,34"/>
      <sheetName val="16,35"/>
      <sheetName val="16,36"/>
      <sheetName val="16,37"/>
      <sheetName val="16,38"/>
      <sheetName val="16,39"/>
      <sheetName val="17,03"/>
      <sheetName val="17,04"/>
      <sheetName val="17,06"/>
      <sheetName val="17,09"/>
      <sheetName val="17,12"/>
      <sheetName val="17,13"/>
      <sheetName val="17,14"/>
      <sheetName val="17,15"/>
      <sheetName val="17,16"/>
      <sheetName val="17,17"/>
      <sheetName val="17,18"/>
      <sheetName val="17,19"/>
      <sheetName val="17,2"/>
      <sheetName val="18,02"/>
      <sheetName val="18,03"/>
      <sheetName val="18,08"/>
      <sheetName val="19,03"/>
      <sheetName val="19,04"/>
      <sheetName val="56,9"/>
      <sheetName val="57,1"/>
      <sheetName val="57,2"/>
      <sheetName val="57,4"/>
      <sheetName val="57,5"/>
      <sheetName val="TOTALAPU"/>
    </sheetNames>
    <sheetDataSet>
      <sheetData sheetId="0">
        <row r="22">
          <cell r="A22">
            <v>2</v>
          </cell>
        </row>
      </sheetData>
      <sheetData sheetId="1"/>
      <sheetData sheetId="2"/>
      <sheetData sheetId="3"/>
      <sheetData sheetId="4"/>
      <sheetData sheetId="5"/>
      <sheetData sheetId="6">
        <row r="12">
          <cell r="B12">
            <v>1.01</v>
          </cell>
          <cell r="C12" t="str">
            <v>Localización y replanteo para redes de acueducto</v>
          </cell>
          <cell r="D12" t="str">
            <v>m</v>
          </cell>
        </row>
        <row r="13">
          <cell r="B13">
            <v>1.02</v>
          </cell>
          <cell r="C13" t="str">
            <v>Localización y replanteo para redes de alcantarillado</v>
          </cell>
          <cell r="D13" t="str">
            <v>m</v>
          </cell>
        </row>
        <row r="14">
          <cell r="B14">
            <v>1.03</v>
          </cell>
          <cell r="C14" t="str">
            <v>Localización y replanteo para estructuras hidráulicas</v>
          </cell>
          <cell r="D14" t="str">
            <v>m2</v>
          </cell>
        </row>
        <row r="15">
          <cell r="B15">
            <v>1.04</v>
          </cell>
          <cell r="C15" t="str">
            <v>Desmonte y limpieza en rastrojo</v>
          </cell>
          <cell r="D15" t="str">
            <v>m2</v>
          </cell>
        </row>
        <row r="16">
          <cell r="B16">
            <v>1.05</v>
          </cell>
          <cell r="C16" t="str">
            <v>Descapote manual</v>
          </cell>
          <cell r="D16" t="str">
            <v>m2</v>
          </cell>
        </row>
        <row r="17">
          <cell r="B17">
            <v>1.06</v>
          </cell>
          <cell r="C17" t="str">
            <v>Descapote mecánico</v>
          </cell>
          <cell r="D17" t="str">
            <v>m2</v>
          </cell>
        </row>
        <row r="18">
          <cell r="B18">
            <v>1.07</v>
          </cell>
          <cell r="C18" t="str">
            <v>Ampliación y mejoramiento de vías de acceso con bulldozer</v>
          </cell>
          <cell r="D18" t="str">
            <v>hr</v>
          </cell>
        </row>
        <row r="19">
          <cell r="B19">
            <v>1.08</v>
          </cell>
          <cell r="C19" t="str">
            <v>Control de ríos mediante conformación mecánica de jarillón (inc. retroexcavadora orugada)</v>
          </cell>
          <cell r="D19" t="str">
            <v>hr</v>
          </cell>
        </row>
        <row r="20">
          <cell r="B20">
            <v>1.0900000000000001</v>
          </cell>
          <cell r="C20" t="str">
            <v>Acondicionamiento de superficies para impermeabilización con membranas (limpieza con cepillo metálico y pulidora)</v>
          </cell>
          <cell r="D20" t="str">
            <v>m2</v>
          </cell>
        </row>
        <row r="21">
          <cell r="B21">
            <v>1.1000000000000001</v>
          </cell>
          <cell r="C21" t="str">
            <v>Localización y replanteo para estructuras hidráulicas area menor</v>
          </cell>
          <cell r="D21" t="str">
            <v>un</v>
          </cell>
        </row>
        <row r="22">
          <cell r="B22">
            <v>1.1100000000000001</v>
          </cell>
          <cell r="C22" t="str">
            <v>Control de aguas por métodos manuales</v>
          </cell>
          <cell r="D22" t="str">
            <v>un</v>
          </cell>
        </row>
        <row r="23">
          <cell r="B23">
            <v>1.1200000000000001</v>
          </cell>
          <cell r="C23" t="str">
            <v>Campamento Tabla 18 M2</v>
          </cell>
          <cell r="D23" t="str">
            <v>un</v>
          </cell>
        </row>
        <row r="24">
          <cell r="B24">
            <v>1.1299999999999999</v>
          </cell>
          <cell r="C24" t="str">
            <v>Construcción de ataguias de desvio para const. presa</v>
          </cell>
          <cell r="D24" t="str">
            <v>m2</v>
          </cell>
        </row>
        <row r="25">
          <cell r="B25">
            <v>1.1399999999999999</v>
          </cell>
          <cell r="C25" t="str">
            <v xml:space="preserve">Investigación de Interferencias </v>
          </cell>
          <cell r="D25" t="str">
            <v>m3</v>
          </cell>
        </row>
        <row r="26">
          <cell r="B26">
            <v>1.1499999999999999</v>
          </cell>
          <cell r="C26" t="str">
            <v>Desvío de cauces durante la construcción</v>
          </cell>
          <cell r="D26" t="str">
            <v>glb</v>
          </cell>
        </row>
        <row r="27">
          <cell r="B27">
            <v>2.0099999999999998</v>
          </cell>
          <cell r="C27" t="str">
            <v>Excavación manual en conglomerado h &lt; 1.50m</v>
          </cell>
          <cell r="D27" t="str">
            <v>m3</v>
          </cell>
        </row>
        <row r="28">
          <cell r="B28">
            <v>2.02</v>
          </cell>
          <cell r="C28" t="str">
            <v>Excavación manual en conglomerado 1.50m &lt; h &lt; 3.0m</v>
          </cell>
          <cell r="D28" t="str">
            <v>m3</v>
          </cell>
        </row>
        <row r="29">
          <cell r="B29">
            <v>2.0299999999999998</v>
          </cell>
          <cell r="C29" t="str">
            <v>Excavación manual en conglomerado h &gt; 3.0m</v>
          </cell>
          <cell r="D29" t="str">
            <v>m3</v>
          </cell>
        </row>
        <row r="30">
          <cell r="B30">
            <v>2.04</v>
          </cell>
          <cell r="C30" t="str">
            <v>Excavación manual en conglomerado húmedo h &lt; 1.50m</v>
          </cell>
          <cell r="D30" t="str">
            <v>m3</v>
          </cell>
        </row>
        <row r="31">
          <cell r="B31">
            <v>2.0499999999999998</v>
          </cell>
          <cell r="C31" t="str">
            <v>Excavación manual en roca h&lt;1.5m</v>
          </cell>
          <cell r="D31" t="str">
            <v>m3</v>
          </cell>
        </row>
        <row r="32">
          <cell r="B32">
            <v>2.06</v>
          </cell>
          <cell r="C32" t="str">
            <v>Excavación manual en roca 1.5m &lt; h &lt; 3.0m</v>
          </cell>
          <cell r="D32" t="str">
            <v>m3</v>
          </cell>
        </row>
        <row r="33">
          <cell r="B33">
            <v>2.0699999999999998</v>
          </cell>
          <cell r="C33" t="str">
            <v>Excavación mecánica en conglomerado h &lt; 3.0m</v>
          </cell>
          <cell r="D33" t="str">
            <v>m3</v>
          </cell>
        </row>
        <row r="34">
          <cell r="B34">
            <v>2.08</v>
          </cell>
          <cell r="C34" t="str">
            <v>Excavación mecánica en conglomerado h &gt; 3.0m</v>
          </cell>
          <cell r="D34" t="str">
            <v>m3</v>
          </cell>
        </row>
        <row r="35">
          <cell r="B35">
            <v>2.09</v>
          </cell>
          <cell r="C35" t="str">
            <v>Excavación mecánica en conglomerado húmedo h&lt;3.0m</v>
          </cell>
          <cell r="D35" t="str">
            <v>m3</v>
          </cell>
        </row>
        <row r="36">
          <cell r="B36">
            <v>2.1</v>
          </cell>
          <cell r="C36" t="str">
            <v>Excavación mecánica en conglomerado húmedo h&gt;3.0m</v>
          </cell>
          <cell r="D36" t="str">
            <v>m3</v>
          </cell>
        </row>
        <row r="37">
          <cell r="B37">
            <v>2.11</v>
          </cell>
          <cell r="C37" t="str">
            <v>Excavación mecánica en roca h&lt;3.0m</v>
          </cell>
          <cell r="D37" t="str">
            <v>m3</v>
          </cell>
        </row>
        <row r="38">
          <cell r="B38">
            <v>2.12</v>
          </cell>
          <cell r="C38" t="str">
            <v>Excavación mecánica en roca h&gt;3.0m</v>
          </cell>
          <cell r="D38" t="str">
            <v>m3</v>
          </cell>
        </row>
        <row r="39">
          <cell r="B39">
            <v>2.13</v>
          </cell>
          <cell r="C39" t="str">
            <v>Demolición de roca con agente demoledor no expansivo (incluye perforación con compresor)</v>
          </cell>
          <cell r="D39" t="str">
            <v>m3</v>
          </cell>
        </row>
        <row r="40">
          <cell r="B40">
            <v>2.14</v>
          </cell>
          <cell r="C40" t="str">
            <v>Entibado tipo EC2 (formaleta madera 1/7 utilizaciones)</v>
          </cell>
          <cell r="D40" t="str">
            <v>m2</v>
          </cell>
        </row>
        <row r="41">
          <cell r="B41">
            <v>2.15</v>
          </cell>
          <cell r="C41" t="str">
            <v>Entibado tipo EC3 (formaleta metalica 1/7 utilizaciones)</v>
          </cell>
          <cell r="D41" t="str">
            <v>m2</v>
          </cell>
        </row>
        <row r="42">
          <cell r="B42">
            <v>2.16</v>
          </cell>
          <cell r="C42" t="str">
            <v>Retiro sobrantes de excavación</v>
          </cell>
          <cell r="D42" t="str">
            <v>m3</v>
          </cell>
        </row>
        <row r="43">
          <cell r="B43">
            <v>2.17</v>
          </cell>
          <cell r="C43" t="str">
            <v>Excavación manual en conglomerado húmedo h &gt; 1.50m</v>
          </cell>
          <cell r="D43" t="str">
            <v>m3</v>
          </cell>
        </row>
        <row r="44">
          <cell r="B44">
            <v>2.1800000000000002</v>
          </cell>
          <cell r="C44" t="str">
            <v>Excavación manual en material común h &lt; 1.50m</v>
          </cell>
          <cell r="D44" t="str">
            <v>m3</v>
          </cell>
        </row>
        <row r="45">
          <cell r="B45" t="str">
            <v>2,18A</v>
          </cell>
          <cell r="C45" t="str">
            <v>Excavación manual en material común 1.50m &lt; h &lt; 3.0m</v>
          </cell>
          <cell r="D45" t="str">
            <v>m3</v>
          </cell>
        </row>
        <row r="46">
          <cell r="B46">
            <v>2.19</v>
          </cell>
          <cell r="C46" t="str">
            <v>Excavación manual en material común h &gt; 3.00m</v>
          </cell>
          <cell r="D46" t="str">
            <v>m3</v>
          </cell>
        </row>
        <row r="47">
          <cell r="B47">
            <v>2.2000000000000002</v>
          </cell>
          <cell r="C47" t="str">
            <v>Excavación manual en recebo h &lt; 1.5 m</v>
          </cell>
          <cell r="D47" t="str">
            <v>m3</v>
          </cell>
        </row>
        <row r="48">
          <cell r="B48">
            <v>2.21</v>
          </cell>
          <cell r="C48" t="str">
            <v>Excavación Manual pozos de inspeccion h &lt; 3.0m</v>
          </cell>
          <cell r="D48" t="str">
            <v>m3</v>
          </cell>
        </row>
        <row r="49">
          <cell r="B49">
            <v>2.2200000000000002</v>
          </cell>
          <cell r="C49" t="str">
            <v>Excavación Manual pozos de inspeccion h &gt; 3.0m</v>
          </cell>
          <cell r="D49" t="str">
            <v>m3</v>
          </cell>
        </row>
        <row r="50">
          <cell r="B50">
            <v>2.5099999999999998</v>
          </cell>
          <cell r="C50" t="str">
            <v>Excavación Mecánica en material Común h &lt; 3.0m</v>
          </cell>
          <cell r="D50" t="str">
            <v>m3</v>
          </cell>
        </row>
        <row r="51">
          <cell r="B51">
            <v>2.52</v>
          </cell>
          <cell r="C51" t="str">
            <v>Excavación Mecánica en material Común &gt;3.0 m</v>
          </cell>
          <cell r="D51" t="str">
            <v>m3</v>
          </cell>
        </row>
        <row r="52">
          <cell r="B52">
            <v>0</v>
          </cell>
          <cell r="C52">
            <v>0</v>
          </cell>
          <cell r="D52">
            <v>0</v>
          </cell>
        </row>
        <row r="53">
          <cell r="B53">
            <v>3.01</v>
          </cell>
          <cell r="C53" t="str">
            <v>Arena para base de tubería (incluye extendida y compactada)</v>
          </cell>
          <cell r="D53" t="str">
            <v>m3</v>
          </cell>
        </row>
        <row r="54">
          <cell r="B54">
            <v>3.02</v>
          </cell>
          <cell r="C54" t="str">
            <v>Relleno material seleccionado proveniente de la excavación (incluye compactación c/0.20m)</v>
          </cell>
          <cell r="D54" t="str">
            <v>m3</v>
          </cell>
        </row>
        <row r="55">
          <cell r="B55">
            <v>3.03</v>
          </cell>
          <cell r="C55" t="str">
            <v>Relleno material seleccionado tamaño máximo 3" (incluye explote. cargue. acarreo y conformación)</v>
          </cell>
          <cell r="D55" t="str">
            <v>m3</v>
          </cell>
        </row>
        <row r="56">
          <cell r="B56">
            <v>3.04</v>
          </cell>
          <cell r="C56" t="str">
            <v>Relleno material seleccionado tamaño máximo 2" (incluye explote. cargue. acarreo y conformación)</v>
          </cell>
          <cell r="D56" t="str">
            <v>m3</v>
          </cell>
        </row>
        <row r="57">
          <cell r="B57">
            <v>3.05</v>
          </cell>
          <cell r="C57" t="str">
            <v>Sub-base triturada tamaño máximo 2" (incluye acarreo. conformación y compactación c/0.30m)</v>
          </cell>
          <cell r="D57" t="str">
            <v>m3</v>
          </cell>
        </row>
        <row r="58">
          <cell r="B58">
            <v>3.06</v>
          </cell>
          <cell r="C58" t="str">
            <v>Base triturada tamaño máximo 1 1/2" (incluye acarreo. conformación y compactación c/0.10m)</v>
          </cell>
          <cell r="D58" t="str">
            <v>m3</v>
          </cell>
        </row>
        <row r="59">
          <cell r="B59">
            <v>3.07</v>
          </cell>
          <cell r="C59" t="str">
            <v>Afirmado en material seleccionado tamaño máximo 2" (incluye explote. cargue. acarreo y conformación)</v>
          </cell>
          <cell r="D59" t="str">
            <v>m3</v>
          </cell>
        </row>
        <row r="60">
          <cell r="B60">
            <v>3.08</v>
          </cell>
          <cell r="C60" t="str">
            <v>Rajón o piedra partida (Incluye explote, cargue, acarreo)</v>
          </cell>
          <cell r="D60" t="str">
            <v>m3</v>
          </cell>
        </row>
        <row r="61">
          <cell r="B61">
            <v>3.09</v>
          </cell>
          <cell r="C61" t="str">
            <v>Arena de peña (incluye acarreo)</v>
          </cell>
          <cell r="D61" t="str">
            <v>m3</v>
          </cell>
        </row>
        <row r="62">
          <cell r="B62">
            <v>3.1</v>
          </cell>
          <cell r="C62" t="str">
            <v>Suministro e instalación de geotextil no tejido</v>
          </cell>
          <cell r="D62" t="str">
            <v>m2</v>
          </cell>
        </row>
        <row r="63">
          <cell r="B63">
            <v>3.11</v>
          </cell>
          <cell r="C63" t="str">
            <v>Recebo compactado</v>
          </cell>
          <cell r="D63" t="str">
            <v>m3</v>
          </cell>
        </row>
        <row r="64">
          <cell r="B64">
            <v>3.12</v>
          </cell>
          <cell r="C64" t="str">
            <v>Suministro e instalacion grava para filtro</v>
          </cell>
          <cell r="D64" t="str">
            <v>m3</v>
          </cell>
        </row>
        <row r="65">
          <cell r="B65">
            <v>3.13</v>
          </cell>
          <cell r="C65" t="str">
            <v>Relleno en canto rodado 0,15 &lt; d &lt; 0,30 m</v>
          </cell>
          <cell r="D65" t="str">
            <v>m3</v>
          </cell>
        </row>
        <row r="66">
          <cell r="B66">
            <v>4.01</v>
          </cell>
          <cell r="C66" t="str">
            <v>Corte de pavimento flexible</v>
          </cell>
          <cell r="D66" t="str">
            <v>m</v>
          </cell>
        </row>
        <row r="67">
          <cell r="B67">
            <v>4.0199999999999996</v>
          </cell>
          <cell r="C67" t="str">
            <v>Corte de pavimento rígido</v>
          </cell>
          <cell r="D67" t="str">
            <v>m</v>
          </cell>
        </row>
        <row r="68">
          <cell r="B68">
            <v>4.03</v>
          </cell>
          <cell r="C68" t="str">
            <v>Demolición de pavimento flexible (incluye retiro de escombros)</v>
          </cell>
          <cell r="D68" t="str">
            <v>m2</v>
          </cell>
        </row>
        <row r="69">
          <cell r="B69">
            <v>4.04</v>
          </cell>
          <cell r="C69" t="str">
            <v>Demolición de pavimento rígido (incluye retiro de escombros)</v>
          </cell>
          <cell r="D69" t="str">
            <v>m2</v>
          </cell>
        </row>
        <row r="70">
          <cell r="B70">
            <v>4.05</v>
          </cell>
          <cell r="C70" t="str">
            <v>Demolición manual de pisos y andenes (incluye retiro de escombros)</v>
          </cell>
          <cell r="D70" t="str">
            <v>m2</v>
          </cell>
        </row>
        <row r="71">
          <cell r="B71">
            <v>4.0599999999999996</v>
          </cell>
          <cell r="C71" t="str">
            <v>Demolición de tubería en concreto (incluye retiro de escombros)</v>
          </cell>
          <cell r="D71" t="str">
            <v>m3</v>
          </cell>
        </row>
        <row r="72">
          <cell r="B72">
            <v>4.07</v>
          </cell>
          <cell r="C72" t="str">
            <v>Demolición de concreto reforzado (incluye retiro de escombros)</v>
          </cell>
          <cell r="D72" t="str">
            <v>m3</v>
          </cell>
        </row>
        <row r="73">
          <cell r="B73">
            <v>4.08</v>
          </cell>
          <cell r="C73" t="str">
            <v>Demolición de concreto simple (incluye retiro de escombros)</v>
          </cell>
          <cell r="D73" t="str">
            <v>m3</v>
          </cell>
        </row>
        <row r="74">
          <cell r="B74">
            <v>4.09</v>
          </cell>
          <cell r="C74" t="str">
            <v>Demolición de concreto ciclópeo (incluye retiro de escombros)</v>
          </cell>
          <cell r="D74" t="str">
            <v>m3</v>
          </cell>
        </row>
        <row r="75">
          <cell r="B75">
            <v>4.0999999999999996</v>
          </cell>
          <cell r="C75" t="str">
            <v>Retiro tuberia existente</v>
          </cell>
          <cell r="D75" t="str">
            <v>m</v>
          </cell>
        </row>
        <row r="76">
          <cell r="B76">
            <v>4.1100000000000003</v>
          </cell>
          <cell r="C76" t="str">
            <v>Demolicion Pozos inspeccion h&lt;1,3m</v>
          </cell>
          <cell r="D76" t="str">
            <v>un</v>
          </cell>
        </row>
        <row r="77">
          <cell r="B77">
            <v>4.12</v>
          </cell>
          <cell r="C77" t="str">
            <v>Demolicion Adoquin</v>
          </cell>
          <cell r="D77" t="str">
            <v>m2</v>
          </cell>
        </row>
        <row r="78">
          <cell r="B78">
            <v>4.13</v>
          </cell>
          <cell r="C78" t="str">
            <v>Corte Pavimento en adoquin/escalera</v>
          </cell>
          <cell r="D78" t="str">
            <v>m</v>
          </cell>
        </row>
        <row r="79">
          <cell r="B79">
            <v>5.01</v>
          </cell>
          <cell r="C79" t="str">
            <v>Carpeta asfáltica. e=0.05m (incluye imprimación)</v>
          </cell>
          <cell r="D79" t="str">
            <v>m2</v>
          </cell>
        </row>
        <row r="80">
          <cell r="B80">
            <v>5.0199999999999996</v>
          </cell>
          <cell r="C80" t="str">
            <v>Carpeta asfáltica. e=0.07m (incluye imprimación)</v>
          </cell>
          <cell r="D80" t="str">
            <v>m2</v>
          </cell>
        </row>
        <row r="81">
          <cell r="B81">
            <v>5.03</v>
          </cell>
          <cell r="C81" t="str">
            <v>Carpeta asfáltica. e=0.10m (incluye imprimación)</v>
          </cell>
          <cell r="D81" t="str">
            <v>m2</v>
          </cell>
        </row>
        <row r="82">
          <cell r="B82">
            <v>5.04</v>
          </cell>
          <cell r="C82" t="str">
            <v>Pavimento asfáltico (mezcla en caliente)</v>
          </cell>
          <cell r="D82" t="str">
            <v>m3</v>
          </cell>
        </row>
        <row r="83">
          <cell r="B83">
            <v>5.05</v>
          </cell>
          <cell r="C83" t="str">
            <v>Pavimento rígido. concreto 3000 PSI elab. en obra (e=0.15m)</v>
          </cell>
          <cell r="D83" t="str">
            <v>m2</v>
          </cell>
        </row>
        <row r="84">
          <cell r="B84">
            <v>5.0599999999999996</v>
          </cell>
          <cell r="C84" t="str">
            <v>Pavimento rígido. concreto 3000 PSI elab. en obra (e=0.20m)</v>
          </cell>
          <cell r="D84" t="str">
            <v>m2</v>
          </cell>
        </row>
        <row r="85">
          <cell r="B85">
            <v>5.08</v>
          </cell>
          <cell r="C85" t="str">
            <v>Pavimento Concreto Ciclópeo (60% Piedra 40% Concreto 3000 PSI)</v>
          </cell>
          <cell r="D85" t="str">
            <v>m2</v>
          </cell>
        </row>
        <row r="86">
          <cell r="B86">
            <v>5.09</v>
          </cell>
          <cell r="C86" t="str">
            <v>Suministro e instalacion de Adoquin /escalera</v>
          </cell>
          <cell r="D86" t="str">
            <v>m2</v>
          </cell>
        </row>
        <row r="87">
          <cell r="B87">
            <v>6.01</v>
          </cell>
          <cell r="C87" t="str">
            <v>Suministro e instalación de tubería PVC para
alcantarillados 6" (inc. nivelación de precisión)</v>
          </cell>
          <cell r="D87" t="str">
            <v>m</v>
          </cell>
        </row>
        <row r="88">
          <cell r="B88">
            <v>6.02</v>
          </cell>
          <cell r="C88" t="str">
            <v>Suministro e instalación de tubería PVC para alcantarillados 8" (inc.union, nivelación de precisión)</v>
          </cell>
          <cell r="D88" t="str">
            <v>m</v>
          </cell>
        </row>
        <row r="89">
          <cell r="B89">
            <v>6.03</v>
          </cell>
          <cell r="C89" t="str">
            <v>Suministro e instalación de tubería PVC para alcantarillados 10" (inc.Union, nivelación de precisión)</v>
          </cell>
          <cell r="D89" t="str">
            <v>m</v>
          </cell>
        </row>
        <row r="90">
          <cell r="B90">
            <v>6.04</v>
          </cell>
          <cell r="C90" t="str">
            <v>Suministro e instalación de tubería PVC para alcantarillados 12" (inc. nivelación de precisión)</v>
          </cell>
          <cell r="D90" t="str">
            <v>m</v>
          </cell>
        </row>
        <row r="91">
          <cell r="B91">
            <v>6.05</v>
          </cell>
          <cell r="C91" t="str">
            <v>Suministro e instalación de tubería PVC para alcantarillados 14" (inc.Union, nivelación de precisión)</v>
          </cell>
          <cell r="D91" t="str">
            <v>m</v>
          </cell>
        </row>
        <row r="92">
          <cell r="B92">
            <v>6.06</v>
          </cell>
          <cell r="C92" t="str">
            <v>Suministro e instalación de tubería PVC para alcantarillados 16" (inc. Union nivelación de precisión)</v>
          </cell>
          <cell r="D92" t="str">
            <v>m</v>
          </cell>
        </row>
        <row r="93">
          <cell r="B93">
            <v>6.07</v>
          </cell>
          <cell r="C93" t="str">
            <v>Suministro e instalación de tubería PVC para alcantarillados 18" (inc. Union nivelación de precisión)</v>
          </cell>
          <cell r="D93" t="str">
            <v>m</v>
          </cell>
        </row>
        <row r="94">
          <cell r="B94">
            <v>6.08</v>
          </cell>
          <cell r="C94" t="str">
            <v>Suministro e instalación de tubería PVC para alcantarillados 20" (inc. Union y nivelación de precisión)</v>
          </cell>
          <cell r="D94" t="str">
            <v>m</v>
          </cell>
        </row>
        <row r="95">
          <cell r="B95">
            <v>6.09</v>
          </cell>
          <cell r="C95" t="str">
            <v>Suministro e instalación de tubería PVC para alcantarillados d=24" (inc. unión y nivelación de precisión)</v>
          </cell>
          <cell r="D95" t="str">
            <v>m</v>
          </cell>
        </row>
        <row r="96">
          <cell r="B96">
            <v>6.1</v>
          </cell>
          <cell r="C96" t="str">
            <v>Suministro e instalación de tubería PVC para alcantarillados d=27" (inc. unión y nivelación de precisión)</v>
          </cell>
          <cell r="D96" t="str">
            <v>m</v>
          </cell>
        </row>
        <row r="97">
          <cell r="B97">
            <v>6.11</v>
          </cell>
          <cell r="C97" t="str">
            <v>Suministro e instalación de tubería PVC para alcantarillados d=30" (inc. unión y nivelación de precisión)</v>
          </cell>
          <cell r="D97" t="str">
            <v>m</v>
          </cell>
        </row>
        <row r="98">
          <cell r="B98">
            <v>6.12</v>
          </cell>
          <cell r="C98" t="str">
            <v>Suministro e instalación de tubería PVC para alcantarillados d=33" (inc. unión y nivelación de precisión)</v>
          </cell>
          <cell r="D98" t="str">
            <v>m</v>
          </cell>
        </row>
        <row r="99">
          <cell r="B99">
            <v>6.13</v>
          </cell>
          <cell r="C99" t="str">
            <v>Suministro e instalación de tubería PVC para alcantarillados d=36" (inc. unión y nivelación de precisión)</v>
          </cell>
          <cell r="D99" t="str">
            <v>m</v>
          </cell>
        </row>
        <row r="100">
          <cell r="B100">
            <v>6.14</v>
          </cell>
          <cell r="C100" t="str">
            <v>Suministro e instalación de tubería PVC para alcantarillados d=39" (inc. unión y nivelación de precisión)</v>
          </cell>
          <cell r="D100" t="str">
            <v>m</v>
          </cell>
        </row>
        <row r="101">
          <cell r="B101">
            <v>6.15</v>
          </cell>
          <cell r="C101" t="str">
            <v>Suministro e instalación de tubería PVC para alcantarillados d=42" (inc. unión y nivelación de precisión)</v>
          </cell>
          <cell r="D101" t="str">
            <v>m</v>
          </cell>
        </row>
        <row r="102">
          <cell r="B102">
            <v>6.16</v>
          </cell>
          <cell r="C102" t="str">
            <v>Suministro e instalación de tubería PVC para alcantarillados d=45" (inc. unión y nivelación de precisión)</v>
          </cell>
          <cell r="D102" t="str">
            <v>m</v>
          </cell>
        </row>
        <row r="103">
          <cell r="B103">
            <v>6.17</v>
          </cell>
          <cell r="C103" t="str">
            <v>Suministro e instalación de tubería PVC para alcantarillados d=48" (inc. unión y nivelación de precisión)</v>
          </cell>
          <cell r="D103" t="str">
            <v>m</v>
          </cell>
        </row>
        <row r="104">
          <cell r="B104">
            <v>6.18</v>
          </cell>
          <cell r="C104" t="str">
            <v>Suministro e instalación de tubería PVC para alcantarillados d=51" (inc. unión y nivelación de precisión)</v>
          </cell>
          <cell r="D104" t="str">
            <v>m</v>
          </cell>
        </row>
        <row r="105">
          <cell r="B105">
            <v>6.19</v>
          </cell>
          <cell r="C105" t="str">
            <v>Suministro e instalación de tubería PVC para alcantarillados d=54" (inc. unión y nivelación de precisión)</v>
          </cell>
          <cell r="D105" t="str">
            <v>m</v>
          </cell>
        </row>
        <row r="106">
          <cell r="B106">
            <v>6.2</v>
          </cell>
          <cell r="C106" t="str">
            <v>Suministro e instalación de tubería PVC para alcantarillados d=57" (inc. unión y nivelación de precisión)</v>
          </cell>
          <cell r="D106" t="str">
            <v>m</v>
          </cell>
        </row>
        <row r="107">
          <cell r="B107">
            <v>6.21</v>
          </cell>
          <cell r="C107" t="str">
            <v>Suministro e instalación de tubería PVC para alcantarillados d=60" (inc. unión y nivelación de precisión)</v>
          </cell>
          <cell r="D107" t="str">
            <v>m</v>
          </cell>
        </row>
        <row r="108">
          <cell r="B108">
            <v>6.22</v>
          </cell>
          <cell r="C108" t="str">
            <v>Suministro e instalación de tubería en concreto sin refuerzo para alcantarillados d=8" (inc. unión y nivelación de precisión)</v>
          </cell>
          <cell r="D108" t="str">
            <v>m</v>
          </cell>
        </row>
        <row r="109">
          <cell r="B109">
            <v>6.23</v>
          </cell>
          <cell r="C109" t="str">
            <v>Suministro e instalación de tubería PVC para
alcantarillados 4" (inc. nivelación de precisión)</v>
          </cell>
          <cell r="D109" t="str">
            <v>m</v>
          </cell>
        </row>
        <row r="110">
          <cell r="B110">
            <v>6.24</v>
          </cell>
          <cell r="C110" t="str">
            <v>Suministro e instalación de tubería PVC para
alcantarillados 6" CON ORIFICIOS DE 2" CADA 30 CM(inc. nivelación de precisión)</v>
          </cell>
          <cell r="D110" t="str">
            <v>m</v>
          </cell>
        </row>
        <row r="111">
          <cell r="B111">
            <v>6.25</v>
          </cell>
          <cell r="C111" t="str">
            <v>Suministro e instalacion TEE-pvc union mecanica 6x6x6"</v>
          </cell>
          <cell r="D111" t="str">
            <v>un</v>
          </cell>
        </row>
        <row r="112">
          <cell r="B112">
            <v>6.26</v>
          </cell>
          <cell r="C112" t="str">
            <v>Suministro e instalación de tubería PVC para
alcantarillados 6" CON ORIFICIOS DE 1 1/2" CADA 30 CM(inc. nivelación de precisión)</v>
          </cell>
          <cell r="D112" t="str">
            <v>m</v>
          </cell>
        </row>
        <row r="113">
          <cell r="B113">
            <v>6.27</v>
          </cell>
          <cell r="C113" t="str">
            <v>Suministro e instalación de tubería PVC para
alcantarillados 4" CON ORIFICIOS DE 1 1/4" CADA 60 CM(inc. nivelación de precisión)</v>
          </cell>
          <cell r="D113" t="str">
            <v>m</v>
          </cell>
        </row>
        <row r="114">
          <cell r="B114">
            <v>6.28</v>
          </cell>
          <cell r="C114" t="str">
            <v>Suministro e instalación de tubería PVC para
alcantarillados 4" CON ORIFICIOS DE 3/8" CADA 30 CM(inc. nivelación de precisión)</v>
          </cell>
          <cell r="D114" t="str">
            <v>m</v>
          </cell>
        </row>
        <row r="115">
          <cell r="B115">
            <v>6.29</v>
          </cell>
          <cell r="C115" t="str">
            <v>Suministro e instalación de tubería PVC para alcantarillados 4" CON ORIFICIOS DE 3mm</v>
          </cell>
          <cell r="D115" t="str">
            <v>m</v>
          </cell>
        </row>
        <row r="116">
          <cell r="B116">
            <v>6.3</v>
          </cell>
          <cell r="C116" t="str">
            <v>Suministro e instalación de Codo 45° PVC para Alcantarillado de 4"</v>
          </cell>
          <cell r="D116" t="str">
            <v>un</v>
          </cell>
        </row>
        <row r="117">
          <cell r="B117">
            <v>6.31</v>
          </cell>
          <cell r="C117" t="str">
            <v>Suministro e instalación de Codo 90° PVC para Alcantarillado de 4"</v>
          </cell>
          <cell r="D117" t="str">
            <v>un</v>
          </cell>
        </row>
        <row r="118">
          <cell r="B118">
            <v>6.32</v>
          </cell>
          <cell r="C118" t="str">
            <v>Suministro e instalación de TEE PVC para Alcantarillado de 4"</v>
          </cell>
          <cell r="D118" t="str">
            <v>un</v>
          </cell>
        </row>
        <row r="119">
          <cell r="B119">
            <v>7.01</v>
          </cell>
          <cell r="C119" t="str">
            <v>Caja inspección 0.50x0.50m. concreto ref. 3000 PSI elab.en obra. h=0.70m . e=0.07m (inc. excavación. formaleta 1/3 usos)</v>
          </cell>
          <cell r="D119" t="str">
            <v>un</v>
          </cell>
        </row>
        <row r="120">
          <cell r="B120">
            <v>7.02</v>
          </cell>
          <cell r="C120" t="str">
            <v>Caja inspección 0.70x0.70m. concreto ref. 3000 PSI elab.en obra. h=0.70m . e=0.07m (inc. excavación. formaleta 1/3 usos)</v>
          </cell>
          <cell r="D120" t="str">
            <v>un</v>
          </cell>
        </row>
        <row r="121">
          <cell r="B121">
            <v>7.03</v>
          </cell>
          <cell r="C121" t="str">
            <v>Caja inspección 0.90x0.90m. concreto ref. 3000 PSI elab.en obra. h=0.90m . e=0.10m (inc. excavación. formaleta
1/3 usos)</v>
          </cell>
          <cell r="D121" t="str">
            <v>un</v>
          </cell>
        </row>
        <row r="122">
          <cell r="B122">
            <v>7.04</v>
          </cell>
          <cell r="C122" t="str">
            <v>Caja inspección 0.50x0.50m. concreto ref. 3000 PSI elab. planta. h=0.70m . e=0.07m (inc. excavación. formaleta 1/3
usos)</v>
          </cell>
          <cell r="D122" t="str">
            <v>un</v>
          </cell>
        </row>
        <row r="123">
          <cell r="B123">
            <v>7.05</v>
          </cell>
          <cell r="C123" t="str">
            <v>Suministro e instalación de Kit Silla Tee 8 x 4" de PVC para alcantarillados (incluye acondicionador y adhesivo)</v>
          </cell>
          <cell r="D123" t="str">
            <v>un</v>
          </cell>
        </row>
        <row r="124">
          <cell r="B124">
            <v>7.06</v>
          </cell>
          <cell r="C124" t="str">
            <v>Suministro e instalación de Kit Silla Tee 8 x 6" de PVC para alcantarillados (incluye acondicionador y adhesivo)</v>
          </cell>
          <cell r="D124" t="str">
            <v>un</v>
          </cell>
        </row>
        <row r="125">
          <cell r="B125">
            <v>7.07</v>
          </cell>
          <cell r="C125" t="str">
            <v>Suministro e instalación de Kit Silla Tee 10 x 4" de PVC para alcantarillados (incluye acondicionador y adhesivo)</v>
          </cell>
          <cell r="D125" t="str">
            <v>un</v>
          </cell>
        </row>
        <row r="126">
          <cell r="B126">
            <v>7.08</v>
          </cell>
          <cell r="C126" t="str">
            <v>Suministro e instalación de Kit Silla Tee 10 x 6" de PVC para alcantarillados (incluye acondicionador y adhesivo)</v>
          </cell>
          <cell r="D126" t="str">
            <v>un</v>
          </cell>
        </row>
        <row r="127">
          <cell r="B127">
            <v>7.09</v>
          </cell>
          <cell r="C127" t="str">
            <v>Suministro e instalación de Kit Silla Tee 12 x 4" de PVC para alcantarillados (incluye acondicionador y adhesivo)</v>
          </cell>
          <cell r="D127" t="str">
            <v>un</v>
          </cell>
        </row>
        <row r="128">
          <cell r="B128">
            <v>7.1</v>
          </cell>
          <cell r="C128" t="str">
            <v>Suministro e instalación de Kit Silla Tee 12 x 6" de PVC para alcantarillados (incluye acondicionador y adhesivo)</v>
          </cell>
          <cell r="D128" t="str">
            <v>un</v>
          </cell>
        </row>
        <row r="129">
          <cell r="B129">
            <v>7.11</v>
          </cell>
          <cell r="C129" t="str">
            <v>Suministro e instalación de Silla Tee 16 x 4" de PVC para alcantarillados (incluye acondicionador y adhesivo)</v>
          </cell>
          <cell r="D129" t="str">
            <v>un</v>
          </cell>
        </row>
        <row r="130">
          <cell r="B130">
            <v>7.12</v>
          </cell>
          <cell r="C130" t="str">
            <v>Suministro e instalación de Silla Tee 16 x 6" de PVC para alcantarillados (incluye acondicionador y adhesivo)</v>
          </cell>
          <cell r="D130" t="str">
            <v>un</v>
          </cell>
        </row>
        <row r="131">
          <cell r="B131">
            <v>7.13</v>
          </cell>
          <cell r="C131" t="str">
            <v>Suministro e instalación de Silla Tee 18 x 6" de PVC para alcantarillados (incluye acondicionador y adhesivo)</v>
          </cell>
          <cell r="D131" t="str">
            <v>un</v>
          </cell>
        </row>
        <row r="132">
          <cell r="B132">
            <v>7.14</v>
          </cell>
          <cell r="C132" t="str">
            <v>Suministro e instalación de Silla Tee 20 x 6" de PVC para alcantarillados (incluye acondicionador y adhesivo)</v>
          </cell>
          <cell r="D132" t="str">
            <v>un</v>
          </cell>
        </row>
        <row r="133">
          <cell r="B133">
            <v>7.15</v>
          </cell>
          <cell r="C133" t="str">
            <v>Suministro e instalación de Kit Silla Yee 8 x 4" de PVC para alcantarillados (incluye acondicionador y adhesivo)</v>
          </cell>
          <cell r="D133" t="str">
            <v>un</v>
          </cell>
        </row>
        <row r="134">
          <cell r="B134">
            <v>7.16</v>
          </cell>
          <cell r="C134" t="str">
            <v>Suministro e instalación de Kit Silla Yee 8 x 6" de PVC para alcantarillados (incluye acondicionador y adhesivo)</v>
          </cell>
          <cell r="D134" t="str">
            <v>un</v>
          </cell>
        </row>
        <row r="135">
          <cell r="B135">
            <v>7.17</v>
          </cell>
          <cell r="C135" t="str">
            <v>Suministro e instalación de Kit Silla Yee 10 x 4" de PVC para alcantarillados (incluye acondicionador y adhesivo)</v>
          </cell>
          <cell r="D135" t="str">
            <v>un</v>
          </cell>
        </row>
        <row r="136">
          <cell r="B136">
            <v>7.18</v>
          </cell>
          <cell r="C136" t="str">
            <v>Suministro e instalación de Kit Silla Yee 10 x 6" de PVC para alcantarillados (incluye acondicionador y adhesivo)</v>
          </cell>
          <cell r="D136" t="str">
            <v>un</v>
          </cell>
        </row>
        <row r="137">
          <cell r="B137">
            <v>7.19</v>
          </cell>
          <cell r="C137" t="str">
            <v>Suministro e instalación de Kit Silla Yee 12 x 4" de PVC para alcantarillados (incluye acondicionador y adhesivo)</v>
          </cell>
          <cell r="D137" t="str">
            <v>un</v>
          </cell>
        </row>
        <row r="138">
          <cell r="B138">
            <v>7.2</v>
          </cell>
          <cell r="C138" t="str">
            <v>Suministro e instalación de Kit Silla Yee 12 x 6" de PVC para alcantarillados (incluye acondicionador y adhesivo)</v>
          </cell>
          <cell r="D138" t="str">
            <v>un</v>
          </cell>
        </row>
        <row r="139">
          <cell r="B139">
            <v>7.21</v>
          </cell>
          <cell r="C139" t="str">
            <v>Suministro e instalación de Silla Yee 16 x 4" de PVC para alcantarillados (incluye acondicionador y adhesivo)</v>
          </cell>
          <cell r="D139" t="str">
            <v>un</v>
          </cell>
        </row>
        <row r="140">
          <cell r="B140">
            <v>7.22</v>
          </cell>
          <cell r="C140" t="str">
            <v>Suministro e instalación de Silla Yee 16 x 6" de PVC para alcantarillados (incluye acondicionador y adhesivo)</v>
          </cell>
          <cell r="D140" t="str">
            <v>un</v>
          </cell>
        </row>
        <row r="141">
          <cell r="B141">
            <v>7.23</v>
          </cell>
          <cell r="C141" t="str">
            <v>Suministro e instalación de Silla Yee 18 x 6" de PVC para alcantarillados (incluye acondicionador y adhesivo)</v>
          </cell>
          <cell r="D141" t="str">
            <v>un</v>
          </cell>
        </row>
        <row r="142">
          <cell r="B142">
            <v>7.24</v>
          </cell>
          <cell r="C142" t="str">
            <v>Suministro e instalación de Silla Yee 20 x 6" de PVC para alcantarillados (incluye acondicionador y adhesivo)</v>
          </cell>
          <cell r="D142" t="str">
            <v>un</v>
          </cell>
        </row>
        <row r="143">
          <cell r="B143">
            <v>7.25</v>
          </cell>
          <cell r="C143" t="str">
            <v>Caja inspección 0.60x0.60m. concreto ref. 3000 PSI elab.en obra. h=0.70m . e=0.07m (inc. excavación. formaleta 1/3 usos)</v>
          </cell>
          <cell r="D143" t="str">
            <v>un</v>
          </cell>
        </row>
        <row r="144">
          <cell r="B144">
            <v>7.26</v>
          </cell>
          <cell r="C144" t="str">
            <v>Caja inspección 0.50x0.50m. Ladrillo tolete, elab.en obra. h=0.70m .(inc. excavación.)</v>
          </cell>
          <cell r="D144" t="str">
            <v>un</v>
          </cell>
        </row>
        <row r="145">
          <cell r="B145">
            <v>8.0009999999999994</v>
          </cell>
          <cell r="C145" t="str">
            <v>Suministro e instal. tubería PVC unión mecánica para acueductos -Presión Trabajo 200PSI- 2" (incluye instal. accesorios)</v>
          </cell>
          <cell r="D145" t="str">
            <v>m</v>
          </cell>
        </row>
        <row r="146">
          <cell r="B146">
            <v>8.0020000000000007</v>
          </cell>
          <cell r="C146" t="str">
            <v>Suministro e instal. tubería PVC unión mecánica para acueductos -Presión Trabajo 200PSI- 2 1/2" (incluye instal. acces.)</v>
          </cell>
          <cell r="D146" t="str">
            <v>m</v>
          </cell>
        </row>
        <row r="147">
          <cell r="B147">
            <v>8.0030000000000001</v>
          </cell>
          <cell r="C147" t="str">
            <v>Suministro e instal. tubería PVC unión mecánica para acueductos -Presión Trabajo 200PSI- 3" (incluye instal. accesorios)</v>
          </cell>
          <cell r="D147" t="str">
            <v>m</v>
          </cell>
        </row>
        <row r="148">
          <cell r="B148">
            <v>8.0039999999999996</v>
          </cell>
          <cell r="C148" t="str">
            <v>Suministro e instal. tubería PVC unión mecánica para acueductos -Presión Trabajo 200PSI- 4" (incluye instal. accesorios)</v>
          </cell>
          <cell r="D148" t="str">
            <v>m</v>
          </cell>
        </row>
        <row r="149">
          <cell r="B149">
            <v>8.0050000000000008</v>
          </cell>
          <cell r="C149" t="str">
            <v>Suministro e instal. tubería PVC unión mecánica para acueductos -Presión Trabajo 200PSI- 6" (incluye instal. accesorios)</v>
          </cell>
          <cell r="D149" t="str">
            <v>m</v>
          </cell>
        </row>
        <row r="150">
          <cell r="B150">
            <v>8.0060000000000002</v>
          </cell>
          <cell r="C150" t="str">
            <v>Suministro e instal. tubería PVC unión mecánica para acueductos -Presión Trabajo 200PSI- 8" (incluye instal. accesorios)</v>
          </cell>
          <cell r="D150" t="str">
            <v>m</v>
          </cell>
        </row>
        <row r="151">
          <cell r="B151">
            <v>8.0069999999999997</v>
          </cell>
          <cell r="C151" t="str">
            <v>Suministro e instal. tubería PVC unión mecánica para acueductos -Presión Trabajo 200PSI- 10" (incluye instal accesorios)</v>
          </cell>
          <cell r="D151" t="str">
            <v>m</v>
          </cell>
        </row>
        <row r="152">
          <cell r="B152">
            <v>8.0079999999999991</v>
          </cell>
          <cell r="C152" t="str">
            <v>Suministro e instal. tubería PVC unión mecánica para acueductos -Presión Trabajo 200PSI- 12" (incluye instal accesorios)</v>
          </cell>
          <cell r="D152" t="str">
            <v>m</v>
          </cell>
        </row>
        <row r="153">
          <cell r="B153">
            <v>8.0090000000000003</v>
          </cell>
          <cell r="C153" t="str">
            <v>Suministro e instal. tubería PVC unión mecánica para acueductos -Presión Trabajo 200PSI- 14" (incluye instal accesorios)</v>
          </cell>
          <cell r="D153" t="str">
            <v>m</v>
          </cell>
        </row>
        <row r="154">
          <cell r="B154">
            <v>8.01</v>
          </cell>
          <cell r="C154" t="str">
            <v>Suministro e instal. tubería PVC unión mecánica para acueductos -Presión Trabajo 200PSI- 16" (incluye instal accesorios)</v>
          </cell>
          <cell r="D154" t="str">
            <v>m</v>
          </cell>
        </row>
        <row r="155">
          <cell r="B155">
            <v>8.0109999999999992</v>
          </cell>
          <cell r="C155" t="str">
            <v>Suministro e instal. tubería PVC unión mecánica para acueductos -Presión Trabajo 200PSI- 18" (incluye instal accesorios)</v>
          </cell>
          <cell r="D155" t="str">
            <v>m</v>
          </cell>
        </row>
        <row r="156">
          <cell r="B156">
            <v>8.0120000000000005</v>
          </cell>
          <cell r="C156" t="str">
            <v>Suministro e instal. tubería PVC unión mecánica para acueductos -Presión Trabajo 200PSI- 20" (incluye instal accesorios)</v>
          </cell>
          <cell r="D156" t="str">
            <v>m</v>
          </cell>
        </row>
        <row r="157">
          <cell r="B157">
            <v>8.0129999999999999</v>
          </cell>
          <cell r="C157" t="str">
            <v>Suministro e instal. tubería PVC unión mecánica para acueductos -Presión Trabajo 160PSI- 2" (incluye instal. accesorios)</v>
          </cell>
          <cell r="D157" t="str">
            <v>m</v>
          </cell>
        </row>
        <row r="158">
          <cell r="B158">
            <v>8.0139999999999993</v>
          </cell>
          <cell r="C158" t="str">
            <v>Suministro e instal. tubería PVC unión mecánica para acueductos -Presión Trabajo 160PSI- 2 1/2" (incluye instal. acces.)</v>
          </cell>
          <cell r="D158" t="str">
            <v>m</v>
          </cell>
        </row>
        <row r="159">
          <cell r="B159">
            <v>8.0150000000000006</v>
          </cell>
          <cell r="C159" t="str">
            <v>Suministro e instal. tubería PVC unión mecánica para acueductos -Presión Trabajo 160PSI- 3" (incluye instal. accesorios)</v>
          </cell>
          <cell r="D159" t="str">
            <v>m</v>
          </cell>
        </row>
        <row r="160">
          <cell r="B160">
            <v>8.016</v>
          </cell>
          <cell r="C160" t="str">
            <v>Suministro e instal. tubería PVC unión mecánica para acueductos -Presión Trabajo 160PSI- 4" (incluye instal. accesorios)</v>
          </cell>
          <cell r="D160" t="str">
            <v>m</v>
          </cell>
        </row>
        <row r="161">
          <cell r="B161">
            <v>8.0169999999999995</v>
          </cell>
          <cell r="C161" t="str">
            <v>Suministro e instal. tubería PVC unión mecánica para acueductos -Presión Trabajo 160PSI- 6" (incluye instal. accesorios)</v>
          </cell>
          <cell r="D161" t="str">
            <v>m</v>
          </cell>
        </row>
        <row r="162">
          <cell r="B162">
            <v>8.0180000000000007</v>
          </cell>
          <cell r="C162" t="str">
            <v>Suministro e instal. tubería PVC unión mecánica para acueductos -Presión Trabajo 160PSI- 8" (incluye instal. accesorios)</v>
          </cell>
          <cell r="D162" t="str">
            <v>m</v>
          </cell>
        </row>
        <row r="163">
          <cell r="B163">
            <v>8.0190000000000001</v>
          </cell>
          <cell r="C163" t="str">
            <v>Suministro e instal. tubería PVC unión mecánica para acueductos -Presión Trabajo 160PSI- 10" (incluye instal accesorios)</v>
          </cell>
          <cell r="D163" t="str">
            <v>m</v>
          </cell>
        </row>
        <row r="164">
          <cell r="B164">
            <v>8.02</v>
          </cell>
          <cell r="C164" t="str">
            <v>Suministro e instal. tubería PVC unión mecánica para acueductos -Presión Trabajo 160PSI- 12" (incluye instal accesorios)</v>
          </cell>
          <cell r="D164" t="str">
            <v>m</v>
          </cell>
        </row>
        <row r="165">
          <cell r="B165">
            <v>8.0210000000000008</v>
          </cell>
          <cell r="C165" t="str">
            <v>Suministro e instal. tubería PVC unión mecánica para acueductos -Presión Trabajo 160PSI- 14" (incluye instal accesorios)</v>
          </cell>
          <cell r="D165" t="str">
            <v>m</v>
          </cell>
        </row>
        <row r="166">
          <cell r="B166">
            <v>8.0220000000000002</v>
          </cell>
          <cell r="C166" t="str">
            <v>Suministro e instal. tubería PVC unión mecánica para acueductos -Presión Trabajo 160PSI- 16" (incluye instal accesorios</v>
          </cell>
          <cell r="D166" t="str">
            <v>m</v>
          </cell>
        </row>
        <row r="167">
          <cell r="B167">
            <v>8.0229999999999997</v>
          </cell>
          <cell r="C167" t="str">
            <v>Suministro e instal. tubería PVC unión mecánica para acueductos -Presión Trabajo 160PSI- 18" (incluye instal accesorios)</v>
          </cell>
          <cell r="D167" t="str">
            <v>m</v>
          </cell>
        </row>
        <row r="168">
          <cell r="B168">
            <v>8.0239999999999991</v>
          </cell>
          <cell r="C168" t="str">
            <v>Suministro e instal. tubería PVC unión mecánica para acueductos -Presión Trabajo 160PSI- 20" (incluye instal accesorios)</v>
          </cell>
          <cell r="D168" t="str">
            <v>m</v>
          </cell>
        </row>
        <row r="169">
          <cell r="B169">
            <v>8.0250000000000004</v>
          </cell>
          <cell r="C169" t="str">
            <v>Suministro e instal. tubería PVC unión mecánica para acueductos -Presión Trabajo 125PSI- 3" (incluye instal. accesorios)</v>
          </cell>
          <cell r="D169" t="str">
            <v>m</v>
          </cell>
        </row>
        <row r="170">
          <cell r="B170">
            <v>8.0259999999999998</v>
          </cell>
          <cell r="C170" t="str">
            <v>Suministro e instal. tubería PVC unión mecánica para acueductos -Presión Trabajo 125PSI- 4" (incluye instal. accesorios)</v>
          </cell>
          <cell r="D170" t="str">
            <v>m</v>
          </cell>
        </row>
        <row r="171">
          <cell r="B171">
            <v>8.0269999999999992</v>
          </cell>
          <cell r="C171" t="str">
            <v>Suministro e instal. tubería PVC unión mecánica para acueductos -Presión Trabajo 125PSI- 6" (incluye instal. accesorios)</v>
          </cell>
          <cell r="D171" t="str">
            <v>m</v>
          </cell>
        </row>
        <row r="172">
          <cell r="B172">
            <v>8.0280000000000005</v>
          </cell>
          <cell r="C172" t="str">
            <v>Suministro e instal. tubería PVC unión mecánica para acueductos -Presión Trabajo 125PSI- 8" (incluye instal. accesorios)</v>
          </cell>
          <cell r="D172" t="str">
            <v>m</v>
          </cell>
        </row>
        <row r="173">
          <cell r="B173">
            <v>8.0289999999999999</v>
          </cell>
          <cell r="C173" t="str">
            <v>Suministro e instal. tubería PVC unión mecánica para acueductos -Presión Trabajo 125PSI- 10" (incluye instal accesorios)</v>
          </cell>
          <cell r="D173" t="str">
            <v>m</v>
          </cell>
        </row>
        <row r="174">
          <cell r="B174">
            <v>8.0299999999999994</v>
          </cell>
          <cell r="C174" t="str">
            <v>Suministro e instal. tubería PVC unión mecánica para acueductos -Presión Trabajo 125PSI- 12" (incluye instal accesorios)</v>
          </cell>
          <cell r="D174" t="str">
            <v>m</v>
          </cell>
        </row>
        <row r="175">
          <cell r="B175">
            <v>8.0310000000000006</v>
          </cell>
          <cell r="C175" t="str">
            <v>Suministro e instal. tubería PVC unión mecánica para acueductos -Presión Trabajo 125PSI- 14" (incluye instal accesorios)</v>
          </cell>
          <cell r="D175" t="str">
            <v>m</v>
          </cell>
        </row>
        <row r="176">
          <cell r="B176">
            <v>8.032</v>
          </cell>
          <cell r="C176" t="str">
            <v>Suministro e instal. tubería PVC unión mecánica para acueductos -Presión Trabajo 125PSI- 16" (incluye instal accesorios)</v>
          </cell>
          <cell r="D176" t="str">
            <v>m</v>
          </cell>
        </row>
        <row r="177">
          <cell r="B177">
            <v>8.0329999999999995</v>
          </cell>
          <cell r="C177" t="str">
            <v>Suministro e instal. tubería PVC unión mecánica para acueductos -Presión Trabajo 125PSI- 18" (incluye instal accesorios)</v>
          </cell>
          <cell r="D177" t="str">
            <v>m</v>
          </cell>
        </row>
        <row r="178">
          <cell r="B178">
            <v>8.0340000000000007</v>
          </cell>
          <cell r="C178" t="str">
            <v>Suministro e instal. tubería PVC unión mecánica para acueductos -Presión Trabajo 125PSI- 20" (incluye instal accesorios)</v>
          </cell>
          <cell r="D178" t="str">
            <v>m</v>
          </cell>
        </row>
        <row r="179">
          <cell r="B179">
            <v>8.0350000000000001</v>
          </cell>
          <cell r="C179" t="str">
            <v>Suministro e instal. tubería PVC unión mecánica para acueductos -Presión Trabajo 100PSI- 4" (incluye instal. accesorios)</v>
          </cell>
          <cell r="D179" t="str">
            <v>m</v>
          </cell>
        </row>
        <row r="180">
          <cell r="B180">
            <v>8.0359999999999996</v>
          </cell>
          <cell r="C180" t="str">
            <v>Suministro e instal. tubería PVC unión mecánica para acueductos -Presión Trabajo 100PSI- 6" (incluye instal. accesorios)</v>
          </cell>
          <cell r="D180" t="str">
            <v>m</v>
          </cell>
        </row>
        <row r="181">
          <cell r="B181">
            <v>8.0370000000000008</v>
          </cell>
          <cell r="C181" t="str">
            <v>Suministro e instal. tubería PVC unión mecánica para acueductos -Presión Trabajo 100PSI- 8" (incluye instal. accesorios)</v>
          </cell>
          <cell r="D181" t="str">
            <v>m</v>
          </cell>
        </row>
        <row r="182">
          <cell r="B182">
            <v>8.0380000000000003</v>
          </cell>
          <cell r="C182" t="str">
            <v>Suministro e instal. tubería PVC unión mecánica para acueductos -Presión Trabajo 100PSI- 10" (incluye instal accesorios)</v>
          </cell>
          <cell r="D182" t="str">
            <v>m</v>
          </cell>
        </row>
        <row r="183">
          <cell r="B183">
            <v>8.0389999999999997</v>
          </cell>
          <cell r="C183" t="str">
            <v>Suministro e instal. tubería PVC unión mecánica para acueductos -Presión Trabajo 100PSI- 12" (incluye instal accesorios)</v>
          </cell>
          <cell r="D183" t="str">
            <v>m</v>
          </cell>
        </row>
        <row r="184">
          <cell r="B184">
            <v>8.0399999999999991</v>
          </cell>
          <cell r="C184" t="str">
            <v>Suministro e instal. tubería PVC unión mecánica para acueductos -Presión Trabajo 100PSI- 14" (incluye instal accesorios)</v>
          </cell>
          <cell r="D184" t="str">
            <v>m</v>
          </cell>
        </row>
        <row r="185">
          <cell r="B185">
            <v>8.0410000000000004</v>
          </cell>
          <cell r="C185" t="str">
            <v>Suministro e instal. tubería PVC unión mecánica para acueductos -Presión Trabajo 100PSI- 16" (incluye instal accesorios)</v>
          </cell>
          <cell r="D185" t="str">
            <v>m</v>
          </cell>
        </row>
        <row r="186">
          <cell r="B186">
            <v>8.0419999999999998</v>
          </cell>
          <cell r="C186" t="str">
            <v>Suministro e instal. tubería PVC unión mecánica para acueductos -Presión Trabajo 100PSI- 18" (incluye instal accesorios)</v>
          </cell>
          <cell r="D186" t="str">
            <v>m</v>
          </cell>
        </row>
        <row r="187">
          <cell r="B187">
            <v>8.0429999999999993</v>
          </cell>
          <cell r="C187" t="str">
            <v>Suministro e instal. tubería PVC unión mecánica para acueductos -Presión Trabajo 100PSI- 20" (incluye instal accesorios)</v>
          </cell>
          <cell r="D187" t="str">
            <v>m</v>
          </cell>
        </row>
        <row r="188">
          <cell r="B188">
            <v>8.0440000000000005</v>
          </cell>
          <cell r="C188" t="str">
            <v>Suministro e instal. tubería PVC extremos lisos para acueductos -Presión Trab. 500PSI- 1/2" (Inc. unión e instal acces.)</v>
          </cell>
          <cell r="D188" t="str">
            <v>m</v>
          </cell>
        </row>
        <row r="189">
          <cell r="B189">
            <v>8.0449999999999999</v>
          </cell>
          <cell r="C189" t="str">
            <v>Suministro e instal. tubería PVC extremos lisos para acueductos -Presión Trab. 400PSI- 3/4" (Inc. unión e instal acces.)</v>
          </cell>
          <cell r="D189" t="str">
            <v>m</v>
          </cell>
        </row>
        <row r="190">
          <cell r="B190">
            <v>8.0459999999999994</v>
          </cell>
          <cell r="C190" t="str">
            <v>Suministro e instal. tubería PVC extremos lisos para acueductos -Presión Trab. 315PSI- 1/2" (Inc. unión e instal acces.)</v>
          </cell>
          <cell r="D190" t="str">
            <v>m</v>
          </cell>
        </row>
        <row r="191">
          <cell r="B191">
            <v>8.0470000000000006</v>
          </cell>
          <cell r="C191" t="str">
            <v>Suministro e instal. tubería PVC extremos lisos para acueductos -Presión Trab. 315PSI- 1" (Inc. unión e instal acces.)</v>
          </cell>
          <cell r="D191" t="str">
            <v>m</v>
          </cell>
        </row>
        <row r="192">
          <cell r="B192">
            <v>8.048</v>
          </cell>
          <cell r="C192" t="str">
            <v>Suministro e instal. tubería PVC extremos lisos para acueductos -Presión Trab. 200PSI- 3/4" (Inc. unión e instal acces.)</v>
          </cell>
          <cell r="D192" t="str">
            <v>m</v>
          </cell>
        </row>
        <row r="193">
          <cell r="B193">
            <v>8.0489999999999995</v>
          </cell>
          <cell r="C193" t="str">
            <v>Suministro e instal. tubería PVC extremos lisos para acueductos -Presión Trab. 200PSI- 1" (Inc. unión e instal acces.)</v>
          </cell>
          <cell r="D193" t="str">
            <v>m</v>
          </cell>
        </row>
        <row r="194">
          <cell r="B194">
            <v>8.0500000000000007</v>
          </cell>
          <cell r="C194" t="str">
            <v>Suministro e instal. tubería PVC extremos lisos para acueducto -Presión Trab. 200PSI- 1 1/4" (Inc. unión e instal acces)</v>
          </cell>
          <cell r="D194" t="str">
            <v>m</v>
          </cell>
        </row>
        <row r="195">
          <cell r="B195">
            <v>8.0510000000000002</v>
          </cell>
          <cell r="C195" t="str">
            <v>Suministro e instal. tubería PVC extremos lisos para acueducto -Presión Trab. 200PSI- 1 1/2" (Inc. unión e instal acces)</v>
          </cell>
          <cell r="D195" t="str">
            <v>m</v>
          </cell>
        </row>
        <row r="196">
          <cell r="B196">
            <v>8.0519999999999996</v>
          </cell>
          <cell r="C196" t="str">
            <v>Suministro e instal. tubería PVC extremos lisos para acueductos -Presión Trab. 200PSI- 2" (Inc. unión e instal acces.)</v>
          </cell>
          <cell r="D196" t="str">
            <v>m</v>
          </cell>
        </row>
        <row r="197">
          <cell r="B197">
            <v>8.0530000000000008</v>
          </cell>
          <cell r="C197" t="str">
            <v>Suministro e instal. tubería PVC extremos lisos para acueducto -Presión Trab. 200PSI- 2 1/2" (Inc. unión e instal acces)</v>
          </cell>
          <cell r="D197" t="str">
            <v>m</v>
          </cell>
        </row>
        <row r="198">
          <cell r="B198">
            <v>8.0540000000000003</v>
          </cell>
          <cell r="C198" t="str">
            <v>Suministro e instal. tubería PVC extremos lisos para acueductos -Presión Trab. 200PSI- 3" (Inc. unión e instal acces.)</v>
          </cell>
          <cell r="D198" t="str">
            <v>m</v>
          </cell>
        </row>
        <row r="199">
          <cell r="B199">
            <v>8.0549999999999997</v>
          </cell>
          <cell r="C199" t="str">
            <v>Suministro e instal. tubería PVC extremos lisos para acueductos -Presión Trab. 200PSI- 4" (Inc. unión e instal acces.)</v>
          </cell>
          <cell r="D199" t="str">
            <v>m</v>
          </cell>
        </row>
        <row r="200">
          <cell r="B200">
            <v>8.0559999999999992</v>
          </cell>
          <cell r="C200" t="str">
            <v>Suministro e instal. tubería PVC extremos lisos para acueductos -Presión Trab. 160PSI- 2" (Inc. unión e instal acces.)</v>
          </cell>
          <cell r="D200" t="str">
            <v>m</v>
          </cell>
        </row>
        <row r="201">
          <cell r="B201">
            <v>8.0570000000000004</v>
          </cell>
          <cell r="C201" t="str">
            <v>Suministro e instal. tubería PVC extremos lisos para acueducto -Presión Trab. 160PSI- 2 1/2" (Inc. unión e instal acces)</v>
          </cell>
          <cell r="D201" t="str">
            <v>m</v>
          </cell>
        </row>
        <row r="202">
          <cell r="B202">
            <v>8.0579999999999998</v>
          </cell>
          <cell r="C202" t="str">
            <v>Suministro e instal. tubería PVC extremos lisos para acueductos -Presión Trab. 160PSI- 3" (Inc. unión e instal acces.)</v>
          </cell>
          <cell r="D202" t="str">
            <v>m</v>
          </cell>
        </row>
        <row r="203">
          <cell r="B203">
            <v>8.0589999999999993</v>
          </cell>
          <cell r="C203" t="str">
            <v>Suministro e instal. tubería PVC extremos lisos para acueductos -Presión Trab. 160PSI- 4" (Inc. unión e instal acces.)</v>
          </cell>
          <cell r="D203" t="str">
            <v>m</v>
          </cell>
        </row>
        <row r="204">
          <cell r="B204">
            <v>8.06</v>
          </cell>
          <cell r="C204" t="str">
            <v>Suministro e instal. tubería PVC extremos lisos para acueductos -Presión Trab. 125PSI- 3" (Inc. unión e instal acces.)</v>
          </cell>
          <cell r="D204" t="str">
            <v>m</v>
          </cell>
        </row>
        <row r="205">
          <cell r="B205">
            <v>8.0609999999999999</v>
          </cell>
          <cell r="C205" t="str">
            <v>Suministro e instal. tubería PVC extremos lisos para acueductos -Presión Trab. 125PSI- 4" (Inc. unión e instal acces.)</v>
          </cell>
          <cell r="D205" t="str">
            <v>m</v>
          </cell>
        </row>
        <row r="206">
          <cell r="B206">
            <v>8.0619999999999994</v>
          </cell>
          <cell r="C206" t="str">
            <v>Suministro e instal. tubería PVC extremos lisos para acueductos -Presión Trab. 100PSI- 4" (Inc. unión e instal acces.)</v>
          </cell>
          <cell r="D206" t="str">
            <v>m</v>
          </cell>
        </row>
        <row r="207">
          <cell r="B207">
            <v>8.0630000000000006</v>
          </cell>
          <cell r="C207" t="str">
            <v>Codo Gran Radio 90° PVC -Presión Trabajo 200PSI- extremos unión mecanica x liso (2")</v>
          </cell>
          <cell r="D207" t="str">
            <v>un</v>
          </cell>
        </row>
        <row r="208">
          <cell r="B208">
            <v>8.0640000000000001</v>
          </cell>
          <cell r="C208" t="str">
            <v>Codo Gran Radio 90° PVC -Presión Trabajo 200PSI- extremos unión mecanica x liso (2 1/2")</v>
          </cell>
          <cell r="D208" t="str">
            <v>un</v>
          </cell>
        </row>
        <row r="209">
          <cell r="B209">
            <v>8.0649999999999995</v>
          </cell>
          <cell r="C209" t="str">
            <v>Codo Gran Radio 90° PVC -Presión Trabajo 200PSI- extremos unión mecanica x liso (3")</v>
          </cell>
          <cell r="D209" t="str">
            <v>un</v>
          </cell>
        </row>
        <row r="210">
          <cell r="B210">
            <v>8.0660000000000007</v>
          </cell>
          <cell r="C210" t="str">
            <v>Codo Gran Radio 90° PVC -Presión Trabajo 200PSI- extremos unión mecanica x liso (4")</v>
          </cell>
          <cell r="D210" t="str">
            <v>un</v>
          </cell>
        </row>
        <row r="211">
          <cell r="B211">
            <v>8.0670000000000002</v>
          </cell>
          <cell r="C211" t="str">
            <v>Codo Gran Radio 90° PVC -Presión Trabajo 200PSI- extremos unión mecanica x liso (6")</v>
          </cell>
          <cell r="D211" t="str">
            <v>un</v>
          </cell>
        </row>
        <row r="212">
          <cell r="B212">
            <v>8.0679999999999996</v>
          </cell>
          <cell r="C212" t="str">
            <v>Codo Gran Radio 90° PVC -Presión Trabajo 200PSI- 
extremos unión mecanica x liso (8")</v>
          </cell>
          <cell r="D212" t="str">
            <v>un</v>
          </cell>
        </row>
        <row r="213">
          <cell r="B213">
            <v>8.0690000000000008</v>
          </cell>
          <cell r="C213" t="str">
            <v>Codo Gran Radio 90° PVC -Presión Trabajo 200PSI- extremos unión mecanica x liso (10")</v>
          </cell>
          <cell r="D213" t="str">
            <v>un</v>
          </cell>
        </row>
        <row r="214">
          <cell r="B214">
            <v>8.07</v>
          </cell>
          <cell r="C214" t="str">
            <v>Codo Gran Radio 90° PVC -Presión Trabajo 200PSI- extremos unión mecanica x liso (12")</v>
          </cell>
          <cell r="D214" t="str">
            <v>un</v>
          </cell>
        </row>
        <row r="215">
          <cell r="B215">
            <v>8.0709999999999997</v>
          </cell>
          <cell r="C215" t="str">
            <v>Codo Gran Radio 45° PVC -Presión Trabajo 200PSI- extremos unión mecanica x liso (2")</v>
          </cell>
          <cell r="D215" t="str">
            <v>un</v>
          </cell>
        </row>
        <row r="216">
          <cell r="B216">
            <v>8.0719999999999992</v>
          </cell>
          <cell r="C216" t="str">
            <v>Codo Gran Radio 45° PVC -Presión Trabajo 200PSI- extremos unión mecanica x liso (2 1/2")</v>
          </cell>
          <cell r="D216" t="str">
            <v>un</v>
          </cell>
        </row>
        <row r="217">
          <cell r="B217">
            <v>8.0730000000000004</v>
          </cell>
          <cell r="C217" t="str">
            <v>Codo Gran Radio 45° PVC -Presión Trabajo 200PSI- extremos unión mecanica x liso (3")</v>
          </cell>
          <cell r="D217" t="str">
            <v>un</v>
          </cell>
        </row>
        <row r="218">
          <cell r="B218">
            <v>8.0739999999999998</v>
          </cell>
          <cell r="C218" t="str">
            <v>Codo Gran Radio 45° PVC -Presión Trabajo 200PSI- extremos unión mecanica x liso (4")</v>
          </cell>
          <cell r="D218" t="str">
            <v>un</v>
          </cell>
        </row>
        <row r="219">
          <cell r="B219">
            <v>8.0749999999999993</v>
          </cell>
          <cell r="C219" t="str">
            <v>Codo Gran Radio 45° PVC -Presión Trabajo 200PSI- extremos unión mecanica x liso (6")</v>
          </cell>
          <cell r="D219" t="str">
            <v>un</v>
          </cell>
        </row>
        <row r="220">
          <cell r="B220">
            <v>8.0760000000000005</v>
          </cell>
          <cell r="C220" t="str">
            <v>Codo Gran Radio 45° PVC -Presión Trabajo 200PSI- extremos unión mecanica x liso (8")</v>
          </cell>
          <cell r="D220" t="str">
            <v>un</v>
          </cell>
        </row>
        <row r="221">
          <cell r="B221">
            <v>8.077</v>
          </cell>
          <cell r="C221" t="str">
            <v>Codo Gran Radio 45° PVC -Presión Trabajo 200PSI- extremos unión mecanica x liso (10")</v>
          </cell>
          <cell r="D221" t="str">
            <v>un</v>
          </cell>
        </row>
        <row r="222">
          <cell r="B222">
            <v>8.0779999999999994</v>
          </cell>
          <cell r="C222" t="str">
            <v>Codo Gran Radio 45° PVC -Presión Trabajo 200PSI- extremos unión mecanica x liso (12")</v>
          </cell>
          <cell r="D222" t="str">
            <v>un</v>
          </cell>
        </row>
        <row r="223">
          <cell r="B223">
            <v>8.0790000000000006</v>
          </cell>
          <cell r="C223" t="str">
            <v>Codo Gran Radio 22.5° PVC -Presión Trabajo 200PSI- extremos unión mecanica x liso (2")</v>
          </cell>
          <cell r="D223" t="str">
            <v>un</v>
          </cell>
        </row>
        <row r="224">
          <cell r="B224">
            <v>8.08</v>
          </cell>
          <cell r="C224" t="str">
            <v>Codo Gran Radio 22.5° PVC -Presión Trabajo 200PSI- extremos unión mecanica x liso (2 1/2")</v>
          </cell>
          <cell r="D224" t="str">
            <v>un</v>
          </cell>
        </row>
        <row r="225">
          <cell r="B225">
            <v>8.0809999999999995</v>
          </cell>
          <cell r="C225" t="str">
            <v>Codo Gran Radio 22.5° PVC -Presión Trabajo 200PSI- extremos unión mecanica x liso (3")</v>
          </cell>
          <cell r="D225" t="str">
            <v>un</v>
          </cell>
        </row>
        <row r="226">
          <cell r="B226">
            <v>8.0820000000000007</v>
          </cell>
          <cell r="C226" t="str">
            <v>Codo Gran Radio 22.5° PVC -Presión Trabajo 200PSI- extremos unión mecanica x liso (4")</v>
          </cell>
          <cell r="D226" t="str">
            <v>un</v>
          </cell>
        </row>
        <row r="227">
          <cell r="B227">
            <v>8.0830000000000002</v>
          </cell>
          <cell r="C227" t="str">
            <v>Codo Gran Radio 22.5° PVC -Presión Trabajo 200PSI- extremos unión mecanica x liso (6")</v>
          </cell>
          <cell r="D227" t="str">
            <v>un</v>
          </cell>
        </row>
        <row r="228">
          <cell r="B228">
            <v>8.0839999999999996</v>
          </cell>
          <cell r="C228" t="str">
            <v>Codo Gran Radio 22.5° PVC -Presión Trabajo 200PSI- extremos unión mecanica x liso (8")</v>
          </cell>
          <cell r="D228" t="str">
            <v>un</v>
          </cell>
        </row>
        <row r="229">
          <cell r="B229">
            <v>8.0850000000000009</v>
          </cell>
          <cell r="C229" t="str">
            <v>Codo Gran Radio 22.5° PVC -Presión Trabajo 200PSI- extremos unión mecanica x liso (10")</v>
          </cell>
          <cell r="D229" t="str">
            <v>un</v>
          </cell>
        </row>
        <row r="230">
          <cell r="B230">
            <v>8.0860000000000003</v>
          </cell>
          <cell r="C230" t="str">
            <v>Codo Gran Radio 22.5° PVC -Presión Trabajo 200PSI- extremos unión mecanica x liso (12")</v>
          </cell>
          <cell r="D230" t="str">
            <v>un</v>
          </cell>
        </row>
        <row r="231">
          <cell r="B231">
            <v>8.0869999999999997</v>
          </cell>
          <cell r="C231" t="str">
            <v>Codo Gran Radio 11.25° PVC -Presión Trabajo 200PSI- extremos unión mecanica x liso (2")</v>
          </cell>
          <cell r="D231" t="str">
            <v>un</v>
          </cell>
        </row>
        <row r="232">
          <cell r="B232">
            <v>8.0879999999999992</v>
          </cell>
          <cell r="C232" t="str">
            <v>Codo Gran Radio 11.25° PVC -Presión Trabajo 200PSI- extremos unión mecanica x liso (2 1/2")</v>
          </cell>
          <cell r="D232" t="str">
            <v>un</v>
          </cell>
        </row>
        <row r="233">
          <cell r="B233">
            <v>8.0890000000000004</v>
          </cell>
          <cell r="C233" t="str">
            <v>Codo Gran Radio 11.25° PVC -Presión Trabajo 200PSI- extremos unión mecanica x liso (3")</v>
          </cell>
          <cell r="D233" t="str">
            <v>un</v>
          </cell>
        </row>
        <row r="234">
          <cell r="B234">
            <v>8.09</v>
          </cell>
          <cell r="C234" t="str">
            <v>Codo Gran Radio 11.25° PVC -Presión Trabajo 200PSI- extremos unión mecanica x liso (4")</v>
          </cell>
          <cell r="D234" t="str">
            <v>un</v>
          </cell>
        </row>
        <row r="235">
          <cell r="B235">
            <v>8.0909999999999993</v>
          </cell>
          <cell r="C235" t="str">
            <v>Codo Gran Radio 11.25° PVC -Presión Trabajo 200PSI- extremos unión mecanica x liso (6")</v>
          </cell>
          <cell r="D235" t="str">
            <v>un</v>
          </cell>
        </row>
        <row r="236">
          <cell r="B236">
            <v>8.0920000000000005</v>
          </cell>
          <cell r="C236" t="str">
            <v>Codo Gran Radio 11.25° PVC -Presión Trabajo 200PSI- extremos unión mecanica x liso (8")</v>
          </cell>
          <cell r="D236" t="str">
            <v>un</v>
          </cell>
        </row>
        <row r="237">
          <cell r="B237">
            <v>8.093</v>
          </cell>
          <cell r="C237" t="str">
            <v>Codo Gran Radio 11.25° PVC -Presión Trabajo 200PSI- extremos unión mecanica x liso (10")</v>
          </cell>
          <cell r="D237" t="str">
            <v>un</v>
          </cell>
        </row>
        <row r="238">
          <cell r="B238">
            <v>8.0939999999999994</v>
          </cell>
          <cell r="C238" t="str">
            <v>Codo Gran Radio 11.25° PVC -Presión Trabajo 200PSI- extremos unión mecanica x liso (12")</v>
          </cell>
          <cell r="D238" t="str">
            <v>un</v>
          </cell>
        </row>
        <row r="239">
          <cell r="B239">
            <v>8.0950000000000006</v>
          </cell>
          <cell r="C239" t="str">
            <v>Codo Radio Corto 90° PVC -Presión Trabajo 200PSI- extremos unión mecanica x liso (2")</v>
          </cell>
          <cell r="D239" t="str">
            <v>un</v>
          </cell>
        </row>
        <row r="240">
          <cell r="B240">
            <v>8.0960000000000001</v>
          </cell>
          <cell r="C240" t="str">
            <v>Codo Radio Corto 90° PVC -Presión Trabajo 200PSI- extremos unión mecanica x liso (3")</v>
          </cell>
          <cell r="D240" t="str">
            <v>un</v>
          </cell>
        </row>
        <row r="241">
          <cell r="B241">
            <v>8.0969999999999995</v>
          </cell>
          <cell r="C241" t="str">
            <v>Codo Radio Corto 90° PVC -Presión Trabajo 200PSI- extremos unión mecanica x liso (4")</v>
          </cell>
          <cell r="D241" t="str">
            <v>un</v>
          </cell>
        </row>
        <row r="242">
          <cell r="B242">
            <v>8.0980000000000008</v>
          </cell>
          <cell r="C242" t="str">
            <v>Codo Radio Corto 90° PVC -Presión Trabajo 200PSI- extremos unión mecanica x liso (6")</v>
          </cell>
          <cell r="D242" t="str">
            <v>un</v>
          </cell>
        </row>
        <row r="243">
          <cell r="B243">
            <v>8.0990000000000002</v>
          </cell>
          <cell r="C243" t="str">
            <v>Codo Radio Corto 90° PVC -Presión Trabajo 200PSI- extremos unión mecanica x liso (8")</v>
          </cell>
          <cell r="D243" t="str">
            <v>un</v>
          </cell>
        </row>
        <row r="244">
          <cell r="B244">
            <v>8.1</v>
          </cell>
          <cell r="C244" t="str">
            <v>Codo Radio Corto 45° PVC -Presión Trabajo 200PSI- extremos unión mecanica x liso (3")</v>
          </cell>
          <cell r="D244" t="str">
            <v>un</v>
          </cell>
        </row>
        <row r="245">
          <cell r="B245">
            <v>8.1010000000000009</v>
          </cell>
          <cell r="C245" t="str">
            <v>Codo Radio Corto 45° PVC -Presión Trabajo 200PSI- extremos unión mecanica x liso (4")</v>
          </cell>
          <cell r="D245" t="str">
            <v>un</v>
          </cell>
        </row>
        <row r="246">
          <cell r="B246">
            <v>8.1020000000000003</v>
          </cell>
          <cell r="C246" t="str">
            <v>Codo Radio Corto 45° PVC -Presión Trabajo 200PSI- extremos unión mecanica x liso (6")</v>
          </cell>
          <cell r="D246" t="str">
            <v>un</v>
          </cell>
        </row>
        <row r="247">
          <cell r="B247">
            <v>8.1029999999999998</v>
          </cell>
          <cell r="C247" t="str">
            <v>Codo Radio Corto 45° PVC -Presión Trabajo 200PSI- extremos unión mecanica x liso (8")</v>
          </cell>
          <cell r="D247" t="str">
            <v>un</v>
          </cell>
        </row>
        <row r="248">
          <cell r="B248">
            <v>8.1039999999999992</v>
          </cell>
          <cell r="C248" t="str">
            <v>Codo 90° en HD. -Presión Trabajo 250PSI- extremo lisos para PVC/AC (2")</v>
          </cell>
          <cell r="D248" t="str">
            <v>un</v>
          </cell>
        </row>
        <row r="249">
          <cell r="B249">
            <v>8.1050000000000004</v>
          </cell>
          <cell r="C249" t="str">
            <v>Codo 90° en HD. -Presión Trabajo 250PSI- extremo lisos para PVC/AC (3")</v>
          </cell>
          <cell r="D249" t="str">
            <v>un</v>
          </cell>
        </row>
        <row r="250">
          <cell r="B250">
            <v>8.1059999999999999</v>
          </cell>
          <cell r="C250" t="str">
            <v>Codo 90° en HD. -Presión Trabajo 250PSI- extremo lisos para PVC/AC (4")</v>
          </cell>
          <cell r="D250" t="str">
            <v>un</v>
          </cell>
        </row>
        <row r="251">
          <cell r="B251">
            <v>8.1069999999999993</v>
          </cell>
          <cell r="C251" t="str">
            <v>Codo 90° en HD. -Presión Trabajo 250PSI- extremo lisos para PVC/AC (6")</v>
          </cell>
          <cell r="D251" t="str">
            <v>un</v>
          </cell>
        </row>
        <row r="252">
          <cell r="B252">
            <v>8.1080000000000005</v>
          </cell>
          <cell r="C252" t="str">
            <v>Codo 90° en HD. -Presión Trabajo 250PSI- extremo lisos para PVC/AC (8")</v>
          </cell>
          <cell r="D252" t="str">
            <v>un</v>
          </cell>
        </row>
        <row r="253">
          <cell r="B253">
            <v>8.109</v>
          </cell>
          <cell r="C253" t="str">
            <v>Codo 90° en HD. -Presión Trabajo 250PSI- extremo lisos para PVC/AC (10")</v>
          </cell>
          <cell r="D253" t="str">
            <v>un</v>
          </cell>
        </row>
        <row r="254">
          <cell r="B254" t="str">
            <v>8,110</v>
          </cell>
          <cell r="C254" t="str">
            <v>Codo 90° en HD. -Presión Trabajo 250PSI- extremo lisos para PVC/AC (12")</v>
          </cell>
          <cell r="D254" t="str">
            <v>un</v>
          </cell>
        </row>
        <row r="255">
          <cell r="B255">
            <v>8.1110000000000007</v>
          </cell>
          <cell r="C255" t="str">
            <v>Codo 90° en HD. -Presión Trabajo 250PSI- extremo lisos para PVC/AC (14")</v>
          </cell>
          <cell r="D255" t="str">
            <v>un</v>
          </cell>
        </row>
        <row r="256">
          <cell r="B256">
            <v>8.1120000000000001</v>
          </cell>
          <cell r="C256" t="str">
            <v>Codo 90° en HD. -Presión Trabajo 250PSI- extremo lisos para PVC/AC (16")</v>
          </cell>
          <cell r="D256" t="str">
            <v>un</v>
          </cell>
        </row>
        <row r="257">
          <cell r="B257">
            <v>8.1129999999999995</v>
          </cell>
          <cell r="C257" t="str">
            <v>Codo 90° en HD. -Presión Trabajo 250PSI- extremo lisos para PVC/AC (18")</v>
          </cell>
          <cell r="D257" t="str">
            <v>un</v>
          </cell>
        </row>
        <row r="258">
          <cell r="B258">
            <v>8.1140000000000008</v>
          </cell>
          <cell r="C258" t="str">
            <v>Codo 90° en HD. -Presión Trabajo 250PSI- extremo lisos para PVC/AC (20")</v>
          </cell>
          <cell r="D258" t="str">
            <v>un</v>
          </cell>
        </row>
        <row r="259">
          <cell r="B259">
            <v>8.1150000000000002</v>
          </cell>
          <cell r="C259" t="str">
            <v>Codo 90° en HD. -Presión Trabajo 250PSI- extremo lisos para PVC/AC (24")</v>
          </cell>
          <cell r="D259" t="str">
            <v>un</v>
          </cell>
        </row>
        <row r="260">
          <cell r="B260">
            <v>8.1159999999999997</v>
          </cell>
          <cell r="C260" t="str">
            <v>Codo 45° en HD. -Presión Trabajo 250PSI- extremo lisos para PVC/AC (2")</v>
          </cell>
          <cell r="D260" t="str">
            <v>un</v>
          </cell>
        </row>
        <row r="261">
          <cell r="B261">
            <v>8.1170000000000009</v>
          </cell>
          <cell r="C261" t="str">
            <v>Codo 45° en HD. -Presión Trabajo 250PSI- extremo lisos para PVC/AC (3")</v>
          </cell>
          <cell r="D261" t="str">
            <v>un</v>
          </cell>
        </row>
        <row r="262">
          <cell r="B262">
            <v>8.1180000000000003</v>
          </cell>
          <cell r="C262" t="str">
            <v>Codo 45° en HD. -Presión Trabajo 250PSI- extremo lisos para PVC/AC (4")</v>
          </cell>
          <cell r="D262" t="str">
            <v>un</v>
          </cell>
        </row>
        <row r="263">
          <cell r="B263">
            <v>8.1189999999999998</v>
          </cell>
          <cell r="C263" t="str">
            <v>Codo 45° en HD. -Presión Trabajo 250PSI- extremo lisos para PVC/AC (6")</v>
          </cell>
          <cell r="D263" t="str">
            <v>un</v>
          </cell>
        </row>
        <row r="264">
          <cell r="B264">
            <v>8.1199999999999992</v>
          </cell>
          <cell r="C264" t="str">
            <v>Codo 45° en HD. -Presión Trabajo 250PSI- extremo lisos para PVC/AC (8")</v>
          </cell>
          <cell r="D264" t="str">
            <v>un</v>
          </cell>
        </row>
        <row r="265">
          <cell r="B265">
            <v>8.1210000000000004</v>
          </cell>
          <cell r="C265" t="str">
            <v>Codo 45° en HD. -Presión Trabajo 250PSI- extremo lisos para PVC/AC (10")</v>
          </cell>
          <cell r="D265" t="str">
            <v>un</v>
          </cell>
        </row>
        <row r="266">
          <cell r="B266">
            <v>8.1219999999999999</v>
          </cell>
          <cell r="C266" t="str">
            <v>Codo 45° en HD. -Presión Trabajo 250PSI- extremo lisos para PVC/AC (12")</v>
          </cell>
          <cell r="D266" t="str">
            <v>un</v>
          </cell>
        </row>
        <row r="267">
          <cell r="B267">
            <v>8.1229999999999993</v>
          </cell>
          <cell r="C267" t="str">
            <v>Codo 45° en HD. -Presión Trabajo 250PSI- extremo lisos para PVC/AC (14")</v>
          </cell>
          <cell r="D267" t="str">
            <v>un</v>
          </cell>
        </row>
        <row r="268">
          <cell r="B268">
            <v>8.1240000000000006</v>
          </cell>
          <cell r="C268" t="str">
            <v>Codo 45° en HD. -Presión Trabajo 250PSI- extremo lisos para PVC/AC (16")</v>
          </cell>
          <cell r="D268" t="str">
            <v>un</v>
          </cell>
        </row>
        <row r="269">
          <cell r="B269">
            <v>8.125</v>
          </cell>
          <cell r="C269" t="str">
            <v>Codo 45° en HD. -Presión Trabajo 250PSI- extremo lisos para PVC/AC (18")</v>
          </cell>
          <cell r="D269" t="str">
            <v>un</v>
          </cell>
        </row>
        <row r="270">
          <cell r="B270">
            <v>8.1259999999999994</v>
          </cell>
          <cell r="C270" t="str">
            <v>Codo 45° en HD. -Presión Trabajo 250PSI- extremo lisos para PVC/AC (20")</v>
          </cell>
          <cell r="D270" t="str">
            <v>un</v>
          </cell>
        </row>
        <row r="271">
          <cell r="B271">
            <v>8.1270000000000007</v>
          </cell>
          <cell r="C271" t="str">
            <v>Codo 45° en HD. -Presión Trabajo 250PSI- extremo lisos para PVC/AC (24")</v>
          </cell>
          <cell r="D271" t="str">
            <v>un</v>
          </cell>
        </row>
        <row r="272">
          <cell r="B272">
            <v>8.1280000000000001</v>
          </cell>
          <cell r="C272" t="str">
            <v>Codo 22.5° en HD. -Presión Trabajo 250PSI- extremo lisos para PVC/AC (2")</v>
          </cell>
          <cell r="D272" t="str">
            <v>un</v>
          </cell>
        </row>
        <row r="273">
          <cell r="B273">
            <v>8.1289999999999996</v>
          </cell>
          <cell r="C273" t="str">
            <v>Codo 22.5° en HD. -Presión Trabajo 250PSI- extremo lisos para PVC/AC (3")</v>
          </cell>
          <cell r="D273" t="str">
            <v>un</v>
          </cell>
        </row>
        <row r="274">
          <cell r="B274">
            <v>8.1300000000000008</v>
          </cell>
          <cell r="C274" t="str">
            <v>Codo 22.5° en HD. -Presión Trabajo 250PSI- extremo lisos para PVC/AC (4")</v>
          </cell>
          <cell r="D274" t="str">
            <v>un</v>
          </cell>
        </row>
        <row r="275">
          <cell r="B275">
            <v>8.1310000000000002</v>
          </cell>
          <cell r="C275" t="str">
            <v>Codo 22.5° en HD. -Presión Trabajo 250PSI- extremo lisos para PVC/AC (6")</v>
          </cell>
          <cell r="D275" t="str">
            <v>un</v>
          </cell>
        </row>
        <row r="276">
          <cell r="B276">
            <v>8.1319999999999997</v>
          </cell>
          <cell r="C276" t="str">
            <v>Codo 22.5° en HD. -Presión Trabajo 250PSI- extremo lisos para PVC/AC (8")</v>
          </cell>
          <cell r="D276" t="str">
            <v>un</v>
          </cell>
        </row>
        <row r="277">
          <cell r="B277">
            <v>8.1329999999999991</v>
          </cell>
          <cell r="C277" t="str">
            <v>Codo 22.5° en HD. -Presión Trabajo 250PSI- extremo lisos para PVC/AC (10")</v>
          </cell>
          <cell r="D277" t="str">
            <v>un</v>
          </cell>
        </row>
        <row r="278">
          <cell r="B278">
            <v>8.1340000000000003</v>
          </cell>
          <cell r="C278" t="str">
            <v>Codo 22.5° en HD. -Presión Trabajo 250PSI- extremo lisos para PVC/AC (12")</v>
          </cell>
          <cell r="D278" t="str">
            <v>un</v>
          </cell>
        </row>
        <row r="279">
          <cell r="B279">
            <v>8.1349999999999998</v>
          </cell>
          <cell r="C279" t="str">
            <v>Codo 22.5° en HD. -Presión Trabajo 250PSI- extremo lisos para PVC/AC (14")</v>
          </cell>
          <cell r="D279" t="str">
            <v>un</v>
          </cell>
        </row>
        <row r="280">
          <cell r="B280">
            <v>8.1359999999999992</v>
          </cell>
          <cell r="C280" t="str">
            <v>Codo 22.5° en HD. -Presión Trabajo 250PSI- extremo lisos para PVC/AC (16")</v>
          </cell>
          <cell r="D280" t="str">
            <v>un</v>
          </cell>
        </row>
        <row r="281">
          <cell r="B281">
            <v>8.1370000000000005</v>
          </cell>
          <cell r="C281" t="str">
            <v>Codo 22.5° en HD. -Presión Trabajo 250PSI- extremo lisos para PVC/AC (18")</v>
          </cell>
          <cell r="D281" t="str">
            <v>un</v>
          </cell>
        </row>
        <row r="282">
          <cell r="B282">
            <v>8.1379999999999999</v>
          </cell>
          <cell r="C282" t="str">
            <v>Codo 22.5° en HD. -Presión Trabajo 250PSI- extremo lisos para PVC/AC (20")</v>
          </cell>
          <cell r="D282" t="str">
            <v>un</v>
          </cell>
        </row>
        <row r="283">
          <cell r="B283">
            <v>8.1389999999999993</v>
          </cell>
          <cell r="C283" t="str">
            <v>Codo 22.5° en HD. -Presión Trabajo 250PSI- extremo lisos para PVC/AC (24")</v>
          </cell>
          <cell r="D283" t="str">
            <v>un</v>
          </cell>
        </row>
        <row r="284">
          <cell r="B284">
            <v>8.14</v>
          </cell>
          <cell r="C284" t="str">
            <v>Codo 11.25° en HD. -Presión Trabajo 250PSI- extremo lisos para PVC/AC (2")</v>
          </cell>
          <cell r="D284" t="str">
            <v>un</v>
          </cell>
        </row>
        <row r="285">
          <cell r="B285">
            <v>8.141</v>
          </cell>
          <cell r="C285" t="str">
            <v>Codo 11.25° en HD. -Presión Trabajo 250PSI- extremo lisos para PVC/AC (3")</v>
          </cell>
          <cell r="D285" t="str">
            <v>un</v>
          </cell>
        </row>
        <row r="286">
          <cell r="B286">
            <v>8.1419999999999995</v>
          </cell>
          <cell r="C286" t="str">
            <v>Codo 11.25° en HD. -Presión Trabajo 250PSI- extremo lisos para PVC/AC (4")</v>
          </cell>
          <cell r="D286" t="str">
            <v>un</v>
          </cell>
        </row>
        <row r="287">
          <cell r="B287">
            <v>8.1430000000000007</v>
          </cell>
          <cell r="C287" t="str">
            <v>Codo 11.25° en HD. -Presión Trabajo 250PSI- extremo lisos para PVC/AC (6")</v>
          </cell>
          <cell r="D287" t="str">
            <v>un</v>
          </cell>
        </row>
        <row r="288">
          <cell r="B288">
            <v>8.1440000000000001</v>
          </cell>
          <cell r="C288" t="str">
            <v>Codo 11.25° en HD. -Presión Trabajo 250PSI- extremo lisos para PVC/AC (8")</v>
          </cell>
          <cell r="D288" t="str">
            <v>un</v>
          </cell>
        </row>
        <row r="289">
          <cell r="B289">
            <v>8.1449999999999996</v>
          </cell>
          <cell r="C289" t="str">
            <v>Codo 11.25° en HD. -Presión Trabajo 250PSI- extremo lisos para PVC/AC (10")</v>
          </cell>
          <cell r="D289" t="str">
            <v>un</v>
          </cell>
        </row>
        <row r="290">
          <cell r="B290">
            <v>8.1460000000000008</v>
          </cell>
          <cell r="C290" t="str">
            <v>Codo 11.25° en HD. -Presión Trabajo 250PSI- extremo lisos para PVC/AC (12")</v>
          </cell>
          <cell r="D290" t="str">
            <v>un</v>
          </cell>
        </row>
        <row r="291">
          <cell r="B291">
            <v>8.1470000000000002</v>
          </cell>
          <cell r="C291" t="str">
            <v>Codo 11.25° en HD. -Presión Trabajo 250PSI- extremo lisos para PVC/AC (14")</v>
          </cell>
          <cell r="D291" t="str">
            <v>un</v>
          </cell>
        </row>
        <row r="292">
          <cell r="B292">
            <v>8.1479999999999997</v>
          </cell>
          <cell r="C292" t="str">
            <v>Codo 11.25° en HD. -Presión Trabajo 250PSI- extremo lisos para PVC/AC (16")</v>
          </cell>
          <cell r="D292" t="str">
            <v>un</v>
          </cell>
        </row>
        <row r="293">
          <cell r="B293">
            <v>8.1489999999999991</v>
          </cell>
          <cell r="C293" t="str">
            <v>Codo 11.25° en HD. -Presión Trabajo 250PSI- extremo lisos para PVC/AC (18")</v>
          </cell>
          <cell r="D293" t="str">
            <v>un</v>
          </cell>
        </row>
        <row r="294">
          <cell r="B294">
            <v>8.15</v>
          </cell>
          <cell r="C294" t="str">
            <v>Codo 11.25° en HD. -Presión Trabajo 250PSI- extremo lisos para PVC/AC (20")</v>
          </cell>
          <cell r="D294" t="str">
            <v>un</v>
          </cell>
        </row>
        <row r="295">
          <cell r="B295">
            <v>8.1509999999999998</v>
          </cell>
          <cell r="C295" t="str">
            <v>Codo 11.25° en HD. -Presión Trabajo 250PSI- extremo lisos para PVC/AC (24")</v>
          </cell>
          <cell r="D295" t="str">
            <v>un</v>
          </cell>
        </row>
        <row r="296">
          <cell r="B296">
            <v>8.1519999999999992</v>
          </cell>
          <cell r="C296" t="str">
            <v>Unión de reparación PVC -Presión Trabajo 200PSI- extremos unión mecánica x liso (2")</v>
          </cell>
          <cell r="D296" t="str">
            <v>un</v>
          </cell>
        </row>
        <row r="297">
          <cell r="B297">
            <v>8.1530000000000005</v>
          </cell>
          <cell r="C297" t="str">
            <v>Unión de reparación PVC -Presión Trabajo 200PSI- extremos unión mecánica x liso (3")</v>
          </cell>
          <cell r="D297" t="str">
            <v>un</v>
          </cell>
        </row>
        <row r="298">
          <cell r="B298">
            <v>8.1539999999999999</v>
          </cell>
          <cell r="C298" t="str">
            <v>Unión de reparación PVC -Presión Trabajo 200PSI- extremos unión mecánica x liso (4")</v>
          </cell>
          <cell r="D298" t="str">
            <v>un</v>
          </cell>
        </row>
        <row r="299">
          <cell r="B299">
            <v>8.1549999999999994</v>
          </cell>
          <cell r="C299" t="str">
            <v>Unión de reparación PVC -Presión Trabajo 200PSI- extremos unión mecánica x liso (6")</v>
          </cell>
          <cell r="D299" t="str">
            <v>un</v>
          </cell>
        </row>
        <row r="300">
          <cell r="B300">
            <v>8.1560000000000006</v>
          </cell>
          <cell r="C300" t="str">
            <v>Unión de reparación PVC -Presión Trabajo 200PSI- extremos unión mecánica x liso (8")</v>
          </cell>
          <cell r="D300" t="str">
            <v>un</v>
          </cell>
        </row>
        <row r="301">
          <cell r="B301">
            <v>8.157</v>
          </cell>
          <cell r="C301" t="str">
            <v>Unión de reparación PVC -Presión Trabajo 200PSI- extremos unión mecánica x liso (10")</v>
          </cell>
          <cell r="D301" t="str">
            <v>un</v>
          </cell>
        </row>
        <row r="302">
          <cell r="B302">
            <v>8.1579999999999995</v>
          </cell>
          <cell r="C302" t="str">
            <v>Tee PVC -Presión Trabajo 200PSI- extremos unión mecanica x liso (2x2x2")</v>
          </cell>
          <cell r="D302" t="str">
            <v>un</v>
          </cell>
        </row>
        <row r="303">
          <cell r="B303">
            <v>8.1590000000000007</v>
          </cell>
          <cell r="C303" t="str">
            <v>Tee PVC -Presión Trabajo 200PSI- extremos unión mecanica x liso (3x2x2")</v>
          </cell>
          <cell r="D303" t="str">
            <v>un</v>
          </cell>
        </row>
        <row r="304">
          <cell r="B304">
            <v>8.16</v>
          </cell>
          <cell r="C304" t="str">
            <v>Tee PVC -Presión Trabajo 200PSI- extremos unión mecanica x liso (3x2x3")</v>
          </cell>
          <cell r="D304" t="str">
            <v>un</v>
          </cell>
        </row>
        <row r="305">
          <cell r="B305">
            <v>8.1609999999999996</v>
          </cell>
          <cell r="C305" t="str">
            <v>Tee PVC -Presión Trabajo 200PSI- extremos unión mecanica x liso (3x3x3")</v>
          </cell>
          <cell r="D305" t="str">
            <v>un</v>
          </cell>
        </row>
        <row r="306">
          <cell r="B306">
            <v>8.1620000000000008</v>
          </cell>
          <cell r="C306" t="str">
            <v>Tee PVC -Presión Trabajo 200PSI- extremos unión mecanica x liso (4x2x4")</v>
          </cell>
          <cell r="D306" t="str">
            <v>un</v>
          </cell>
        </row>
        <row r="307">
          <cell r="B307">
            <v>8.1630000000000003</v>
          </cell>
          <cell r="C307" t="str">
            <v>Tee HD -Presión Trabajo 250PSI- extremos lisos para PVC/AC (6x3")</v>
          </cell>
          <cell r="D307" t="str">
            <v>un</v>
          </cell>
        </row>
        <row r="308">
          <cell r="B308">
            <v>8.1639999999999997</v>
          </cell>
          <cell r="C308" t="str">
            <v>Tee HD -Presión Trabajo 250PSI- extremos lisos para PVC/AC (6x4")</v>
          </cell>
          <cell r="D308" t="str">
            <v>un</v>
          </cell>
        </row>
        <row r="309">
          <cell r="B309">
            <v>8.1649999999999991</v>
          </cell>
          <cell r="C309" t="str">
            <v>Tee HD -Presión Trabajo 250PSI- extremos lisos para PVC/AC (6x6")</v>
          </cell>
          <cell r="D309" t="str">
            <v>un</v>
          </cell>
        </row>
        <row r="310">
          <cell r="B310">
            <v>8.1660000000000004</v>
          </cell>
          <cell r="C310" t="str">
            <v>Tee HD -Presión Trabajo 250PSI- extremos lisos para PVC/AC (8x3")</v>
          </cell>
          <cell r="D310" t="str">
            <v>un</v>
          </cell>
        </row>
        <row r="311">
          <cell r="B311">
            <v>8.1669999999999998</v>
          </cell>
          <cell r="C311" t="str">
            <v>Tee HD -Presión Trabajo 250PSI- extremos lisos para PVC/AC (8x4")</v>
          </cell>
          <cell r="D311" t="str">
            <v>un</v>
          </cell>
        </row>
        <row r="312">
          <cell r="B312">
            <v>8.1679999999999993</v>
          </cell>
          <cell r="C312" t="str">
            <v>Tee HD -Presión Trabajo 250PSI- extremos lisos para PVC/AC (8x6")</v>
          </cell>
          <cell r="D312" t="str">
            <v>un</v>
          </cell>
        </row>
        <row r="313">
          <cell r="B313">
            <v>8.1690000000000005</v>
          </cell>
          <cell r="C313" t="str">
            <v>Tee HD -Presión Trabajo 250PSI- extremos lisos para PVC/AC (8x8")</v>
          </cell>
          <cell r="D313" t="str">
            <v>un</v>
          </cell>
        </row>
        <row r="314">
          <cell r="B314">
            <v>8.17</v>
          </cell>
          <cell r="C314" t="str">
            <v>Tee HD -Presión Trabajo 250PSI- extremos lisos para PVC/AC (10x2")</v>
          </cell>
          <cell r="D314" t="str">
            <v>un</v>
          </cell>
        </row>
        <row r="315">
          <cell r="B315">
            <v>8.1709999999999994</v>
          </cell>
          <cell r="C315" t="str">
            <v>Tee HD -Presión Trabajo 250PSI- extremos lisos para PVC/AC (10x6")</v>
          </cell>
          <cell r="D315" t="str">
            <v>un</v>
          </cell>
        </row>
        <row r="316">
          <cell r="B316">
            <v>8.1720000000000006</v>
          </cell>
          <cell r="C316" t="str">
            <v>Tee HD -Presión Trabajo 250PSI- extremos lisos para PVC/AC (10x10")</v>
          </cell>
          <cell r="D316" t="str">
            <v>un</v>
          </cell>
        </row>
        <row r="317">
          <cell r="B317">
            <v>8.173</v>
          </cell>
          <cell r="C317" t="str">
            <v>Tee HD -Presión Trabajo 250PSI- extremos lisos para PVC/AC (16x6")</v>
          </cell>
          <cell r="D317" t="str">
            <v>un</v>
          </cell>
        </row>
        <row r="318">
          <cell r="B318">
            <v>8.1739999999999995</v>
          </cell>
          <cell r="C318" t="str">
            <v>Tee HD -Presión Trabajo 250PSI- extremos lisos para PVC/AC (16x10")</v>
          </cell>
          <cell r="D318" t="str">
            <v>un</v>
          </cell>
        </row>
        <row r="319">
          <cell r="B319">
            <v>8.1750000000000007</v>
          </cell>
          <cell r="C319" t="str">
            <v>Tapón en HD. -Presión Trabajo 250PSI- para PVC/AC (2")</v>
          </cell>
          <cell r="D319" t="str">
            <v>un</v>
          </cell>
        </row>
        <row r="320">
          <cell r="B320">
            <v>8.1760000000000002</v>
          </cell>
          <cell r="C320" t="str">
            <v>Tapón en HD. -Presión Trabajo 250PSI- para PVC/AC (3")</v>
          </cell>
          <cell r="D320" t="str">
            <v>un</v>
          </cell>
        </row>
        <row r="321">
          <cell r="B321">
            <v>8.1769999999999996</v>
          </cell>
          <cell r="C321" t="str">
            <v>Tapón en HD. -Presión Trabajo 250PSI- para PVC/AC (6")</v>
          </cell>
          <cell r="D321" t="str">
            <v>un</v>
          </cell>
        </row>
        <row r="322">
          <cell r="B322">
            <v>8.1780000000000008</v>
          </cell>
          <cell r="C322" t="str">
            <v>Cruceta en HD. -Presión Trabajo 250PSI- extremo lisos para PVC/AC (2x2")</v>
          </cell>
          <cell r="D322" t="str">
            <v>un</v>
          </cell>
        </row>
        <row r="323">
          <cell r="B323">
            <v>8.1790000000000003</v>
          </cell>
          <cell r="C323" t="str">
            <v>Cruceta en HD. -Presión Trabajo 250PSI- extremo lisos para PVC/AC (3x2")</v>
          </cell>
          <cell r="D323" t="str">
            <v>un</v>
          </cell>
        </row>
        <row r="324">
          <cell r="B324">
            <v>8.18</v>
          </cell>
          <cell r="C324" t="str">
            <v>Cruceta en HD. -Presión Trabajo 250PSI- extremo lisos para PVC/AC (3x3")</v>
          </cell>
          <cell r="D324" t="str">
            <v>un</v>
          </cell>
        </row>
        <row r="325">
          <cell r="B325">
            <v>8.1809999999999992</v>
          </cell>
          <cell r="C325" t="str">
            <v>Reducción en HD. -Presión Trabajo 250PSI- extremo lisos para PVC/AC (3x2")</v>
          </cell>
          <cell r="D325" t="str">
            <v>un</v>
          </cell>
        </row>
        <row r="326">
          <cell r="B326">
            <v>8.1820000000000004</v>
          </cell>
          <cell r="C326" t="str">
            <v>Reducción en HD. -Presión Trabajo 250PSI- extremo lisos para PVC/AC (4x2")</v>
          </cell>
          <cell r="D326" t="str">
            <v>un</v>
          </cell>
        </row>
        <row r="327">
          <cell r="B327">
            <v>8.1829999999999998</v>
          </cell>
          <cell r="C327" t="str">
            <v>Reducción en HD. -Presión Trabajo 250PSI- extremo lisos para PVC/AC (4x3")</v>
          </cell>
          <cell r="D327" t="str">
            <v>un</v>
          </cell>
        </row>
        <row r="328">
          <cell r="B328">
            <v>8.1839999999999993</v>
          </cell>
          <cell r="C328" t="str">
            <v>Reducción en HD. -Presión Trabajo 250PSI- extremo lisos para PVC/AC (6x4")</v>
          </cell>
          <cell r="D328" t="str">
            <v>un</v>
          </cell>
        </row>
        <row r="329">
          <cell r="B329">
            <v>8.1850000000000005</v>
          </cell>
          <cell r="C329" t="str">
            <v>Reducción en HD. -Presión Trabajo 250PSI- extremo lisos para PVC/AC (8x6")</v>
          </cell>
          <cell r="D329" t="str">
            <v>un</v>
          </cell>
        </row>
        <row r="330">
          <cell r="B330">
            <v>8.1859999999999999</v>
          </cell>
          <cell r="C330" t="str">
            <v>Suministro e instalación de válvula compuerta elástica en HD. 2" (incluye caja valv. y anclaje en concreto)</v>
          </cell>
          <cell r="D330" t="str">
            <v>un</v>
          </cell>
        </row>
        <row r="331">
          <cell r="B331">
            <v>8.1869999999999994</v>
          </cell>
          <cell r="C331" t="str">
            <v>Suministro e instalación de válvula compuerta elástica en HD. 3" (incluye caja valv. y anclaje en concreto)</v>
          </cell>
          <cell r="D331" t="str">
            <v>un</v>
          </cell>
        </row>
        <row r="332">
          <cell r="B332">
            <v>8.1880000000000006</v>
          </cell>
          <cell r="C332" t="str">
            <v>Suministro e instalación de válvula compuerta elástica en HD. 4" (incluye caja valv. y anclaje en concreto)</v>
          </cell>
          <cell r="D332" t="str">
            <v>un</v>
          </cell>
        </row>
        <row r="333">
          <cell r="B333">
            <v>8.1890000000000001</v>
          </cell>
          <cell r="C333" t="str">
            <v>Suministro e instalación de válvula compuerta elástica en HD. 6" (incluye caja valv. y anclaje en concreto)</v>
          </cell>
          <cell r="D333" t="str">
            <v>un</v>
          </cell>
        </row>
        <row r="334">
          <cell r="B334">
            <v>8.19</v>
          </cell>
          <cell r="C334" t="str">
            <v>Suministro e instalación de válvula compuerta elástica en HD. 8" (incluye caja valv. y anclaje en concreto)</v>
          </cell>
          <cell r="D334" t="str">
            <v>un</v>
          </cell>
        </row>
        <row r="335">
          <cell r="B335">
            <v>8.1910000000000007</v>
          </cell>
          <cell r="C335" t="str">
            <v>Suministro e instalación de válvula compuerta elástica en HD. 10" (incluye caja valv. y anclaje en concreto)</v>
          </cell>
          <cell r="D335" t="str">
            <v>un</v>
          </cell>
        </row>
        <row r="336">
          <cell r="B336">
            <v>8.1920000000000002</v>
          </cell>
          <cell r="C336" t="str">
            <v>Suministro e instal. de válvula compuerta elástica HD. 3" (inc. rueda de manejo)</v>
          </cell>
          <cell r="D336" t="str">
            <v>un</v>
          </cell>
        </row>
        <row r="337">
          <cell r="B337">
            <v>8.1929999999999996</v>
          </cell>
          <cell r="C337" t="str">
            <v>Suministro e instal. de válvula compuerta elástica HD. 4" (inc. rueda de manejo)</v>
          </cell>
          <cell r="D337" t="str">
            <v>un</v>
          </cell>
        </row>
        <row r="338">
          <cell r="B338">
            <v>8.1940000000000008</v>
          </cell>
          <cell r="C338" t="str">
            <v>Suministro e instal. de válvula compuerta elástica HD. 6" (inc. rueda de manejo)</v>
          </cell>
          <cell r="D338" t="str">
            <v>un</v>
          </cell>
        </row>
        <row r="339">
          <cell r="B339">
            <v>8.1950000000000003</v>
          </cell>
          <cell r="C339" t="str">
            <v>Suministro e instal. de válvula compuerta elástica HD. 8" (inc. rueda de manejo</v>
          </cell>
          <cell r="D339" t="str">
            <v>un</v>
          </cell>
        </row>
        <row r="340">
          <cell r="B340">
            <v>8.1959999999999997</v>
          </cell>
          <cell r="C340" t="str">
            <v>Suministro e instal. de válvula compuerta elástica HD. 10" (inc. rueda manejo)</v>
          </cell>
          <cell r="D340" t="str">
            <v>un</v>
          </cell>
        </row>
        <row r="341">
          <cell r="B341">
            <v>8.1969999999999992</v>
          </cell>
          <cell r="C341" t="str">
            <v>Suministro e instalación de compuerta lateral deslizante HD. 10" (inc. tornillería. vástago y rueda de manejo)</v>
          </cell>
          <cell r="D341" t="str">
            <v>un</v>
          </cell>
        </row>
        <row r="342">
          <cell r="B342">
            <v>8.1980000000000004</v>
          </cell>
          <cell r="C342" t="str">
            <v>Suministro e instalación de compuerta lateral deslizante HD. 14" (inc. tornillería)</v>
          </cell>
          <cell r="D342" t="str">
            <v>un</v>
          </cell>
        </row>
        <row r="343">
          <cell r="B343">
            <v>8.1989999999999998</v>
          </cell>
          <cell r="C343" t="str">
            <v>Suministro e instalación de compuerta lateral deslizante HD. 16" (inc. tornillería. vástago y rueda de manejo)</v>
          </cell>
          <cell r="D343" t="str">
            <v>un</v>
          </cell>
        </row>
        <row r="344">
          <cell r="B344">
            <v>8.1999999999999993</v>
          </cell>
          <cell r="C344" t="str">
            <v>Suministro e instalación de sistema de purga 2" (incluye tee 3X2". codo. adapt. brida univ.. válvula compuerta elástica)</v>
          </cell>
          <cell r="D344" t="str">
            <v>un</v>
          </cell>
        </row>
        <row r="345">
          <cell r="B345">
            <v>8.2010000000000005</v>
          </cell>
          <cell r="C345" t="str">
            <v>Suministro e instalación de sistema de purga 3" (incluye tee 4X3". codo. adapt. brida univ.. válvula compuerta elástica)</v>
          </cell>
          <cell r="D345" t="str">
            <v>un</v>
          </cell>
        </row>
        <row r="346">
          <cell r="B346">
            <v>8.202</v>
          </cell>
          <cell r="C346" t="str">
            <v>Suministro e instalación de sistema de purga 3" (incluye tee 6X3". codo. adapt. brida univ.. válvula compuerta elástica)</v>
          </cell>
          <cell r="D346" t="str">
            <v>un</v>
          </cell>
        </row>
        <row r="347">
          <cell r="B347">
            <v>8.2029999999999994</v>
          </cell>
          <cell r="C347" t="str">
            <v>Suministro e instalación de sistema de purga 3" (incluye tee 8X3". codo. adapt. brida univ.. válvula compuerta elástica)</v>
          </cell>
          <cell r="D347" t="str">
            <v>un</v>
          </cell>
        </row>
        <row r="348">
          <cell r="B348">
            <v>8.2040000000000006</v>
          </cell>
          <cell r="C348" t="str">
            <v>Suministro e instalación de sistema de ventosa 2" (incluye tee 3x2. vávula de compuerta de elástica y caja válvula)</v>
          </cell>
          <cell r="D348" t="str">
            <v>un</v>
          </cell>
        </row>
        <row r="349">
          <cell r="B349">
            <v>8.2050000000000001</v>
          </cell>
          <cell r="C349" t="str">
            <v>Suministro e instalación de sistema de ventosa 2" (incluye tee 4x3". vávula de compuerta de elástica y caja válvula)</v>
          </cell>
          <cell r="D349" t="str">
            <v>un</v>
          </cell>
        </row>
        <row r="350">
          <cell r="B350">
            <v>8.2059999999999995</v>
          </cell>
          <cell r="C350" t="str">
            <v>Suministro e instalación de macromedidor mecánico de turbina tipo Woltman PN16 DN 100 (4")</v>
          </cell>
          <cell r="D350" t="str">
            <v>un</v>
          </cell>
        </row>
        <row r="351">
          <cell r="B351">
            <v>8.2070000000000007</v>
          </cell>
          <cell r="C351" t="str">
            <v>Suministro e instalación de macromedidor mecánico de turbina tipo Woltman PN16 DN 150 (6")</v>
          </cell>
          <cell r="D351" t="str">
            <v>un</v>
          </cell>
        </row>
        <row r="352">
          <cell r="B352">
            <v>8.2080000000000002</v>
          </cell>
          <cell r="C352" t="str">
            <v>Suministro e instalación de macromedidor mecánico de turbina tipo Woltman PN16 DN 200 (8")</v>
          </cell>
          <cell r="D352" t="str">
            <v>un</v>
          </cell>
        </row>
        <row r="353">
          <cell r="B353">
            <v>8.2089999999999996</v>
          </cell>
          <cell r="C353" t="str">
            <v>Suministro e instalación de macromedidor mecánico de turbina tipo Woltman PN16 DN 250 (10")</v>
          </cell>
          <cell r="D353" t="str">
            <v>un</v>
          </cell>
        </row>
        <row r="354">
          <cell r="B354">
            <v>8.2100000000000009</v>
          </cell>
          <cell r="C354" t="str">
            <v>Suministro e instalación de hidrante tipo Milán 3" (incluye accesorios, tee 3x3x3)</v>
          </cell>
          <cell r="D354" t="str">
            <v>un</v>
          </cell>
        </row>
        <row r="355">
          <cell r="B355">
            <v>8.2110000000000003</v>
          </cell>
          <cell r="C355" t="str">
            <v>Suministro e instalación de hidrante tipo Milán 3" (incluye accesorios, tee 4x4x3)</v>
          </cell>
          <cell r="D355" t="str">
            <v>un</v>
          </cell>
        </row>
        <row r="356">
          <cell r="B356">
            <v>8.2119999999999997</v>
          </cell>
          <cell r="C356" t="str">
            <v>Rejilla  para bocatoma, hierro D=1/2" E=1/2" ;  1,5 x 0,4 m</v>
          </cell>
          <cell r="D356" t="str">
            <v>un</v>
          </cell>
        </row>
        <row r="357">
          <cell r="B357">
            <v>8.2129999999999992</v>
          </cell>
          <cell r="C357" t="str">
            <v>Rejilla  para bocatoma, hierro D=1/2" E=1/2" ;  1,0 x 0,3 m</v>
          </cell>
          <cell r="D357" t="str">
            <v>un</v>
          </cell>
        </row>
        <row r="358">
          <cell r="B358">
            <v>8.2131000000000007</v>
          </cell>
          <cell r="C358" t="str">
            <v xml:space="preserve">Suministro e instalaciòn de Rejilla de captación de dos módulos de 1.71 x 0.60m, marco en ángulo 2" x 2" x 3/16" y varillas de acero liso de 1" </v>
          </cell>
          <cell r="D358" t="str">
            <v>un</v>
          </cell>
        </row>
        <row r="359">
          <cell r="B359">
            <v>8.2140000000000004</v>
          </cell>
          <cell r="C359" t="str">
            <v>Codo Gran Radio 6° PVC -Presión Trabajo 200PSI- extremos unión mecanica x liso (10")</v>
          </cell>
          <cell r="D359" t="str">
            <v>un</v>
          </cell>
        </row>
        <row r="360">
          <cell r="B360">
            <v>8.2149999999999999</v>
          </cell>
          <cell r="C360" t="str">
            <v>Suministro e instalación de sistema para purga en tubería de PVC de 125 psi. Incluye Tee  10"x3" de HD con extremos 10" lisos para PVC y extremo 3" roscado, Codo en HD 3"de  45° con extremos roscados, válvula de compuerta en HD de D=3" roscada  y niple D=</v>
          </cell>
          <cell r="D360" t="str">
            <v>un</v>
          </cell>
        </row>
        <row r="361">
          <cell r="B361">
            <v>8.2159999999999993</v>
          </cell>
          <cell r="C361" t="str">
            <v>Suministro e instalación de sistema para purga en tubería de PVC de 125 psi. Incluye Tee  10"x2" de HD con extremos 10" lisos para PVC y extremo 2" roscado, Codo en HD 2"de  45° con extremos roscados, válvula de compuerta en HD de D=2" roscada  y niple  L</v>
          </cell>
          <cell r="D361" t="str">
            <v>un</v>
          </cell>
        </row>
        <row r="362">
          <cell r="B362">
            <v>8.2170000000000005</v>
          </cell>
          <cell r="C362" t="str">
            <v>Suministro e instalación de sistema para ventosa en tubería de PVC de 125 psi. Incluye collar de derivación sobre tubería D=10" , registro roscado de 1" y válvula de ventosa de 1".</v>
          </cell>
          <cell r="D362" t="str">
            <v>un</v>
          </cell>
        </row>
        <row r="363">
          <cell r="B363">
            <v>8.218</v>
          </cell>
          <cell r="C363" t="str">
            <v>Suministro e instalación de sistema para ventosa en tubería de PVC de 125 psi. Incluye Tee 10" x 3" , válvula compuerta elástica roscada de 3" y válvula de ventosa de 3".</v>
          </cell>
          <cell r="D363" t="str">
            <v>un</v>
          </cell>
        </row>
        <row r="364">
          <cell r="B364">
            <v>8.2189999999999994</v>
          </cell>
          <cell r="C364" t="str">
            <v>Suministro e instalación de sistema para ventosa en tubería de PVC de 125 psi. Incluye Tee 6" x 2" , válvula compuerta elástica roscada de 3" y válvula de ventosa de 2".</v>
          </cell>
          <cell r="D364" t="str">
            <v>un</v>
          </cell>
        </row>
        <row r="365">
          <cell r="B365">
            <v>8.2200000000000006</v>
          </cell>
          <cell r="C365" t="str">
            <v>Paso elevado tuberia PVC (incluye cercha, protección superior en lámina)</v>
          </cell>
          <cell r="D365" t="str">
            <v>m</v>
          </cell>
        </row>
        <row r="366">
          <cell r="B366">
            <v>8.2210000000000001</v>
          </cell>
          <cell r="C366" t="str">
            <v>Suministro e instal. tubería PVC unión mecánica para acueductos -Presión Trabajo 125PSI- 2" (incluye instal. accesorios)</v>
          </cell>
          <cell r="D366" t="str">
            <v>m</v>
          </cell>
        </row>
        <row r="367">
          <cell r="B367">
            <v>8.2219999999999995</v>
          </cell>
          <cell r="C367" t="str">
            <v>Suministro e instalación válvula tipo globo 4"</v>
          </cell>
          <cell r="D367" t="str">
            <v>un</v>
          </cell>
        </row>
        <row r="368">
          <cell r="B368">
            <v>8.2230000000000008</v>
          </cell>
          <cell r="C368" t="str">
            <v>Suministro e instalación válvula tipo globo 2"</v>
          </cell>
          <cell r="D368" t="str">
            <v>un</v>
          </cell>
        </row>
        <row r="369">
          <cell r="B369">
            <v>8.2240000000000002</v>
          </cell>
          <cell r="C369" t="str">
            <v>Suministro e Instalación Tee HD 8x8" BxB</v>
          </cell>
          <cell r="D369" t="str">
            <v>un</v>
          </cell>
        </row>
        <row r="370">
          <cell r="B370">
            <v>8.2249999999999996</v>
          </cell>
          <cell r="C370" t="str">
            <v>Suministro e Instalación Tee HD 12x12" BxB</v>
          </cell>
          <cell r="D370" t="str">
            <v>un</v>
          </cell>
        </row>
        <row r="371">
          <cell r="B371">
            <v>8.2260000000000009</v>
          </cell>
          <cell r="C371" t="str">
            <v xml:space="preserve">Suministro e Instalación Pasamuro HD Ø 8" - B x E ; L= 630 mm. - Z = 150 mm.   </v>
          </cell>
          <cell r="D371" t="str">
            <v>un</v>
          </cell>
        </row>
        <row r="372">
          <cell r="B372">
            <v>8.2270000000000003</v>
          </cell>
          <cell r="C372" t="str">
            <v xml:space="preserve">Suministro e Instalación Niple HD Ø 8" - B x B ; L= 450 mm. </v>
          </cell>
          <cell r="D372" t="str">
            <v>un</v>
          </cell>
        </row>
        <row r="373">
          <cell r="B373">
            <v>8.2279999999999998</v>
          </cell>
          <cell r="C373" t="str">
            <v xml:space="preserve">Suministro e Instalación Niple HD Ø 8" - B x B ; L= 2880 mm. </v>
          </cell>
          <cell r="D373" t="str">
            <v>un</v>
          </cell>
        </row>
        <row r="374">
          <cell r="B374">
            <v>8.2289999999999992</v>
          </cell>
          <cell r="C374" t="str">
            <v xml:space="preserve">Suministro e Instalación Niple HD Ø 8" - B x B ; L= 2650 mm. </v>
          </cell>
          <cell r="D374" t="str">
            <v>un</v>
          </cell>
        </row>
        <row r="375">
          <cell r="B375">
            <v>8.23</v>
          </cell>
          <cell r="C375" t="str">
            <v xml:space="preserve">Suministro e Instalación Niple HD Ø 8" - B x E ; L= 630 mm. </v>
          </cell>
          <cell r="D375" t="str">
            <v>un</v>
          </cell>
        </row>
        <row r="376">
          <cell r="B376">
            <v>8.2309999999999999</v>
          </cell>
          <cell r="C376" t="str">
            <v xml:space="preserve">Suministro e Instalación Niple HD Ø 8" - B x B ; L= 4400 mm. </v>
          </cell>
          <cell r="D376" t="str">
            <v>un</v>
          </cell>
        </row>
        <row r="377">
          <cell r="B377">
            <v>8.2319999999999993</v>
          </cell>
          <cell r="C377" t="str">
            <v xml:space="preserve">Suministro e Instalación Niple HD Ø 8" - B x B ; L= 1010 mm. </v>
          </cell>
          <cell r="D377" t="str">
            <v>un</v>
          </cell>
        </row>
        <row r="378">
          <cell r="B378">
            <v>8.2330000000000005</v>
          </cell>
          <cell r="C378" t="str">
            <v xml:space="preserve">Suministro e Instalación Niple HD Ø 8" - B x B ; L= 5150 mm. </v>
          </cell>
          <cell r="D378" t="str">
            <v>un</v>
          </cell>
        </row>
        <row r="379">
          <cell r="B379">
            <v>8.234</v>
          </cell>
          <cell r="C379" t="str">
            <v xml:space="preserve">Suministro e Instalación Niple HD Ø 8" - B x B ; L= 1790 mm. </v>
          </cell>
          <cell r="D379" t="str">
            <v>un</v>
          </cell>
        </row>
        <row r="380">
          <cell r="B380">
            <v>8.2349999999999994</v>
          </cell>
          <cell r="C380" t="str">
            <v xml:space="preserve">Suministro e Instalación Niple HD Ø 8" - B x B ; L= 3590 mm. </v>
          </cell>
          <cell r="D380" t="str">
            <v>un</v>
          </cell>
        </row>
        <row r="381">
          <cell r="B381">
            <v>8.2360000000000007</v>
          </cell>
          <cell r="C381" t="str">
            <v xml:space="preserve">Suministro e Instalación Niple HD Ø 8" - B x B ; L= 970 mm. </v>
          </cell>
          <cell r="D381" t="str">
            <v>un</v>
          </cell>
        </row>
        <row r="382">
          <cell r="B382">
            <v>8.2370000000000001</v>
          </cell>
          <cell r="C382" t="str">
            <v xml:space="preserve">Suministro e Instalación Niple HD Ø 8" - B x B ; L= 400 mm. </v>
          </cell>
          <cell r="D382" t="str">
            <v>un</v>
          </cell>
        </row>
        <row r="383">
          <cell r="B383">
            <v>8.2379999999999995</v>
          </cell>
          <cell r="C383" t="str">
            <v xml:space="preserve">Suministro e Instalación Niple HD Ø 8" - B x B ; L= 1360 mm. </v>
          </cell>
          <cell r="D383" t="str">
            <v>un</v>
          </cell>
        </row>
        <row r="384">
          <cell r="B384">
            <v>8.2390000000000008</v>
          </cell>
          <cell r="C384" t="str">
            <v xml:space="preserve">Suministro e Instalación Niple HD Ø 8" - B x E ; L= 1000 mm. </v>
          </cell>
          <cell r="D384" t="str">
            <v>un</v>
          </cell>
        </row>
        <row r="385">
          <cell r="B385">
            <v>8.24</v>
          </cell>
          <cell r="C385" t="str">
            <v xml:space="preserve">Suministro e Instalación Tee HD Ø 8"x 8"  - Bx B   </v>
          </cell>
          <cell r="D385" t="str">
            <v>un</v>
          </cell>
        </row>
        <row r="386">
          <cell r="B386">
            <v>8.2409999999999997</v>
          </cell>
          <cell r="C386" t="str">
            <v xml:space="preserve">Suministro e Instalación Codo HD Ø 6"x 90  - Bx B   </v>
          </cell>
          <cell r="D386" t="str">
            <v>un</v>
          </cell>
        </row>
        <row r="387">
          <cell r="B387">
            <v>8.2420000000000009</v>
          </cell>
          <cell r="C387" t="str">
            <v xml:space="preserve">Suministro e Instalación Codo HD Ø 8"x 90  - Bx B   </v>
          </cell>
          <cell r="D387" t="str">
            <v>un</v>
          </cell>
        </row>
        <row r="388">
          <cell r="B388">
            <v>8.2430000000000003</v>
          </cell>
          <cell r="C388" t="str">
            <v xml:space="preserve">Suministro e Instalación Codo HD Ø 8"x 45  - Bx B   </v>
          </cell>
          <cell r="D388" t="str">
            <v>un</v>
          </cell>
        </row>
        <row r="389">
          <cell r="B389">
            <v>8.2439999999999998</v>
          </cell>
          <cell r="C389" t="str">
            <v xml:space="preserve">Suministro e Instalación Adaptador HD Ø 8" - B x E (Extremo para PVC)   </v>
          </cell>
          <cell r="D389" t="str">
            <v>un</v>
          </cell>
        </row>
        <row r="390">
          <cell r="B390">
            <v>8.2469999999999999</v>
          </cell>
          <cell r="C390" t="str">
            <v>Suministro e Instalación Válvula de Cortina HD Ø 8" B x B  Operación Manual</v>
          </cell>
          <cell r="D390" t="str">
            <v>un</v>
          </cell>
        </row>
        <row r="391">
          <cell r="B391">
            <v>8.2479999999999993</v>
          </cell>
          <cell r="C391" t="str">
            <v>Suministro e Instalación Válvula de Compuerta HD Ø 8" CRM y Vástago de extención  L= 2,84 Mts en Acero Inoxidable.</v>
          </cell>
          <cell r="D391" t="str">
            <v>un</v>
          </cell>
        </row>
        <row r="392">
          <cell r="B392">
            <v>8.2490000000000006</v>
          </cell>
          <cell r="C392" t="str">
            <v>Suministro e Instalación válvula de cheque bola HICB de 4"</v>
          </cell>
          <cell r="D392" t="str">
            <v>un</v>
          </cell>
        </row>
        <row r="393">
          <cell r="B393">
            <v>8.25</v>
          </cell>
          <cell r="C393" t="str">
            <v>Caja para macromedidor 3,15m x 1m x 1m</v>
          </cell>
          <cell r="D393" t="str">
            <v>un</v>
          </cell>
        </row>
        <row r="394">
          <cell r="B394">
            <v>8.2509999999999994</v>
          </cell>
          <cell r="C394" t="str">
            <v>Suministro adaptador brida 6"</v>
          </cell>
          <cell r="D394" t="str">
            <v>un</v>
          </cell>
        </row>
        <row r="395">
          <cell r="B395">
            <v>8.2520000000000007</v>
          </cell>
          <cell r="C395" t="str">
            <v>Suministro adaptador brida 8"</v>
          </cell>
          <cell r="D395" t="str">
            <v>un</v>
          </cell>
        </row>
        <row r="396">
          <cell r="B396">
            <v>8.2530000000000001</v>
          </cell>
          <cell r="C396" t="str">
            <v>Suministro  brida 6"</v>
          </cell>
          <cell r="D396" t="str">
            <v>un</v>
          </cell>
        </row>
        <row r="397">
          <cell r="B397">
            <v>8.2539999999999996</v>
          </cell>
          <cell r="C397" t="str">
            <v>Suministro  brida 8"</v>
          </cell>
          <cell r="D397" t="str">
            <v>un</v>
          </cell>
        </row>
        <row r="398">
          <cell r="B398">
            <v>8.2550000000000008</v>
          </cell>
          <cell r="C398" t="str">
            <v>Niple HD 6" brida x extremo liso</v>
          </cell>
          <cell r="D398" t="str">
            <v>un</v>
          </cell>
        </row>
        <row r="399">
          <cell r="B399">
            <v>8.2560000000000002</v>
          </cell>
          <cell r="C399" t="str">
            <v>Suministro filtro para red de acueducto tipo Y 6"</v>
          </cell>
          <cell r="D399" t="str">
            <v>un</v>
          </cell>
        </row>
        <row r="400">
          <cell r="B400">
            <v>8.2569999999999997</v>
          </cell>
          <cell r="C400" t="str">
            <v>Suministro filtro para red de acueducto tipo Y 8"</v>
          </cell>
          <cell r="D400" t="str">
            <v>un</v>
          </cell>
        </row>
        <row r="401">
          <cell r="B401">
            <v>8.2579999999999991</v>
          </cell>
          <cell r="C401" t="str">
            <v>Unión Tipo Dresser de 6"</v>
          </cell>
          <cell r="D401" t="str">
            <v>un</v>
          </cell>
        </row>
        <row r="402">
          <cell r="B402">
            <v>8.2590000000000003</v>
          </cell>
          <cell r="C402" t="str">
            <v>Unión Tipo Dresser de 8"</v>
          </cell>
          <cell r="D402" t="str">
            <v>un</v>
          </cell>
        </row>
        <row r="403">
          <cell r="B403">
            <v>8.26</v>
          </cell>
          <cell r="C403" t="str">
            <v>Niple HD L=0,5m Brida x extremo liso 6"</v>
          </cell>
          <cell r="D403" t="str">
            <v>un</v>
          </cell>
        </row>
        <row r="404">
          <cell r="B404">
            <v>8.2609999999999992</v>
          </cell>
          <cell r="C404" t="str">
            <v>Niple HD L=0,5m Brida x extremo liso 8"</v>
          </cell>
          <cell r="D404" t="str">
            <v>un</v>
          </cell>
        </row>
        <row r="405">
          <cell r="B405">
            <v>8.2620000000000005</v>
          </cell>
          <cell r="C405" t="str">
            <v xml:space="preserve">Estación reductora de presión </v>
          </cell>
          <cell r="D405" t="str">
            <v>un</v>
          </cell>
        </row>
        <row r="406">
          <cell r="B406">
            <v>8.2629999999999999</v>
          </cell>
          <cell r="C406" t="str">
            <v>Estación reguladora de caudal</v>
          </cell>
          <cell r="D406" t="str">
            <v>un</v>
          </cell>
        </row>
        <row r="407">
          <cell r="B407">
            <v>8.2639999999999993</v>
          </cell>
          <cell r="C407" t="str">
            <v>Tuberia en HD 4"</v>
          </cell>
          <cell r="D407" t="str">
            <v>un</v>
          </cell>
        </row>
        <row r="408">
          <cell r="B408">
            <v>8.2650000000000006</v>
          </cell>
          <cell r="C408" t="str">
            <v>Tuberia en HD 6"</v>
          </cell>
          <cell r="D408" t="str">
            <v>un</v>
          </cell>
        </row>
        <row r="409">
          <cell r="B409">
            <v>8.266</v>
          </cell>
          <cell r="C409" t="str">
            <v>Tee PVC-S Union mecanica (4x4x4")</v>
          </cell>
          <cell r="D409" t="str">
            <v>un</v>
          </cell>
        </row>
        <row r="410">
          <cell r="B410">
            <v>8.2669999999999995</v>
          </cell>
          <cell r="C410" t="str">
            <v>Tee PVC-S Union mecanica (6x6x6")</v>
          </cell>
          <cell r="D410" t="str">
            <v>un</v>
          </cell>
        </row>
        <row r="411">
          <cell r="B411">
            <v>8.2680000000000007</v>
          </cell>
          <cell r="C411" t="str">
            <v>Suministro e instal. de válvula compuerta HD. 12"</v>
          </cell>
          <cell r="D411" t="str">
            <v>un</v>
          </cell>
        </row>
        <row r="412">
          <cell r="B412">
            <v>8.2690000000000001</v>
          </cell>
          <cell r="C412" t="str">
            <v>Codo 45° en HD BXB 12"</v>
          </cell>
          <cell r="D412" t="str">
            <v>un</v>
          </cell>
        </row>
        <row r="413">
          <cell r="B413">
            <v>8.3010000000000002</v>
          </cell>
          <cell r="C413" t="str">
            <v>Suminsitro e instalación Codo HD ∅4"x90 BxB</v>
          </cell>
          <cell r="D413" t="str">
            <v>un</v>
          </cell>
        </row>
        <row r="414">
          <cell r="B414">
            <v>8.3019999999999996</v>
          </cell>
          <cell r="C414" t="str">
            <v>Suministro e instalación Codo HD ∅4"x45 BxB</v>
          </cell>
          <cell r="D414" t="str">
            <v>un</v>
          </cell>
        </row>
        <row r="415">
          <cell r="B415">
            <v>8.3030000000000008</v>
          </cell>
          <cell r="C415" t="str">
            <v>Suminsitro e instalación Codo HD ∅3"x90 BxB</v>
          </cell>
          <cell r="D415" t="str">
            <v>un</v>
          </cell>
        </row>
        <row r="416">
          <cell r="B416">
            <v>8.3040000000000003</v>
          </cell>
          <cell r="C416" t="str">
            <v>Suministro e instalación Codo HD ∅3"x45 BxB</v>
          </cell>
          <cell r="D416" t="str">
            <v>un</v>
          </cell>
        </row>
        <row r="417">
          <cell r="B417">
            <v>8.3049999999999997</v>
          </cell>
          <cell r="C417" t="str">
            <v xml:space="preserve">Suministro e instalación de Codo HD </v>
          </cell>
          <cell r="D417" t="str">
            <v>un</v>
          </cell>
        </row>
        <row r="418">
          <cell r="B418">
            <v>8.3510000000000009</v>
          </cell>
          <cell r="C418" t="str">
            <v>Suministro e instalación brida ciega HD ∅4"</v>
          </cell>
          <cell r="D418" t="str">
            <v>un</v>
          </cell>
        </row>
        <row r="419">
          <cell r="B419">
            <v>8.3520000000000003</v>
          </cell>
          <cell r="C419" t="str">
            <v xml:space="preserve">Suministro e instalación brida ciega HD ∅8"  </v>
          </cell>
          <cell r="D419" t="str">
            <v>un</v>
          </cell>
        </row>
        <row r="420">
          <cell r="B420">
            <v>8.3529999999999998</v>
          </cell>
          <cell r="C420" t="str">
            <v xml:space="preserve">Suministro e instalación brida ciega HD ∅10"   </v>
          </cell>
          <cell r="D420" t="str">
            <v>un</v>
          </cell>
        </row>
        <row r="421">
          <cell r="B421">
            <v>8.4009999999999998</v>
          </cell>
          <cell r="C421" t="str">
            <v xml:space="preserve">Suministro e instalación pasamuro HD ∅2" BxE l=0.35 m - z=0.23 m  </v>
          </cell>
          <cell r="D421" t="str">
            <v>un</v>
          </cell>
        </row>
        <row r="422">
          <cell r="B422">
            <v>8.4019999999999992</v>
          </cell>
          <cell r="C422" t="str">
            <v>Suministro e instalación pasamuro HD ∅3" BxE L=0.35 m - z=0.23 m</v>
          </cell>
          <cell r="D422" t="str">
            <v>un</v>
          </cell>
        </row>
        <row r="423">
          <cell r="B423">
            <v>8.4030000000000005</v>
          </cell>
          <cell r="C423" t="str">
            <v>Suministro e instalación pasamuro HD∅4" BxE L=0.34 m - z=0.22 m</v>
          </cell>
          <cell r="D423" t="str">
            <v>un</v>
          </cell>
        </row>
        <row r="424">
          <cell r="B424">
            <v>8.4039999999999999</v>
          </cell>
          <cell r="C424" t="str">
            <v>Suministro e instalación pasamuro HD ∅4" BxE L=0.35 m - z=0.23 m</v>
          </cell>
          <cell r="D424" t="str">
            <v>un</v>
          </cell>
        </row>
        <row r="425">
          <cell r="B425">
            <v>8.4049999999999994</v>
          </cell>
          <cell r="C425" t="str">
            <v>Suministro e instalación pasamuro HD ∅4" BxE L=0.40 m - z=0.28 m</v>
          </cell>
          <cell r="D425" t="str">
            <v>un</v>
          </cell>
        </row>
        <row r="426">
          <cell r="B426">
            <v>8.4060000000000006</v>
          </cell>
          <cell r="C426" t="str">
            <v>Suministro e instalación pasamuro HD ∅4" BxE L=0.71 m - z=0.58 m</v>
          </cell>
          <cell r="D426" t="str">
            <v>un</v>
          </cell>
        </row>
        <row r="427">
          <cell r="B427">
            <v>8.407</v>
          </cell>
          <cell r="C427" t="str">
            <v>Suministro e instalación pasamuro HD ∅8" BxE L=0.35 m - z=0.23 m</v>
          </cell>
          <cell r="D427" t="str">
            <v>un</v>
          </cell>
        </row>
        <row r="428">
          <cell r="B428">
            <v>8.4079999999999995</v>
          </cell>
          <cell r="C428" t="str">
            <v>Suministro e instalación pasamuro HD ∅10" BxE L=0.44 m - z=0.32 m</v>
          </cell>
          <cell r="D428" t="str">
            <v>un</v>
          </cell>
        </row>
        <row r="429">
          <cell r="B429">
            <v>8.4090000000000007</v>
          </cell>
          <cell r="C429" t="str">
            <v xml:space="preserve">Suministro e instalación pasamuro HD ∅6" BxE L=0.30 m </v>
          </cell>
          <cell r="D429" t="str">
            <v>un</v>
          </cell>
        </row>
        <row r="430">
          <cell r="B430">
            <v>8.1000999999999994</v>
          </cell>
          <cell r="C430" t="str">
            <v>Suministro e instalación Niple HD ∅3" BxE L=0.20 m</v>
          </cell>
          <cell r="D430" t="str">
            <v>un</v>
          </cell>
        </row>
        <row r="431">
          <cell r="B431">
            <v>8.1001999999999992</v>
          </cell>
          <cell r="C431" t="str">
            <v>Suministro e instalación Niple  HD ∅3" BxE  L=0.30 m</v>
          </cell>
          <cell r="D431" t="str">
            <v>un</v>
          </cell>
        </row>
        <row r="432">
          <cell r="B432">
            <v>8.1003000000000007</v>
          </cell>
          <cell r="C432" t="str">
            <v>Suministro e instalación Niple HD ∅3" BxB L=0.32 m</v>
          </cell>
          <cell r="D432" t="str">
            <v>un</v>
          </cell>
        </row>
        <row r="433">
          <cell r="B433">
            <v>8.1004000000000005</v>
          </cell>
          <cell r="C433" t="str">
            <v xml:space="preserve">Suministro e instalación Niple HD ∅4" BxB L=0.46 m </v>
          </cell>
          <cell r="D433" t="str">
            <v>un</v>
          </cell>
        </row>
        <row r="434">
          <cell r="B434">
            <v>8.1005000000000003</v>
          </cell>
          <cell r="C434" t="str">
            <v xml:space="preserve">Suministro e instalación Niple HD ∅4" ExE L=2.09 m z= 0.10 m </v>
          </cell>
          <cell r="D434" t="str">
            <v>un</v>
          </cell>
        </row>
        <row r="435">
          <cell r="B435">
            <v>8.1006</v>
          </cell>
          <cell r="C435" t="str">
            <v>Suministro e instalación Niple HD ∅4" BxE L=0.65 m</v>
          </cell>
          <cell r="D435" t="str">
            <v>un</v>
          </cell>
        </row>
        <row r="436">
          <cell r="B436">
            <v>8.1006999999999998</v>
          </cell>
          <cell r="C436" t="str">
            <v>Suministro e Instalación Niple HD ∅8" BxB L=0.40 m</v>
          </cell>
          <cell r="D436" t="str">
            <v>un</v>
          </cell>
        </row>
        <row r="437">
          <cell r="B437">
            <v>8.1007999999999996</v>
          </cell>
          <cell r="C437" t="str">
            <v xml:space="preserve">Suministro e instalación Niple HD ∅8" BxE L=0.60 m </v>
          </cell>
          <cell r="D437" t="str">
            <v>un</v>
          </cell>
        </row>
        <row r="438">
          <cell r="B438">
            <v>8.1008999999999993</v>
          </cell>
          <cell r="C438" t="str">
            <v xml:space="preserve">Suministro e instalación Niple hd ∅8" BXB L=0.90 m 
</v>
          </cell>
          <cell r="D438" t="str">
            <v>un</v>
          </cell>
        </row>
        <row r="439">
          <cell r="B439">
            <v>8.1011000000000006</v>
          </cell>
          <cell r="C439" t="str">
            <v>Suministro e instalación Niple HD ø 12" BxE L=0.80 m</v>
          </cell>
          <cell r="D439" t="str">
            <v>un</v>
          </cell>
        </row>
        <row r="440">
          <cell r="B440">
            <v>8.1012000000000004</v>
          </cell>
          <cell r="C440" t="str">
            <v>Suministro e instalacion NipleHD ∅2" L=0.20 m</v>
          </cell>
          <cell r="D440" t="str">
            <v>un</v>
          </cell>
        </row>
        <row r="441">
          <cell r="B441">
            <v>8.1013000000000002</v>
          </cell>
          <cell r="C441" t="str">
            <v>Suministro e instalacion NipleHD ∅2" L=0.10 m</v>
          </cell>
          <cell r="D441" t="str">
            <v>un</v>
          </cell>
        </row>
        <row r="442">
          <cell r="B442">
            <v>8.2001000000000008</v>
          </cell>
          <cell r="C442" t="str">
            <v xml:space="preserve">Suministro e instalación ducto  HD ∅ 4" BxB L= 1.35 m con 7 orificios ∅1"
en la parte superior (1 cada 0.20 m) ver detalle </v>
          </cell>
          <cell r="D442" t="str">
            <v>un</v>
          </cell>
        </row>
        <row r="443">
          <cell r="B443">
            <v>8.2002000000000006</v>
          </cell>
          <cell r="C443" t="str">
            <v xml:space="preserve">Suministro e instalación ducto  HD ∅ 8" BxB l= 3.28 m con 7 orificios ∅2"
en la parte superior (1 cada 0.34 m) ver detalle </v>
          </cell>
          <cell r="D443" t="str">
            <v>un</v>
          </cell>
        </row>
        <row r="444">
          <cell r="B444">
            <v>8.2003000000000004</v>
          </cell>
          <cell r="C444" t="str">
            <v xml:space="preserve">Suministro e instalación ducto  HD ∅ 10" BXB L= 2.03 m con 2 hileras de 15
orificios ∅2" (1 cada 0.11 m) ver detalle)   </v>
          </cell>
          <cell r="D444" t="str">
            <v>un</v>
          </cell>
        </row>
        <row r="445">
          <cell r="B445">
            <v>8.2004000000000001</v>
          </cell>
          <cell r="C445" t="str">
            <v>Suministro e inst de compuerta en madera de cedromacho 0,5*1,0*0,05</v>
          </cell>
          <cell r="D445" t="str">
            <v xml:space="preserve">un </v>
          </cell>
        </row>
        <row r="446">
          <cell r="B446">
            <v>8.2101000000000006</v>
          </cell>
          <cell r="C446" t="str">
            <v>Suministro e instalación compuerta lateral ∅ 3" HD con vastago de extensión (acero inoxidable) L=3.65 m al centro- columna de maniobra y rueda de manejo</v>
          </cell>
          <cell r="D446" t="str">
            <v>un</v>
          </cell>
        </row>
        <row r="447">
          <cell r="B447">
            <v>8.2102000000000004</v>
          </cell>
          <cell r="C447" t="str">
            <v>Suministro e instalación compuerta lateral ∅ 4" HD con vastago de extension (acero inoxidable) l=4.00 m al centro- columna de maniobra y rueda de manejo</v>
          </cell>
          <cell r="D447" t="str">
            <v>un</v>
          </cell>
        </row>
        <row r="448">
          <cell r="B448">
            <v>8.2103000000000002</v>
          </cell>
          <cell r="C448" t="str">
            <v>Suministro e instalación compuerta lateral ∅ 4" HD con vastago de extension (acero inoxidable) L=2.05 m al centro- columna de maniobra y rueda de manejo</v>
          </cell>
          <cell r="D448" t="str">
            <v>un</v>
          </cell>
        </row>
        <row r="449">
          <cell r="B449">
            <v>8.2103999999999999</v>
          </cell>
          <cell r="C449" t="str">
            <v>Suministro e instalación de compuerta lateral deslizante HD. 8" (inc. tornillería. vástago y rueda de manejo)</v>
          </cell>
          <cell r="D449" t="str">
            <v>un</v>
          </cell>
        </row>
        <row r="450">
          <cell r="B450">
            <v>8.2104999999999997</v>
          </cell>
          <cell r="C450" t="str">
            <v xml:space="preserve">Suministro e instalación Brida por acople universal HD ∅8"  </v>
          </cell>
          <cell r="D450" t="str">
            <v>un</v>
          </cell>
        </row>
        <row r="451">
          <cell r="B451">
            <v>8.2105999999999995</v>
          </cell>
          <cell r="C451" t="str">
            <v xml:space="preserve">Suministro e instalación Brida por acople universal HD ∅12"  </v>
          </cell>
          <cell r="D451" t="str">
            <v>un</v>
          </cell>
        </row>
        <row r="452">
          <cell r="B452">
            <v>8.2106999999999992</v>
          </cell>
          <cell r="C452" t="str">
            <v>Suministro e instalación de Pasamuro HD ∅12'' BxE L = 0,4 m z = 0,25 m</v>
          </cell>
          <cell r="D452" t="str">
            <v>un</v>
          </cell>
        </row>
        <row r="453">
          <cell r="B453">
            <v>8.2108000000000008</v>
          </cell>
          <cell r="C453" t="str">
            <v>Suministro e instalación de Pasamuro HD ∅12'' BxB L = 0,3 m z = 0,15 m</v>
          </cell>
          <cell r="D453" t="str">
            <v>un</v>
          </cell>
        </row>
        <row r="454">
          <cell r="B454">
            <v>8.2109000000000005</v>
          </cell>
          <cell r="C454" t="str">
            <v>Suministro e instalación de Pasamuro HD ∅6'' BxE L = 0,23 m z = 0,08 m</v>
          </cell>
          <cell r="D454" t="str">
            <v>un</v>
          </cell>
        </row>
        <row r="455">
          <cell r="B455">
            <v>8.2111000000000001</v>
          </cell>
          <cell r="C455" t="str">
            <v>Suministro e instalación de Pasamuro HD ∅8'' BxE L = 0,7 m z = 0,58 m</v>
          </cell>
          <cell r="D455" t="str">
            <v>un</v>
          </cell>
        </row>
        <row r="456">
          <cell r="B456">
            <v>8.2111999999999998</v>
          </cell>
          <cell r="C456" t="str">
            <v>Suministro e instalación de Pasamuro HD ∅10'' BxE L = 0,2 m z = 0,1 m</v>
          </cell>
          <cell r="D456" t="str">
            <v>un</v>
          </cell>
        </row>
        <row r="457">
          <cell r="B457">
            <v>8.3001000000000005</v>
          </cell>
          <cell r="C457" t="str">
            <v xml:space="preserve">Suministro e instalación valvula de cortina HD ∅4" BxB, de operacion manual </v>
          </cell>
          <cell r="D457" t="str">
            <v>un</v>
          </cell>
        </row>
        <row r="458">
          <cell r="B458">
            <v>8.3002000000000002</v>
          </cell>
          <cell r="C458" t="str">
            <v>Suministro e instalación valvula de mariposa HD ∅8" BxB, con vastago de extension (acero inoxidable) l=3.50 m manipulacion exterior de la caja</v>
          </cell>
          <cell r="D458" t="str">
            <v>un</v>
          </cell>
        </row>
        <row r="459">
          <cell r="B459">
            <v>8.3003</v>
          </cell>
          <cell r="C459" t="str">
            <v>Suministro e instalación valvula de mariposa HD ∅2" BxB, de operacion manual</v>
          </cell>
          <cell r="D459" t="str">
            <v>un</v>
          </cell>
        </row>
        <row r="460">
          <cell r="B460">
            <v>8.3003999999999998</v>
          </cell>
          <cell r="C460" t="str">
            <v>Suministro e instalación de Niple HD ∅12'' BxB L = 0,5 m</v>
          </cell>
          <cell r="D460" t="str">
            <v>un</v>
          </cell>
        </row>
        <row r="461">
          <cell r="B461">
            <v>8.3004999999999995</v>
          </cell>
          <cell r="C461" t="str">
            <v>Suministro e instalación de Niple HD ∅12'' BxB L = 0,38 m</v>
          </cell>
          <cell r="D461" t="str">
            <v>un</v>
          </cell>
        </row>
        <row r="462">
          <cell r="B462">
            <v>8.3005999999999993</v>
          </cell>
          <cell r="C462" t="e">
            <v>#REF!</v>
          </cell>
          <cell r="D462" t="str">
            <v>un</v>
          </cell>
        </row>
        <row r="463">
          <cell r="B463">
            <v>8.3007000000000009</v>
          </cell>
          <cell r="C463" t="str">
            <v>Suministro e instalación Rejilla  metalica, hierro D=1/2" E=1/2" ;  1,0 x 1,0 m</v>
          </cell>
          <cell r="D463" t="str">
            <v>un</v>
          </cell>
        </row>
        <row r="464">
          <cell r="B464">
            <v>8.3008000000000006</v>
          </cell>
          <cell r="C464" t="str">
            <v>Suministro e instalación válvula de pie con coladera d=8"</v>
          </cell>
          <cell r="D464" t="str">
            <v>un</v>
          </cell>
        </row>
        <row r="465">
          <cell r="B465">
            <v>8.3009000000000004</v>
          </cell>
          <cell r="C465" t="str">
            <v>Turbina vertical multietapa d=8" HD bridas</v>
          </cell>
          <cell r="D465" t="str">
            <v>un</v>
          </cell>
        </row>
        <row r="466">
          <cell r="B466">
            <v>8.3010999999999999</v>
          </cell>
          <cell r="C466" t="str">
            <v>Extensión de Bomba de turbina vertical  d=250mm HD bridas L=3,00 m</v>
          </cell>
          <cell r="D466" t="str">
            <v>un</v>
          </cell>
        </row>
        <row r="467">
          <cell r="B467">
            <v>8.3011999999999997</v>
          </cell>
          <cell r="C467" t="str">
            <v>Extensión de Bomba de turbina vertical  d=250mm HD bridas L=1,78 m</v>
          </cell>
          <cell r="D467" t="str">
            <v>un</v>
          </cell>
        </row>
        <row r="468">
          <cell r="B468">
            <v>8.3012999999999995</v>
          </cell>
          <cell r="C468" t="str">
            <v>Suministro e instalación Niple HD ∅6" BxB L=0.42 m</v>
          </cell>
          <cell r="D468" t="str">
            <v>un</v>
          </cell>
        </row>
        <row r="469">
          <cell r="B469">
            <v>8.3013999999999992</v>
          </cell>
          <cell r="C469" t="str">
            <v>Suministro e instalación Niple HD ∅6" BxB L=0.15 m</v>
          </cell>
          <cell r="D469" t="str">
            <v>un</v>
          </cell>
        </row>
        <row r="470">
          <cell r="B470">
            <v>8.3015000000000008</v>
          </cell>
          <cell r="C470" t="str">
            <v>Suministro e instalación Niple HD ∅6" BxB L=2.07 m</v>
          </cell>
          <cell r="D470" t="str">
            <v>un</v>
          </cell>
        </row>
        <row r="471">
          <cell r="B471">
            <v>8.3016000000000005</v>
          </cell>
          <cell r="C471" t="str">
            <v>Suministro e instalación Niple HD ∅6" BxE L=1,20 m</v>
          </cell>
          <cell r="D471" t="str">
            <v>un</v>
          </cell>
        </row>
        <row r="472">
          <cell r="B472">
            <v>8.3017000000000003</v>
          </cell>
          <cell r="C472" t="str">
            <v>Suministro e instalación Niple PVC ∅3" L=1,20 m</v>
          </cell>
          <cell r="D472" t="str">
            <v>un</v>
          </cell>
        </row>
        <row r="473">
          <cell r="B473">
            <v>8.3018000000000001</v>
          </cell>
          <cell r="C473" t="str">
            <v>Suministro e instalación Niple PVC ∅3" L=0,6 m</v>
          </cell>
          <cell r="D473" t="str">
            <v>un</v>
          </cell>
        </row>
        <row r="474">
          <cell r="B474">
            <v>8.3018999999999998</v>
          </cell>
          <cell r="C474" t="str">
            <v>Suministro e instalación Niple PVC ∅6" L=0,65 m</v>
          </cell>
          <cell r="D474" t="str">
            <v>un</v>
          </cell>
        </row>
        <row r="475">
          <cell r="B475">
            <v>8.3020999999999994</v>
          </cell>
          <cell r="C475" t="str">
            <v>Suministro e instalación Niple PVC ∅6" L=1,35 m</v>
          </cell>
          <cell r="D475" t="str">
            <v>un</v>
          </cell>
        </row>
        <row r="476">
          <cell r="B476">
            <v>8.3021999999999991</v>
          </cell>
          <cell r="C476" t="str">
            <v>Suministro e instalación Niple PVC ∅6" L=1,15 m</v>
          </cell>
          <cell r="D476" t="str">
            <v>un</v>
          </cell>
        </row>
        <row r="477">
          <cell r="B477">
            <v>8.3023000000000007</v>
          </cell>
          <cell r="C477" t="str">
            <v>Suministro e instalación Niple PVC ∅6" L=0,30 m</v>
          </cell>
          <cell r="D477" t="str">
            <v>un</v>
          </cell>
        </row>
        <row r="478">
          <cell r="B478">
            <v>8.3024000000000004</v>
          </cell>
          <cell r="C478" t="str">
            <v>Suministro e instalación Niple PVC ∅6" L=0,15 m</v>
          </cell>
          <cell r="D478" t="str">
            <v>un</v>
          </cell>
        </row>
        <row r="479">
          <cell r="B479">
            <v>8.3025000000000002</v>
          </cell>
          <cell r="C479" t="str">
            <v>Suministro e instalación válvula de retención (cheque) 6"</v>
          </cell>
          <cell r="D479" t="str">
            <v>un</v>
          </cell>
        </row>
        <row r="480">
          <cell r="B480">
            <v>8.3026</v>
          </cell>
          <cell r="C480" t="str">
            <v>Suministro e instalación unión de desmontaje autoportante 6" HD</v>
          </cell>
          <cell r="D480" t="str">
            <v>un</v>
          </cell>
        </row>
        <row r="481">
          <cell r="B481">
            <v>8.3026999999999997</v>
          </cell>
          <cell r="C481" t="str">
            <v>Suministro e instalación válvula de mariposa 6" HD</v>
          </cell>
          <cell r="D481" t="str">
            <v>un</v>
          </cell>
        </row>
        <row r="482">
          <cell r="B482">
            <v>8.3027999999999995</v>
          </cell>
          <cell r="C482" t="str">
            <v>Suministro e instalación yee 45º 6" HD</v>
          </cell>
          <cell r="D482" t="str">
            <v>un</v>
          </cell>
        </row>
        <row r="483">
          <cell r="B483">
            <v>8.3028999999999993</v>
          </cell>
          <cell r="C483" t="str">
            <v>Suministro e instalación reducción 6"x3" HD junta hidráulica</v>
          </cell>
          <cell r="D483" t="str">
            <v>un</v>
          </cell>
        </row>
        <row r="484">
          <cell r="B484">
            <v>8.3031000000000006</v>
          </cell>
          <cell r="C484" t="str">
            <v>Suministro e instalación niple pasamuro d=2" PVC L= 0,60 m</v>
          </cell>
          <cell r="D484" t="str">
            <v>un</v>
          </cell>
        </row>
        <row r="485">
          <cell r="B485">
            <v>8.3032000000000004</v>
          </cell>
          <cell r="C485" t="str">
            <v>Motobomba de turbina vertical 20 HP</v>
          </cell>
          <cell r="D485" t="str">
            <v>un</v>
          </cell>
        </row>
        <row r="486">
          <cell r="B486">
            <v>8.3033000000000001</v>
          </cell>
          <cell r="C486" t="str">
            <v>Suministro e instalación tubería HD 10"</v>
          </cell>
          <cell r="D486" t="str">
            <v>m</v>
          </cell>
        </row>
        <row r="487">
          <cell r="B487">
            <v>8.3033999999999999</v>
          </cell>
          <cell r="C487" t="str">
            <v>Suministro e instalación compuerta manual en lámina galvanizada 1/8"</v>
          </cell>
          <cell r="D487" t="str">
            <v>un</v>
          </cell>
        </row>
        <row r="488">
          <cell r="B488">
            <v>8.3034999999999997</v>
          </cell>
          <cell r="C488" t="str">
            <v>Suministro e instalación válvula de bola 4" PVC</v>
          </cell>
          <cell r="D488" t="str">
            <v>un</v>
          </cell>
        </row>
        <row r="489">
          <cell r="B489">
            <v>9.01</v>
          </cell>
          <cell r="C489" t="str">
            <v>Acometida domic. acued. 2x1/2" (inc. sumin. e instal. manguera 10m. accesorios. registro corte y cajilla)</v>
          </cell>
          <cell r="D489" t="str">
            <v>un</v>
          </cell>
        </row>
        <row r="490">
          <cell r="B490">
            <v>9.02</v>
          </cell>
          <cell r="C490" t="str">
            <v>Acometida domic. acued. 2.1/2x1/2" (inc. sumin. e instal. manguera 10m. accesorios. registro corte y cajilla)</v>
          </cell>
          <cell r="D490" t="str">
            <v>un</v>
          </cell>
        </row>
        <row r="491">
          <cell r="B491">
            <v>9.0299999999999994</v>
          </cell>
          <cell r="C491" t="str">
            <v>Acometida domic. acued. 3x1/2" (inc. sumin. e instal. manguera 10m. accesorios. registro corte y cajilla)</v>
          </cell>
          <cell r="D491" t="str">
            <v>m3</v>
          </cell>
        </row>
        <row r="492">
          <cell r="B492">
            <v>9.0399999999999991</v>
          </cell>
          <cell r="C492" t="str">
            <v>Acometida domic. acued. 4x1/2" (inc. sumin. e instal. manguera 10m. accesorios. registro corte y cajilla)</v>
          </cell>
          <cell r="D492" t="str">
            <v>m3</v>
          </cell>
        </row>
        <row r="493">
          <cell r="B493">
            <v>9.0500000000000007</v>
          </cell>
          <cell r="C493" t="str">
            <v>Acometida domic. acued. 6x1/2" (inc. sumin. e instal. manguera 10m. accesorios. registro corte y cajilla)</v>
          </cell>
          <cell r="D493" t="str">
            <v>m3</v>
          </cell>
        </row>
        <row r="494">
          <cell r="B494">
            <v>9.06</v>
          </cell>
          <cell r="C494" t="str">
            <v>Suministro e instalación de micromedidor de velocidad - chorro único clase B 1/2" (incluye cajilla y accesorios)</v>
          </cell>
          <cell r="D494" t="str">
            <v>m3</v>
          </cell>
        </row>
        <row r="495">
          <cell r="B495">
            <v>9.07</v>
          </cell>
          <cell r="C495" t="str">
            <v>Suministro e instalación de micromedidor de velocidad - chorro múltiple clase B 3/4" (incluye cajilla y accesorios)</v>
          </cell>
          <cell r="D495" t="str">
            <v>m3</v>
          </cell>
        </row>
        <row r="496">
          <cell r="B496">
            <v>9.08</v>
          </cell>
          <cell r="C496" t="str">
            <v>Suministro e instalación de registros de bola ½”</v>
          </cell>
          <cell r="D496" t="str">
            <v>m3</v>
          </cell>
        </row>
        <row r="497">
          <cell r="B497">
            <v>10.000999999999999</v>
          </cell>
          <cell r="C497" t="str">
            <v>Concreto 2000 PSI para solados. elab. en obra (inc. formaleta 1/4 usos y colocación)</v>
          </cell>
          <cell r="D497" t="str">
            <v>m3</v>
          </cell>
        </row>
        <row r="498">
          <cell r="B498">
            <v>10.002000000000001</v>
          </cell>
          <cell r="C498" t="str">
            <v>Concreto 3000 PSI para placa piso. elab. en obra (inc. formaleta 1/4 usos y colocación)</v>
          </cell>
          <cell r="D498" t="str">
            <v>m3</v>
          </cell>
        </row>
        <row r="499">
          <cell r="B499">
            <v>10.003</v>
          </cell>
          <cell r="C499" t="str">
            <v>Concreto impermeab. 3000 PSI para presa captacion. elab. en obra (inc. formaleta 1/4 usos y colocación)</v>
          </cell>
          <cell r="D499" t="str">
            <v>m3</v>
          </cell>
        </row>
        <row r="500">
          <cell r="B500">
            <v>10.004</v>
          </cell>
          <cell r="C500" t="str">
            <v>Concreto 2500 PSI para atraque de tubería (formaleta 1/3 usos)</v>
          </cell>
          <cell r="D500" t="str">
            <v>m3</v>
          </cell>
        </row>
        <row r="501">
          <cell r="B501">
            <v>10.005000000000001</v>
          </cell>
          <cell r="C501" t="str">
            <v>Concreto 3000 PSI para atraque de tubería (formaleta 1/3 usos)</v>
          </cell>
          <cell r="D501" t="str">
            <v>m3</v>
          </cell>
        </row>
        <row r="502">
          <cell r="B502">
            <v>10.006</v>
          </cell>
          <cell r="C502" t="str">
            <v>Concreto 3000 PSI para zapatas. elab. en obra (inc. formaleta 1/4 usos y colocación)</v>
          </cell>
          <cell r="D502" t="str">
            <v>m3</v>
          </cell>
        </row>
        <row r="503">
          <cell r="B503">
            <v>10.007</v>
          </cell>
          <cell r="C503" t="str">
            <v>Concreto 3500 PSI para zapatas. elab. en obra (inc. formaleta 1/4 usos y colocación)</v>
          </cell>
          <cell r="D503" t="str">
            <v>m3</v>
          </cell>
        </row>
        <row r="504">
          <cell r="B504">
            <v>10.007999999999999</v>
          </cell>
          <cell r="C504" t="str">
            <v>Concreto 4000 PSI para zapatas. elab. en obra (inc. formaleta 1/4 usos y colocación)</v>
          </cell>
          <cell r="D504" t="str">
            <v>m3</v>
          </cell>
        </row>
        <row r="505">
          <cell r="B505">
            <v>10.009</v>
          </cell>
          <cell r="C505" t="str">
            <v>Concreto 3000 PSI para vigas de cimentación. elab. en obra (inc. formaleta 1/4 usos y colocación)</v>
          </cell>
          <cell r="D505" t="str">
            <v>m3</v>
          </cell>
        </row>
        <row r="506">
          <cell r="B506">
            <v>10.01</v>
          </cell>
          <cell r="C506" t="str">
            <v>Concreto 3500 PSI para vigas de cimentación. elab. en obra (inc. formaleta 1/4 usos y colocación)</v>
          </cell>
          <cell r="D506" t="str">
            <v>m3</v>
          </cell>
        </row>
        <row r="507">
          <cell r="B507">
            <v>10.010999999999999</v>
          </cell>
          <cell r="C507" t="str">
            <v>Concreto 4000 PSI para vigas de cimentación. elab. en obra (inc. formaleta 1/4 usos y colocación)</v>
          </cell>
          <cell r="D507" t="str">
            <v>m3</v>
          </cell>
        </row>
        <row r="508">
          <cell r="B508">
            <v>10.012</v>
          </cell>
          <cell r="C508" t="str">
            <v>Concreto 3000 PSI para columnas. elab. en obra. elevaciones h&lt;3.0m (inc. formaleta 1/4 usos y colocación)</v>
          </cell>
          <cell r="D508" t="str">
            <v>m3</v>
          </cell>
        </row>
        <row r="509">
          <cell r="B509">
            <v>10.013</v>
          </cell>
          <cell r="C509" t="str">
            <v>Concreto 3000 PSI para columnas. elab. en obra. elevaciones 3.0&lt;h&lt;6.0 m (inc. formaleta 1/4 usos y colocación)</v>
          </cell>
          <cell r="D509" t="str">
            <v>m3</v>
          </cell>
        </row>
        <row r="510">
          <cell r="B510">
            <v>10.013999999999999</v>
          </cell>
          <cell r="C510" t="str">
            <v>Concreto 3000 PSI para columnas. elab. en obra. elevaciones 6.0&lt;h&lt;12.0 m (inc. formaleta 1/4 usos y colocación)</v>
          </cell>
          <cell r="D510" t="str">
            <v>m3</v>
          </cell>
        </row>
        <row r="511">
          <cell r="B511">
            <v>10.015000000000001</v>
          </cell>
          <cell r="C511" t="str">
            <v>Concreto 3000 PSI para columnas. elab. en obra. elevaciones 12.0&lt;h&lt;18.0 m (inc. formaleta 1/4 usos y colocación)</v>
          </cell>
          <cell r="D511" t="str">
            <v>m3</v>
          </cell>
        </row>
        <row r="512">
          <cell r="B512">
            <v>10.016</v>
          </cell>
          <cell r="C512" t="str">
            <v>Concreto 3000 PSI para columnas. elab. en obra. elevaciones 18.0&lt;h&lt;24.0 m (inc. formaleta 1/4 usos y colocación)</v>
          </cell>
          <cell r="D512" t="str">
            <v>m3</v>
          </cell>
        </row>
        <row r="513">
          <cell r="B513">
            <v>10.016999999999999</v>
          </cell>
          <cell r="C513" t="str">
            <v>Concreto 3500 PSI para columnas. elab. en obra. elevaciones h&lt;3.0m (inc. formaleta 1/4 usos y colocación)</v>
          </cell>
          <cell r="D513" t="str">
            <v>m3</v>
          </cell>
        </row>
        <row r="514">
          <cell r="B514">
            <v>10.018000000000001</v>
          </cell>
          <cell r="C514" t="str">
            <v>Concreto 3500 PSI para columnas. elab. en obra. elevaciones 3.0&lt;h&lt;6.0 m (inc. formaleta 1/4 usos y colocación)</v>
          </cell>
          <cell r="D514" t="str">
            <v>m3</v>
          </cell>
        </row>
        <row r="515">
          <cell r="B515">
            <v>10.019</v>
          </cell>
          <cell r="C515" t="str">
            <v>Concreto 3500 PSI para columnas. elab. en obra. elevaciones 6.0&lt;h&lt;12.0 m (inc. formaleta 1/4 usos y colocación)</v>
          </cell>
          <cell r="D515" t="str">
            <v>m3</v>
          </cell>
        </row>
        <row r="516">
          <cell r="B516">
            <v>10.02</v>
          </cell>
          <cell r="C516" t="str">
            <v>Concreto 3500 PSI para columnas. elab. en obra. elevaciones 12.0&lt;h&lt;18.0 m (inc. formaleta 1/4 usos y colocación)</v>
          </cell>
          <cell r="D516" t="str">
            <v>m3</v>
          </cell>
        </row>
        <row r="517">
          <cell r="B517">
            <v>10.021000000000001</v>
          </cell>
          <cell r="C517" t="str">
            <v>Concreto 3500 PSI para columnas. elab. en obra. elevaciones 18.0&lt;h&lt;24.0 m (inc. formaleta 1/4 usos y colocación)</v>
          </cell>
          <cell r="D517" t="str">
            <v>m3</v>
          </cell>
        </row>
        <row r="518">
          <cell r="B518">
            <v>10.022</v>
          </cell>
          <cell r="C518" t="str">
            <v>Concreto 4000 PSI para columnas. elab. en obra. elevaciones h&lt;3.0m (inc. formaleta 1/4 usos y colocación)</v>
          </cell>
          <cell r="D518" t="str">
            <v>m3</v>
          </cell>
        </row>
        <row r="519">
          <cell r="B519">
            <v>10.023</v>
          </cell>
          <cell r="C519" t="str">
            <v>Concreto 4000 PSI para columnas. elab. en obra. elevaciones 3.0&lt;h&lt;6.0 m (inc. formaleta 1/4 usos y colocación)</v>
          </cell>
          <cell r="D519" t="str">
            <v>m3</v>
          </cell>
        </row>
        <row r="520">
          <cell r="B520">
            <v>10.023999999999999</v>
          </cell>
          <cell r="C520" t="str">
            <v>Concreto 4000 PSI para columnas. elab. en obra. elevaciones 6.0&lt;h&lt;12.0 m (inc. formaleta 1/4 usos y colocación)</v>
          </cell>
          <cell r="D520" t="str">
            <v>m3</v>
          </cell>
        </row>
        <row r="521">
          <cell r="B521">
            <v>10.025</v>
          </cell>
          <cell r="C521" t="str">
            <v>Concreto 4000 PSI para columnas. elab. en obra. elevaciones 12.0&lt;h&lt;18.0 m (inc. formaleta 1/4 usos y colocación)</v>
          </cell>
          <cell r="D521" t="str">
            <v>m3</v>
          </cell>
        </row>
        <row r="522">
          <cell r="B522">
            <v>10.026</v>
          </cell>
          <cell r="C522" t="str">
            <v>Concreto 4000 PSI para columnas. elab. en obra. elevaciones 18.0&lt;h&lt;24.0 m (inc. formaleta 1/4 usos y colocación)</v>
          </cell>
          <cell r="D522" t="str">
            <v>m3</v>
          </cell>
        </row>
        <row r="523">
          <cell r="B523">
            <v>10.026999999999999</v>
          </cell>
          <cell r="C523" t="str">
            <v>Concreto 3000 PSI para vigas aéreas. elab. en obra. elevaciones h&lt;3.0m (inc. formaleta 1/4 usos y colocación)</v>
          </cell>
          <cell r="D523" t="str">
            <v>m3</v>
          </cell>
        </row>
        <row r="524">
          <cell r="B524">
            <v>10.028</v>
          </cell>
          <cell r="C524" t="str">
            <v>Concreto 3000 PSI para vigas aéreas. elab. en obra. elevaciones 3.0&lt;h&lt;6.0 m (inc. formaleta 1/4 usos y colocación)</v>
          </cell>
          <cell r="D524" t="str">
            <v>m3</v>
          </cell>
        </row>
        <row r="525">
          <cell r="B525">
            <v>10.029</v>
          </cell>
          <cell r="C525" t="str">
            <v>Concreto 3000 PSI para vigas aéreas. elab. en obra. elevaciones 6.0&lt;h&lt;12.0 m (inc. formaleta 1/4 usos y colocación)</v>
          </cell>
          <cell r="D525" t="str">
            <v>m3</v>
          </cell>
        </row>
        <row r="526">
          <cell r="B526">
            <v>10.029999999999999</v>
          </cell>
          <cell r="C526" t="str">
            <v>Concreto 3000 PSI para vigas aéreas. elab. en obra. elevaciones 12.0&lt;h&lt;18.0 m (inc. formaleta 1/4 usos y colocación)</v>
          </cell>
          <cell r="D526" t="str">
            <v>m3</v>
          </cell>
        </row>
        <row r="527">
          <cell r="B527">
            <v>10.031000000000001</v>
          </cell>
          <cell r="C527" t="str">
            <v>Concreto 3000 PSI para vigas aéreas. elab. en obra. elevaciones 18.0&lt;h&lt;24.0 m (inc. formaleta 1/4 usos y colocación)</v>
          </cell>
          <cell r="D527" t="str">
            <v>m3</v>
          </cell>
        </row>
        <row r="528">
          <cell r="B528">
            <v>10.032</v>
          </cell>
          <cell r="C528" t="str">
            <v>Concreto 3500 PSI para vigas aéreas. elab. en obra. elevaciones h&lt;3.0m (inc. formaleta 1/4 usos y colocación)</v>
          </cell>
          <cell r="D528" t="str">
            <v>m3</v>
          </cell>
        </row>
        <row r="529">
          <cell r="B529">
            <v>10.032999999999999</v>
          </cell>
          <cell r="C529" t="str">
            <v>Concreto 3500 PSI para vigas aéreas. elab. en obra. elevaciones 3.0&lt;h&lt;6.0 m (inc. formaleta 1/4 usos y colocación)</v>
          </cell>
          <cell r="D529" t="str">
            <v>m3</v>
          </cell>
        </row>
        <row r="530">
          <cell r="B530">
            <v>10.034000000000001</v>
          </cell>
          <cell r="C530" t="str">
            <v>Concreto 3500 PSI para vigas aéreas. elab. en obra. elevaciones 6.0&lt;h&lt;12.0 m (inc. formaleta 1/4 usos y colocación)</v>
          </cell>
          <cell r="D530" t="str">
            <v>m3</v>
          </cell>
        </row>
        <row r="531">
          <cell r="B531">
            <v>10.035</v>
          </cell>
          <cell r="C531" t="str">
            <v>Concreto 3500 PSI para vigas aéreas. elab. en obra. elevaciones 12.0&lt;h&lt;18.0 m (inc. formaleta 1/4 usos y 
colocación)</v>
          </cell>
          <cell r="D531" t="str">
            <v>m3</v>
          </cell>
        </row>
        <row r="532">
          <cell r="B532">
            <v>10.036</v>
          </cell>
          <cell r="C532" t="str">
            <v>Concreto 3500 PSI para vigas aéreas. elab. en obra. elevaciones 18.0&lt;h&lt;24.0 m (inc. formaleta 1/4 usos y colocación)</v>
          </cell>
          <cell r="D532" t="str">
            <v>m3</v>
          </cell>
        </row>
        <row r="533">
          <cell r="B533">
            <v>10.037000000000001</v>
          </cell>
          <cell r="C533" t="str">
            <v>Concreto impermeab. 3000PSI para vigas aéreas. elab. obra. elevaciones h&lt;3.0 m (inc. formaleta 1/4 usos y colocación)</v>
          </cell>
          <cell r="D533" t="str">
            <v>m3</v>
          </cell>
        </row>
        <row r="534">
          <cell r="B534">
            <v>10.038</v>
          </cell>
          <cell r="C534" t="str">
            <v>Concreto impermeab. 3000PSI para vigas aéreas. elab.obra. elevaciones 3.0&lt;h&lt;6.0 m (inc. formaleta 1/4 usos y colocación)</v>
          </cell>
          <cell r="D534" t="str">
            <v>m3</v>
          </cell>
        </row>
        <row r="535">
          <cell r="B535">
            <v>10.039</v>
          </cell>
          <cell r="C535" t="str">
            <v>Concreto impermeab. 3000PSI para vigas aéreas. elab.obra. elevaciones 6.0&lt;h&lt;12.0m (inc. formaleta 1/4 usos y colocación)</v>
          </cell>
          <cell r="D535" t="str">
            <v>m3</v>
          </cell>
        </row>
        <row r="536">
          <cell r="B536">
            <v>10.039999999999999</v>
          </cell>
          <cell r="C536" t="str">
            <v>Concreto impermeab. 3000PSI para vigas aéreas. elab.obra. elevaciones 12.0&lt;h&lt;18.0m (inc formaleta 1/4 usos y colocación)</v>
          </cell>
          <cell r="D536" t="str">
            <v>m3</v>
          </cell>
        </row>
        <row r="537">
          <cell r="B537">
            <v>10.041</v>
          </cell>
          <cell r="C537" t="str">
            <v>Concreto impermeab. 3000PSI para vigas aéreas. elab.obra. elevaciones 18.0&lt;h&lt;24.0m (inc formaleta 1/4 usos y colocación)</v>
          </cell>
          <cell r="D537" t="str">
            <v>m3</v>
          </cell>
        </row>
        <row r="538">
          <cell r="B538">
            <v>10.042</v>
          </cell>
          <cell r="C538" t="str">
            <v>Concreto 3000 PSI para placa entrepiso. elab. en obra. elevaciones h&lt;3.0m (inc. formaleta 1/4 usos y colocación)</v>
          </cell>
          <cell r="D538" t="str">
            <v>m3</v>
          </cell>
        </row>
        <row r="539">
          <cell r="B539">
            <v>10.043000000000101</v>
          </cell>
          <cell r="C539" t="str">
            <v>Concreto 3000 PSI para placa entrepiso. elab. en obra. elevaciones 3.0&lt;h&lt;6.0 m (inc. formaleta 1/4 usos y colocación)</v>
          </cell>
          <cell r="D539" t="str">
            <v>m3</v>
          </cell>
        </row>
        <row r="540">
          <cell r="B540">
            <v>10.044</v>
          </cell>
          <cell r="C540" t="str">
            <v>Concreto 3000 PSI para placa entrepiso. elab. en obra. elevaciones 6.0&lt;h&lt;12.0 m (inc. formaleta 1/4 usos y colocación)</v>
          </cell>
          <cell r="D540" t="str">
            <v>m3</v>
          </cell>
        </row>
        <row r="541">
          <cell r="B541">
            <v>10.045</v>
          </cell>
          <cell r="C541" t="str">
            <v>Concreto 3000 PSI para placa entrepiso. elab. en obra. elevaciones 12.0&lt;h&lt;18.0 m (inc. formaleta 1/4 usos y colocación)</v>
          </cell>
          <cell r="D541" t="str">
            <v>m3</v>
          </cell>
        </row>
        <row r="542">
          <cell r="B542">
            <v>10.045999999999999</v>
          </cell>
          <cell r="C542" t="str">
            <v>Concreto 3000 PSI para placa entrepiso. elab. en obra. elevaciones 18.0&lt;h&lt;24.0 m (inc. formaleta 1/4 usos y colocación)</v>
          </cell>
          <cell r="D542" t="str">
            <v>m3</v>
          </cell>
        </row>
        <row r="543">
          <cell r="B543">
            <v>10.047000000000001</v>
          </cell>
          <cell r="C543" t="str">
            <v>Concreto 3500 PSI para placa entrepiso. elab. en obra. elevaciones h&lt;3.0m (inc. formaleta 1/4 usos y colocación)</v>
          </cell>
          <cell r="D543" t="str">
            <v>m3</v>
          </cell>
        </row>
        <row r="544">
          <cell r="B544">
            <v>10.048</v>
          </cell>
          <cell r="C544" t="str">
            <v>Concreto 3500 PSI para placa entrepiso. elab. en obra. elevaciones 3.0&lt;h&lt;6.0 m (inc. formaleta 1/4 usos y colocación)</v>
          </cell>
          <cell r="D544" t="str">
            <v>m3</v>
          </cell>
        </row>
        <row r="545">
          <cell r="B545">
            <v>10.048999999999999</v>
          </cell>
          <cell r="C545" t="str">
            <v>Concreto 3500 PSI para placa entrepiso. elab. en obra. elevaciones 6.0&lt;h&lt;12.0 m (inc. formaleta 1/4 usos y colocación)</v>
          </cell>
          <cell r="D545" t="str">
            <v>m3</v>
          </cell>
        </row>
        <row r="546">
          <cell r="B546">
            <v>10.050000000000001</v>
          </cell>
          <cell r="C546" t="str">
            <v>Concreto 3500 PSI para placa entrepiso. elab. en obra. elevaciones 12.0&lt;h&lt;18.0 m (inc. formaleta 1/4 usos y colocación)</v>
          </cell>
          <cell r="D546" t="str">
            <v>m3</v>
          </cell>
        </row>
        <row r="547">
          <cell r="B547">
            <v>10.051</v>
          </cell>
          <cell r="C547" t="str">
            <v>Concreto 3500 PSI para placa entrepiso. elab. en obra. elevaciones 18.0&lt;h&lt;24.0 m (inc. formaleta 1/4 usos y colocación)</v>
          </cell>
          <cell r="D547" t="str">
            <v>m3</v>
          </cell>
        </row>
        <row r="548">
          <cell r="B548">
            <v>10.052</v>
          </cell>
          <cell r="C548" t="str">
            <v>Concreto 4000 PSI para placa entrepiso. elab. en obra. elevaciones h&lt;3.0m (inc. formaleta 1/4 usos y colocación)</v>
          </cell>
          <cell r="D548" t="str">
            <v>m3</v>
          </cell>
        </row>
        <row r="549">
          <cell r="B549">
            <v>10.053000000000001</v>
          </cell>
          <cell r="C549" t="str">
            <v>Concreto 4000 PSI para placa entrepiso. elab. en obra. elevaciones 3.0&lt;h&lt;6.0 m (inc. formaleta 1/4 usos y colocación)</v>
          </cell>
          <cell r="D549" t="str">
            <v>m3</v>
          </cell>
        </row>
        <row r="550">
          <cell r="B550">
            <v>10.054</v>
          </cell>
          <cell r="C550" t="str">
            <v>Concreto 4000 PSI para placa entrepiso. elab. en obra. elevaciones 6.0&lt;h&lt;12.0 m (inc. formaleta 1/4 usos y colocación)</v>
          </cell>
          <cell r="D550" t="str">
            <v>m3</v>
          </cell>
        </row>
        <row r="551">
          <cell r="B551">
            <v>10.055</v>
          </cell>
          <cell r="C551" t="str">
            <v>Concreto 4000 PSI para placa entrepiso. elab. en obra. elevaciones 12.0&lt;h&lt;18.0 m (inc. formaleta 1/4 usos y colocación)</v>
          </cell>
          <cell r="D551" t="str">
            <v>m3</v>
          </cell>
        </row>
        <row r="552">
          <cell r="B552">
            <v>10.055999999999999</v>
          </cell>
          <cell r="C552" t="str">
            <v>Concreto 4000 PSI para placa entrepiso. elab. en obra. elevaciones 18.0&lt;h&lt;24.0 m (inc. formaleta 1/4 usos y colocación)</v>
          </cell>
          <cell r="D552" t="str">
            <v>m3</v>
          </cell>
        </row>
        <row r="553">
          <cell r="B553">
            <v>10.057</v>
          </cell>
          <cell r="C553" t="str">
            <v>Concreto impermeab. 3000PSI para placa entrepiso. elab. obra. elevaciones h&lt;3.0 (inc. formaleta 1/4 usos y colocación)</v>
          </cell>
          <cell r="D553" t="str">
            <v>m3</v>
          </cell>
        </row>
        <row r="554">
          <cell r="B554">
            <v>10.058</v>
          </cell>
          <cell r="C554" t="str">
            <v>Concreto impermeab. 3000PSI placa entrepiso. elab.obra. elevaciones 3.0&lt;h&lt;6.0 m (inc. formaleta 1/4 usos y colocación)</v>
          </cell>
          <cell r="D554" t="str">
            <v>m3</v>
          </cell>
        </row>
        <row r="555">
          <cell r="B555">
            <v>10.058999999999999</v>
          </cell>
          <cell r="C555" t="str">
            <v>Concreto impermeab. 3000PSI placa entrepiso. elab.obra. elevaciones 6.0&lt;h&lt;12.0 m (inc. formaleta 1/4 usos y colocación)</v>
          </cell>
          <cell r="D555" t="str">
            <v>m3</v>
          </cell>
        </row>
        <row r="556">
          <cell r="B556">
            <v>10.06</v>
          </cell>
          <cell r="C556" t="str">
            <v>Concreto impermeab. 3000PSI placa entrepiso. elab.obra. elevaciones 12.0&lt;h&lt;18.0 m (inc. formaleta 1/4 usos y colocación)</v>
          </cell>
          <cell r="D556" t="str">
            <v>m3</v>
          </cell>
        </row>
        <row r="557">
          <cell r="B557">
            <v>10.061</v>
          </cell>
          <cell r="C557" t="str">
            <v>Concreto impermeab. 3000PSI placa entrepiso. elab.obra. elevaciones 18.0&lt;h&lt;24.0 m (inc. formaleta 1/4 usos y colocación)</v>
          </cell>
          <cell r="D557" t="str">
            <v>m3</v>
          </cell>
        </row>
        <row r="558">
          <cell r="B558">
            <v>10.061999999999999</v>
          </cell>
          <cell r="C558" t="str">
            <v>Concreto impermeab. 3500PSI para placa entrepiso. elab. obra. elevaciones h&lt;3.0 (inc. formaleta 1/4 usos y colocación)</v>
          </cell>
          <cell r="D558" t="str">
            <v>m3</v>
          </cell>
        </row>
        <row r="559">
          <cell r="B559">
            <v>10.063000000000001</v>
          </cell>
          <cell r="C559" t="str">
            <v>Concreto impermeab. 3500PSI placa entrepiso. elab.obra. elevaciones 3.0&lt;h&lt;6.0 m (inc. formaleta 1/4 usos y colocación)</v>
          </cell>
          <cell r="D559" t="str">
            <v>m3</v>
          </cell>
        </row>
        <row r="560">
          <cell r="B560">
            <v>10.064</v>
          </cell>
          <cell r="C560" t="str">
            <v>Concreto impermeab. 3500PSI placa entrepiso. elab.obra. elevaciones 6.0&lt;h&lt;12.0 m (inc. formaleta 1/4 usos y colocación)</v>
          </cell>
          <cell r="D560" t="str">
            <v>m3</v>
          </cell>
        </row>
        <row r="561">
          <cell r="B561">
            <v>10.065</v>
          </cell>
          <cell r="C561" t="str">
            <v>Concreto impermeab. 3500PSI placa entrepiso. elab.obra. elevaciones 12.0&lt;h&lt;18.0 m (inc. formaleta 1/4 usos y colocación)</v>
          </cell>
          <cell r="D561" t="str">
            <v>m3</v>
          </cell>
        </row>
        <row r="562">
          <cell r="B562">
            <v>10.066000000000001</v>
          </cell>
          <cell r="C562" t="str">
            <v>Concreto impermeab. 3500PSI placa entrepiso. elab.obra. elevaciones 18.0&lt;h&lt;24.0 m (inc. formaleta 1/4 usos 
y colocación)</v>
          </cell>
          <cell r="D562" t="str">
            <v>m3</v>
          </cell>
        </row>
        <row r="563">
          <cell r="B563">
            <v>10.067</v>
          </cell>
          <cell r="C563" t="str">
            <v>Concreto impermeab. 4000PSI para placa entrepiso. elab. obra. elevaciones h&lt;3.0 (inc. formaleta 1/4 usos y colocación)</v>
          </cell>
          <cell r="D563" t="str">
            <v>m3</v>
          </cell>
        </row>
        <row r="564">
          <cell r="B564">
            <v>10.068</v>
          </cell>
          <cell r="C564" t="str">
            <v>Concreto impermeab. 4000PSI placa entrepiso. elab.obra. elevaciones 3.0&lt;h&lt;6.0 m (inc. formaleta 1/4 usos y colocación)</v>
          </cell>
          <cell r="D564" t="str">
            <v>m3</v>
          </cell>
        </row>
        <row r="565">
          <cell r="B565">
            <v>10.069000000000001</v>
          </cell>
          <cell r="C565" t="str">
            <v>Concreto impermeab. 4000PSI placa entrepiso. elab.obra. elevaciones 6.0&lt;h&lt;12.0 m (inc. formaleta 1/4 usos y colocación)</v>
          </cell>
          <cell r="D565" t="str">
            <v>m3</v>
          </cell>
        </row>
        <row r="566">
          <cell r="B566">
            <v>10.07</v>
          </cell>
          <cell r="C566" t="str">
            <v>Concreto impermeab. 4000PSI placa entrepiso. elab.obra. elevaciones 12.0&lt;h&lt;18.0 m (inc. formaleta 1/4 usos y colocación)</v>
          </cell>
          <cell r="D566" t="str">
            <v>m3</v>
          </cell>
        </row>
        <row r="567">
          <cell r="B567">
            <v>10.071</v>
          </cell>
          <cell r="C567" t="str">
            <v>Concreto impermeab. 4000PSI placa entrepiso. elab.obra. elevaciones 18.0&lt;h&lt;24.0 m (inc. formaleta 1/4 usos y colocación)</v>
          </cell>
          <cell r="D567" t="str">
            <v>m3</v>
          </cell>
        </row>
        <row r="568">
          <cell r="B568">
            <v>10.071999999999999</v>
          </cell>
          <cell r="C568" t="str">
            <v>Concreto 3000 PSI para muros. elab. en obra. elevaciones h&lt;3.0m (inc. formaleta 1/4 usos y colocación)</v>
          </cell>
          <cell r="D568" t="str">
            <v>m3</v>
          </cell>
        </row>
        <row r="569">
          <cell r="B569">
            <v>10.0730000000001</v>
          </cell>
          <cell r="C569" t="str">
            <v>Concreto 3000 PSI para muros. elab. en obra. elevaciones 3.0&lt;h&lt;6.0 m (inc. formaleta 1/4 usos y colocación)</v>
          </cell>
          <cell r="D569" t="str">
            <v>m3</v>
          </cell>
        </row>
        <row r="570">
          <cell r="B570">
            <v>10.074</v>
          </cell>
          <cell r="C570" t="str">
            <v>Concreto 3000 PSI para muros. elab. en obra. elevaciones 6.0&lt;h&lt;12.0 m (inc. formaleta 1/4 usos y colocación)</v>
          </cell>
          <cell r="D570" t="str">
            <v>m3</v>
          </cell>
        </row>
        <row r="571">
          <cell r="B571">
            <v>10.074999999999999</v>
          </cell>
          <cell r="C571" t="str">
            <v>Concreto 3000 PSI para muros. elab. en obra. elevaciones 12.0&lt;h&lt;18.0 m (inc. formaleta 1/4 usos y colocación)</v>
          </cell>
          <cell r="D571" t="str">
            <v>m3</v>
          </cell>
        </row>
        <row r="572">
          <cell r="B572">
            <v>10.076000000000001</v>
          </cell>
          <cell r="C572" t="str">
            <v>Concreto 3000 PSI para muros. elab. en obra. elevaciones 18.0&lt;h&lt;24.0 m (inc. formaleta 1/4 usos y colocación)</v>
          </cell>
          <cell r="D572" t="str">
            <v>m3</v>
          </cell>
        </row>
        <row r="573">
          <cell r="B573">
            <v>10.077</v>
          </cell>
          <cell r="C573" t="str">
            <v>Concreto 3500 PSI para muros. elab. en obra. elevaciones h&lt;3.0m (inc. formaleta 1/4 usos y colocación)</v>
          </cell>
          <cell r="D573" t="str">
            <v>m3</v>
          </cell>
        </row>
        <row r="574">
          <cell r="B574">
            <v>10.077999999999999</v>
          </cell>
          <cell r="C574" t="str">
            <v>Concreto 3500 PSI para muros. elab. en obra. elevaciones 3.0&lt;h&lt;6.0 m (inc. formaleta 1/4 usos y colocación)</v>
          </cell>
          <cell r="D574" t="str">
            <v>m3</v>
          </cell>
        </row>
        <row r="575">
          <cell r="B575">
            <v>10.079000000000001</v>
          </cell>
          <cell r="C575" t="str">
            <v>Concreto 3500 PSI para muros. elab. en obra. elevaciones 6.0&lt;h&lt;12.0 m (inc. formaleta 1/4 usos y colocación)</v>
          </cell>
          <cell r="D575" t="str">
            <v>m3</v>
          </cell>
        </row>
        <row r="576">
          <cell r="B576">
            <v>10.08</v>
          </cell>
          <cell r="C576" t="str">
            <v>Concreto 3500 PSI para muros. elab. en obra. elevaciones 12.0&lt;h&lt;18.0 m (inc. formaleta 1/4 usos y colocación)</v>
          </cell>
          <cell r="D576" t="str">
            <v>m3</v>
          </cell>
        </row>
        <row r="577">
          <cell r="B577">
            <v>10.081</v>
          </cell>
          <cell r="C577" t="str">
            <v>Concreto 3500 PSI para muros. elab. en obra. elevaciones 18.0&lt;h&lt;24.0 m (inc. formaleta 1/4 usos y colocación)</v>
          </cell>
          <cell r="D577" t="str">
            <v>m3</v>
          </cell>
        </row>
        <row r="578">
          <cell r="B578">
            <v>10.082000000000001</v>
          </cell>
          <cell r="C578" t="str">
            <v>Concreto 3500 PSI para muros. elab. en obra. elevaciones h&gt;24.0 m (inc. formaleta 1/4 usos y colocación)</v>
          </cell>
          <cell r="D578" t="str">
            <v>m3</v>
          </cell>
        </row>
        <row r="579">
          <cell r="B579">
            <v>10.083</v>
          </cell>
          <cell r="C579" t="str">
            <v>Concreto 4000 PSI para muros. elab. en obra. elevaciones h&lt;3.0m (inc. formaleta 1/4 usos y colocación)</v>
          </cell>
          <cell r="D579" t="str">
            <v>m3</v>
          </cell>
        </row>
        <row r="580">
          <cell r="B580">
            <v>10.084</v>
          </cell>
          <cell r="C580" t="str">
            <v>Concreto 4000 PSI para muros. elab. en obra. elevaciones 3.0&lt;h&lt;6.0 m (inc. formaleta 1/4 usos y colocación)</v>
          </cell>
          <cell r="D580" t="str">
            <v>m3</v>
          </cell>
        </row>
        <row r="581">
          <cell r="B581">
            <v>10.085000000000001</v>
          </cell>
          <cell r="C581" t="str">
            <v>Concreto 4000 PSI para muros. elab. en obra. elevaciones 6.0&lt;h&lt;12.0 m (inc. formaleta 1/4 usos y colocación)</v>
          </cell>
          <cell r="D581" t="str">
            <v>m3</v>
          </cell>
        </row>
        <row r="582">
          <cell r="B582">
            <v>10.086</v>
          </cell>
          <cell r="C582" t="str">
            <v>Concreto 4000 PSI para muros. elab. en obra. elevaciones 12.0&lt;h&lt;18.0 m (inc. formaleta 1/4 usos y colocación)</v>
          </cell>
          <cell r="D582" t="str">
            <v>m3</v>
          </cell>
        </row>
        <row r="583">
          <cell r="B583">
            <v>10.087</v>
          </cell>
          <cell r="C583" t="str">
            <v>Concreto 4000 PSI para muros. elab. en obra. elevaciones 18.0&lt;h&lt;24.0 m (inc. formaleta 1/4 usos y colocación)</v>
          </cell>
          <cell r="D583" t="str">
            <v>m3</v>
          </cell>
        </row>
        <row r="584">
          <cell r="B584">
            <v>10.0880000000001</v>
          </cell>
          <cell r="C584" t="str">
            <v>Concreto impermeab. 3000PSI para muros. elab. obra. elevaciones h&lt;3.0m (inc. formaleta 1/4 usos y colocación)</v>
          </cell>
          <cell r="D584" t="str">
            <v>m3</v>
          </cell>
        </row>
        <row r="585">
          <cell r="B585">
            <v>10.0890000000001</v>
          </cell>
          <cell r="C585" t="str">
            <v>Concreto impermeab. 3000PSI para muros. elab. obra. elevaciones 3.0&lt;h&lt;6.0 m (inc. formaleta 1/4 usos y colocación)</v>
          </cell>
          <cell r="D585" t="str">
            <v>m3</v>
          </cell>
        </row>
        <row r="586">
          <cell r="B586">
            <v>10.090000000000099</v>
          </cell>
          <cell r="C586" t="str">
            <v>Concreto impermeab. 3000PSI para muros. elab. obra. elevaciones 6.0&lt;h&lt;12.0 m (inc. formaleta 1/4 usos y colocación)</v>
          </cell>
          <cell r="D586" t="str">
            <v>m3</v>
          </cell>
        </row>
        <row r="587">
          <cell r="B587">
            <v>10.091000000000101</v>
          </cell>
          <cell r="C587" t="str">
            <v>Concreto impermeab. 3000PSI para muros. elab. obra. elevaciones 12.0&lt;h&lt;18.0 m (inc. formaleta 1/4 usos y colocación)</v>
          </cell>
          <cell r="D587" t="str">
            <v>m3</v>
          </cell>
        </row>
        <row r="588">
          <cell r="B588">
            <v>10.0920000000001</v>
          </cell>
          <cell r="C588" t="str">
            <v>Concreto impermeab. 3000PSI para muros. elab. obra. elevaciones 18.0&lt;h&lt;24.0 m (inc. formaleta 1/4 usos y colocación)</v>
          </cell>
          <cell r="D588" t="str">
            <v>m3</v>
          </cell>
        </row>
        <row r="589">
          <cell r="B589">
            <v>10.093</v>
          </cell>
          <cell r="C589" t="str">
            <v>Concreto impermeab. 3500PSI para muros. elab. obra. elevaciones h&lt;3.0m (inc. formaleta 1/4 usos y colocación)</v>
          </cell>
          <cell r="D589" t="str">
            <v>m3</v>
          </cell>
        </row>
        <row r="590">
          <cell r="B590">
            <v>10.093999999999999</v>
          </cell>
          <cell r="C590" t="str">
            <v>Concreto impermeab. 3500PSI para muros. elab. obra. elevaciones 3.0&lt;h&lt;6.0 m (inc. formaleta 1/4 usos y colocación)</v>
          </cell>
          <cell r="D590" t="str">
            <v>m3</v>
          </cell>
        </row>
        <row r="591">
          <cell r="B591">
            <v>10.095000000000001</v>
          </cell>
          <cell r="C591" t="str">
            <v>Concreto impermeab. 3500PSI para muros. elab. obra. elevaciones 6.0&lt;h&lt;12.0 m (inc. formaleta 1/4 usos y colocación)</v>
          </cell>
          <cell r="D591" t="str">
            <v>m3</v>
          </cell>
        </row>
        <row r="592">
          <cell r="B592">
            <v>10.096</v>
          </cell>
          <cell r="C592" t="str">
            <v>Concreto impermeab. 3500PSI para muros. elab. obra. elevaciones 12.0&lt;h&lt;18.0 m (inc. formaleta 1/4 usos y colocación)</v>
          </cell>
          <cell r="D592" t="str">
            <v>m3</v>
          </cell>
        </row>
        <row r="593">
          <cell r="B593">
            <v>10.097</v>
          </cell>
          <cell r="C593" t="str">
            <v>Concreto impermeab. 3500PSI para muros. elab. obra. elevaciones 18.0&lt;h&lt;24.0 m (inc. formaleta 1/4 usos y colocación)</v>
          </cell>
          <cell r="D593" t="str">
            <v>m3</v>
          </cell>
        </row>
        <row r="594">
          <cell r="B594">
            <v>10.098000000000001</v>
          </cell>
          <cell r="C594" t="str">
            <v>Concreto impermeab. 4000PSI para muros. elab. obra. elevaciones h&lt;3.0m (inc. formaleta 1/4 usos y colocación)</v>
          </cell>
          <cell r="D594" t="str">
            <v>m3</v>
          </cell>
        </row>
        <row r="595">
          <cell r="B595">
            <v>10.099</v>
          </cell>
          <cell r="C595" t="str">
            <v>Concreto impermeab. 4000PSI para muros. elab. obra. elevaciones 3.0&lt;h&lt;6.0 m (inc. formaleta 1/4 usos y colocación)</v>
          </cell>
          <cell r="D595" t="str">
            <v>m3</v>
          </cell>
        </row>
        <row r="596">
          <cell r="B596">
            <v>10.1</v>
          </cell>
          <cell r="C596" t="str">
            <v>Concreto impermeab. 4000PSI para muros. elab. obra. elevaciones 6.0&lt;h&lt;12.0 m (inc. formaleta 1/4 usos y colocación)</v>
          </cell>
          <cell r="D596" t="str">
            <v>m3</v>
          </cell>
        </row>
        <row r="597">
          <cell r="B597">
            <v>10.101000000000001</v>
          </cell>
          <cell r="C597" t="str">
            <v>Concreto impermeab. 4000PSI para muros. elab. obra. elevaciones 12.0&lt;h&lt;18.0 m (inc. formaleta 1/4 usos y colocación)</v>
          </cell>
          <cell r="D597" t="str">
            <v>m3</v>
          </cell>
        </row>
        <row r="598">
          <cell r="B598">
            <v>10.102</v>
          </cell>
          <cell r="C598" t="str">
            <v>Concreto impermeab. 4000PSI para muros. elab. obra. elevaciones 18.0&lt;h&lt;24.0 m (inc. formaleta 1/4 usos y colocación)</v>
          </cell>
          <cell r="D598" t="str">
            <v>m3</v>
          </cell>
        </row>
        <row r="599">
          <cell r="B599">
            <v>10.103</v>
          </cell>
          <cell r="C599" t="str">
            <v>Concreto ciclópeo 60% concreto simple f'c 21MPa + 40% piedra tamaño max. 3". para estructuras</v>
          </cell>
          <cell r="D599" t="str">
            <v>m3</v>
          </cell>
        </row>
        <row r="600">
          <cell r="B600">
            <v>10.1040000000001</v>
          </cell>
          <cell r="C600" t="str">
            <v>Demolición y resane de muros con mortero de revestimiento con base en cemento y resinas acrílicas (inc.retiro escombros)</v>
          </cell>
          <cell r="D600" t="str">
            <v>m3</v>
          </cell>
        </row>
        <row r="601">
          <cell r="B601">
            <v>10.105</v>
          </cell>
          <cell r="C601" t="str">
            <v>Pañete (mortero 1:5)</v>
          </cell>
          <cell r="D601" t="str">
            <v>m2</v>
          </cell>
        </row>
        <row r="602">
          <cell r="B602">
            <v>10.106</v>
          </cell>
          <cell r="C602" t="str">
            <v>Pañete impermeabilizado (incluye filos)</v>
          </cell>
          <cell r="D602" t="str">
            <v>m3</v>
          </cell>
        </row>
        <row r="603">
          <cell r="B603">
            <v>10.106999999999999</v>
          </cell>
          <cell r="C603" t="str">
            <v>Alistado de piso en mortero 1:3 (e=0.03m)</v>
          </cell>
          <cell r="D603" t="str">
            <v>m3</v>
          </cell>
        </row>
        <row r="604">
          <cell r="B604">
            <v>10.108000000000001</v>
          </cell>
          <cell r="C604" t="str">
            <v>Cinta PVC d=22cm (incluye instalación)</v>
          </cell>
          <cell r="D604" t="str">
            <v>m</v>
          </cell>
        </row>
        <row r="605">
          <cell r="B605">
            <v>10.109000000000099</v>
          </cell>
          <cell r="C605" t="str">
            <v>Concreto 3000 PSI para cajas de derivación bocatomas</v>
          </cell>
          <cell r="D605" t="str">
            <v>un</v>
          </cell>
        </row>
        <row r="606">
          <cell r="B606">
            <v>10.110000000000101</v>
          </cell>
          <cell r="C606" t="str">
            <v>Concreto 3000 PSI para anclajes de tuberías</v>
          </cell>
          <cell r="D606" t="str">
            <v>m3</v>
          </cell>
        </row>
        <row r="607">
          <cell r="B607">
            <v>10.111000000000001</v>
          </cell>
          <cell r="C607" t="str">
            <v>Concreto impermeabilizado 4000 PSI para diafragmas, pantallas de distribución de desarenadores y otros</v>
          </cell>
          <cell r="D607" t="str">
            <v>m3</v>
          </cell>
        </row>
        <row r="608">
          <cell r="B608">
            <v>10.112</v>
          </cell>
          <cell r="C608" t="str">
            <v>Concreto impermeab. 4000 PSI para placa piso. elab. en obra (inc. formaleta 1/4 usos y colocación)</v>
          </cell>
          <cell r="D608" t="str">
            <v>m3</v>
          </cell>
        </row>
        <row r="609">
          <cell r="B609">
            <v>10.113</v>
          </cell>
          <cell r="C609" t="str">
            <v>Concreto impermeabilizado 4000 PSI para columnas. elab. en obra. elevaciones h&lt;3.0m (inc. formaleta 1/4 usos y colocación)</v>
          </cell>
          <cell r="D609" t="str">
            <v>m3</v>
          </cell>
        </row>
        <row r="610">
          <cell r="B610">
            <v>10.114000000000001</v>
          </cell>
          <cell r="C610" t="str">
            <v>Concreto impermeabilizado 4000 PSI para columnas. elab. en obra. elevaciones 3.0&lt;h&lt;6.0 m (inc. formaleta 1/4 usos y colocación)</v>
          </cell>
          <cell r="D610" t="str">
            <v>m3</v>
          </cell>
        </row>
        <row r="611">
          <cell r="B611">
            <v>10.1150000000001</v>
          </cell>
          <cell r="C611" t="str">
            <v>Concreto para soporte de tapa de acceso a tanque</v>
          </cell>
          <cell r="D611" t="str">
            <v>m3</v>
          </cell>
        </row>
        <row r="612">
          <cell r="B612">
            <v>10.116</v>
          </cell>
          <cell r="C612" t="str">
            <v>concreto de 3000 psi para caja proteccion tuberia</v>
          </cell>
          <cell r="D612" t="str">
            <v>m3</v>
          </cell>
        </row>
        <row r="613">
          <cell r="B613">
            <v>10.117000000000001</v>
          </cell>
          <cell r="C613" t="str">
            <v>Andenes en concreto de 3000 psi espesor 10cm</v>
          </cell>
          <cell r="D613" t="str">
            <v>m2</v>
          </cell>
        </row>
        <row r="614">
          <cell r="B614">
            <v>10.125999999999999</v>
          </cell>
          <cell r="C614" t="str">
            <v>Filos y dilataciones</v>
          </cell>
          <cell r="D614" t="str">
            <v>m</v>
          </cell>
        </row>
        <row r="615">
          <cell r="B615">
            <v>10.127000000000001</v>
          </cell>
          <cell r="C615" t="str">
            <v>Concreto 1500 PSI para solados</v>
          </cell>
          <cell r="D615" t="str">
            <v>m3</v>
          </cell>
        </row>
        <row r="616">
          <cell r="B616">
            <v>11.01</v>
          </cell>
          <cell r="C616" t="str">
            <v>Placa Circular Cubierta - Pozo Inspección D=1.20m (concreto f'c=21MPa reforz. elab. obra. e=0.20m. inc. arotapa+arobase)</v>
          </cell>
          <cell r="D616" t="str">
            <v>un</v>
          </cell>
        </row>
        <row r="617">
          <cell r="B617">
            <v>11.02</v>
          </cell>
          <cell r="C617" t="str">
            <v>Placa Circular Cubierta - Pozo Inspección D=1.40m (concreto f'c=21MPa reforz. elab. obra. e=0.20m. inc. arotapa+arobase)</v>
          </cell>
          <cell r="D617" t="str">
            <v>un</v>
          </cell>
        </row>
        <row r="618">
          <cell r="B618">
            <v>11.03</v>
          </cell>
          <cell r="C618" t="str">
            <v>Placa Circular Cubierta - Pozo Inspección D=1.50m (concreto f'c=21MPa reforz. elab. obra. e=0.20m. inc. arotapa+arobase)</v>
          </cell>
          <cell r="D618" t="str">
            <v>un</v>
          </cell>
        </row>
        <row r="619">
          <cell r="B619">
            <v>11.04</v>
          </cell>
          <cell r="C619" t="str">
            <v>Cilindro Pozo Inspección D=1.20m (concreto simple f'c =21MPa elab. en obra. e=0.20m. incluye escalera gato var.#6)</v>
          </cell>
          <cell r="D619" t="str">
            <v>un</v>
          </cell>
        </row>
        <row r="620">
          <cell r="B620">
            <v>11.05</v>
          </cell>
          <cell r="C620" t="str">
            <v>Pozo de inspeccion, Cilindro para pozos de D = 1.2 m. Y espesor de  0.25 m.</v>
          </cell>
          <cell r="D620" t="str">
            <v>un</v>
          </cell>
        </row>
        <row r="621">
          <cell r="B621">
            <v>11.06</v>
          </cell>
          <cell r="C621" t="str">
            <v>Cilindro Pozo Inspección D=1.40m (concreto simple f'c =21MPa elab. en obra. e=0.20m. incluye escalera gato var.#6)</v>
          </cell>
          <cell r="D621" t="str">
            <v>un</v>
          </cell>
        </row>
        <row r="622">
          <cell r="B622">
            <v>11.07</v>
          </cell>
          <cell r="C622" t="str">
            <v>Cilindro Pozo Inspección D=1.50m (concreto simple f'c =21MPa elab. en obra. e=0.20m. incluye escalera gato var.#6)</v>
          </cell>
          <cell r="D622" t="str">
            <v>un</v>
          </cell>
        </row>
        <row r="623">
          <cell r="B623">
            <v>11.08</v>
          </cell>
          <cell r="C623" t="str">
            <v>Placa Circular Base - Pozo Inspección D=1.20m (concreto f'c = 28MPa reforz. elab. en obra. e=0.20m)</v>
          </cell>
          <cell r="D623" t="str">
            <v>un</v>
          </cell>
        </row>
        <row r="624">
          <cell r="B624">
            <v>11.09</v>
          </cell>
          <cell r="C624" t="str">
            <v>Placa Circular Base - Pozo Inspección D=1.40m (concreto f'c = 28MPa reforz. elab. en obra. e=0.20m)</v>
          </cell>
          <cell r="D624" t="str">
            <v>m</v>
          </cell>
        </row>
        <row r="625">
          <cell r="B625">
            <v>11.1</v>
          </cell>
          <cell r="C625" t="str">
            <v>Placa Circular Base - Pozo Inspección D=1.50m (concreto f'c = 28MPa reforz. elab. en obra. e=0.20m)</v>
          </cell>
          <cell r="D625" t="str">
            <v>m</v>
          </cell>
        </row>
        <row r="626">
          <cell r="B626">
            <v>11.11</v>
          </cell>
          <cell r="C626" t="str">
            <v>Cañuela pozo de inspección para tuberías entre 8" y 12" (concreto f'c = 28MPa elab. en obra)</v>
          </cell>
          <cell r="D626" t="str">
            <v>m</v>
          </cell>
        </row>
        <row r="627">
          <cell r="B627">
            <v>11.12</v>
          </cell>
          <cell r="C627" t="str">
            <v>Cañuela pozo de inspección para tuberías entre 16" y 24" (concreto f'c = 28MPa elab. en obra)</v>
          </cell>
          <cell r="D627" t="str">
            <v>m</v>
          </cell>
        </row>
        <row r="628">
          <cell r="B628">
            <v>11.13</v>
          </cell>
          <cell r="C628" t="str">
            <v>Cañuela pozo de inspección para tuberías entre 27" y 33" (concreto f'c = 28MPa elab. en obra)</v>
          </cell>
          <cell r="D628" t="str">
            <v>un</v>
          </cell>
        </row>
        <row r="629">
          <cell r="B629">
            <v>11.14</v>
          </cell>
          <cell r="C629" t="str">
            <v>Cañuela pozo de inspección para tuberías entre 36" y 42" (concreto f'c = 28MPa elab. en obra)</v>
          </cell>
          <cell r="D629" t="str">
            <v>un</v>
          </cell>
        </row>
        <row r="630">
          <cell r="B630">
            <v>11.15</v>
          </cell>
          <cell r="C630" t="str">
            <v>Cámara de caída para colectores de 8" a 12" (bajante 8". concreto simple f'c = 21MPa elab. obra)</v>
          </cell>
          <cell r="D630" t="str">
            <v>un</v>
          </cell>
        </row>
        <row r="631">
          <cell r="B631">
            <v>11.16</v>
          </cell>
          <cell r="C631" t="str">
            <v>Cámara de caída para colectores de 14" a 18" (bajante 12". concreto simple f'c = 21MPa elab. obra)</v>
          </cell>
          <cell r="D631" t="str">
            <v>un</v>
          </cell>
        </row>
        <row r="632">
          <cell r="B632">
            <v>11.17</v>
          </cell>
          <cell r="C632" t="str">
            <v>Cámara de caída para colectores de 20" a 30" (bajante 16". concreto simple f'c = 21MPa elab. obra)</v>
          </cell>
          <cell r="D632" t="str">
            <v>m</v>
          </cell>
        </row>
        <row r="633">
          <cell r="B633">
            <v>11.18</v>
          </cell>
          <cell r="C633" t="str">
            <v>Cámara de caída para colectores &gt; 30" a 36" (bajante 20". concreto simple f'c = 21MPa elab. obra)</v>
          </cell>
          <cell r="D633" t="str">
            <v>m</v>
          </cell>
        </row>
        <row r="634">
          <cell r="B634">
            <v>11.19</v>
          </cell>
          <cell r="C634" t="str">
            <v>Caja válvula purga en concreto reforz. con pozo húmedo. L=2.8m x A=1.60m. h=1.80m. e=0.20m (inc. escalera y tapasegur.)</v>
          </cell>
          <cell r="D634" t="str">
            <v>un</v>
          </cell>
        </row>
        <row r="635">
          <cell r="B635">
            <v>11.2</v>
          </cell>
          <cell r="C635" t="str">
            <v>Pozo para válvula de ventosa en concreto reforzado. d=1.60m. h=1.80. e=0.20m (inc. escalera gato y tapa de seguridad)</v>
          </cell>
          <cell r="D635" t="str">
            <v>un</v>
          </cell>
        </row>
        <row r="636">
          <cell r="B636">
            <v>11.21</v>
          </cell>
          <cell r="C636" t="str">
            <v>Suministro e instalación de tapa manhole de seguridad. d=60cm. con bisagra</v>
          </cell>
          <cell r="D636" t="str">
            <v>un</v>
          </cell>
        </row>
        <row r="637">
          <cell r="B637">
            <v>11.22</v>
          </cell>
          <cell r="C637" t="str">
            <v>Caja inspección 0.60x0.60m. mamposteria. h=0.70m . (inc. excavación. formaleta 1/3 usos)</v>
          </cell>
          <cell r="D637" t="str">
            <v>m3</v>
          </cell>
        </row>
        <row r="638">
          <cell r="B638">
            <v>11.23</v>
          </cell>
          <cell r="C638" t="str">
            <v xml:space="preserve">Cilindro para pozo de Inspección Di=1,20 m e=0,25 m (en Mamposteria-Incluye acero escaleras y pañete).  </v>
          </cell>
          <cell r="D638" t="str">
            <v>m</v>
          </cell>
        </row>
        <row r="639">
          <cell r="B639">
            <v>11.24</v>
          </cell>
          <cell r="C639" t="str">
            <v xml:space="preserve">Cono de reducción h=0,50m 1,20*0,*6. </v>
          </cell>
          <cell r="D639" t="str">
            <v>un</v>
          </cell>
        </row>
        <row r="640">
          <cell r="B640">
            <v>11.25</v>
          </cell>
          <cell r="C640" t="str">
            <v>Placa Circular Base - Pozo Inspección Di=1.20m (concreto f'c = 28MPa reforz. elab. en obra. e=0.20m)</v>
          </cell>
          <cell r="D640" t="str">
            <v>un</v>
          </cell>
        </row>
        <row r="641">
          <cell r="B641">
            <v>11.26</v>
          </cell>
          <cell r="C641" t="str">
            <v>Placa Circular Cubierta - Pozo Inspección De=1.2 m (concreto f'c=21MPa reforz. elab. obra. e=0.20m. inc. arotapa+arobase)</v>
          </cell>
          <cell r="D641" t="str">
            <v>un</v>
          </cell>
        </row>
        <row r="642">
          <cell r="B642">
            <v>11.27</v>
          </cell>
          <cell r="C642" t="str">
            <v>Placa Circular Cubierta - Pozo Inspección De=1.7 m (concreto f'c=21MPa reforz. elab. obra. e=0.25m. inc. arotapa+arobase)</v>
          </cell>
          <cell r="D642" t="str">
            <v>un</v>
          </cell>
        </row>
        <row r="643">
          <cell r="B643">
            <v>11.28</v>
          </cell>
          <cell r="C643" t="str">
            <v xml:space="preserve">Cilindro para pozo de Inspección Di= 1,20 m e=0,37 m (en Mamposteria-Incluye acero escaleras y pañete).  </v>
          </cell>
          <cell r="D643" t="str">
            <v>un</v>
          </cell>
        </row>
        <row r="644">
          <cell r="B644">
            <v>11.29</v>
          </cell>
          <cell r="C644" t="str">
            <v>Cámara de Caída Tubo de 8"</v>
          </cell>
          <cell r="D644" t="str">
            <v>m</v>
          </cell>
        </row>
        <row r="645">
          <cell r="B645">
            <v>11.3</v>
          </cell>
          <cell r="C645" t="str">
            <v>Cámara de Caída Tubo de 10"</v>
          </cell>
          <cell r="D645" t="str">
            <v>m</v>
          </cell>
        </row>
        <row r="646">
          <cell r="B646">
            <v>11.31</v>
          </cell>
          <cell r="C646" t="str">
            <v>Cámara de Caída Tubo de 12"</v>
          </cell>
          <cell r="D646" t="str">
            <v>m</v>
          </cell>
        </row>
        <row r="647">
          <cell r="B647">
            <v>11.32</v>
          </cell>
          <cell r="C647" t="str">
            <v>Cámara de Caída Tubo de 14"</v>
          </cell>
          <cell r="D647" t="str">
            <v>m</v>
          </cell>
        </row>
        <row r="648">
          <cell r="B648">
            <v>11.33</v>
          </cell>
          <cell r="C648" t="str">
            <v>Cámara de Caída Tubo de 16"</v>
          </cell>
          <cell r="D648" t="str">
            <v>m</v>
          </cell>
        </row>
        <row r="649">
          <cell r="B649">
            <v>11.34</v>
          </cell>
          <cell r="C649" t="str">
            <v>Cámara de Caída Tubo de 18"</v>
          </cell>
          <cell r="D649" t="str">
            <v>m</v>
          </cell>
        </row>
        <row r="650">
          <cell r="B650">
            <v>11.35</v>
          </cell>
          <cell r="C650" t="str">
            <v>Cámara de Caída Tubo de 20"</v>
          </cell>
          <cell r="D650" t="str">
            <v>m</v>
          </cell>
        </row>
        <row r="651">
          <cell r="B651">
            <v>12.01</v>
          </cell>
          <cell r="C651" t="str">
            <v>Sumidero aguas lluvias en concreto 3000PSI reforzado elab. obra. e=0.20m. sec 0.5*0.6m. rejilla en perfil U 3x1.1/2x1/4"</v>
          </cell>
          <cell r="D651" t="str">
            <v>m3</v>
          </cell>
        </row>
        <row r="652">
          <cell r="B652">
            <v>12.02</v>
          </cell>
          <cell r="C652" t="str">
            <v>Sumidero aguas lluvias en concreto 3000PSI reforzado elab. obra.e=0.20m. sec 1.0*1.0m. rejilla en perfil U 3x1.1/2x1/4"</v>
          </cell>
          <cell r="D652" t="str">
            <v>m3</v>
          </cell>
        </row>
        <row r="653">
          <cell r="B653">
            <v>13.01</v>
          </cell>
          <cell r="C653" t="str">
            <v>Construccion cabezal descarga concreto reforzado 3500 PSI. muros. cuerpo. aletas y disip.energia e=0.25m. tub. 8" a 20"</v>
          </cell>
          <cell r="D653" t="str">
            <v>m3</v>
          </cell>
        </row>
        <row r="654">
          <cell r="B654">
            <v>13.02</v>
          </cell>
          <cell r="C654" t="str">
            <v>Construccion cabezal descarga concreto reforzado 3500 PSI. muros. cuerpo. aletas y disip.energia e=0.25m. tub. 24" a 39"</v>
          </cell>
          <cell r="D654" t="str">
            <v>m3</v>
          </cell>
        </row>
        <row r="655">
          <cell r="B655">
            <v>13.03</v>
          </cell>
          <cell r="C655" t="str">
            <v>Construccion cabezal descarga concreto reforzado 3500 PSI. muros. cuerpo. aletas y disip.energia e=0.25m. tub. 42" a 60"</v>
          </cell>
          <cell r="D655" t="str">
            <v>m3</v>
          </cell>
        </row>
        <row r="656">
          <cell r="B656">
            <v>13.04</v>
          </cell>
          <cell r="C656" t="str">
            <v>Construccion cabezal descarga concreto reforzado 3000 PSI. muros. cuerpo. aletas y disip.energia e=0.20m. tub. 42" a 60"</v>
          </cell>
          <cell r="D656" t="str">
            <v>un</v>
          </cell>
        </row>
        <row r="657">
          <cell r="B657">
            <v>14.01</v>
          </cell>
          <cell r="C657" t="str">
            <v>Suministro e instalación de antracita malla 8-12 para medio filtrante</v>
          </cell>
          <cell r="D657" t="str">
            <v>m3</v>
          </cell>
        </row>
        <row r="658">
          <cell r="B658">
            <v>14.02</v>
          </cell>
          <cell r="C658" t="str">
            <v>Suministro e instalación de arena seleccionada. malla 30 - 40</v>
          </cell>
          <cell r="D658" t="str">
            <v>m3</v>
          </cell>
        </row>
        <row r="659">
          <cell r="B659">
            <v>14.03</v>
          </cell>
          <cell r="C659" t="str">
            <v>Suministro e instalación de gravilla seleccionada malla 10 - 12 para medio filtrante</v>
          </cell>
          <cell r="D659" t="str">
            <v>m3</v>
          </cell>
        </row>
        <row r="660">
          <cell r="B660">
            <v>14.04</v>
          </cell>
          <cell r="C660" t="str">
            <v>Suministro e instalación de gravilla seleccionada malla 8 - 10 para medio filtrante</v>
          </cell>
          <cell r="D660" t="str">
            <v>m3</v>
          </cell>
        </row>
        <row r="661">
          <cell r="B661">
            <v>14.05</v>
          </cell>
          <cell r="C661" t="str">
            <v>Suministro e instalación de gravilla seleccionada malla 4 - 8 para medio filtrante</v>
          </cell>
          <cell r="D661" t="str">
            <v>m3</v>
          </cell>
        </row>
        <row r="662">
          <cell r="B662">
            <v>14.06</v>
          </cell>
          <cell r="C662" t="str">
            <v>Suministro e instalación de gravilla seleccionada malla 2 - 4 (1/2") para medio filtrante</v>
          </cell>
          <cell r="D662" t="str">
            <v>m3</v>
          </cell>
        </row>
        <row r="663">
          <cell r="B663">
            <v>14.07</v>
          </cell>
          <cell r="C663" t="str">
            <v>Suministro e instalación de gravilla seleccionada 1/2" - 3/4" para medio filtrante</v>
          </cell>
          <cell r="D663" t="str">
            <v>m3</v>
          </cell>
        </row>
        <row r="664">
          <cell r="B664">
            <v>14.08</v>
          </cell>
          <cell r="C664" t="str">
            <v>Suministro e instalación de gravilla seleccionada 3/4" - 1" para medio filtrante</v>
          </cell>
          <cell r="D664" t="str">
            <v>m3</v>
          </cell>
        </row>
        <row r="665">
          <cell r="B665">
            <v>14.09</v>
          </cell>
          <cell r="C665" t="str">
            <v>Suministro e instalación de grava seleccionada 1" - 2" para medio filtrante</v>
          </cell>
          <cell r="D665" t="str">
            <v>m3</v>
          </cell>
        </row>
        <row r="666">
          <cell r="B666">
            <v>14.1</v>
          </cell>
          <cell r="C666" t="str">
            <v>Suministro e instalación de Reja de cribado medio de 1,04x0,3m. Platinas de acero inoxidable de 1.5"x3/8" por 1.04 m separadas 3.0 cm</v>
          </cell>
          <cell r="D666" t="str">
            <v>un</v>
          </cell>
        </row>
        <row r="667">
          <cell r="B667">
            <v>14.11</v>
          </cell>
          <cell r="C667" t="str">
            <v>Suministro e instalación reja de cribado fino de 1,04x0,3m. Platinas de acero inoxidable de 1.5"x3/8" por 1.04 m separadas 1.0 cm</v>
          </cell>
          <cell r="D667" t="str">
            <v>un</v>
          </cell>
        </row>
        <row r="668">
          <cell r="B668">
            <v>14.12</v>
          </cell>
          <cell r="C668" t="str">
            <v>Lámina vertedero sutro Incluye guía metálica para apoyar la lámina 2.5 cm dentro del concreto</v>
          </cell>
          <cell r="D668" t="str">
            <v>un</v>
          </cell>
        </row>
        <row r="669">
          <cell r="B669">
            <v>14.13</v>
          </cell>
          <cell r="C669" t="str">
            <v>Suministro e instalación de arena seleccionada. GRUESA</v>
          </cell>
          <cell r="D669" t="str">
            <v>m3</v>
          </cell>
        </row>
        <row r="670">
          <cell r="B670">
            <v>14.14</v>
          </cell>
          <cell r="C670" t="str">
            <v>Compuerta en PRFV para el retiro de lodos de 1,55x1,55 con espesor de 5 cm inlcuye canal de lamina en Acero inoxidable</v>
          </cell>
          <cell r="D670" t="str">
            <v>un</v>
          </cell>
        </row>
        <row r="671">
          <cell r="B671">
            <v>14.15</v>
          </cell>
          <cell r="C671" t="str">
            <v>Suministro e instalacion canaleta Diente Sierra</v>
          </cell>
          <cell r="D671" t="str">
            <v>m</v>
          </cell>
        </row>
        <row r="672">
          <cell r="B672">
            <v>14.16</v>
          </cell>
          <cell r="C672" t="str">
            <v>Suministro e instalacion Cajas plasticas</v>
          </cell>
          <cell r="D672" t="str">
            <v>un</v>
          </cell>
        </row>
        <row r="673">
          <cell r="B673">
            <v>14.17</v>
          </cell>
          <cell r="C673" t="str">
            <v>Suministro e instalacion de Tapas de 70cm de diametro</v>
          </cell>
          <cell r="D673" t="str">
            <v>un</v>
          </cell>
        </row>
        <row r="674">
          <cell r="B674">
            <v>14.18</v>
          </cell>
          <cell r="C674" t="str">
            <v>Suministro e instalacion de Canaleta para inversion flujo</v>
          </cell>
          <cell r="D674" t="str">
            <v>m</v>
          </cell>
        </row>
        <row r="675">
          <cell r="B675">
            <v>14.19</v>
          </cell>
          <cell r="C675" t="str">
            <v xml:space="preserve">Barandales en tubería de HG Ø 1 1/2", formadas por dos (2) tubos horizontales con parales verticales cada 1.50 m, según detalle en plano. Incluye todos los accesorios necesarios para su correcta instalación (tees, crucetas, codos, etc.), soldadura, pernos de anclaje en pasarelas y losas de cubierta y la aplicación de dos (2) manos de pintura anticorrosiva y dos (2) de esmalte de aluminio. </v>
          </cell>
          <cell r="D675" t="str">
            <v>m</v>
          </cell>
        </row>
        <row r="676">
          <cell r="B676">
            <v>15.01</v>
          </cell>
          <cell r="C676" t="str">
            <v>Montaje de andamios para acceso a tanque elevado y trabajo en altura. h&gt;20m (2 torres x 16 secciones)</v>
          </cell>
          <cell r="D676" t="str">
            <v>m2</v>
          </cell>
        </row>
        <row r="677">
          <cell r="B677">
            <v>15.02</v>
          </cell>
          <cell r="C677" t="str">
            <v>Escalera tipo gato tanq.elev. (parales ang.2+1/2"x1/4". paso c/0.30m tub3/4". platin.arc.2"x1/4". 6platin.1+1/4"x3/16")</v>
          </cell>
          <cell r="D677" t="str">
            <v>hr</v>
          </cell>
        </row>
        <row r="678">
          <cell r="B678">
            <v>15.03</v>
          </cell>
          <cell r="C678" t="str">
            <v>Suministro y aplicación de membrana a base de PVC plastificado y reforz. c/armadura de poliéster (contacto agua potable)</v>
          </cell>
          <cell r="D678" t="str">
            <v>hr</v>
          </cell>
        </row>
        <row r="679">
          <cell r="B679">
            <v>16.010000000000002</v>
          </cell>
          <cell r="C679" t="str">
            <v>Muro en ladrillo prensado a la vista tipo Santafé 0.12</v>
          </cell>
          <cell r="D679" t="str">
            <v>m2</v>
          </cell>
        </row>
        <row r="680">
          <cell r="B680">
            <v>16.020000000000003</v>
          </cell>
          <cell r="C680" t="str">
            <v>Módulo en malla eslabonada con tubo galvanizado de 2" c/2.5m. incluye tapas. ángulos y platinas.</v>
          </cell>
          <cell r="D680" t="str">
            <v>m3</v>
          </cell>
        </row>
        <row r="681">
          <cell r="B681">
            <v>16.030000000000005</v>
          </cell>
          <cell r="C681" t="str">
            <v>Alfajía en concreto de 3000 PSI. a=0.20m. e=0.07m. incluye refuerzo long. 2D1/2" + flejes D3/8"</v>
          </cell>
          <cell r="D681" t="str">
            <v>m2</v>
          </cell>
        </row>
        <row r="682">
          <cell r="B682">
            <v>16.07</v>
          </cell>
          <cell r="C682" t="str">
            <v>Teja termoacústica (incluye suministro e instalación)</v>
          </cell>
          <cell r="D682" t="str">
            <v>m2</v>
          </cell>
        </row>
        <row r="683">
          <cell r="B683">
            <v>16.059999999999999</v>
          </cell>
          <cell r="C683" t="str">
            <v>Columnetas (0,15x 0,15)</v>
          </cell>
          <cell r="D683" t="str">
            <v>m</v>
          </cell>
        </row>
        <row r="684">
          <cell r="B684">
            <v>16.16</v>
          </cell>
          <cell r="C684" t="str">
            <v>Suministro e Instalacion de Ventana en madera con persiana en celosia de aluminio anodizado color natural (vidrio crudo de 4 mm) tipo V-1, V-2, V-3 y V-4</v>
          </cell>
          <cell r="D684" t="str">
            <v>m2</v>
          </cell>
        </row>
        <row r="685">
          <cell r="B685">
            <v>16.309999999999999</v>
          </cell>
          <cell r="C685" t="str">
            <v>Suministro e Instalacion Puerta tipo P-1(0.98x2.10 mts)</v>
          </cell>
          <cell r="D685" t="str">
            <v>un</v>
          </cell>
        </row>
        <row r="686">
          <cell r="B686">
            <v>16.32</v>
          </cell>
          <cell r="C686" t="str">
            <v>Suministro e Instalacion Puerta tipo P-2(1,02x2.10 mts)</v>
          </cell>
          <cell r="D686" t="str">
            <v>un</v>
          </cell>
        </row>
        <row r="687">
          <cell r="B687">
            <v>16.329999999999998</v>
          </cell>
          <cell r="C687" t="str">
            <v>Suministro e Instalacion Puerta tipo P-3(0.77x2.10 mts)</v>
          </cell>
          <cell r="D687" t="str">
            <v>un</v>
          </cell>
        </row>
        <row r="688">
          <cell r="B688">
            <v>16.34</v>
          </cell>
          <cell r="C688" t="str">
            <v>Suministro e Instalacion Puerta tipo P-4(0.65x2.10 mts)</v>
          </cell>
          <cell r="D688" t="str">
            <v>un</v>
          </cell>
        </row>
        <row r="689">
          <cell r="B689">
            <v>16.14</v>
          </cell>
          <cell r="C689" t="str">
            <v>Vertedero Sutro</v>
          </cell>
          <cell r="D689" t="str">
            <v>un</v>
          </cell>
        </row>
        <row r="690">
          <cell r="B690">
            <v>16.190000000000001</v>
          </cell>
          <cell r="C690" t="str">
            <v>Suministro e instalacion de Aparato Sanitario</v>
          </cell>
          <cell r="D690" t="str">
            <v>un</v>
          </cell>
        </row>
        <row r="691">
          <cell r="B691">
            <v>16.2</v>
          </cell>
          <cell r="C691" t="str">
            <v>Suministro e instalacion Lavamanos (incluye griferia)</v>
          </cell>
          <cell r="D691" t="str">
            <v>un</v>
          </cell>
        </row>
        <row r="692">
          <cell r="B692">
            <v>16.23</v>
          </cell>
          <cell r="C692" t="str">
            <v>Suministro e instalacion Incrustaciones</v>
          </cell>
          <cell r="D692" t="str">
            <v>un</v>
          </cell>
        </row>
        <row r="693">
          <cell r="B693">
            <v>16.25</v>
          </cell>
          <cell r="C693" t="str">
            <v>Suministro e instalacion de Piso en tableta de gres</v>
          </cell>
          <cell r="D693" t="str">
            <v>m2</v>
          </cell>
        </row>
        <row r="694">
          <cell r="B694">
            <v>16.260000000000002</v>
          </cell>
          <cell r="C694" t="str">
            <v>Suministro e instalacion de Piso en ceramica blanca</v>
          </cell>
          <cell r="D694" t="str">
            <v>m2</v>
          </cell>
        </row>
        <row r="695">
          <cell r="B695">
            <v>16.27</v>
          </cell>
          <cell r="C695" t="str">
            <v>Suministro e instalacion de Guardaescoba</v>
          </cell>
          <cell r="D695" t="str">
            <v>m</v>
          </cell>
        </row>
        <row r="696">
          <cell r="B696">
            <v>16.28</v>
          </cell>
          <cell r="C696" t="str">
            <v>Enchape en tableta porcelana para baños laboratorios</v>
          </cell>
          <cell r="D696" t="str">
            <v>m2</v>
          </cell>
        </row>
        <row r="697">
          <cell r="B697">
            <v>16.29</v>
          </cell>
          <cell r="C697" t="str">
            <v>Suministro e instalación Win Plastico</v>
          </cell>
          <cell r="D697" t="str">
            <v>m</v>
          </cell>
        </row>
        <row r="698">
          <cell r="B698">
            <v>16.3</v>
          </cell>
          <cell r="C698" t="str">
            <v>Pintura de muros</v>
          </cell>
          <cell r="D698" t="str">
            <v>m2</v>
          </cell>
        </row>
        <row r="699">
          <cell r="B699">
            <v>16.170000000000002</v>
          </cell>
          <cell r="C699" t="str">
            <v>Afinado de Pisos</v>
          </cell>
          <cell r="D699" t="str">
            <v>m2</v>
          </cell>
        </row>
        <row r="700">
          <cell r="B700">
            <v>16.350000000000001</v>
          </cell>
          <cell r="C700" t="str">
            <v>Ladrillo tolete con agujeros</v>
          </cell>
          <cell r="D700" t="str">
            <v>m2</v>
          </cell>
        </row>
        <row r="701">
          <cell r="B701">
            <v>16.36</v>
          </cell>
          <cell r="C701" t="str">
            <v>Pasarela metalica para acceso a compuerta, angulo perimetral 1 1/2"x1/8con malla metalica m2</v>
          </cell>
          <cell r="D701" t="str">
            <v>m</v>
          </cell>
        </row>
        <row r="702">
          <cell r="B702">
            <v>16.37</v>
          </cell>
          <cell r="C702" t="str">
            <v>Ladrillo recocido</v>
          </cell>
          <cell r="D702" t="str">
            <v>m2</v>
          </cell>
        </row>
        <row r="703">
          <cell r="B703">
            <v>16.38</v>
          </cell>
          <cell r="C703" t="str">
            <v>CANALETA METALICA ACESCO</v>
          </cell>
          <cell r="D703" t="str">
            <v>m2</v>
          </cell>
        </row>
        <row r="704">
          <cell r="B704">
            <v>16.39</v>
          </cell>
          <cell r="C704" t="str">
            <v>Suministro e Instalación cercha metálica para cubierta en ángulo 1/2"x1/2"x3/16"</v>
          </cell>
          <cell r="D704" t="str">
            <v>m</v>
          </cell>
        </row>
        <row r="705">
          <cell r="B705">
            <v>17.010000000000002</v>
          </cell>
          <cell r="C705" t="str">
            <v>Manejo de aguas en excavaciones. (incluye una motobomba de 3")</v>
          </cell>
          <cell r="D705" t="str">
            <v>un</v>
          </cell>
        </row>
        <row r="706">
          <cell r="B706">
            <v>17.02</v>
          </cell>
          <cell r="C706" t="str">
            <v>Manejo de aguas en excavaciones. (incluye 2 motobombas de 2")</v>
          </cell>
          <cell r="D706" t="str">
            <v>m3</v>
          </cell>
        </row>
        <row r="707">
          <cell r="B707">
            <v>17.03</v>
          </cell>
          <cell r="C707" t="str">
            <v>Manejo de aguas en excavaciones. (incluye 2 motobombas 3". y 2 motobombas 4")</v>
          </cell>
          <cell r="D707" t="str">
            <v>kg</v>
          </cell>
        </row>
        <row r="708">
          <cell r="B708">
            <v>17.04</v>
          </cell>
          <cell r="C708" t="str">
            <v>Gavión en malla triple torsión cal. 12. incluye llenado</v>
          </cell>
          <cell r="D708" t="str">
            <v>kg</v>
          </cell>
        </row>
        <row r="709">
          <cell r="B709">
            <v>17.05</v>
          </cell>
          <cell r="C709" t="str">
            <v>Lechos de secado de lodos</v>
          </cell>
          <cell r="D709" t="str">
            <v>kg</v>
          </cell>
        </row>
        <row r="710">
          <cell r="B710">
            <v>17.059999999999999</v>
          </cell>
          <cell r="C710" t="str">
            <v>Suministro e instalación de geomembrana</v>
          </cell>
          <cell r="D710" t="str">
            <v>m2</v>
          </cell>
        </row>
        <row r="711">
          <cell r="B711">
            <v>17.07</v>
          </cell>
          <cell r="C711" t="str">
            <v>Iluminación</v>
          </cell>
          <cell r="D711" t="str">
            <v>kg</v>
          </cell>
        </row>
        <row r="712">
          <cell r="B712">
            <v>17.079999999999998</v>
          </cell>
          <cell r="C712" t="str">
            <v>BOX COULVERT CONCRETO DE 3000 PSI</v>
          </cell>
          <cell r="D712" t="str">
            <v>kg</v>
          </cell>
        </row>
        <row r="713">
          <cell r="B713">
            <v>17.09</v>
          </cell>
          <cell r="C713" t="str">
            <v>Suministro e instalacion de ladrillo vitrificado</v>
          </cell>
          <cell r="D713" t="str">
            <v>m2</v>
          </cell>
        </row>
        <row r="714">
          <cell r="B714">
            <v>17.12</v>
          </cell>
          <cell r="C714" t="str">
            <v>Aseo General del Edificio</v>
          </cell>
          <cell r="D714" t="str">
            <v>Gl</v>
          </cell>
        </row>
        <row r="715">
          <cell r="B715">
            <v>17.13</v>
          </cell>
          <cell r="C715" t="str">
            <v>Filtro Frances</v>
          </cell>
          <cell r="D715" t="str">
            <v>ml</v>
          </cell>
        </row>
        <row r="716">
          <cell r="B716">
            <v>17.14</v>
          </cell>
          <cell r="C716" t="str">
            <v>Suministro e instalacion de Angulo 2"X 1/8"</v>
          </cell>
          <cell r="D716" t="str">
            <v>m</v>
          </cell>
        </row>
        <row r="717">
          <cell r="B717">
            <v>17.149999999999999</v>
          </cell>
          <cell r="C717" t="str">
            <v xml:space="preserve">Tapa removible </v>
          </cell>
          <cell r="D717" t="str">
            <v>m2</v>
          </cell>
        </row>
        <row r="718">
          <cell r="B718">
            <v>17.16</v>
          </cell>
          <cell r="C718" t="str">
            <v>Bafle  en madera de cedro macho 1.86x0,05x0,5m con manija metálica</v>
          </cell>
          <cell r="D718" t="str">
            <v>un</v>
          </cell>
        </row>
        <row r="719">
          <cell r="B719">
            <v>17.170000000000002</v>
          </cell>
          <cell r="C719" t="str">
            <v>Escalera tipo gato en hierro liso Ø1"</v>
          </cell>
          <cell r="D719" t="str">
            <v>paso</v>
          </cell>
        </row>
        <row r="720">
          <cell r="B720">
            <v>17.18</v>
          </cell>
          <cell r="C720" t="str">
            <v xml:space="preserve">Barandales en tubería de HG Ø 1 1/2", formadas por dos (2) tubos horizontales con parales verticales cada 1.50 m, según detalle en plano. Incluye todos los accesorios necesarios para su correcta instalación (tees, crucetas, codos, etc.), soldadura, pernos de anclaje en pasarelas y losas de cubierta y la aplicación de dos (2) manos de pintura anticorrosiva y dos (2) de esmalte de aluminio. </v>
          </cell>
          <cell r="D720" t="str">
            <v>m</v>
          </cell>
        </row>
        <row r="721">
          <cell r="B721">
            <v>17.190000000000001</v>
          </cell>
          <cell r="C721" t="str">
            <v xml:space="preserve">Suministro e instalaciòn de Tapa de lámina alfajor de aluminio de 3mm de espesor para bocas de acceso (Ø0.60m) en losa de cubierta </v>
          </cell>
          <cell r="D721" t="str">
            <v>un</v>
          </cell>
        </row>
        <row r="722">
          <cell r="B722">
            <v>17.2</v>
          </cell>
          <cell r="C722" t="str">
            <v>Suministro e instalación de reglilla de aforo</v>
          </cell>
          <cell r="D722" t="str">
            <v>un</v>
          </cell>
        </row>
        <row r="723">
          <cell r="B723">
            <v>18.010000000000002</v>
          </cell>
          <cell r="C723" t="str">
            <v>Acero de refuerzo 60.000 PSI (incluye amarre y figuración)</v>
          </cell>
          <cell r="D723" t="str">
            <v>kg</v>
          </cell>
        </row>
        <row r="724">
          <cell r="B724">
            <v>18.02</v>
          </cell>
          <cell r="C724" t="str">
            <v>Acero de refuerzo 60.000 PSI. (incluye amarre y figuración)</v>
          </cell>
          <cell r="D724" t="str">
            <v>kg</v>
          </cell>
        </row>
        <row r="725">
          <cell r="B725">
            <v>18.03</v>
          </cell>
          <cell r="C725" t="str">
            <v>Acero de refuerzo 60.000 PSI. elevaciones 3.0&lt;h&lt;6.0m (incluye amarre y figuración)</v>
          </cell>
          <cell r="D725" t="str">
            <v>m3</v>
          </cell>
        </row>
        <row r="726">
          <cell r="B726">
            <v>18.04</v>
          </cell>
          <cell r="C726" t="str">
            <v>Acero de refuerzo 60.000 PSI. elevaciones 6.0&lt;h&lt;12.0m (incluye amarre y figuración)</v>
          </cell>
          <cell r="D726" t="str">
            <v>m3</v>
          </cell>
        </row>
        <row r="727">
          <cell r="B727">
            <v>18.05</v>
          </cell>
          <cell r="C727" t="str">
            <v>Acero de refuerzo 60.000 PSI. elevaciones 12.0&lt;h&lt;18.0m (incluye amarre y figuración)</v>
          </cell>
          <cell r="D727" t="str">
            <v>m3</v>
          </cell>
        </row>
        <row r="728">
          <cell r="B728">
            <v>18.060000000000002</v>
          </cell>
          <cell r="C728" t="str">
            <v>Acero de refuerzo 60.000 PSI. elevaciones 18.0&lt;h&lt;24.0m (incluye amarre y figuración)</v>
          </cell>
          <cell r="D728" t="str">
            <v>m3</v>
          </cell>
        </row>
        <row r="729">
          <cell r="B729">
            <v>18.070000000000004</v>
          </cell>
          <cell r="C729" t="str">
            <v>Fabricación. transporte. montaje y pintura de estructura metálica en acero estructural ASTM A-36</v>
          </cell>
          <cell r="D729" t="str">
            <v>m3</v>
          </cell>
        </row>
        <row r="730">
          <cell r="B730">
            <v>18.079999999999998</v>
          </cell>
          <cell r="C730" t="str">
            <v>Suministro e instalacion de malla electrosoldada</v>
          </cell>
          <cell r="D730" t="str">
            <v>m2</v>
          </cell>
        </row>
        <row r="731">
          <cell r="B731">
            <v>19.010000000000002</v>
          </cell>
          <cell r="C731" t="str">
            <v>Levantamiento topográfico redes de acueducto y alcantarillado para actualiz. de catastro (inc. planos récord y
formatos)</v>
          </cell>
          <cell r="D731" t="str">
            <v>m3</v>
          </cell>
        </row>
        <row r="732">
          <cell r="B732">
            <v>19.03</v>
          </cell>
          <cell r="C732" t="str">
            <v>Puntos Hidraulicos</v>
          </cell>
          <cell r="D732" t="str">
            <v>un</v>
          </cell>
        </row>
        <row r="733">
          <cell r="B733">
            <v>19.04</v>
          </cell>
          <cell r="C733" t="str">
            <v>Puntos Sanitarios</v>
          </cell>
          <cell r="D733" t="str">
            <v>un</v>
          </cell>
        </row>
        <row r="734">
          <cell r="B734">
            <v>56.8</v>
          </cell>
          <cell r="C734" t="str">
            <v>Concreto ciclópeo (60% concreto simple 3000 PSI + 40% piedra media zonga. incluye colocación)</v>
          </cell>
          <cell r="D734" t="str">
            <v>m3</v>
          </cell>
        </row>
        <row r="735">
          <cell r="B735">
            <v>56.9</v>
          </cell>
          <cell r="C735" t="str">
            <v>Concreto simple 2000 PSI</v>
          </cell>
          <cell r="D735" t="str">
            <v>m3</v>
          </cell>
        </row>
        <row r="736">
          <cell r="B736">
            <v>57</v>
          </cell>
          <cell r="C736" t="str">
            <v>Concreto simple 2500 PSI</v>
          </cell>
          <cell r="D736" t="str">
            <v>m3</v>
          </cell>
        </row>
        <row r="737">
          <cell r="B737">
            <v>57.1</v>
          </cell>
          <cell r="C737" t="str">
            <v>Concreto simple 3000 PSI</v>
          </cell>
          <cell r="D737" t="str">
            <v>m3</v>
          </cell>
        </row>
        <row r="738">
          <cell r="B738">
            <v>57.2</v>
          </cell>
          <cell r="C738" t="str">
            <v>concreto de 4000 psi</v>
          </cell>
          <cell r="D738" t="str">
            <v>m3</v>
          </cell>
        </row>
        <row r="739">
          <cell r="B739">
            <v>57.3</v>
          </cell>
          <cell r="C739" t="str">
            <v>Concreto impermeabilizado 3000 PSI</v>
          </cell>
          <cell r="D739" t="str">
            <v>m3</v>
          </cell>
        </row>
        <row r="740">
          <cell r="B740">
            <v>57.4</v>
          </cell>
          <cell r="C740" t="str">
            <v>Mortero 1:3 impermeabilizado</v>
          </cell>
          <cell r="D740" t="str">
            <v>m3</v>
          </cell>
        </row>
        <row r="741">
          <cell r="B741">
            <v>57.5</v>
          </cell>
          <cell r="C741" t="str">
            <v>Mortero 1:3</v>
          </cell>
          <cell r="D741" t="str">
            <v>m2</v>
          </cell>
        </row>
        <row r="742">
          <cell r="B742">
            <v>57.6</v>
          </cell>
          <cell r="C742" t="str">
            <v>Mortero 1:5 para pega</v>
          </cell>
        </row>
        <row r="743">
          <cell r="B743">
            <v>57.7</v>
          </cell>
          <cell r="C743" t="str">
            <v>Concreto simple 4000 PSI</v>
          </cell>
        </row>
        <row r="744">
          <cell r="B744">
            <v>57.8</v>
          </cell>
          <cell r="C744" t="str">
            <v>Concreto simple 3500 PSI</v>
          </cell>
        </row>
        <row r="745">
          <cell r="B745">
            <v>57.9</v>
          </cell>
          <cell r="C745" t="str">
            <v>Concreto impermeabilizado 3500 PSI</v>
          </cell>
        </row>
        <row r="746">
          <cell r="B746">
            <v>58</v>
          </cell>
          <cell r="C746" t="str">
            <v>Concreto impermeabilizado 4000 PSI</v>
          </cell>
        </row>
        <row r="747">
          <cell r="B747">
            <v>58.1</v>
          </cell>
          <cell r="C747" t="str">
            <v>Caseta en bloque No. 5 para estación reguladora de caudal</v>
          </cell>
        </row>
        <row r="748">
          <cell r="B748">
            <v>58.099999999999902</v>
          </cell>
        </row>
        <row r="749">
          <cell r="B749">
            <v>58.199999999999903</v>
          </cell>
        </row>
        <row r="750">
          <cell r="B750">
            <v>58.299999999999898</v>
          </cell>
        </row>
        <row r="751">
          <cell r="B751">
            <v>58.399999999999899</v>
          </cell>
        </row>
        <row r="752">
          <cell r="B752">
            <v>58.499999999999901</v>
          </cell>
        </row>
        <row r="753">
          <cell r="B753">
            <v>58.599999999999902</v>
          </cell>
        </row>
        <row r="754">
          <cell r="B754">
            <v>58.699999999999903</v>
          </cell>
        </row>
        <row r="755">
          <cell r="B755">
            <v>58.799999999999898</v>
          </cell>
        </row>
        <row r="756">
          <cell r="B756">
            <v>58.899999999999899</v>
          </cell>
        </row>
        <row r="757">
          <cell r="B757">
            <v>58.999999999999901</v>
          </cell>
        </row>
        <row r="758">
          <cell r="B758">
            <v>59.099999999999902</v>
          </cell>
        </row>
        <row r="759">
          <cell r="B759">
            <v>59.199999999999903</v>
          </cell>
        </row>
        <row r="760">
          <cell r="B760">
            <v>59.299999999999898</v>
          </cell>
        </row>
        <row r="761">
          <cell r="B761">
            <v>59.399999999999899</v>
          </cell>
        </row>
        <row r="762">
          <cell r="B762">
            <v>59.499999999999901</v>
          </cell>
        </row>
        <row r="763">
          <cell r="B763">
            <v>59.599999999999902</v>
          </cell>
        </row>
        <row r="764">
          <cell r="B764">
            <v>59.699999999999903</v>
          </cell>
        </row>
        <row r="765">
          <cell r="B765">
            <v>59.799999999999898</v>
          </cell>
        </row>
        <row r="766">
          <cell r="B766">
            <v>59.899999999999899</v>
          </cell>
        </row>
        <row r="767">
          <cell r="C767" t="str">
            <v>CAPITULOS</v>
          </cell>
        </row>
        <row r="768">
          <cell r="B768">
            <v>1</v>
          </cell>
          <cell r="C768" t="str">
            <v>PRELIMINARES</v>
          </cell>
        </row>
        <row r="769">
          <cell r="B769">
            <v>2</v>
          </cell>
          <cell r="C769" t="str">
            <v>EXCAVACIONES</v>
          </cell>
        </row>
        <row r="770">
          <cell r="B770">
            <v>3</v>
          </cell>
          <cell r="C770" t="str">
            <v>RELLENOS</v>
          </cell>
        </row>
        <row r="771">
          <cell r="B771">
            <v>4</v>
          </cell>
          <cell r="C771" t="str">
            <v>DEMOLICIONES</v>
          </cell>
        </row>
        <row r="772">
          <cell r="B772">
            <v>5</v>
          </cell>
          <cell r="C772" t="str">
            <v>PAVIMENTOS</v>
          </cell>
        </row>
        <row r="773">
          <cell r="B773">
            <v>6</v>
          </cell>
          <cell r="C773" t="str">
            <v>TUBERIA Y ACCESORIOS ALCANTARILLADO</v>
          </cell>
        </row>
        <row r="774">
          <cell r="B774">
            <v>7</v>
          </cell>
          <cell r="C774" t="str">
            <v>DOMICILIARIAS ALCANTARILLADO</v>
          </cell>
        </row>
        <row r="775">
          <cell r="B775">
            <v>8</v>
          </cell>
          <cell r="C775" t="str">
            <v>TUBERÍA Y ACCESORIOS ACUEDUCTO</v>
          </cell>
        </row>
        <row r="776">
          <cell r="B776">
            <v>9</v>
          </cell>
          <cell r="C776" t="str">
            <v>DOMICILIARIAS ACUEDUCTO</v>
          </cell>
        </row>
        <row r="777">
          <cell r="B777">
            <v>10</v>
          </cell>
          <cell r="C777" t="str">
            <v>CONCRETOS Y MORTEROS</v>
          </cell>
        </row>
        <row r="778">
          <cell r="B778">
            <v>11</v>
          </cell>
          <cell r="C778" t="str">
            <v>POZOS DE INSPECCIÓN</v>
          </cell>
        </row>
        <row r="779">
          <cell r="B779">
            <v>12</v>
          </cell>
          <cell r="C779" t="str">
            <v>SUMIDEROS</v>
          </cell>
        </row>
        <row r="780">
          <cell r="B780">
            <v>13</v>
          </cell>
          <cell r="C780" t="str">
            <v>CABEZALES DE DESCARGA</v>
          </cell>
        </row>
        <row r="781">
          <cell r="B781">
            <v>14</v>
          </cell>
          <cell r="C781" t="str">
            <v>PLANTA DE TRATAMIENTO</v>
          </cell>
        </row>
        <row r="782">
          <cell r="B782">
            <v>15</v>
          </cell>
          <cell r="C782" t="str">
            <v>TANQUE DE ALMACENAMIENTO</v>
          </cell>
        </row>
        <row r="783">
          <cell r="B783">
            <v>16</v>
          </cell>
          <cell r="C783" t="str">
            <v>OBRAS ARQUITECTÓNICAS</v>
          </cell>
        </row>
        <row r="784">
          <cell r="B784">
            <v>17</v>
          </cell>
          <cell r="C784" t="str">
            <v>OBRAS CIVILES COMPLEMENTARIAS</v>
          </cell>
        </row>
        <row r="785">
          <cell r="B785">
            <v>18</v>
          </cell>
          <cell r="C785" t="str">
            <v>ACERO DE REFUERZO</v>
          </cell>
        </row>
        <row r="786">
          <cell r="B786">
            <v>19</v>
          </cell>
          <cell r="C786" t="str">
            <v>ACTIVIDADES COMPLEMENTARIAS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H&amp;H"/>
      <sheetName val="PPTO REVISIÓN"/>
      <sheetName val="1.1"/>
      <sheetName val="1.2"/>
      <sheetName val="1.3"/>
      <sheetName val="2.1"/>
      <sheetName val="2.2"/>
      <sheetName val="2.3"/>
      <sheetName val="2.4"/>
      <sheetName val="2.5"/>
      <sheetName val="3.1"/>
      <sheetName val="3.2"/>
      <sheetName val="3.3"/>
      <sheetName val="3.4"/>
      <sheetName val="3.5"/>
      <sheetName val="9,3"/>
      <sheetName val="9.4"/>
      <sheetName val="9.5"/>
      <sheetName val="9.6"/>
      <sheetName val="9.7"/>
      <sheetName val="9.8"/>
      <sheetName val="9.9"/>
      <sheetName val="9.10"/>
      <sheetName val="9.11"/>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6.1"/>
      <sheetName val="6.2"/>
      <sheetName val="6.3"/>
      <sheetName val="6.4"/>
      <sheetName val="6.5"/>
      <sheetName val="7.1"/>
      <sheetName val="7.2"/>
      <sheetName val="7.3"/>
      <sheetName val="7.4"/>
      <sheetName val="7.5"/>
      <sheetName val="7.6"/>
      <sheetName val="7.7"/>
      <sheetName val="7.8"/>
      <sheetName val="8.1"/>
      <sheetName val="8.2"/>
      <sheetName val="8.3"/>
      <sheetName val="8.4"/>
      <sheetName val="8.5"/>
      <sheetName val="8.6"/>
      <sheetName val="8.7"/>
      <sheetName val="PRESUPUESTO OCAD"/>
      <sheetName val="EXCAVACION  MECANICA"/>
      <sheetName val="SUBBASE"/>
      <sheetName val="BASE"/>
      <sheetName val="ADOQUIN"/>
      <sheetName val="ANDEN EN CONCRETO"/>
      <sheetName val="LÁMPARAS CARABOBO"/>
      <sheetName val="CONTENEDOR RAICES"/>
      <sheetName val="ARBOLES"/>
      <sheetName val="JARDINERA"/>
      <sheetName val="BORDILLOS"/>
      <sheetName val="C 3000psi Manual"/>
      <sheetName val="C 4000psi"/>
      <sheetName val="C 1500PSI"/>
      <sheetName val="Mortero 1;3"/>
      <sheetName val="Mortero 1;4"/>
      <sheetName val="Mortero 1;5"/>
      <sheetName val="C 3000psi Mezcladora"/>
      <sheetName val="Mortero 1;3 Mezcladora"/>
    </sheetNames>
    <sheetDataSet>
      <sheetData sheetId="0">
        <row r="4">
          <cell r="B4" t="str">
            <v>Accesorios tuberia hidraulica</v>
          </cell>
        </row>
        <row r="5">
          <cell r="B5" t="str">
            <v>Acero 1/2 ó #4</v>
          </cell>
        </row>
        <row r="6">
          <cell r="B6" t="str">
            <v>Acero 1/4 ó #2</v>
          </cell>
        </row>
        <row r="7">
          <cell r="B7" t="str">
            <v>Acero 3/8 ó #3</v>
          </cell>
        </row>
        <row r="8">
          <cell r="B8" t="str">
            <v>Acero 5/8 ó #5</v>
          </cell>
        </row>
        <row r="9">
          <cell r="B9" t="str">
            <v>Acero 5mm</v>
          </cell>
        </row>
        <row r="10">
          <cell r="B10" t="str">
            <v>Acero Estructural ASTM A-36</v>
          </cell>
        </row>
        <row r="11">
          <cell r="B11" t="str">
            <v>Agua</v>
          </cell>
        </row>
        <row r="12">
          <cell r="B12" t="str">
            <v>Alambre negro</v>
          </cell>
        </row>
        <row r="13">
          <cell r="B13" t="str">
            <v>Anticorrosivo</v>
          </cell>
        </row>
        <row r="14">
          <cell r="B14" t="str">
            <v>Arena</v>
          </cell>
        </row>
        <row r="15">
          <cell r="B15" t="str">
            <v>Binda boquilla</v>
          </cell>
        </row>
        <row r="16">
          <cell r="B16" t="str">
            <v>Base Granular</v>
          </cell>
        </row>
        <row r="17">
          <cell r="B17" t="str">
            <v>Bicomponente para pega de Estoperol</v>
          </cell>
        </row>
        <row r="18">
          <cell r="B18" t="str">
            <v>Cable cobre aislado cal. No.12</v>
          </cell>
        </row>
        <row r="19">
          <cell r="B19" t="str">
            <v>Canaleta para cableado</v>
          </cell>
        </row>
        <row r="20">
          <cell r="B20" t="str">
            <v>Candados de seguridad Yale Serie 850 Tipo Aleman</v>
          </cell>
        </row>
        <row r="21">
          <cell r="B21" t="str">
            <v>Cemento.</v>
          </cell>
        </row>
        <row r="22">
          <cell r="B22" t="str">
            <v>Ceramica Exterior</v>
          </cell>
        </row>
        <row r="23">
          <cell r="B23" t="str">
            <v>Ceramica Interior</v>
          </cell>
        </row>
        <row r="24">
          <cell r="B24" t="str">
            <v>Cerradura DOBLE CILINDRO Y ROSETA INTERIOR YALE 396</v>
          </cell>
        </row>
        <row r="25">
          <cell r="B25" t="str">
            <v>Cinta PVC V-15</v>
          </cell>
        </row>
        <row r="26">
          <cell r="B26" t="str">
            <v>Cinta Amarilla Señalización (Peligro)</v>
          </cell>
        </row>
        <row r="27">
          <cell r="B27" t="str">
            <v>Codo 3" PVC</v>
          </cell>
        </row>
        <row r="28">
          <cell r="B28" t="str">
            <v>Concreto 1500psi</v>
          </cell>
        </row>
        <row r="29">
          <cell r="B29" t="str">
            <v>Concreto 3000psi</v>
          </cell>
        </row>
        <row r="30">
          <cell r="B30" t="str">
            <v>Concreto 4000psi</v>
          </cell>
        </row>
        <row r="31">
          <cell r="B31" t="str">
            <v>Crudo de Río</v>
          </cell>
        </row>
        <row r="32">
          <cell r="B32" t="str">
            <v>Disolvente</v>
          </cell>
        </row>
        <row r="33">
          <cell r="B33" t="str">
            <v>Emulsión Asfaltica</v>
          </cell>
        </row>
        <row r="34">
          <cell r="B34" t="str">
            <v>Estacas para Demarcación Topografica</v>
          </cell>
        </row>
        <row r="35">
          <cell r="B35" t="str">
            <v>Estuco</v>
          </cell>
        </row>
        <row r="36">
          <cell r="B36" t="str">
            <v>Estoperol Plastico</v>
          </cell>
        </row>
        <row r="37">
          <cell r="B37" t="str">
            <v>Fachaleta gres</v>
          </cell>
        </row>
        <row r="38">
          <cell r="B38" t="str">
            <v>Galon de Boxer</v>
          </cell>
        </row>
        <row r="39">
          <cell r="B39" t="str">
            <v>Gato de amortiguación de cierre</v>
          </cell>
        </row>
        <row r="40">
          <cell r="B40" t="str">
            <v>Grama para pega de revegetalización</v>
          </cell>
        </row>
        <row r="41">
          <cell r="B41" t="str">
            <v>Grouting (m3)</v>
          </cell>
        </row>
        <row r="42">
          <cell r="B42" t="str">
            <v>Interruptor Sencillo</v>
          </cell>
        </row>
        <row r="43">
          <cell r="B43" t="str">
            <v>Ladrillo arrobero</v>
          </cell>
        </row>
        <row r="44">
          <cell r="B44" t="str">
            <v>Ladrillo Concreto</v>
          </cell>
        </row>
        <row r="45">
          <cell r="B45" t="str">
            <v>Ladrillo de arcilla a la vista</v>
          </cell>
        </row>
        <row r="46">
          <cell r="B46" t="str">
            <v>Ladrillo H10</v>
          </cell>
        </row>
        <row r="47">
          <cell r="B47" t="str">
            <v>Lamina Alfajor 1/4"</v>
          </cell>
        </row>
        <row r="48">
          <cell r="B48" t="str">
            <v>Lamina de Zinc</v>
          </cell>
        </row>
        <row r="49">
          <cell r="B49" t="str">
            <v>Lamina Dry Wall</v>
          </cell>
        </row>
        <row r="50">
          <cell r="B50" t="str">
            <v>Lamina Eternit para cieloraso (tamaño medio)</v>
          </cell>
        </row>
        <row r="51">
          <cell r="B51" t="str">
            <v>Lamina Galvanizada Cal 20</v>
          </cell>
        </row>
        <row r="52">
          <cell r="B52" t="str">
            <v>Lamina Steel Deck 6 x0.9</v>
          </cell>
        </row>
        <row r="53">
          <cell r="B53" t="str">
            <v>Lavamanos Infantil</v>
          </cell>
        </row>
        <row r="54">
          <cell r="B54" t="str">
            <v xml:space="preserve">Accesorios - Lavamanos </v>
          </cell>
        </row>
        <row r="55">
          <cell r="B55" t="str">
            <v>Machimbre</v>
          </cell>
        </row>
        <row r="56">
          <cell r="B56" t="str">
            <v>Minerales de color para pigmentación de estructuras de concreto</v>
          </cell>
        </row>
        <row r="57">
          <cell r="B57" t="str">
            <v>Malla Electrosoldada</v>
          </cell>
        </row>
        <row r="58">
          <cell r="B58" t="str">
            <v>MDC-2</v>
          </cell>
        </row>
        <row r="59">
          <cell r="B59" t="str">
            <v>Material Organico</v>
          </cell>
        </row>
        <row r="60">
          <cell r="B60" t="str">
            <v>Mortero 1:3</v>
          </cell>
        </row>
        <row r="61">
          <cell r="B61" t="str">
            <v>Mortero 1:4</v>
          </cell>
        </row>
        <row r="62">
          <cell r="B62" t="str">
            <v>Mortero 1:5</v>
          </cell>
        </row>
        <row r="63">
          <cell r="B63" t="str">
            <v>Orinal infantil</v>
          </cell>
        </row>
        <row r="64">
          <cell r="B64" t="str">
            <v>Pega Perfecto</v>
          </cell>
        </row>
        <row r="65">
          <cell r="B65" t="str">
            <v>Pegante PVC</v>
          </cell>
        </row>
        <row r="66">
          <cell r="B66" t="str">
            <v>Perfileria Cieloraso</v>
          </cell>
        </row>
        <row r="67">
          <cell r="B67" t="str">
            <v>PERNOS DE ANCLAJE f=7/8"</v>
          </cell>
        </row>
        <row r="68">
          <cell r="B68" t="str">
            <v>Piedra para Granito exteriores</v>
          </cell>
        </row>
        <row r="69">
          <cell r="B69" t="str">
            <v xml:space="preserve">Piedra rajon </v>
          </cell>
        </row>
        <row r="70">
          <cell r="B70" t="str">
            <v>Pintura Coraza</v>
          </cell>
        </row>
        <row r="71">
          <cell r="B71" t="str">
            <v>Pintura de aceite</v>
          </cell>
        </row>
        <row r="72">
          <cell r="B72" t="str">
            <v>Pintura de Trafico reflectiva</v>
          </cell>
        </row>
        <row r="73">
          <cell r="B73" t="str">
            <v>Pintura Viniltex Tipo 1</v>
          </cell>
        </row>
        <row r="74">
          <cell r="B74" t="str">
            <v>Piso ceramica</v>
          </cell>
        </row>
        <row r="75">
          <cell r="B75" t="str">
            <v>Piso plastico con formas de monedas marcadas</v>
          </cell>
        </row>
        <row r="76">
          <cell r="B76" t="str">
            <v>Porton dos hojas</v>
          </cell>
        </row>
        <row r="77">
          <cell r="B77" t="str">
            <v>Postes y accesorios para luminaria</v>
          </cell>
        </row>
        <row r="78">
          <cell r="B78" t="str">
            <v>Recebo Yondo</v>
          </cell>
        </row>
        <row r="79">
          <cell r="B79" t="str">
            <v xml:space="preserve">Reflectores Metalhalide 1000 W con balasto incluido </v>
          </cell>
        </row>
        <row r="80">
          <cell r="B80" t="str">
            <v>Reflector para iluminacion exterior 20W</v>
          </cell>
        </row>
        <row r="81">
          <cell r="B81" t="str">
            <v>Rejilla para seguridad de reflectores</v>
          </cell>
        </row>
        <row r="82">
          <cell r="B82" t="str">
            <v>Sanitario Infantil</v>
          </cell>
        </row>
        <row r="83">
          <cell r="B83" t="str">
            <v>Sika 1 (liquido)</v>
          </cell>
        </row>
        <row r="84">
          <cell r="B84" t="str">
            <v xml:space="preserve">Sika Color f </v>
          </cell>
        </row>
        <row r="85">
          <cell r="B85" t="str">
            <v>Sika Cuarzo</v>
          </cell>
        </row>
        <row r="86">
          <cell r="B86" t="str">
            <v>Sika fill</v>
          </cell>
        </row>
        <row r="87">
          <cell r="B87" t="str">
            <v>Sika Mortero 101</v>
          </cell>
        </row>
        <row r="88">
          <cell r="B88" t="str">
            <v>Soporteria en lamina para cieloraso</v>
          </cell>
        </row>
        <row r="89">
          <cell r="B89" t="str">
            <v>Subbase Granular</v>
          </cell>
        </row>
        <row r="90">
          <cell r="B90" t="str">
            <v>Tableta de Gress</v>
          </cell>
        </row>
        <row r="91">
          <cell r="B91" t="str">
            <v>Teja Duracustic</v>
          </cell>
        </row>
        <row r="92">
          <cell r="B92" t="str">
            <v>Teja Eternit Ondulada No.10</v>
          </cell>
        </row>
        <row r="93">
          <cell r="B93" t="str">
            <v>Teja Eternit ondulada No.6</v>
          </cell>
        </row>
        <row r="94">
          <cell r="B94" t="str">
            <v>Teja Eternit Ondulada No.8</v>
          </cell>
        </row>
        <row r="95">
          <cell r="B95" t="str">
            <v>Teja Eternit Plana 10mm</v>
          </cell>
        </row>
        <row r="96">
          <cell r="B96" t="str">
            <v>Teja Eternit Plana 6mm</v>
          </cell>
        </row>
        <row r="97">
          <cell r="B97" t="str">
            <v>Teja Eternit Plana 8mm</v>
          </cell>
        </row>
        <row r="98">
          <cell r="B98" t="str">
            <v>Teja Termoacustica</v>
          </cell>
        </row>
        <row r="99">
          <cell r="B99" t="str">
            <v>Toma doble 110v</v>
          </cell>
        </row>
        <row r="100">
          <cell r="B100" t="str">
            <v>Triturado 3/4"</v>
          </cell>
        </row>
        <row r="101">
          <cell r="B101" t="str">
            <v>Tuberia 1/2" PVC</v>
          </cell>
        </row>
        <row r="102">
          <cell r="B102" t="str">
            <v>Tuberia Acero al Carbon 6"</v>
          </cell>
        </row>
        <row r="103">
          <cell r="B103" t="str">
            <v>Tuberia PVC Conduit 2" x 3m</v>
          </cell>
        </row>
        <row r="104">
          <cell r="B104" t="str">
            <v>Tuberia PVC Conduit 3" x 3m</v>
          </cell>
        </row>
        <row r="105">
          <cell r="B105" t="str">
            <v>Tuberia Galvanizada</v>
          </cell>
        </row>
        <row r="106">
          <cell r="B106" t="str">
            <v>Tuberia PVC Sanitaria 2" SP</v>
          </cell>
        </row>
        <row r="107">
          <cell r="B107" t="str">
            <v>Tuberia PVC Sanitaria 3" SP</v>
          </cell>
        </row>
        <row r="108">
          <cell r="B108" t="str">
            <v>Tuberia PVC Sanitaria 4" SP</v>
          </cell>
        </row>
        <row r="109">
          <cell r="B109" t="str">
            <v>Tuberia PVC Sanitaria 4" TL</v>
          </cell>
        </row>
        <row r="110">
          <cell r="B110" t="str">
            <v>Tuberia PVC Sanitaria 4" TP</v>
          </cell>
        </row>
        <row r="111">
          <cell r="B111" t="str">
            <v>Tuberia PVC Sanitaria 6" SP</v>
          </cell>
        </row>
        <row r="112">
          <cell r="B112" t="str">
            <v>Tuberia PVC Sanitaria 6" TL</v>
          </cell>
        </row>
        <row r="113">
          <cell r="B113" t="str">
            <v>Tuberia PVC Sanitaria 6" TP</v>
          </cell>
        </row>
        <row r="114">
          <cell r="B114" t="str">
            <v>Tuberia PVC 12"</v>
          </cell>
        </row>
        <row r="115">
          <cell r="B115" t="str">
            <v>Tuberia PVC 200mm</v>
          </cell>
        </row>
        <row r="116">
          <cell r="B116" t="str">
            <v>Tuberia PVC 160mm</v>
          </cell>
        </row>
        <row r="117">
          <cell r="B117" t="str">
            <v>Accesorios Silla Yee de 8" x 6"</v>
          </cell>
        </row>
        <row r="118">
          <cell r="B118" t="str">
            <v>Yee 3" PVC</v>
          </cell>
        </row>
        <row r="119">
          <cell r="B119" t="str">
            <v>Lavaplatos Aluminio</v>
          </cell>
        </row>
        <row r="120">
          <cell r="B120" t="str">
            <v>Mezclador para lavaplatos</v>
          </cell>
        </row>
        <row r="121">
          <cell r="B121" t="str">
            <v>Conductor de cobre Aislado</v>
          </cell>
        </row>
        <row r="122">
          <cell r="B122" t="str">
            <v>Pigmento e imprimante de color para pigmentación de estructuras de concreto.</v>
          </cell>
        </row>
        <row r="123">
          <cell r="B123" t="str">
            <v>Tuberia Estructutal 2" e= 3mm</v>
          </cell>
        </row>
        <row r="124">
          <cell r="B124" t="str">
            <v>Soldadura 7018-6018</v>
          </cell>
        </row>
        <row r="125">
          <cell r="B125" t="str">
            <v>Valvula de flotación</v>
          </cell>
        </row>
        <row r="126">
          <cell r="B126" t="str">
            <v>Granada Cheque</v>
          </cell>
        </row>
        <row r="127">
          <cell r="B127" t="str">
            <v>Valvula de control</v>
          </cell>
        </row>
        <row r="128">
          <cell r="B128" t="str">
            <v>Boquilla Jet Dirigible</v>
          </cell>
        </row>
        <row r="129">
          <cell r="B129" t="str">
            <v>Trampa de solidos</v>
          </cell>
        </row>
        <row r="130">
          <cell r="B130" t="str">
            <v>Luz led para chorro de agua</v>
          </cell>
        </row>
        <row r="131">
          <cell r="B131" t="str">
            <v xml:space="preserve">Cable electrico para sistema de control </v>
          </cell>
        </row>
        <row r="132">
          <cell r="B132" t="str">
            <v>Hidrosolta</v>
          </cell>
        </row>
        <row r="133">
          <cell r="B133" t="str">
            <v>Dispositivo Tierra Hidrosolta 60Kg Vertical Incluye Varilla Cooper Well</v>
          </cell>
        </row>
        <row r="134">
          <cell r="B134" t="str">
            <v>Conectores de cobre</v>
          </cell>
        </row>
        <row r="135">
          <cell r="B135">
            <v>0</v>
          </cell>
        </row>
        <row r="136">
          <cell r="B13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AIU obra"/>
      <sheetName val="factor multiplicador intervento"/>
      <sheetName val="Listado precios abril 2011"/>
      <sheetName val="Listado accesorios"/>
      <sheetName val="Listado de válvulas "/>
      <sheetName val="CostosUnitarios Aduccion"/>
      <sheetName val="Memorias"/>
    </sheetNames>
    <sheetDataSet>
      <sheetData sheetId="0"/>
      <sheetData sheetId="1"/>
      <sheetData sheetId="2"/>
      <sheetData sheetId="3">
        <row r="1">
          <cell r="A1" t="str">
            <v>AGUAS DE MANIZALES S.A. E.S.P.</v>
          </cell>
        </row>
        <row r="3">
          <cell r="A3" t="str">
            <v>CUADRO RESUMEN DE COSTOS UNITARIOS</v>
          </cell>
        </row>
        <row r="4">
          <cell r="C4" t="str">
            <v>ABRIL DE 2011</v>
          </cell>
        </row>
        <row r="6">
          <cell r="A6" t="str">
            <v>ITEM</v>
          </cell>
          <cell r="B6" t="str">
            <v>DESCRIPCION</v>
          </cell>
          <cell r="C6" t="str">
            <v>UNIDAD</v>
          </cell>
          <cell r="D6" t="str">
            <v>COSTO</v>
          </cell>
        </row>
        <row r="7">
          <cell r="D7" t="str">
            <v>UNITARIO</v>
          </cell>
        </row>
        <row r="9">
          <cell r="B9" t="str">
            <v>CAPITULO 1 - PRELIMINARES</v>
          </cell>
        </row>
        <row r="10">
          <cell r="A10" t="str">
            <v>1.1</v>
          </cell>
          <cell r="B10" t="str">
            <v>SEÑALIZACIÓN</v>
          </cell>
        </row>
        <row r="11">
          <cell r="A11" t="str">
            <v>1.1.1</v>
          </cell>
          <cell r="B11" t="str">
            <v>Valla Informativa General del Proyecto</v>
          </cell>
          <cell r="C11" t="str">
            <v>m²</v>
          </cell>
          <cell r="D11">
            <v>117554</v>
          </cell>
        </row>
        <row r="12">
          <cell r="A12" t="str">
            <v>1.1.2</v>
          </cell>
          <cell r="B12" t="str">
            <v>Valla Informativa Tipo Trípode Tubular</v>
          </cell>
          <cell r="C12" t="str">
            <v>un</v>
          </cell>
          <cell r="D12">
            <v>99044</v>
          </cell>
        </row>
        <row r="13">
          <cell r="A13" t="str">
            <v>1.1.3</v>
          </cell>
          <cell r="B13" t="str">
            <v>Señal Preventiva, Reglamentaria e Informativa</v>
          </cell>
          <cell r="C13" t="str">
            <v>un</v>
          </cell>
          <cell r="D13">
            <v>104941</v>
          </cell>
        </row>
        <row r="14">
          <cell r="A14" t="str">
            <v>1.1.4</v>
          </cell>
          <cell r="B14" t="str">
            <v xml:space="preserve">Barrera con Bombones Plásticos, Cinta de Seguridad  y Yute para cerramiento                                    </v>
          </cell>
          <cell r="C14" t="str">
            <v>m</v>
          </cell>
          <cell r="D14">
            <v>5270</v>
          </cell>
        </row>
        <row r="15">
          <cell r="A15" t="str">
            <v>1.1.5</v>
          </cell>
          <cell r="B15" t="str">
            <v xml:space="preserve">Barrera con Bombones en guadua  y Cinta de Seguridad   </v>
          </cell>
          <cell r="C15" t="str">
            <v>m</v>
          </cell>
          <cell r="D15">
            <v>3450</v>
          </cell>
        </row>
        <row r="16">
          <cell r="A16" t="str">
            <v>1.1.6</v>
          </cell>
          <cell r="B16" t="str">
            <v xml:space="preserve">Barrera con Bombones Plásticos  y Cinta de Seguridad   </v>
          </cell>
          <cell r="C16" t="str">
            <v>m</v>
          </cell>
          <cell r="D16">
            <v>4470</v>
          </cell>
        </row>
        <row r="17">
          <cell r="A17" t="str">
            <v>1.1.7</v>
          </cell>
          <cell r="B17" t="str">
            <v>Cerramiento en yute H= 2 m</v>
          </cell>
          <cell r="C17" t="str">
            <v>m²</v>
          </cell>
          <cell r="D17">
            <v>5273</v>
          </cell>
        </row>
        <row r="18">
          <cell r="A18" t="str">
            <v>1.2</v>
          </cell>
          <cell r="B18" t="str">
            <v>ROCERIA Y LIMPIEZA</v>
          </cell>
        </row>
        <row r="19">
          <cell r="A19" t="str">
            <v>1.2.1</v>
          </cell>
          <cell r="B19" t="str">
            <v>Rocería y Limpieza</v>
          </cell>
          <cell r="C19" t="str">
            <v>m²</v>
          </cell>
          <cell r="D19">
            <v>893</v>
          </cell>
        </row>
        <row r="20">
          <cell r="A20" t="str">
            <v>1.3</v>
          </cell>
          <cell r="B20" t="str">
            <v>LOCALIZACIÓN Y REPLANTEO</v>
          </cell>
        </row>
        <row r="21">
          <cell r="A21" t="str">
            <v>1.3.1</v>
          </cell>
          <cell r="B21" t="str">
            <v>Localización y Replanteo de Construcciones</v>
          </cell>
          <cell r="C21" t="str">
            <v>m²</v>
          </cell>
          <cell r="D21">
            <v>1497</v>
          </cell>
        </row>
        <row r="22">
          <cell r="A22" t="str">
            <v>1.3.2</v>
          </cell>
          <cell r="B22" t="str">
            <v>Localización y Replanteo de Redes (incluye topografía y plano récord)</v>
          </cell>
          <cell r="C22" t="str">
            <v>m</v>
          </cell>
          <cell r="D22">
            <v>2760</v>
          </cell>
        </row>
        <row r="23">
          <cell r="A23" t="str">
            <v>1.4</v>
          </cell>
          <cell r="B23" t="str">
            <v>CAMPAMENTO E INSTALACIONES PROVISIONALES</v>
          </cell>
        </row>
        <row r="24">
          <cell r="A24" t="str">
            <v>1.4.1</v>
          </cell>
          <cell r="B24" t="str">
            <v>Campamento e Instalaciones Provisionales</v>
          </cell>
          <cell r="C24" t="str">
            <v>m²</v>
          </cell>
          <cell r="D24">
            <v>73467</v>
          </cell>
        </row>
        <row r="25">
          <cell r="A25" t="str">
            <v>1.4.2</v>
          </cell>
          <cell r="B25" t="str">
            <v>Bodega para Campamento</v>
          </cell>
          <cell r="C25" t="str">
            <v>m²- mes</v>
          </cell>
          <cell r="D25">
            <v>9985</v>
          </cell>
        </row>
        <row r="26">
          <cell r="A26" t="str">
            <v>1.5</v>
          </cell>
          <cell r="B26" t="str">
            <v>Puente Peatonal Provisional en Madera (1.4 m.)</v>
          </cell>
          <cell r="C26" t="str">
            <v>m</v>
          </cell>
          <cell r="D26">
            <v>36221</v>
          </cell>
        </row>
        <row r="27">
          <cell r="A27" t="str">
            <v>1.6</v>
          </cell>
          <cell r="B27" t="str">
            <v>TECHADOS</v>
          </cell>
        </row>
        <row r="28">
          <cell r="A28" t="str">
            <v>1.6.1</v>
          </cell>
          <cell r="B28" t="str">
            <v>Techado provisional de Obras en Guadua y Plástico</v>
          </cell>
          <cell r="C28" t="str">
            <v>m²</v>
          </cell>
          <cell r="D28">
            <v>5682</v>
          </cell>
        </row>
        <row r="29">
          <cell r="A29" t="str">
            <v>1.6.2</v>
          </cell>
          <cell r="B29" t="str">
            <v>Techado movible en Guadua y Plástico</v>
          </cell>
          <cell r="C29" t="str">
            <v>m²</v>
          </cell>
          <cell r="D29">
            <v>3318</v>
          </cell>
        </row>
        <row r="30">
          <cell r="A30" t="str">
            <v>1.7</v>
          </cell>
          <cell r="B30" t="str">
            <v>Cordón provisional para control de Aguas Lluvias</v>
          </cell>
          <cell r="C30" t="str">
            <v>m</v>
          </cell>
          <cell r="D30">
            <v>4294</v>
          </cell>
        </row>
        <row r="32">
          <cell r="B32" t="str">
            <v>CAPITULO 2 - DEMOLICIONES</v>
          </cell>
        </row>
        <row r="34">
          <cell r="A34" t="str">
            <v>2.1</v>
          </cell>
          <cell r="B34" t="str">
            <v>Demolición de Pavimentos en Concreto Hidráulico</v>
          </cell>
          <cell r="C34" t="str">
            <v>m³</v>
          </cell>
          <cell r="D34">
            <v>54136</v>
          </cell>
        </row>
        <row r="35">
          <cell r="A35" t="str">
            <v>2.2</v>
          </cell>
          <cell r="B35" t="str">
            <v>Demolición de Andenes/Sardineles en Concreto Hidráulico</v>
          </cell>
          <cell r="C35" t="str">
            <v>m³</v>
          </cell>
          <cell r="D35">
            <v>47253</v>
          </cell>
        </row>
        <row r="36">
          <cell r="A36" t="str">
            <v>2.3</v>
          </cell>
          <cell r="B36" t="str">
            <v>Demolición de Pavimentos en Concreto Asfáltico</v>
          </cell>
          <cell r="C36" t="str">
            <v>m³</v>
          </cell>
          <cell r="D36">
            <v>17499</v>
          </cell>
        </row>
        <row r="37">
          <cell r="A37" t="str">
            <v>2.4</v>
          </cell>
          <cell r="B37" t="str">
            <v>Demolición de Estructuras en Concreto Hidráulico Simple</v>
          </cell>
          <cell r="C37" t="str">
            <v>m³</v>
          </cell>
          <cell r="D37">
            <v>58764</v>
          </cell>
        </row>
        <row r="38">
          <cell r="A38" t="str">
            <v>2.5</v>
          </cell>
          <cell r="B38" t="str">
            <v>Demolición de Estructuras de Concreto reforzado</v>
          </cell>
          <cell r="C38" t="str">
            <v>m³</v>
          </cell>
          <cell r="D38">
            <v>76893</v>
          </cell>
        </row>
        <row r="40">
          <cell r="B40" t="str">
            <v>CAPITULO 3 - SOBREACARREOS</v>
          </cell>
        </row>
        <row r="42">
          <cell r="A42" t="str">
            <v>3.1</v>
          </cell>
          <cell r="B42" t="str">
            <v>Evacuación de Escombros/Sobrantes en Vehículo Automotor</v>
          </cell>
          <cell r="C42" t="str">
            <v>m³</v>
          </cell>
          <cell r="D42">
            <v>17194</v>
          </cell>
        </row>
        <row r="43">
          <cell r="A43" t="str">
            <v>3.2</v>
          </cell>
          <cell r="B43" t="str">
            <v>Manejo/Movilización de Materiales en Vehículo-No Automotor</v>
          </cell>
          <cell r="C43" t="str">
            <v>m³-Hm</v>
          </cell>
          <cell r="D43">
            <v>17846</v>
          </cell>
        </row>
        <row r="45">
          <cell r="B45" t="str">
            <v>CAPITULO 4 - EXCAVACIONES</v>
          </cell>
        </row>
        <row r="47">
          <cell r="A47" t="str">
            <v>4.1</v>
          </cell>
          <cell r="B47" t="str">
            <v>EXCAVACIÓN EN ZANJA</v>
          </cell>
        </row>
        <row r="48">
          <cell r="A48" t="str">
            <v>4.1.1</v>
          </cell>
          <cell r="B48" t="str">
            <v>Material Común</v>
          </cell>
        </row>
        <row r="49">
          <cell r="A49" t="str">
            <v>4.1.1.1</v>
          </cell>
          <cell r="B49" t="str">
            <v>Excavación en Zanja - Material Común - 0.0 a 2.0 m.</v>
          </cell>
          <cell r="C49" t="str">
            <v>m³</v>
          </cell>
          <cell r="D49">
            <v>13314</v>
          </cell>
        </row>
        <row r="50">
          <cell r="A50" t="str">
            <v>4.1.1.2</v>
          </cell>
          <cell r="B50" t="str">
            <v>Excavación en Zanja - Material Común - 2.01 a 4.0 m.</v>
          </cell>
          <cell r="C50" t="str">
            <v>m³</v>
          </cell>
          <cell r="D50">
            <v>19047</v>
          </cell>
        </row>
        <row r="51">
          <cell r="A51" t="str">
            <v>4.1.1.3</v>
          </cell>
          <cell r="B51" t="str">
            <v>Excavación en Zanja - Material Común - 4.01 a 6.0 m.</v>
          </cell>
          <cell r="C51" t="str">
            <v>m³</v>
          </cell>
          <cell r="D51">
            <v>33068</v>
          </cell>
        </row>
        <row r="52">
          <cell r="A52" t="str">
            <v>4.1.2</v>
          </cell>
          <cell r="B52" t="str">
            <v>Conglomerado</v>
          </cell>
        </row>
        <row r="53">
          <cell r="A53" t="str">
            <v>4.1.2.1</v>
          </cell>
          <cell r="B53" t="str">
            <v>Excavación en Zanja - Conglomerado - 0.0 a 2.0 m.</v>
          </cell>
          <cell r="C53" t="str">
            <v>m³</v>
          </cell>
          <cell r="D53">
            <v>19051</v>
          </cell>
        </row>
        <row r="54">
          <cell r="A54" t="str">
            <v>4.1.2.2</v>
          </cell>
          <cell r="B54" t="str">
            <v>Excavación en Zanja - Conglomerado - 2.01 a 4.0 m.</v>
          </cell>
          <cell r="C54" t="str">
            <v>m³</v>
          </cell>
          <cell r="D54">
            <v>24822</v>
          </cell>
        </row>
        <row r="55">
          <cell r="A55" t="str">
            <v>4.1.2.3</v>
          </cell>
          <cell r="B55" t="str">
            <v>Excavación en Zanja - Conglomerado - 4.01 a 6.0 m.</v>
          </cell>
          <cell r="C55" t="str">
            <v>m³</v>
          </cell>
          <cell r="D55">
            <v>36308</v>
          </cell>
        </row>
        <row r="56">
          <cell r="A56" t="str">
            <v>4.1.3</v>
          </cell>
          <cell r="B56" t="str">
            <v>Roca</v>
          </cell>
        </row>
        <row r="57">
          <cell r="A57" t="str">
            <v>4.1.3.1</v>
          </cell>
          <cell r="B57" t="str">
            <v>Excavación en Zanja - Roca - Con Explosivos - 0.0 a 2.0 m.</v>
          </cell>
          <cell r="C57" t="str">
            <v>m³</v>
          </cell>
          <cell r="D57">
            <v>98191</v>
          </cell>
        </row>
        <row r="58">
          <cell r="A58" t="str">
            <v>4.1.3.2</v>
          </cell>
          <cell r="B58" t="str">
            <v>Excavación en Zanja - Roca - Con Explosivos - 2.01 a 4.0 m.</v>
          </cell>
          <cell r="C58" t="str">
            <v>m³</v>
          </cell>
          <cell r="D58">
            <v>103098</v>
          </cell>
        </row>
        <row r="59">
          <cell r="A59" t="str">
            <v>4.1.3.3</v>
          </cell>
          <cell r="B59" t="str">
            <v>Excavación en Zanja - Roca - Con Explosivos - 4.01 a 6.0 m.</v>
          </cell>
          <cell r="C59" t="str">
            <v>m³</v>
          </cell>
          <cell r="D59">
            <v>113487</v>
          </cell>
        </row>
        <row r="60">
          <cell r="A60" t="str">
            <v>4.1.4.</v>
          </cell>
          <cell r="B60" t="str">
            <v>Excavación en Zanja - Mat Común/Conglomerado - Retroexcavadora - 0.0 a 6.0 m.</v>
          </cell>
          <cell r="C60" t="str">
            <v>m³</v>
          </cell>
          <cell r="D60">
            <v>6386</v>
          </cell>
        </row>
        <row r="61">
          <cell r="A61" t="str">
            <v>4.2</v>
          </cell>
          <cell r="B61" t="str">
            <v>EXCAVACIÓN PARA ESTRUCTURAS</v>
          </cell>
        </row>
        <row r="62">
          <cell r="A62" t="str">
            <v>4.2.1.</v>
          </cell>
          <cell r="B62" t="str">
            <v>Excavación para Estructuras - Material Común - 0.0 a 2.0 m.</v>
          </cell>
          <cell r="C62" t="str">
            <v>m³</v>
          </cell>
          <cell r="D62">
            <v>15357</v>
          </cell>
        </row>
        <row r="63">
          <cell r="A63" t="str">
            <v>4.2.2.</v>
          </cell>
          <cell r="B63" t="str">
            <v>Excavación para Estructuras - Conglomerado - 0.0 a 2.0 m.</v>
          </cell>
          <cell r="C63" t="str">
            <v>m³</v>
          </cell>
          <cell r="D63">
            <v>20363</v>
          </cell>
        </row>
        <row r="64">
          <cell r="A64" t="str">
            <v>4.2.3</v>
          </cell>
          <cell r="B64" t="str">
            <v>Excavación para Estructuras - Conglomerado - 2.0 a 4.0 m</v>
          </cell>
          <cell r="C64" t="str">
            <v>m³</v>
          </cell>
          <cell r="D64">
            <v>20835</v>
          </cell>
        </row>
        <row r="65">
          <cell r="A65" t="str">
            <v>4.2.4</v>
          </cell>
          <cell r="B65" t="str">
            <v>Excavación para Estructuras-Roca-Con Explosivo - 0.0 a 2.0 m.</v>
          </cell>
          <cell r="C65" t="str">
            <v>m³</v>
          </cell>
          <cell r="D65">
            <v>102654</v>
          </cell>
        </row>
        <row r="66">
          <cell r="A66" t="str">
            <v>4.2.5</v>
          </cell>
          <cell r="B66" t="str">
            <v>Excavación para Estructuras - Material Común/Conglomerado - Mecanizada - 0.0 a 6.0 m.</v>
          </cell>
          <cell r="C66" t="str">
            <v>m³</v>
          </cell>
          <cell r="D66">
            <v>6890</v>
          </cell>
        </row>
        <row r="67">
          <cell r="A67" t="str">
            <v>4.2.6</v>
          </cell>
          <cell r="B67" t="str">
            <v>Excavación para Estructuras - Material Común - 2.0 a 4.0 m.</v>
          </cell>
          <cell r="C67" t="str">
            <v>m³</v>
          </cell>
          <cell r="D67">
            <v>19278</v>
          </cell>
        </row>
        <row r="68">
          <cell r="A68" t="str">
            <v>4.3</v>
          </cell>
          <cell r="B68" t="str">
            <v>EXCAVACIÓN A CIELO ABIERTO</v>
          </cell>
        </row>
        <row r="69">
          <cell r="A69" t="str">
            <v>4.3.1</v>
          </cell>
          <cell r="B69" t="str">
            <v xml:space="preserve">Excavación a Cielo Abierto - Material Común - 0.0 a 2.0 Mt                                         </v>
          </cell>
          <cell r="C69" t="str">
            <v>m³</v>
          </cell>
          <cell r="D69">
            <v>12882</v>
          </cell>
        </row>
        <row r="70">
          <cell r="A70" t="str">
            <v>4.3.2</v>
          </cell>
          <cell r="B70" t="str">
            <v xml:space="preserve">Excavación a Cielo Abierto - Conglomerado - 0.0 a 2.0 Mt                                         </v>
          </cell>
          <cell r="C70" t="str">
            <v>m³</v>
          </cell>
          <cell r="D70">
            <v>18547</v>
          </cell>
        </row>
        <row r="71">
          <cell r="A71" t="str">
            <v>4.3.3</v>
          </cell>
          <cell r="B71" t="str">
            <v xml:space="preserve">Excavación Mecanizada Cielo Abierto-Mat común/Conglom  0.0 a 6.0 m.                                      </v>
          </cell>
          <cell r="C71" t="str">
            <v>m³</v>
          </cell>
          <cell r="D71">
            <v>5795</v>
          </cell>
        </row>
        <row r="72">
          <cell r="A72" t="str">
            <v>4.4</v>
          </cell>
          <cell r="B72" t="str">
            <v>CONFORMACIÓN DE TALUDES</v>
          </cell>
        </row>
        <row r="73">
          <cell r="A73" t="str">
            <v>4.4.1</v>
          </cell>
          <cell r="B73" t="str">
            <v>Conformación de taludes con equipo mecánico</v>
          </cell>
          <cell r="C73" t="str">
            <v>m³</v>
          </cell>
          <cell r="D73">
            <v>4446</v>
          </cell>
        </row>
        <row r="74">
          <cell r="A74" t="str">
            <v>4.4.2</v>
          </cell>
          <cell r="B74" t="str">
            <v xml:space="preserve">Conformación de taludes sistema manual           </v>
          </cell>
          <cell r="C74" t="str">
            <v>m³</v>
          </cell>
          <cell r="D74">
            <v>11246</v>
          </cell>
        </row>
        <row r="76">
          <cell r="B76" t="str">
            <v>CAPITULO 5 - APUNTALAMIENTOS Y ENTIBADOS</v>
          </cell>
        </row>
        <row r="78">
          <cell r="A78" t="str">
            <v>5.1</v>
          </cell>
          <cell r="B78" t="str">
            <v>Entibado Horizontal/ Vertical tipo 1</v>
          </cell>
          <cell r="C78" t="str">
            <v>m</v>
          </cell>
          <cell r="D78">
            <v>19223</v>
          </cell>
        </row>
        <row r="79">
          <cell r="A79" t="str">
            <v>5.2</v>
          </cell>
          <cell r="B79" t="str">
            <v>Entibado Tipo 2</v>
          </cell>
          <cell r="C79" t="str">
            <v>m²</v>
          </cell>
          <cell r="D79">
            <v>21923</v>
          </cell>
        </row>
        <row r="80">
          <cell r="A80" t="str">
            <v xml:space="preserve"> </v>
          </cell>
          <cell r="B80" t="str">
            <v xml:space="preserve"> </v>
          </cell>
          <cell r="C80" t="str">
            <v xml:space="preserve"> </v>
          </cell>
          <cell r="D80" t="str">
            <v xml:space="preserve"> </v>
          </cell>
        </row>
        <row r="81">
          <cell r="B81" t="str">
            <v>CAPITULO 6 - ALCANTARILLADOS</v>
          </cell>
        </row>
        <row r="83">
          <cell r="A83" t="str">
            <v>6.2</v>
          </cell>
          <cell r="B83" t="str">
            <v>SUMINISTRO Y INSTALACIÓN DE TUBERÍA EN PVC CORRUGADA</v>
          </cell>
        </row>
        <row r="84">
          <cell r="A84" t="str">
            <v>6.2.1</v>
          </cell>
          <cell r="B84" t="str">
            <v>Suministro/Instalación de Tubería Pvc Corrugada de 160 m.m. (6")</v>
          </cell>
          <cell r="C84" t="str">
            <v>m</v>
          </cell>
          <cell r="D84">
            <v>28252</v>
          </cell>
        </row>
        <row r="85">
          <cell r="A85" t="str">
            <v>6.2.2</v>
          </cell>
          <cell r="B85" t="str">
            <v>Transporte/Instalación de Tubería Pvc Corrugada de 160 m.m. (6")</v>
          </cell>
          <cell r="C85" t="str">
            <v>m</v>
          </cell>
          <cell r="D85">
            <v>10271</v>
          </cell>
        </row>
        <row r="86">
          <cell r="A86" t="str">
            <v>6.2.3</v>
          </cell>
          <cell r="B86" t="str">
            <v>Suministro/Instalación de Tubería Pvc Corrugada de 200 m.m. (8")</v>
          </cell>
          <cell r="C86" t="str">
            <v>m</v>
          </cell>
          <cell r="D86">
            <v>37631</v>
          </cell>
        </row>
        <row r="87">
          <cell r="A87" t="str">
            <v>6.2.4</v>
          </cell>
          <cell r="B87" t="str">
            <v>Transporte/Instalación de Tubería Pvc Corrugada de 200 m.m. (8")</v>
          </cell>
          <cell r="C87" t="str">
            <v>m</v>
          </cell>
          <cell r="D87">
            <v>11101</v>
          </cell>
        </row>
        <row r="88">
          <cell r="A88" t="str">
            <v>6.2.5</v>
          </cell>
          <cell r="B88" t="str">
            <v>Suministro/Instalación de Tubería Pvc Corrugada de 250 m.m. (10")</v>
          </cell>
          <cell r="C88" t="str">
            <v>m</v>
          </cell>
          <cell r="D88">
            <v>53192</v>
          </cell>
        </row>
        <row r="89">
          <cell r="A89" t="str">
            <v>6.2.6</v>
          </cell>
          <cell r="B89" t="str">
            <v>Transporte/Instalación de Tubería Pvc Corrugada de 250 m.m. (10")</v>
          </cell>
          <cell r="C89" t="str">
            <v>m</v>
          </cell>
          <cell r="D89">
            <v>12393</v>
          </cell>
        </row>
        <row r="90">
          <cell r="A90" t="str">
            <v>6.2.7</v>
          </cell>
          <cell r="B90" t="str">
            <v>Suministro/Instalación de Tubería Pvc Corrugada de 315 m.m. (12")</v>
          </cell>
          <cell r="C90" t="str">
            <v>m</v>
          </cell>
          <cell r="D90">
            <v>75377</v>
          </cell>
        </row>
        <row r="91">
          <cell r="A91" t="str">
            <v>6.2.8</v>
          </cell>
          <cell r="B91" t="str">
            <v>Transporte/Instalación de Tubería Pvc Corrugada de 315 m.m. (12")</v>
          </cell>
          <cell r="C91" t="str">
            <v>m</v>
          </cell>
          <cell r="D91">
            <v>17540</v>
          </cell>
        </row>
        <row r="92">
          <cell r="A92" t="str">
            <v>6.2.9</v>
          </cell>
          <cell r="B92" t="str">
            <v>Suministro/Instalación de Tubería Pvc Corrugada de 355 m.m. (14")</v>
          </cell>
          <cell r="C92" t="str">
            <v>m</v>
          </cell>
          <cell r="D92">
            <v>84962</v>
          </cell>
        </row>
        <row r="93">
          <cell r="A93" t="str">
            <v>6.2.10</v>
          </cell>
          <cell r="B93" t="str">
            <v>Transporte/Instalación de Tubería Pvc Corrugada de 355 m.m. (14")</v>
          </cell>
          <cell r="C93" t="str">
            <v>m</v>
          </cell>
          <cell r="D93">
            <v>15944</v>
          </cell>
        </row>
        <row r="94">
          <cell r="A94" t="str">
            <v>6.2.11</v>
          </cell>
          <cell r="B94" t="str">
            <v>Suministro/Instalación de Tubería Pvc Corrugada de 400 m.m. (16")</v>
          </cell>
          <cell r="C94" t="str">
            <v>m</v>
          </cell>
          <cell r="D94">
            <v>115189</v>
          </cell>
        </row>
        <row r="95">
          <cell r="A95" t="str">
            <v>6.2.12</v>
          </cell>
          <cell r="B95" t="str">
            <v>Transporte/Instalación de Tubería Pvc Corrugada de 400 m.m. (16")</v>
          </cell>
          <cell r="C95" t="str">
            <v>m</v>
          </cell>
          <cell r="D95">
            <v>25512</v>
          </cell>
        </row>
        <row r="96">
          <cell r="A96" t="str">
            <v>6.2.13</v>
          </cell>
          <cell r="B96" t="str">
            <v>Suministro/Instalación de Tubería Pvc Corrugada de 450 m.m. (18")</v>
          </cell>
          <cell r="C96" t="str">
            <v>m</v>
          </cell>
          <cell r="D96">
            <v>146343</v>
          </cell>
        </row>
        <row r="97">
          <cell r="A97" t="str">
            <v>6.2.14</v>
          </cell>
          <cell r="B97" t="str">
            <v>Transporte/Instalación de Tubería Pvc Corrugada de 450 m.m. (18")</v>
          </cell>
          <cell r="C97" t="str">
            <v>m</v>
          </cell>
          <cell r="D97">
            <v>27507</v>
          </cell>
        </row>
        <row r="98">
          <cell r="A98" t="str">
            <v>6.2.15</v>
          </cell>
          <cell r="B98" t="str">
            <v>Suministro/Instalación de Tubería Pvc Corrugada de 500 m.m. (20")</v>
          </cell>
          <cell r="C98" t="str">
            <v>m</v>
          </cell>
          <cell r="D98">
            <v>179344</v>
          </cell>
        </row>
        <row r="99">
          <cell r="A99" t="str">
            <v>6.2.16</v>
          </cell>
          <cell r="B99" t="str">
            <v>Transporte/Instalación de Tubería Pvc Corrugada de 500 m.m. (20")</v>
          </cell>
          <cell r="C99" t="str">
            <v>m</v>
          </cell>
          <cell r="D99">
            <v>31278</v>
          </cell>
        </row>
        <row r="100">
          <cell r="A100" t="str">
            <v>6.2.17</v>
          </cell>
          <cell r="B100" t="str">
            <v>Suministro/Instalación de Tubería Pvc Corrugada o perfilada acampanada de 24"</v>
          </cell>
          <cell r="C100" t="str">
            <v>m</v>
          </cell>
          <cell r="D100">
            <v>261619</v>
          </cell>
        </row>
        <row r="101">
          <cell r="A101" t="str">
            <v>6.2.18</v>
          </cell>
          <cell r="B101" t="str">
            <v>Suministro/Instalación de Tubería Pvc Corrugada o perfilada acampanada de 27"</v>
          </cell>
          <cell r="C101" t="str">
            <v>m</v>
          </cell>
          <cell r="D101">
            <v>278320</v>
          </cell>
        </row>
        <row r="102">
          <cell r="A102" t="str">
            <v>6.2.19</v>
          </cell>
          <cell r="B102" t="str">
            <v>Suministro/Instalación de Tubería Pvc Corrugada ó perfilada acampanada de 30"</v>
          </cell>
          <cell r="C102" t="str">
            <v>m</v>
          </cell>
          <cell r="D102">
            <v>336208</v>
          </cell>
        </row>
        <row r="103">
          <cell r="A103" t="str">
            <v>6.2.20</v>
          </cell>
          <cell r="B103" t="str">
            <v>Suministro/Instalación de Tubería Pvc Corrugada o perfilada acampanada de 33"</v>
          </cell>
          <cell r="C103" t="str">
            <v>m</v>
          </cell>
          <cell r="D103">
            <v>440959</v>
          </cell>
        </row>
        <row r="104">
          <cell r="A104" t="str">
            <v>6.2.21</v>
          </cell>
          <cell r="B104" t="str">
            <v>Suministro/Instalación de Tubería Pvc Corrugada ó perfilada acampanada de 36"</v>
          </cell>
          <cell r="C104" t="str">
            <v>m</v>
          </cell>
          <cell r="D104">
            <v>597183</v>
          </cell>
        </row>
        <row r="105">
          <cell r="A105" t="str">
            <v>6.2.22</v>
          </cell>
          <cell r="B105" t="str">
            <v>Suministro/Instalación de Tubería Pvc Perfilada (24")</v>
          </cell>
          <cell r="C105" t="str">
            <v>m</v>
          </cell>
          <cell r="D105">
            <v>278055</v>
          </cell>
        </row>
        <row r="106">
          <cell r="A106" t="str">
            <v>6.2.23</v>
          </cell>
          <cell r="B106" t="str">
            <v>Suministro/Instalación de Tubería Pvc Perfilada (27")</v>
          </cell>
          <cell r="C106" t="str">
            <v>m</v>
          </cell>
          <cell r="D106">
            <v>340989</v>
          </cell>
        </row>
        <row r="107">
          <cell r="A107" t="str">
            <v>6.2.24</v>
          </cell>
          <cell r="B107" t="str">
            <v>Suministro/Instalación de Tubería Pvc Perfilada (30")</v>
          </cell>
          <cell r="C107" t="str">
            <v>m</v>
          </cell>
          <cell r="D107">
            <v>391121</v>
          </cell>
        </row>
        <row r="108">
          <cell r="A108" t="str">
            <v>6.2.25</v>
          </cell>
          <cell r="B108" t="str">
            <v>Suministro/Instalación de Tubería Pvc Perfilada (33")</v>
          </cell>
          <cell r="C108" t="str">
            <v>m</v>
          </cell>
          <cell r="D108">
            <v>440997</v>
          </cell>
        </row>
        <row r="109">
          <cell r="A109" t="str">
            <v>6.2.26</v>
          </cell>
          <cell r="B109" t="str">
            <v>Suministro/Instalación de Tubería Pvc Perfilada (36")</v>
          </cell>
          <cell r="C109" t="str">
            <v>m</v>
          </cell>
          <cell r="D109">
            <v>597166</v>
          </cell>
        </row>
        <row r="110">
          <cell r="A110" t="str">
            <v>6.2.27</v>
          </cell>
          <cell r="B110" t="str">
            <v>Suministro/Instalación de Tubería Pvc Perfilada (39")</v>
          </cell>
          <cell r="C110" t="str">
            <v>m</v>
          </cell>
          <cell r="D110">
            <v>846054</v>
          </cell>
        </row>
        <row r="111">
          <cell r="A111" t="str">
            <v>6.2.28</v>
          </cell>
          <cell r="B111" t="str">
            <v>Suministro/Instalación de Tubería Pvc Perfilada (42")</v>
          </cell>
          <cell r="C111" t="str">
            <v>m</v>
          </cell>
          <cell r="D111">
            <v>904296</v>
          </cell>
        </row>
        <row r="112">
          <cell r="A112" t="str">
            <v>6.2.29</v>
          </cell>
          <cell r="B112" t="str">
            <v>Suministro/Instalación de Tubería Pvc Perfilada (45")</v>
          </cell>
          <cell r="C112" t="str">
            <v>m</v>
          </cell>
          <cell r="D112">
            <v>940407</v>
          </cell>
        </row>
        <row r="113">
          <cell r="A113" t="str">
            <v>6.2.30</v>
          </cell>
          <cell r="B113" t="str">
            <v>Suministro/Instalación de Tubería Pvc Perfilada (48")</v>
          </cell>
          <cell r="C113" t="str">
            <v>m</v>
          </cell>
          <cell r="D113">
            <v>1361403</v>
          </cell>
        </row>
        <row r="114">
          <cell r="A114" t="str">
            <v>6.2.31</v>
          </cell>
          <cell r="B114" t="str">
            <v>Suministro/Instalación de Tubería Pvc Perfilada (60")</v>
          </cell>
          <cell r="C114" t="str">
            <v>m</v>
          </cell>
          <cell r="D114">
            <v>1725599</v>
          </cell>
        </row>
        <row r="115">
          <cell r="A115" t="str">
            <v>6.3</v>
          </cell>
          <cell r="B115" t="str">
            <v>SUMINISTRO E INSTALACIÓN DE EMPALMES EN PVC</v>
          </cell>
        </row>
        <row r="116">
          <cell r="A116" t="str">
            <v>6.3.1</v>
          </cell>
          <cell r="B116" t="str">
            <v>Suministro/Instalación de Empalme Pvc Corrugada 200 x 160 m.m.</v>
          </cell>
          <cell r="C116" t="str">
            <v>un</v>
          </cell>
          <cell r="D116">
            <v>104023</v>
          </cell>
        </row>
        <row r="117">
          <cell r="A117" t="str">
            <v>6.3.2</v>
          </cell>
          <cell r="B117" t="str">
            <v>Suministro/Instalación de Empalme Pvc Corrugada 250 x 160 m.m.</v>
          </cell>
          <cell r="C117" t="str">
            <v>un</v>
          </cell>
          <cell r="D117">
            <v>115619</v>
          </cell>
        </row>
        <row r="118">
          <cell r="A118" t="str">
            <v>6.3.3</v>
          </cell>
          <cell r="B118" t="str">
            <v>Transporte/Instalación de Empalme Pvc Corrugada 250 x 160 m.m.</v>
          </cell>
          <cell r="C118" t="str">
            <v>un</v>
          </cell>
          <cell r="D118">
            <v>28448</v>
          </cell>
        </row>
        <row r="119">
          <cell r="A119" t="str">
            <v>6.3.4</v>
          </cell>
          <cell r="B119" t="str">
            <v>Suministro/Instalación de Empalme Pvc Corrugada 315 x 160 m.m.</v>
          </cell>
          <cell r="C119" t="str">
            <v>un</v>
          </cell>
          <cell r="D119">
            <v>228323</v>
          </cell>
        </row>
        <row r="120">
          <cell r="A120" t="str">
            <v>6.3.5</v>
          </cell>
          <cell r="B120" t="str">
            <v>Transporte/Instalación de Empalme Pvc Corrugada 315 x 160 m.m.</v>
          </cell>
          <cell r="C120" t="str">
            <v>un</v>
          </cell>
          <cell r="D120">
            <v>34083</v>
          </cell>
        </row>
        <row r="121">
          <cell r="A121" t="str">
            <v>6.3.6</v>
          </cell>
          <cell r="B121" t="str">
            <v>Suministro/Instalación de Empalme Pvc Corrugada 400 x 160 m.m.</v>
          </cell>
          <cell r="C121" t="str">
            <v>un</v>
          </cell>
          <cell r="D121">
            <v>240197</v>
          </cell>
        </row>
        <row r="122">
          <cell r="A122" t="str">
            <v>6.3.7</v>
          </cell>
          <cell r="B122" t="str">
            <v>Transporte/Instalación de Empalme Pvc Corrugada 400 x 160 m.m.</v>
          </cell>
          <cell r="C122" t="str">
            <v>un</v>
          </cell>
          <cell r="D122">
            <v>94030</v>
          </cell>
        </row>
        <row r="123">
          <cell r="A123" t="str">
            <v>6.3.8</v>
          </cell>
          <cell r="B123" t="str">
            <v>Suministro/Instalación de Empalme Pvc Corrugada 450 x 160 m.m.</v>
          </cell>
          <cell r="C123" t="str">
            <v>un</v>
          </cell>
          <cell r="D123">
            <v>289843</v>
          </cell>
        </row>
        <row r="124">
          <cell r="A124" t="str">
            <v>6.3.9</v>
          </cell>
          <cell r="B124" t="str">
            <v>Transporte/Instalación de Empalme Pvc Corrugada 450 x 160 m.m.</v>
          </cell>
          <cell r="C124" t="str">
            <v>un</v>
          </cell>
          <cell r="D124">
            <v>133500</v>
          </cell>
        </row>
        <row r="125">
          <cell r="A125" t="str">
            <v>6.3.10</v>
          </cell>
          <cell r="B125" t="str">
            <v>Suministro/Instalación de Empalme Pvc Corrugada 500 x 160 m.m.</v>
          </cell>
          <cell r="C125" t="str">
            <v>un</v>
          </cell>
          <cell r="D125">
            <v>403311</v>
          </cell>
        </row>
        <row r="126">
          <cell r="A126" t="str">
            <v>6.3.11</v>
          </cell>
          <cell r="B126" t="str">
            <v>Transporte/Instalación de Empalme Pvc Corrugada 500 x 160 m.m.</v>
          </cell>
          <cell r="C126" t="str">
            <v>un</v>
          </cell>
          <cell r="D126">
            <v>164807</v>
          </cell>
        </row>
        <row r="127">
          <cell r="A127" t="str">
            <v>6.3.12</v>
          </cell>
          <cell r="B127" t="str">
            <v>Suministro/Instalación de Empalme Pvc Corrugada 24" x 160 m.m.</v>
          </cell>
          <cell r="C127" t="str">
            <v>un</v>
          </cell>
          <cell r="D127">
            <v>363412</v>
          </cell>
        </row>
        <row r="128">
          <cell r="A128" t="str">
            <v>6.3.13</v>
          </cell>
          <cell r="B128" t="str">
            <v>Suministro/Instalación de Empalme Pvc Corrugada 27" x 160 m.m.</v>
          </cell>
          <cell r="C128" t="str">
            <v>un</v>
          </cell>
          <cell r="D128">
            <v>413127</v>
          </cell>
        </row>
        <row r="129">
          <cell r="A129" t="str">
            <v>6.4</v>
          </cell>
          <cell r="B129" t="str">
            <v>Transporte/Instalación de Tubería Polietileno Pead 450 m.m.</v>
          </cell>
          <cell r="C129" t="str">
            <v>m</v>
          </cell>
          <cell r="D129">
            <v>28823</v>
          </cell>
        </row>
        <row r="130">
          <cell r="A130" t="str">
            <v>6.5</v>
          </cell>
          <cell r="B130" t="str">
            <v>Empotramiento y Anclaje de Tuberías en Concreto simple Clase II</v>
          </cell>
          <cell r="C130" t="str">
            <v>m³</v>
          </cell>
          <cell r="D130">
            <v>319219</v>
          </cell>
        </row>
        <row r="131">
          <cell r="A131" t="str">
            <v>6.6</v>
          </cell>
          <cell r="B131" t="str">
            <v>CAMARAS DE INSPECCIÓN</v>
          </cell>
        </row>
        <row r="132">
          <cell r="A132" t="str">
            <v>6.6.1</v>
          </cell>
          <cell r="B132" t="str">
            <v>Cámara de Inspección/Caída D=1.20 m. Concreto simple Clase II</v>
          </cell>
          <cell r="C132" t="str">
            <v>m</v>
          </cell>
          <cell r="D132">
            <v>263088</v>
          </cell>
        </row>
        <row r="133">
          <cell r="A133" t="str">
            <v>6.6.2</v>
          </cell>
          <cell r="B133" t="str">
            <v>Cámara de Inspección/Caída D=1.50 m. Concreto simple Clase II</v>
          </cell>
          <cell r="C133" t="str">
            <v>m</v>
          </cell>
          <cell r="D133">
            <v>347041</v>
          </cell>
        </row>
        <row r="134">
          <cell r="A134" t="str">
            <v>6.6.3</v>
          </cell>
          <cell r="B134" t="str">
            <v>Base/Cañuela Cámara de Inspección y/o de Caída D=1.20 m. Concreto simple Clase II</v>
          </cell>
          <cell r="C134" t="str">
            <v>un</v>
          </cell>
          <cell r="D134">
            <v>212037</v>
          </cell>
        </row>
        <row r="135">
          <cell r="A135" t="str">
            <v>6.6.4</v>
          </cell>
          <cell r="B135" t="str">
            <v>Base/Cañuela Cámara de Inspección y/o de Caída D=1.50 m. Concreto simple Clase II</v>
          </cell>
          <cell r="C135" t="str">
            <v>un</v>
          </cell>
          <cell r="D135">
            <v>331817</v>
          </cell>
        </row>
        <row r="136">
          <cell r="A136" t="str">
            <v>6.6.5</v>
          </cell>
          <cell r="B136" t="str">
            <v>Cámara Circular de Inspección/Caída D=1.20 m. en Concreto Clase II                                        PARA REALCE</v>
          </cell>
          <cell r="C136" t="str">
            <v>m³</v>
          </cell>
          <cell r="D136">
            <v>252311</v>
          </cell>
        </row>
        <row r="137">
          <cell r="A137" t="str">
            <v>6.7</v>
          </cell>
          <cell r="B137" t="str">
            <v>TAPAS ALCANTARILLADO</v>
          </cell>
        </row>
        <row r="138">
          <cell r="A138" t="str">
            <v>6.7.1</v>
          </cell>
          <cell r="B138" t="str">
            <v xml:space="preserve">Aro - Tapa HD de 0.58 m. Antiruido/Sello/Llave seguridad para Cámara de Inspección/Caída </v>
          </cell>
          <cell r="C138" t="str">
            <v>un</v>
          </cell>
          <cell r="D138">
            <v>603774</v>
          </cell>
        </row>
        <row r="139">
          <cell r="A139" t="str">
            <v>6.7.2</v>
          </cell>
          <cell r="B139" t="str">
            <v xml:space="preserve">Aro - Tapa  HF D=0.68 m. p/Cámara de Inspección                                 </v>
          </cell>
          <cell r="C139" t="str">
            <v>un</v>
          </cell>
          <cell r="D139">
            <v>338479</v>
          </cell>
        </row>
        <row r="140">
          <cell r="A140" t="str">
            <v>6.7.3</v>
          </cell>
          <cell r="B140" t="str">
            <v>Tapa de 0.68 m. en Concreto Reforzado Clase I para Cámara de Inspección/Caída ubicada en Vía Vehicular</v>
          </cell>
          <cell r="C140" t="str">
            <v>un</v>
          </cell>
          <cell r="D140">
            <v>72765</v>
          </cell>
        </row>
        <row r="141">
          <cell r="A141" t="str">
            <v>6.7.4</v>
          </cell>
          <cell r="B141" t="str">
            <v>Tapa de 0.68 m. en Concreto Reforzado Clase II para Cámara de Inspección/Caída ubicada en Vía Peatonal</v>
          </cell>
          <cell r="C141" t="str">
            <v>un</v>
          </cell>
          <cell r="D141">
            <v>47120</v>
          </cell>
        </row>
        <row r="142">
          <cell r="A142" t="str">
            <v>6.7.5</v>
          </cell>
          <cell r="B142" t="str">
            <v>Suministro e Instalación de Aro/ Tapa en polipropileno D= 0,70 m para cámara de inspeccion (cuello 13 cm)</v>
          </cell>
          <cell r="C142" t="str">
            <v>un</v>
          </cell>
          <cell r="D142">
            <v>307623</v>
          </cell>
        </row>
        <row r="143">
          <cell r="A143" t="str">
            <v>6.7.6</v>
          </cell>
          <cell r="B143" t="str">
            <v>Suministro e Instalación de Aro/ Tapa en polipropileno D= 0,70 m para cámara de inspeccion (cuello 20 cm)</v>
          </cell>
          <cell r="C143" t="str">
            <v>un</v>
          </cell>
          <cell r="D143">
            <v>338595</v>
          </cell>
        </row>
        <row r="144">
          <cell r="A144" t="str">
            <v>6.8</v>
          </cell>
          <cell r="B144" t="str">
            <v>CAJAS DE INSPECCIÒN</v>
          </cell>
        </row>
        <row r="145">
          <cell r="A145" t="str">
            <v>6.8.1</v>
          </cell>
          <cell r="B145" t="str">
            <v>Caja de Inspección-Empalme Domiciliario tipo I-Concreto Clase II (0,6 x 0,6)</v>
          </cell>
          <cell r="C145" t="str">
            <v>m</v>
          </cell>
          <cell r="D145">
            <v>186229</v>
          </cell>
        </row>
        <row r="146">
          <cell r="A146" t="str">
            <v>6.8.2</v>
          </cell>
          <cell r="B146" t="str">
            <v xml:space="preserve">Caja de Inspección-Empalme Domiciliario tipo II -Concreto Clase II (0,8 x 0,8) </v>
          </cell>
          <cell r="C146" t="str">
            <v>m</v>
          </cell>
          <cell r="D146">
            <v>279301</v>
          </cell>
        </row>
        <row r="147">
          <cell r="A147" t="str">
            <v>6.8.3</v>
          </cell>
          <cell r="B147" t="str">
            <v>Caja de Inspección-Empalme Domiciliario -Concreto Clase II (0,5 x 0,5)</v>
          </cell>
          <cell r="C147" t="str">
            <v>m</v>
          </cell>
          <cell r="D147">
            <v>159943</v>
          </cell>
        </row>
        <row r="148">
          <cell r="A148" t="str">
            <v>6.8.4</v>
          </cell>
          <cell r="B148" t="str">
            <v>Tapa para Caja de Inspección Domiciliaria tipo I-Concreto Clase II</v>
          </cell>
          <cell r="C148" t="str">
            <v>un</v>
          </cell>
          <cell r="D148">
            <v>43896</v>
          </cell>
        </row>
        <row r="149">
          <cell r="A149" t="str">
            <v>6.8.5</v>
          </cell>
          <cell r="B149" t="str">
            <v>Tapa para Caja de Inspección Domiciliaria tipo II-Concreto Clase II</v>
          </cell>
          <cell r="C149" t="str">
            <v>un</v>
          </cell>
          <cell r="D149">
            <v>59177</v>
          </cell>
        </row>
        <row r="150">
          <cell r="A150" t="str">
            <v>6.8.6</v>
          </cell>
          <cell r="B150" t="str">
            <v>Tapa para Caja de Inspección Domiciliaria (0,80 x 0,40) -Concreto Clase II</v>
          </cell>
          <cell r="C150" t="str">
            <v>un</v>
          </cell>
          <cell r="D150">
            <v>40277</v>
          </cell>
        </row>
        <row r="151">
          <cell r="A151" t="str">
            <v>6.8.7</v>
          </cell>
          <cell r="B151" t="str">
            <v>Tapa para Caja de Inspección Domiciliaria (0,50 x 0,50) -Concreto Clase II</v>
          </cell>
          <cell r="C151" t="str">
            <v>un</v>
          </cell>
          <cell r="D151">
            <v>38655</v>
          </cell>
        </row>
        <row r="152">
          <cell r="A152" t="str">
            <v>6.8.8</v>
          </cell>
          <cell r="B152" t="str">
            <v>Tapa para Caja de Inspección Domiciliaria (0,60 x 0,80) -Concreto Clase II</v>
          </cell>
          <cell r="C152" t="str">
            <v>un</v>
          </cell>
          <cell r="D152">
            <v>43401</v>
          </cell>
        </row>
        <row r="153">
          <cell r="A153" t="str">
            <v>6.9</v>
          </cell>
          <cell r="B153" t="str">
            <v xml:space="preserve">SUMIDEROS </v>
          </cell>
        </row>
        <row r="154">
          <cell r="A154" t="str">
            <v>6.9.1</v>
          </cell>
          <cell r="B154" t="str">
            <v>Sumidero doble reja tipo Sifón - Concreto Clase II Tapa Antiruido HD</v>
          </cell>
          <cell r="C154" t="str">
            <v>un</v>
          </cell>
          <cell r="D154">
            <v>1096568</v>
          </cell>
        </row>
        <row r="155">
          <cell r="A155" t="str">
            <v>6.9.2</v>
          </cell>
          <cell r="B155" t="str">
            <v>Sumidero Cuatro rejas tipo Sifón - Concreto Clase II. Tapa Antiruido HD</v>
          </cell>
          <cell r="C155" t="str">
            <v>un</v>
          </cell>
          <cell r="D155">
            <v>1405619</v>
          </cell>
        </row>
        <row r="156">
          <cell r="A156" t="str">
            <v>6.9.3</v>
          </cell>
          <cell r="B156" t="str">
            <v>Sumidero doble reja tipo Sifón - Concreto Clase II. Tapa HF</v>
          </cell>
          <cell r="C156" t="str">
            <v>un</v>
          </cell>
          <cell r="D156">
            <v>803254</v>
          </cell>
        </row>
        <row r="157">
          <cell r="A157" t="str">
            <v>6.9.4</v>
          </cell>
          <cell r="B157" t="str">
            <v>Sumidero Cuatro rejas tipo Sifón - Concreto Clase II. Tapa HF</v>
          </cell>
          <cell r="C157" t="str">
            <v>un</v>
          </cell>
          <cell r="D157">
            <v>1022248</v>
          </cell>
        </row>
        <row r="158">
          <cell r="A158" t="str">
            <v>6.9.5</v>
          </cell>
          <cell r="B158" t="str">
            <v>Sumidero doble reja sin Sifón ni Tapa Hd - Concreto Clase II</v>
          </cell>
          <cell r="C158" t="str">
            <v>un</v>
          </cell>
          <cell r="D158">
            <v>429257</v>
          </cell>
        </row>
        <row r="159">
          <cell r="A159" t="str">
            <v>6.9.6</v>
          </cell>
          <cell r="B159" t="str">
            <v>Sumidero doble reja tipo Sifón - Concreto Clase II. Tapa Polipropileno</v>
          </cell>
          <cell r="C159" t="str">
            <v>un</v>
          </cell>
          <cell r="D159">
            <v>772398</v>
          </cell>
        </row>
        <row r="160">
          <cell r="A160" t="str">
            <v>6.10</v>
          </cell>
          <cell r="B160" t="str">
            <v>EMPALMES</v>
          </cell>
        </row>
        <row r="161">
          <cell r="A161" t="str">
            <v>6.10.1</v>
          </cell>
          <cell r="B161" t="str">
            <v>Empalme a Cámaras de Inspección - Concreto Clase II</v>
          </cell>
          <cell r="C161" t="str">
            <v>un</v>
          </cell>
          <cell r="D161">
            <v>42577</v>
          </cell>
        </row>
        <row r="162">
          <cell r="A162" t="str">
            <v>6.10.2</v>
          </cell>
          <cell r="B162" t="str">
            <v>Empalme de Domiciliarias de Alcantarillado</v>
          </cell>
          <cell r="C162" t="str">
            <v>un</v>
          </cell>
          <cell r="D162">
            <v>28600</v>
          </cell>
        </row>
        <row r="163">
          <cell r="A163" t="str">
            <v>6.11</v>
          </cell>
          <cell r="B163" t="str">
            <v>UNIONES TUBERÍA NOVALOC</v>
          </cell>
        </row>
        <row r="164">
          <cell r="A164" t="str">
            <v>6.11.1</v>
          </cell>
          <cell r="B164" t="str">
            <v>Suministro e instalación Unión 450 mm (18")</v>
          </cell>
          <cell r="C164" t="str">
            <v>un</v>
          </cell>
          <cell r="D164">
            <v>241756</v>
          </cell>
        </row>
        <row r="165">
          <cell r="A165" t="str">
            <v>6.11.2</v>
          </cell>
          <cell r="B165" t="str">
            <v>Suministro e instalación Unión 500  mm (20")</v>
          </cell>
          <cell r="C165" t="str">
            <v>un</v>
          </cell>
          <cell r="D165">
            <v>269422</v>
          </cell>
        </row>
        <row r="166">
          <cell r="A166" t="str">
            <v>6.11.3</v>
          </cell>
          <cell r="B166" t="str">
            <v>Suministro e instalación Unión 24" (Incluye Hidrosello)</v>
          </cell>
          <cell r="C166" t="str">
            <v>un</v>
          </cell>
          <cell r="D166">
            <v>156558</v>
          </cell>
        </row>
        <row r="167">
          <cell r="A167" t="str">
            <v>6.11.4</v>
          </cell>
          <cell r="B167" t="str">
            <v>Suministro e instalación Unión 27" (Incluye Hidrosello)</v>
          </cell>
          <cell r="C167" t="str">
            <v>un</v>
          </cell>
          <cell r="D167">
            <v>168242</v>
          </cell>
        </row>
        <row r="168">
          <cell r="A168" t="str">
            <v>6.11.5</v>
          </cell>
          <cell r="B168" t="str">
            <v>Suministro e instalación Unión 30" (Incluye Hidrosello)</v>
          </cell>
          <cell r="C168" t="str">
            <v>un</v>
          </cell>
          <cell r="D168">
            <v>180170</v>
          </cell>
        </row>
        <row r="169">
          <cell r="A169" t="str">
            <v>6.11.6</v>
          </cell>
          <cell r="B169" t="str">
            <v>Suministro e instalación Unión 33" (Incluye Hidrosello)</v>
          </cell>
          <cell r="C169" t="str">
            <v>un</v>
          </cell>
          <cell r="D169">
            <v>191636</v>
          </cell>
        </row>
        <row r="170">
          <cell r="A170" t="str">
            <v>6.11.7</v>
          </cell>
          <cell r="B170" t="str">
            <v>Suministro e instalación Unión 36" (Incluye Hidrosello)</v>
          </cell>
          <cell r="C170" t="str">
            <v>un</v>
          </cell>
          <cell r="D170">
            <v>210170</v>
          </cell>
        </row>
        <row r="171">
          <cell r="A171" t="str">
            <v>6.12</v>
          </cell>
          <cell r="B171" t="str">
            <v>TUBERIA SANITARIA PVC</v>
          </cell>
        </row>
        <row r="172">
          <cell r="A172" t="str">
            <v>6.1.2.1</v>
          </cell>
          <cell r="B172" t="str">
            <v xml:space="preserve">Suministro e Instalación de Tuberia PVC Sanitaria de 1 1/2" </v>
          </cell>
          <cell r="C172" t="str">
            <v>m</v>
          </cell>
          <cell r="D172">
            <v>10793</v>
          </cell>
        </row>
        <row r="173">
          <cell r="A173" t="str">
            <v>6.1.2.2</v>
          </cell>
          <cell r="B173" t="str">
            <v xml:space="preserve">Suministro e Instalación de Tuberia PVC Sanitaria de 2" </v>
          </cell>
          <cell r="C173" t="str">
            <v>m</v>
          </cell>
          <cell r="D173">
            <v>12378</v>
          </cell>
        </row>
        <row r="174">
          <cell r="A174" t="str">
            <v>6.1.2.3</v>
          </cell>
          <cell r="B174" t="str">
            <v xml:space="preserve">Suministro e Instalación de Tuberia PVC Sanitaria de 3" </v>
          </cell>
          <cell r="C174" t="str">
            <v>m</v>
          </cell>
          <cell r="D174">
            <v>17070</v>
          </cell>
        </row>
        <row r="175">
          <cell r="A175" t="str">
            <v>6.1.2.4</v>
          </cell>
          <cell r="B175" t="str">
            <v xml:space="preserve">Suministro e Instalación de Tuberia PVC Sanitaria de 4" </v>
          </cell>
          <cell r="C175" t="str">
            <v>m</v>
          </cell>
          <cell r="D175">
            <v>21244</v>
          </cell>
        </row>
        <row r="176">
          <cell r="A176" t="str">
            <v>6.1.2.5</v>
          </cell>
          <cell r="B176" t="str">
            <v xml:space="preserve">Suministro e Instalación de Tuberia PVC Sanitaria de 6" </v>
          </cell>
          <cell r="C176" t="str">
            <v>m</v>
          </cell>
          <cell r="D176">
            <v>43442</v>
          </cell>
        </row>
        <row r="177">
          <cell r="B177" t="str">
            <v>CAPITULO 7 - ACUEDUCTOS</v>
          </cell>
        </row>
        <row r="179">
          <cell r="A179" t="str">
            <v>7.1</v>
          </cell>
          <cell r="B179" t="str">
            <v>SUMINISTRO E INSTALACIÓN DE TUBERÍA UNIÓN  MECÁNICA</v>
          </cell>
        </row>
        <row r="180">
          <cell r="A180" t="str">
            <v>7.1.1</v>
          </cell>
          <cell r="B180" t="str">
            <v>Suministro/Instalación Tubería Pvc Presión con campana RDE 21 de 10"</v>
          </cell>
          <cell r="C180" t="str">
            <v>m</v>
          </cell>
          <cell r="D180">
            <v>133408</v>
          </cell>
        </row>
        <row r="181">
          <cell r="A181" t="str">
            <v>7.1.2</v>
          </cell>
          <cell r="B181" t="str">
            <v>Transporte/Instalación Tubería Pvc Presión con campana RDE 21 de 10"</v>
          </cell>
          <cell r="C181" t="str">
            <v>m</v>
          </cell>
          <cell r="D181">
            <v>20171</v>
          </cell>
        </row>
        <row r="182">
          <cell r="A182" t="str">
            <v>7.1.3</v>
          </cell>
          <cell r="B182" t="str">
            <v>Suministro/Instalación Tubería Pvc Presión con campana RDE 21 de 8"</v>
          </cell>
          <cell r="C182" t="str">
            <v>m</v>
          </cell>
          <cell r="D182">
            <v>87169</v>
          </cell>
        </row>
        <row r="183">
          <cell r="A183" t="str">
            <v>7.1.4</v>
          </cell>
          <cell r="B183" t="str">
            <v>Transporte/Instalación Tubería Pvc Presión con campana RDE 21 de 8"</v>
          </cell>
          <cell r="C183" t="str">
            <v>m</v>
          </cell>
          <cell r="D183">
            <v>17587</v>
          </cell>
        </row>
        <row r="184">
          <cell r="A184" t="str">
            <v>7.1.5</v>
          </cell>
          <cell r="B184" t="str">
            <v>Suministro/Instalación Tubería Pvc Presión con campana RDE 21 de 6"</v>
          </cell>
          <cell r="C184" t="str">
            <v>m</v>
          </cell>
          <cell r="D184">
            <v>53300</v>
          </cell>
        </row>
        <row r="185">
          <cell r="A185" t="str">
            <v>7.1.6</v>
          </cell>
          <cell r="B185" t="str">
            <v>Transporte/Instalación Tubería Pvc Presión con campana RDE 21 de 6"</v>
          </cell>
          <cell r="C185" t="str">
            <v>m</v>
          </cell>
          <cell r="D185">
            <v>12176</v>
          </cell>
        </row>
        <row r="186">
          <cell r="A186" t="str">
            <v>7.1.7</v>
          </cell>
          <cell r="B186" t="str">
            <v>Suministro/Instalación Tubería Pvc Presión con campana RDE 21 de 4"</v>
          </cell>
          <cell r="C186" t="str">
            <v>m</v>
          </cell>
          <cell r="D186">
            <v>27269</v>
          </cell>
        </row>
        <row r="187">
          <cell r="A187" t="str">
            <v>7.1.8</v>
          </cell>
          <cell r="B187" t="str">
            <v>Transporte/Instalación Tubería Pvc Presión con campana RDE 21 de 4"</v>
          </cell>
          <cell r="C187" t="str">
            <v>m</v>
          </cell>
          <cell r="D187">
            <v>10935</v>
          </cell>
        </row>
        <row r="188">
          <cell r="A188" t="str">
            <v>7.1.9</v>
          </cell>
          <cell r="B188" t="str">
            <v>Suministro/Instalación Tubería Pvc Presión con campana RDE 21 de 3"</v>
          </cell>
          <cell r="C188" t="str">
            <v>m</v>
          </cell>
          <cell r="D188">
            <v>18692</v>
          </cell>
        </row>
        <row r="189">
          <cell r="A189" t="str">
            <v>7.1.10</v>
          </cell>
          <cell r="B189" t="str">
            <v>Transporte/Instalación Tubería Pvc Presión con campana RDE 21 de 3"</v>
          </cell>
          <cell r="C189" t="str">
            <v>m</v>
          </cell>
          <cell r="D189">
            <v>8491</v>
          </cell>
        </row>
        <row r="190">
          <cell r="A190" t="str">
            <v>7.1.11</v>
          </cell>
          <cell r="B190" t="str">
            <v>Suministro/Instalación Tubería Pvc Presión con campana RDE 21 de 2"</v>
          </cell>
          <cell r="C190" t="str">
            <v>m</v>
          </cell>
          <cell r="D190">
            <v>11581</v>
          </cell>
        </row>
        <row r="191">
          <cell r="A191" t="str">
            <v>7.1.12</v>
          </cell>
          <cell r="B191" t="str">
            <v>Suministro/Instalación Tubería Pvc Presión con campana RDE 41 100 PSI de 6"</v>
          </cell>
          <cell r="C191" t="str">
            <v>m</v>
          </cell>
          <cell r="D191">
            <v>32041</v>
          </cell>
        </row>
        <row r="192">
          <cell r="A192" t="str">
            <v>7.2</v>
          </cell>
          <cell r="B192" t="str">
            <v>SUMINISTRO E INSTALACIÓN DE TUBERÍA BIAXIAL</v>
          </cell>
        </row>
        <row r="193">
          <cell r="A193" t="str">
            <v>7.2.1</v>
          </cell>
          <cell r="B193" t="str">
            <v>Suministro/Instalación Tubería Pvc tipo Biaxial PR 200 de 12"</v>
          </cell>
          <cell r="C193" t="str">
            <v>m</v>
          </cell>
          <cell r="D193">
            <v>183620</v>
          </cell>
        </row>
        <row r="194">
          <cell r="A194" t="str">
            <v>7.2.2</v>
          </cell>
          <cell r="B194" t="str">
            <v>Transporte/Instalación Tubería Pvc tipo Biaxial PR 200 de 12"</v>
          </cell>
          <cell r="C194" t="str">
            <v>m</v>
          </cell>
          <cell r="D194">
            <v>18421</v>
          </cell>
        </row>
        <row r="195">
          <cell r="A195" t="str">
            <v>7.2.3</v>
          </cell>
          <cell r="B195" t="str">
            <v>Suministro/Instalación Tubería Pvc tipo Biaxial PR 200 de 10"</v>
          </cell>
          <cell r="C195" t="str">
            <v>m</v>
          </cell>
          <cell r="D195">
            <v>133408</v>
          </cell>
        </row>
        <row r="196">
          <cell r="A196" t="str">
            <v>7.2.4</v>
          </cell>
          <cell r="B196" t="str">
            <v>Transporte/Instalación Tubería Pvc tipo Biaxial PR 200 de 10"</v>
          </cell>
          <cell r="C196" t="str">
            <v>m</v>
          </cell>
          <cell r="D196">
            <v>20171</v>
          </cell>
        </row>
        <row r="197">
          <cell r="A197" t="str">
            <v>7.2.5</v>
          </cell>
          <cell r="B197" t="str">
            <v>Suministro/Instalación Tubería Pvc tipo Biaxial PR 200 de 8"</v>
          </cell>
          <cell r="C197" t="str">
            <v>m</v>
          </cell>
          <cell r="D197">
            <v>87169</v>
          </cell>
        </row>
        <row r="198">
          <cell r="A198" t="str">
            <v>7.2.6</v>
          </cell>
          <cell r="B198" t="str">
            <v>Transporte/Instalación Tubería Pvc tipo Biaxial PR 200 de 8"</v>
          </cell>
          <cell r="C198" t="str">
            <v>m</v>
          </cell>
          <cell r="D198">
            <v>17587</v>
          </cell>
        </row>
        <row r="199">
          <cell r="A199" t="str">
            <v>7.2.7</v>
          </cell>
          <cell r="B199" t="str">
            <v>Suministro/Instalación Tubería Pvc tipo Biaxial PR 200 de 6"</v>
          </cell>
          <cell r="C199" t="str">
            <v>m</v>
          </cell>
          <cell r="D199">
            <v>53300</v>
          </cell>
        </row>
        <row r="200">
          <cell r="A200" t="str">
            <v>7.2.8</v>
          </cell>
          <cell r="B200" t="str">
            <v>Transporte/Instalación Tubería Pvc tipo Biaxial PR 200 de 6"</v>
          </cell>
          <cell r="C200" t="str">
            <v>m</v>
          </cell>
          <cell r="D200">
            <v>12176</v>
          </cell>
        </row>
        <row r="201">
          <cell r="A201" t="str">
            <v>7.2.9</v>
          </cell>
          <cell r="B201" t="str">
            <v>Suministro/Instalación Tubería Pvc tipo Biaxial PR 200 de 4"</v>
          </cell>
          <cell r="C201" t="str">
            <v>m</v>
          </cell>
          <cell r="D201">
            <v>27269</v>
          </cell>
        </row>
        <row r="202">
          <cell r="A202" t="str">
            <v>7.2.10</v>
          </cell>
          <cell r="B202" t="str">
            <v>Transporte/Instalación Tubería Pvc tipo Biaxial PR 200 de 4"</v>
          </cell>
          <cell r="C202" t="str">
            <v>m</v>
          </cell>
          <cell r="D202">
            <v>10935</v>
          </cell>
        </row>
        <row r="203">
          <cell r="A203" t="str">
            <v>7.3</v>
          </cell>
          <cell r="B203" t="str">
            <v>SUMINISTRO E INSTALACIÓN TUBERIA</v>
          </cell>
        </row>
        <row r="204">
          <cell r="A204" t="str">
            <v>7.3.1</v>
          </cell>
          <cell r="B204" t="str">
            <v>Suministro/Instalación Tubería PF + UAD de 3/4"</v>
          </cell>
          <cell r="C204" t="str">
            <v>m</v>
          </cell>
          <cell r="D204">
            <v>3430</v>
          </cell>
        </row>
        <row r="205">
          <cell r="A205" t="str">
            <v>7.3.2</v>
          </cell>
          <cell r="B205" t="str">
            <v>Suministro/Instalación Tubería PF + UAD de 1/2"</v>
          </cell>
          <cell r="C205" t="str">
            <v>m</v>
          </cell>
          <cell r="D205">
            <v>2202</v>
          </cell>
        </row>
        <row r="206">
          <cell r="A206" t="str">
            <v>7.4</v>
          </cell>
          <cell r="B206" t="str">
            <v>SUMINISTRO E INSTALACIÓN EMPALMES PVC</v>
          </cell>
        </row>
        <row r="207">
          <cell r="A207" t="str">
            <v>7.4.1</v>
          </cell>
          <cell r="B207" t="str">
            <v>Empalme PVC de 6" x 1/2" para acometida de Acueducto</v>
          </cell>
          <cell r="C207" t="str">
            <v>un</v>
          </cell>
          <cell r="D207">
            <v>52518</v>
          </cell>
        </row>
        <row r="208">
          <cell r="A208" t="str">
            <v>7.4.2</v>
          </cell>
          <cell r="B208" t="str">
            <v>Empalme PVC de 4" x 1/2" para acometida de Acueducto</v>
          </cell>
          <cell r="C208" t="str">
            <v>un</v>
          </cell>
          <cell r="D208">
            <v>51554</v>
          </cell>
        </row>
        <row r="209">
          <cell r="A209" t="str">
            <v>7.4.3</v>
          </cell>
          <cell r="B209" t="str">
            <v>Empalme PVC de 3" x 1/2" para acometida de Acueducto</v>
          </cell>
          <cell r="C209" t="str">
            <v>un</v>
          </cell>
          <cell r="D209">
            <v>47742</v>
          </cell>
        </row>
        <row r="210">
          <cell r="A210" t="str">
            <v>7.4.4</v>
          </cell>
          <cell r="B210" t="str">
            <v>Empalme PVC de 2" x 1/2" para acometida de Acueducto</v>
          </cell>
          <cell r="C210" t="str">
            <v>un</v>
          </cell>
          <cell r="D210">
            <v>43275</v>
          </cell>
        </row>
        <row r="211">
          <cell r="A211" t="str">
            <v>7.4.5</v>
          </cell>
          <cell r="B211" t="str">
            <v>Empalme PVC de 2" x 3/4" para acometida de Acueducto</v>
          </cell>
          <cell r="C211" t="str">
            <v>un</v>
          </cell>
          <cell r="D211">
            <v>69120</v>
          </cell>
        </row>
        <row r="212">
          <cell r="A212" t="str">
            <v>7.5</v>
          </cell>
          <cell r="B212" t="str">
            <v>SUMINISTRO E INSTALACIÓN EMPALMES ACERO INOXIDABLE</v>
          </cell>
        </row>
        <row r="213">
          <cell r="A213" t="str">
            <v>7.5.1</v>
          </cell>
          <cell r="B213" t="str">
            <v>Empalme Acero Inoxidable de 6" x 1/2" para acometida de Acueducto</v>
          </cell>
          <cell r="C213" t="str">
            <v>un</v>
          </cell>
          <cell r="D213">
            <v>196173</v>
          </cell>
        </row>
        <row r="214">
          <cell r="A214" t="str">
            <v>7.5.2</v>
          </cell>
          <cell r="B214" t="str">
            <v>Empalme Acero Inoxidable de 6" x  2" para acometida de Acueducto</v>
          </cell>
          <cell r="C214" t="str">
            <v>un</v>
          </cell>
          <cell r="D214">
            <v>257653</v>
          </cell>
        </row>
        <row r="215">
          <cell r="A215" t="str">
            <v>7.5.3</v>
          </cell>
          <cell r="B215" t="str">
            <v>Empalme Acero Inoxidable de 8" x  2" para acometida de Acueducto</v>
          </cell>
          <cell r="C215" t="str">
            <v>un</v>
          </cell>
          <cell r="D215">
            <v>288973</v>
          </cell>
        </row>
        <row r="216">
          <cell r="A216" t="str">
            <v>7.5.4</v>
          </cell>
          <cell r="B216" t="str">
            <v>Empalme Acero Inoxidable de 8" x 1/2" para acometida de Acueducto</v>
          </cell>
          <cell r="C216" t="str">
            <v>un</v>
          </cell>
          <cell r="D216">
            <v>219373</v>
          </cell>
        </row>
        <row r="217">
          <cell r="A217" t="str">
            <v>7.6</v>
          </cell>
          <cell r="B217" t="str">
            <v>SUMINISTRO E INSTALACIÓN TUBERIA HIERRO DÚCTIL</v>
          </cell>
        </row>
        <row r="218">
          <cell r="A218" t="str">
            <v>7.6.1</v>
          </cell>
          <cell r="B218" t="str">
            <v>Suministro/Instalación Tubería Hierro Dúctil de 12"</v>
          </cell>
          <cell r="C218" t="str">
            <v>m</v>
          </cell>
          <cell r="D218">
            <v>301956</v>
          </cell>
        </row>
        <row r="219">
          <cell r="A219" t="str">
            <v>7.6.2</v>
          </cell>
          <cell r="B219" t="str">
            <v>Transporte/Instalación Tubería Hierro Dúctil de 12"</v>
          </cell>
          <cell r="C219" t="str">
            <v>m</v>
          </cell>
          <cell r="D219">
            <v>45557</v>
          </cell>
        </row>
        <row r="220">
          <cell r="A220" t="str">
            <v>7.6.3</v>
          </cell>
          <cell r="B220" t="str">
            <v>Suministro/Instalación Tubería Hierro Dúctil de 10"</v>
          </cell>
          <cell r="C220" t="str">
            <v>m</v>
          </cell>
          <cell r="D220">
            <v>258653</v>
          </cell>
        </row>
        <row r="221">
          <cell r="A221" t="str">
            <v>7.6.4</v>
          </cell>
          <cell r="B221" t="str">
            <v>Transporte/Instalación Tubería Hierro Dúctil de 10"</v>
          </cell>
          <cell r="C221" t="str">
            <v>m</v>
          </cell>
          <cell r="D221">
            <v>37738</v>
          </cell>
        </row>
        <row r="222">
          <cell r="A222" t="str">
            <v>7.6.5</v>
          </cell>
          <cell r="B222" t="str">
            <v>Suministro/Instalación Tubería Hierro Dúctil de 8"</v>
          </cell>
          <cell r="C222" t="str">
            <v>m</v>
          </cell>
          <cell r="D222">
            <v>241687</v>
          </cell>
        </row>
        <row r="223">
          <cell r="A223" t="str">
            <v>7.6.6</v>
          </cell>
          <cell r="B223" t="str">
            <v>Transporte/Instalación Tubería Hierro Dúctil de 8"</v>
          </cell>
          <cell r="C223" t="str">
            <v>m</v>
          </cell>
          <cell r="D223">
            <v>32814</v>
          </cell>
        </row>
        <row r="224">
          <cell r="A224" t="str">
            <v>7.7</v>
          </cell>
          <cell r="B224" t="str">
            <v>SUMINISTRO E INSTALACIÓN TUBERIA POLIETILENO</v>
          </cell>
        </row>
        <row r="225">
          <cell r="A225" t="str">
            <v>7.7.1</v>
          </cell>
          <cell r="B225" t="str">
            <v>Suministro/Instalación Tubería Polietileno PE 100 PN 10 de 250 m.m.</v>
          </cell>
          <cell r="C225" t="str">
            <v>m</v>
          </cell>
          <cell r="D225">
            <v>136615</v>
          </cell>
        </row>
        <row r="226">
          <cell r="A226" t="str">
            <v>7.7.2</v>
          </cell>
          <cell r="B226" t="str">
            <v>Suministro/Instalación Tubería Polietileno PE 100 PN 12,5 de 250 m.m.</v>
          </cell>
          <cell r="C226" t="str">
            <v>m</v>
          </cell>
          <cell r="D226">
            <v>172464</v>
          </cell>
        </row>
        <row r="227">
          <cell r="A227" t="str">
            <v>7.7.3</v>
          </cell>
          <cell r="B227" t="str">
            <v>Suministro/Instalación Tubería Polietileno PE 100 PN 16 de 250 m.m.</v>
          </cell>
          <cell r="C227" t="str">
            <v>m</v>
          </cell>
          <cell r="D227">
            <v>198007</v>
          </cell>
        </row>
        <row r="228">
          <cell r="A228" t="str">
            <v>7.7.4</v>
          </cell>
          <cell r="B228" t="str">
            <v>Transporte/Instalación Tubería Polietileno PE 100 de 250 m.m.</v>
          </cell>
          <cell r="C228" t="str">
            <v>m</v>
          </cell>
          <cell r="D228">
            <v>14728</v>
          </cell>
        </row>
        <row r="229">
          <cell r="A229" t="str">
            <v>7.7.5</v>
          </cell>
          <cell r="B229" t="str">
            <v>Suministro/Instalación Tubería Polietileno PE 100 PN 10 de 200 m.m.</v>
          </cell>
          <cell r="C229" t="str">
            <v>m</v>
          </cell>
          <cell r="D229">
            <v>85241</v>
          </cell>
        </row>
        <row r="230">
          <cell r="A230" t="str">
            <v>7.7.6</v>
          </cell>
          <cell r="B230" t="str">
            <v>Suministro/Instalación Tubería Polietileno PE 100 PN 12,5 de 200 m.m.</v>
          </cell>
          <cell r="C230" t="str">
            <v>m</v>
          </cell>
          <cell r="D230">
            <v>113033</v>
          </cell>
        </row>
        <row r="231">
          <cell r="A231" t="str">
            <v>7.7.7</v>
          </cell>
          <cell r="B231" t="str">
            <v>Suministro/Instalación Tubería Polietileno PE 100 PN 16 de 200 m.m.</v>
          </cell>
          <cell r="C231" t="str">
            <v>m</v>
          </cell>
          <cell r="D231">
            <v>122824</v>
          </cell>
        </row>
        <row r="232">
          <cell r="A232" t="str">
            <v>7.7.8</v>
          </cell>
          <cell r="B232" t="str">
            <v>Transporte/Instalación Tubería Polietileno PE 100 de 200 m.m.</v>
          </cell>
          <cell r="C232" t="str">
            <v>m</v>
          </cell>
          <cell r="D232">
            <v>12585</v>
          </cell>
        </row>
        <row r="233">
          <cell r="A233" t="str">
            <v>7.7.9</v>
          </cell>
          <cell r="B233" t="str">
            <v>Suministro/Instalación Tubería Polietileno PE 100 PN 10 de 160 m.m.</v>
          </cell>
          <cell r="C233" t="str">
            <v>m</v>
          </cell>
          <cell r="D233">
            <v>57362</v>
          </cell>
        </row>
        <row r="234">
          <cell r="A234" t="str">
            <v>7.7.10</v>
          </cell>
          <cell r="B234" t="str">
            <v>Suministro/Instalación Tubería Polietileno PE 100 PN 12,5 de 160 m.m.</v>
          </cell>
          <cell r="C234" t="str">
            <v>m</v>
          </cell>
          <cell r="D234">
            <v>73349</v>
          </cell>
        </row>
        <row r="235">
          <cell r="A235" t="str">
            <v>7.7.11</v>
          </cell>
          <cell r="B235" t="str">
            <v>Suministro/Instalación Tubería Polietileno PE 100 PN 16 de 160 m.m.</v>
          </cell>
          <cell r="C235" t="str">
            <v>m</v>
          </cell>
          <cell r="D235">
            <v>80542</v>
          </cell>
        </row>
        <row r="236">
          <cell r="A236" t="str">
            <v>7.7.12</v>
          </cell>
          <cell r="B236" t="str">
            <v>Transporte/Instalación Tubería Polietileno PE 100 de 160 m.m.</v>
          </cell>
          <cell r="C236" t="str">
            <v>m</v>
          </cell>
          <cell r="D236">
            <v>11069</v>
          </cell>
        </row>
        <row r="237">
          <cell r="A237" t="str">
            <v>7.7.13</v>
          </cell>
          <cell r="B237" t="str">
            <v>Suministro/Instalación Tubería Polietileno PE 100 PN 10 de 110 m.m.</v>
          </cell>
          <cell r="C237" t="str">
            <v>m</v>
          </cell>
          <cell r="D237">
            <v>31216</v>
          </cell>
        </row>
        <row r="238">
          <cell r="A238" t="str">
            <v>7.7.14</v>
          </cell>
          <cell r="B238" t="str">
            <v>Suministro/Instalación Tubería Polietileno PE 100 PN 12,5 de 110 m.m.</v>
          </cell>
          <cell r="C238" t="str">
            <v>m</v>
          </cell>
          <cell r="D238">
            <v>39274</v>
          </cell>
        </row>
        <row r="239">
          <cell r="A239" t="str">
            <v>7.7.15</v>
          </cell>
          <cell r="B239" t="str">
            <v>Suministro/Instalación Tubería Polietileno PE 100 PN 16 de 110 m.m.</v>
          </cell>
          <cell r="C239" t="str">
            <v>m</v>
          </cell>
          <cell r="D239">
            <v>41901</v>
          </cell>
        </row>
        <row r="240">
          <cell r="A240" t="str">
            <v>7.7.16</v>
          </cell>
          <cell r="B240" t="str">
            <v>Transporte/Instalación Tubería Polietileno PE 100 de 110 m.m.</v>
          </cell>
          <cell r="C240" t="str">
            <v>m</v>
          </cell>
          <cell r="D240">
            <v>9036</v>
          </cell>
        </row>
        <row r="241">
          <cell r="A241" t="str">
            <v>7.7.17</v>
          </cell>
          <cell r="B241" t="str">
            <v>Suministro/Instalación Tubería Polietileno PE 100 PN 10 de 90 m.m.</v>
          </cell>
          <cell r="C241" t="str">
            <v>m</v>
          </cell>
          <cell r="D241">
            <v>22463</v>
          </cell>
        </row>
        <row r="242">
          <cell r="A242" t="str">
            <v>7.7.18</v>
          </cell>
          <cell r="B242" t="str">
            <v>Suministro/Instalación Tubería Polietileno PE 100 PN 12,5 de 90 m.m.</v>
          </cell>
          <cell r="C242" t="str">
            <v>m</v>
          </cell>
          <cell r="D242">
            <v>27455</v>
          </cell>
        </row>
        <row r="243">
          <cell r="A243" t="str">
            <v>7.7.19</v>
          </cell>
          <cell r="B243" t="str">
            <v>Suministro/Instalación Tubería Polietileno PE 100 PN 16 de 90 m.m.</v>
          </cell>
          <cell r="C243" t="str">
            <v>m</v>
          </cell>
          <cell r="D243">
            <v>29727</v>
          </cell>
        </row>
        <row r="244">
          <cell r="A244" t="str">
            <v>7.7.20</v>
          </cell>
          <cell r="B244" t="str">
            <v>Suministro/Instalación Tubería Polietileno PE 100 PN 10 de 75 m.m.</v>
          </cell>
          <cell r="C244" t="str">
            <v>m</v>
          </cell>
          <cell r="D244">
            <v>18829</v>
          </cell>
        </row>
        <row r="245">
          <cell r="A245" t="str">
            <v>7.7.21</v>
          </cell>
          <cell r="B245" t="str">
            <v>Suministro/Instalación Tubería Polietileno PE 100 PN 12,5 de 75 m.m.</v>
          </cell>
          <cell r="C245" t="str">
            <v>m</v>
          </cell>
          <cell r="D245">
            <v>21555</v>
          </cell>
        </row>
        <row r="246">
          <cell r="A246" t="str">
            <v>7.7.22</v>
          </cell>
          <cell r="B246" t="str">
            <v>Suministro/Instalación Tubería Polietileno PE 100 PN 16 de 75 m.m.</v>
          </cell>
          <cell r="C246" t="str">
            <v>m</v>
          </cell>
          <cell r="D246">
            <v>24524</v>
          </cell>
        </row>
        <row r="247">
          <cell r="A247" t="str">
            <v>7.7.23</v>
          </cell>
          <cell r="B247" t="str">
            <v>Transporte/Instalación Tubería Polietileno PE 100 de 90 m.m.</v>
          </cell>
          <cell r="C247" t="str">
            <v>m</v>
          </cell>
          <cell r="D247">
            <v>7721</v>
          </cell>
        </row>
        <row r="248">
          <cell r="A248" t="str">
            <v>7.7.24</v>
          </cell>
          <cell r="B248" t="str">
            <v>Transporte/Instalación Tubería Polietileno PE 100 de 75 m.m.</v>
          </cell>
          <cell r="C248" t="str">
            <v>m</v>
          </cell>
          <cell r="D248">
            <v>7408</v>
          </cell>
        </row>
        <row r="249">
          <cell r="A249" t="str">
            <v>7.7.25</v>
          </cell>
          <cell r="B249" t="str">
            <v>Suministro/Instalación Tubería Polietileno PE 100 PN 10 de 63 m.m.</v>
          </cell>
          <cell r="C249" t="str">
            <v>m</v>
          </cell>
          <cell r="D249">
            <v>14762</v>
          </cell>
        </row>
        <row r="250">
          <cell r="A250" t="str">
            <v>7.7.26</v>
          </cell>
          <cell r="B250" t="str">
            <v>Suministro/Instalación Tubería Polietileno PE 100 PN 12,5 de 63 m.m.</v>
          </cell>
          <cell r="C250" t="str">
            <v>m</v>
          </cell>
          <cell r="D250">
            <v>17277</v>
          </cell>
        </row>
        <row r="251">
          <cell r="A251" t="str">
            <v>7.7.27</v>
          </cell>
          <cell r="B251" t="str">
            <v>Suministro/Instalación Tubería Polietileno PE 100 PN 16 de 63 m.m.</v>
          </cell>
          <cell r="C251" t="str">
            <v>m</v>
          </cell>
          <cell r="D251">
            <v>18261</v>
          </cell>
        </row>
        <row r="252">
          <cell r="A252" t="str">
            <v>7.7.28</v>
          </cell>
          <cell r="B252" t="str">
            <v>Transporte/Instalación Tubería Polietileno PE 100 de 63 m.m.</v>
          </cell>
          <cell r="C252" t="str">
            <v>m</v>
          </cell>
          <cell r="D252">
            <v>7324</v>
          </cell>
        </row>
        <row r="253">
          <cell r="A253" t="str">
            <v>7.7.29</v>
          </cell>
          <cell r="B253" t="str">
            <v>Suministro/Instalación Tubería Polietileno PE 100 PN 16 de 50 m.m.</v>
          </cell>
          <cell r="C253" t="str">
            <v>m</v>
          </cell>
          <cell r="D253">
            <v>15009</v>
          </cell>
        </row>
        <row r="254">
          <cell r="A254" t="str">
            <v>7.7.30</v>
          </cell>
          <cell r="B254" t="str">
            <v>Suministro/Instalación Tubería Polietileno PE 40 PN 10 RDE 7.5 de 32 mm Acued</v>
          </cell>
          <cell r="C254" t="str">
            <v>m</v>
          </cell>
          <cell r="D254">
            <v>12323</v>
          </cell>
        </row>
        <row r="255">
          <cell r="A255" t="str">
            <v>7.7.31</v>
          </cell>
          <cell r="B255" t="str">
            <v>Suministro/Instalación Tubería Polietileno 20 m.m. p/Acometida</v>
          </cell>
          <cell r="C255" t="str">
            <v>m</v>
          </cell>
          <cell r="D255">
            <v>2643</v>
          </cell>
        </row>
        <row r="256">
          <cell r="A256" t="str">
            <v>7.8</v>
          </cell>
          <cell r="B256" t="str">
            <v xml:space="preserve">Empalme Acometida en Polietileno 32 m.m. (Sumin+Instal)                                       </v>
          </cell>
          <cell r="C256" t="str">
            <v>un</v>
          </cell>
          <cell r="D256">
            <v>64475</v>
          </cell>
        </row>
        <row r="257">
          <cell r="A257" t="str">
            <v>7.9</v>
          </cell>
          <cell r="B257" t="str">
            <v xml:space="preserve">Empalme Acometida Polietileno de 20 m.m.  (Sumin+Instal)                                       </v>
          </cell>
          <cell r="C257" t="str">
            <v>un</v>
          </cell>
          <cell r="D257">
            <v>52175</v>
          </cell>
        </row>
        <row r="258">
          <cell r="A258" t="str">
            <v>7.10</v>
          </cell>
          <cell r="B258" t="str">
            <v xml:space="preserve">Suministro e Instalación de Registro de incorporación de 1/2" para acueducto                                       </v>
          </cell>
          <cell r="C258" t="str">
            <v>un</v>
          </cell>
          <cell r="D258">
            <v>29866</v>
          </cell>
        </row>
        <row r="259">
          <cell r="A259" t="str">
            <v>7.11</v>
          </cell>
          <cell r="B259" t="str">
            <v>SUMINISTRO E INSTALACIÓN VÁLVULAS Y/O REGISTRO RED WHITE</v>
          </cell>
        </row>
        <row r="260">
          <cell r="A260" t="str">
            <v>7.11.1</v>
          </cell>
          <cell r="B260" t="str">
            <v>Suministro e Instalación Registro Tipo Red White 3"</v>
          </cell>
          <cell r="C260" t="str">
            <v>un</v>
          </cell>
          <cell r="D260">
            <v>306555</v>
          </cell>
        </row>
        <row r="261">
          <cell r="A261" t="str">
            <v>7.11.2</v>
          </cell>
          <cell r="B261" t="str">
            <v>Suministro e Instalación Registro Tipo Red White 2"</v>
          </cell>
          <cell r="C261" t="str">
            <v>un</v>
          </cell>
          <cell r="D261">
            <v>121767</v>
          </cell>
        </row>
        <row r="262">
          <cell r="A262" t="str">
            <v>7.11.3</v>
          </cell>
          <cell r="B262" t="str">
            <v>Suministro e Instalación Registro Tipo Red White 1,5"</v>
          </cell>
          <cell r="C262" t="str">
            <v>un</v>
          </cell>
          <cell r="D262">
            <v>93361</v>
          </cell>
        </row>
        <row r="263">
          <cell r="A263" t="str">
            <v>7.11.4</v>
          </cell>
          <cell r="B263" t="str">
            <v>Suministro e Instalación Registro Tipo Red White 1"</v>
          </cell>
          <cell r="C263" t="str">
            <v>un</v>
          </cell>
          <cell r="D263">
            <v>46961</v>
          </cell>
        </row>
        <row r="264">
          <cell r="A264" t="str">
            <v>7.12</v>
          </cell>
          <cell r="B264" t="str">
            <v>Suministro e Instalación Válvula apertura rápida 4"</v>
          </cell>
          <cell r="C264" t="str">
            <v>un</v>
          </cell>
          <cell r="D264">
            <v>270841</v>
          </cell>
        </row>
        <row r="265">
          <cell r="A265" t="str">
            <v>7.14</v>
          </cell>
          <cell r="B265" t="str">
            <v>SUMINISTRO E INSTALACIÓN VÁLVULA EXTREMO LISO</v>
          </cell>
        </row>
        <row r="266">
          <cell r="A266" t="str">
            <v>7.14.1</v>
          </cell>
          <cell r="B266" t="str">
            <v>Suministro/Instalación Válvula de Compuerta elástica vástago no ascendente Extremo Liso HF de 6"</v>
          </cell>
          <cell r="C266" t="str">
            <v>un</v>
          </cell>
          <cell r="D266">
            <v>839130</v>
          </cell>
        </row>
        <row r="267">
          <cell r="A267" t="str">
            <v>7.14.2</v>
          </cell>
          <cell r="B267" t="str">
            <v>Transporte/Instalación Válvula de Compuerta elástica vástago no ascendenteExtremo Liso HF de 6"</v>
          </cell>
          <cell r="C267" t="str">
            <v>un</v>
          </cell>
          <cell r="D267">
            <v>75926</v>
          </cell>
        </row>
        <row r="268">
          <cell r="A268" t="str">
            <v>7.14.3</v>
          </cell>
          <cell r="B268" t="str">
            <v>Suministro/Instalación Válvula de Compuerta elástica vástago no ascendente Extremo Liso HF de 4"</v>
          </cell>
          <cell r="C268" t="str">
            <v>un</v>
          </cell>
          <cell r="D268">
            <v>483142</v>
          </cell>
        </row>
        <row r="269">
          <cell r="A269" t="str">
            <v>7.14.4</v>
          </cell>
          <cell r="B269" t="str">
            <v>Transporte/Instalación Válvula de Compuerta elástica vástago no ascendente Extremo Liso HF de 4"</v>
          </cell>
          <cell r="C269" t="str">
            <v>un</v>
          </cell>
          <cell r="D269">
            <v>66181</v>
          </cell>
        </row>
        <row r="270">
          <cell r="A270" t="str">
            <v>7.14.5</v>
          </cell>
          <cell r="B270" t="str">
            <v>Suministro/Instalación Válvula de Compuerta elástica vástago no ascendente Extremo Liso HF de 3"</v>
          </cell>
          <cell r="C270" t="str">
            <v>un</v>
          </cell>
          <cell r="D270">
            <v>485784</v>
          </cell>
        </row>
        <row r="271">
          <cell r="A271" t="str">
            <v>7.14.6</v>
          </cell>
          <cell r="B271" t="str">
            <v>Transporte/Instalación Válvula de Compuerta elástica vástago no ascendente Extremo Liso HF de 3"</v>
          </cell>
          <cell r="C271" t="str">
            <v>un</v>
          </cell>
          <cell r="D271">
            <v>64689</v>
          </cell>
        </row>
        <row r="272">
          <cell r="A272" t="str">
            <v>7.15</v>
          </cell>
          <cell r="B272" t="str">
            <v>Suministro/Instalación/Alineación Caja HF para Medidores</v>
          </cell>
          <cell r="C272" t="str">
            <v>un</v>
          </cell>
          <cell r="D272">
            <v>75783</v>
          </cell>
        </row>
        <row r="273">
          <cell r="A273" t="str">
            <v>7.16</v>
          </cell>
          <cell r="B273" t="str">
            <v>SUMINISTRO E INSTALACIÓN HIDRANTE HF BRIDADO</v>
          </cell>
        </row>
        <row r="274">
          <cell r="A274" t="str">
            <v>7.16.1</v>
          </cell>
          <cell r="B274" t="str">
            <v>Suministro/Instalación Hidrante HF bridado tipo Tráfico de 4"</v>
          </cell>
          <cell r="C274" t="str">
            <v>un</v>
          </cell>
          <cell r="D274">
            <v>2123566</v>
          </cell>
        </row>
        <row r="275">
          <cell r="A275" t="str">
            <v>7.16.2</v>
          </cell>
          <cell r="B275" t="str">
            <v>Transporte/Instalación Hidrante HF bridado tipo Tráfico de 4"</v>
          </cell>
          <cell r="C275" t="str">
            <v>un</v>
          </cell>
          <cell r="D275">
            <v>93367</v>
          </cell>
        </row>
        <row r="276">
          <cell r="A276" t="str">
            <v>7.16.3</v>
          </cell>
          <cell r="B276" t="str">
            <v>Suministro/Instalación Hidrante HF bridado tipo Tráfico de 3"</v>
          </cell>
          <cell r="C276" t="str">
            <v>un</v>
          </cell>
          <cell r="D276">
            <v>1296718</v>
          </cell>
        </row>
        <row r="277">
          <cell r="A277" t="str">
            <v>7.16.4</v>
          </cell>
          <cell r="B277" t="str">
            <v>Transporte/Instalación Hidrante HF bridado tipo Tráfico de 3"</v>
          </cell>
          <cell r="C277" t="str">
            <v>un</v>
          </cell>
          <cell r="D277">
            <v>85099</v>
          </cell>
        </row>
        <row r="278">
          <cell r="A278" t="str">
            <v>7.17</v>
          </cell>
          <cell r="B278" t="str">
            <v>SUMINISTRO E INSTALACIÓN VÁLVULAS BRIDADAS</v>
          </cell>
        </row>
        <row r="279">
          <cell r="A279" t="str">
            <v>7.17.1</v>
          </cell>
          <cell r="B279" t="str">
            <v>Suministro/Instalación Válvula Bridada HF de 8"</v>
          </cell>
          <cell r="C279" t="str">
            <v>un</v>
          </cell>
          <cell r="D279">
            <v>1149354</v>
          </cell>
        </row>
        <row r="280">
          <cell r="A280" t="str">
            <v>7.17.2</v>
          </cell>
          <cell r="B280" t="str">
            <v>Transporte/Instalación Válvula Bridada HF de 8"</v>
          </cell>
          <cell r="C280" t="str">
            <v>un</v>
          </cell>
          <cell r="D280">
            <v>87968</v>
          </cell>
        </row>
        <row r="281">
          <cell r="A281" t="str">
            <v>7.17.3</v>
          </cell>
          <cell r="B281" t="str">
            <v>Suministro/Instalación Válvula Bridada HF de 6"</v>
          </cell>
          <cell r="C281" t="str">
            <v>un</v>
          </cell>
          <cell r="D281">
            <v>804614</v>
          </cell>
        </row>
        <row r="282">
          <cell r="A282" t="str">
            <v>7.17.4</v>
          </cell>
          <cell r="B282" t="str">
            <v>Transporte/Instalación Válvula Bridada HF de 6"</v>
          </cell>
          <cell r="C282" t="str">
            <v>un</v>
          </cell>
          <cell r="D282">
            <v>78619</v>
          </cell>
        </row>
        <row r="283">
          <cell r="A283" t="str">
            <v>7.17.5</v>
          </cell>
          <cell r="B283" t="str">
            <v>Suministro/Instalación Válvula Bridada HF de 4"</v>
          </cell>
          <cell r="C283" t="str">
            <v>un</v>
          </cell>
          <cell r="D283">
            <v>468398</v>
          </cell>
        </row>
        <row r="284">
          <cell r="A284" t="str">
            <v>7.17.6</v>
          </cell>
          <cell r="B284" t="str">
            <v>Transporte/Instalación Válvula Bridada HF de 4"</v>
          </cell>
          <cell r="C284" t="str">
            <v>un</v>
          </cell>
          <cell r="D284">
            <v>72108</v>
          </cell>
        </row>
        <row r="285">
          <cell r="A285" t="str">
            <v>7.17.7</v>
          </cell>
          <cell r="B285" t="str">
            <v>Suministro/Instalación Válvula Bridada HF de 3"</v>
          </cell>
          <cell r="C285" t="str">
            <v>un</v>
          </cell>
          <cell r="D285">
            <v>365042</v>
          </cell>
        </row>
        <row r="286">
          <cell r="A286" t="str">
            <v>7.17.8</v>
          </cell>
          <cell r="B286" t="str">
            <v>Transporte/Instalación Válvula Bridada HF de 3"</v>
          </cell>
          <cell r="C286" t="str">
            <v>un</v>
          </cell>
          <cell r="D286">
            <v>71075</v>
          </cell>
        </row>
        <row r="287">
          <cell r="A287" t="str">
            <v>7.17.9</v>
          </cell>
          <cell r="B287" t="str">
            <v>Suministro/Instalación Válvula Bridada HF de 2"</v>
          </cell>
          <cell r="C287" t="str">
            <v>un</v>
          </cell>
          <cell r="D287">
            <v>303446</v>
          </cell>
        </row>
        <row r="288">
          <cell r="A288" t="str">
            <v>7.17.10</v>
          </cell>
          <cell r="B288" t="str">
            <v>Transporte/Instalación Válvula Bridada HF de 2"</v>
          </cell>
          <cell r="C288" t="str">
            <v>un</v>
          </cell>
          <cell r="D288">
            <v>70459</v>
          </cell>
        </row>
        <row r="289">
          <cell r="A289" t="str">
            <v>7.18</v>
          </cell>
          <cell r="B289" t="str">
            <v>SUMINISTRO E INSTALACIÓN DE TUBERÍA PVC PRESIÓN</v>
          </cell>
        </row>
        <row r="290">
          <cell r="A290" t="str">
            <v>7.18.1</v>
          </cell>
          <cell r="B290" t="str">
            <v>Suministro/Instalación Tubería Pvc tipo Presión RDE 21 200 PSI de 1"</v>
          </cell>
          <cell r="C290" t="str">
            <v>m</v>
          </cell>
          <cell r="D290">
            <v>8547</v>
          </cell>
        </row>
        <row r="291">
          <cell r="A291" t="str">
            <v>7.18.2</v>
          </cell>
          <cell r="B291" t="str">
            <v>Suministro/Instalación Tubería Pvc tipo Presión RDE 21 200 PSI de 2"</v>
          </cell>
          <cell r="C291" t="str">
            <v>m</v>
          </cell>
          <cell r="D291">
            <v>16742</v>
          </cell>
        </row>
        <row r="292">
          <cell r="A292" t="str">
            <v>7.18.3</v>
          </cell>
          <cell r="B292" t="str">
            <v>Suministro/Instalación Tubería Pvc tipo Presión RDE 21 200 PSI de 3"</v>
          </cell>
          <cell r="C292" t="str">
            <v>m</v>
          </cell>
          <cell r="D292">
            <v>29710</v>
          </cell>
        </row>
        <row r="293">
          <cell r="A293" t="str">
            <v>7.18.4</v>
          </cell>
          <cell r="B293" t="str">
            <v>Suministro/Instalación Tubería Pvc tipo Presión RDE 21 200 PSI de 4"</v>
          </cell>
          <cell r="C293" t="str">
            <v>m</v>
          </cell>
          <cell r="D293">
            <v>46791</v>
          </cell>
        </row>
        <row r="294">
          <cell r="A294" t="str">
            <v>7.20</v>
          </cell>
          <cell r="B294" t="str">
            <v>Portaválvula de 2" a 8" (incluye tapa HD y accesorios)</v>
          </cell>
          <cell r="C294" t="str">
            <v>un</v>
          </cell>
          <cell r="D294">
            <v>191137</v>
          </cell>
        </row>
        <row r="296">
          <cell r="B296" t="str">
            <v>CAPITULO 8 - RELLENOS COMPACTADOS</v>
          </cell>
        </row>
        <row r="298">
          <cell r="A298" t="str">
            <v>8.1</v>
          </cell>
          <cell r="B298" t="str">
            <v>Rellenos Compactados con Material de Obra</v>
          </cell>
          <cell r="C298" t="str">
            <v>m³</v>
          </cell>
          <cell r="D298">
            <v>11914</v>
          </cell>
        </row>
        <row r="299">
          <cell r="A299" t="str">
            <v>8.2</v>
          </cell>
          <cell r="B299" t="str">
            <v xml:space="preserve">Rellenos Compactados con Material Común de Cantera de Préstamo </v>
          </cell>
          <cell r="C299" t="str">
            <v>m³</v>
          </cell>
          <cell r="D299">
            <v>25605</v>
          </cell>
        </row>
        <row r="302">
          <cell r="B302" t="str">
            <v>CAPITULO 9 - DRENAJES SUBTERRANEOS</v>
          </cell>
        </row>
        <row r="304">
          <cell r="A304" t="str">
            <v>9.1</v>
          </cell>
          <cell r="B304" t="str">
            <v>SUBDREN EN ZANJA</v>
          </cell>
        </row>
        <row r="305">
          <cell r="A305" t="str">
            <v>9.1.1</v>
          </cell>
          <cell r="B305" t="str">
            <v>Subdrén en Zanja - 0.6x0.6 m.- Con Geotextil NT 1600 /Mat. Granular/Tubería Pvc de 100 m.m. para Subdrenes</v>
          </cell>
          <cell r="C305" t="str">
            <v>m</v>
          </cell>
          <cell r="D305">
            <v>63769</v>
          </cell>
        </row>
        <row r="306">
          <cell r="A306" t="str">
            <v>9.1.2</v>
          </cell>
          <cell r="B306" t="str">
            <v>Subdrén en Zanja - 0.6x0.6 m.- Con Geotextil NT 1600 y Material Granular para Subdrenes</v>
          </cell>
          <cell r="C306" t="str">
            <v>m</v>
          </cell>
          <cell r="D306">
            <v>40883</v>
          </cell>
        </row>
        <row r="307">
          <cell r="A307" t="str">
            <v>9.1.3</v>
          </cell>
          <cell r="B307" t="str">
            <v>Subdrén en Zanja - 0.6x0.4 m.- Con Geotextil NT 1600 /Mat. Granular/Tubería Pvc de 100 m.m. para Subdrenes</v>
          </cell>
          <cell r="C307" t="str">
            <v>m</v>
          </cell>
          <cell r="D307">
            <v>54813</v>
          </cell>
        </row>
        <row r="308">
          <cell r="A308" t="str">
            <v>9.1.4</v>
          </cell>
          <cell r="B308" t="str">
            <v>Subdrén en Zanja - 0.6x0.4 m.- Con Geotextil NT 1600  y Material Granular para Subdrenes</v>
          </cell>
          <cell r="C308" t="str">
            <v>m</v>
          </cell>
          <cell r="D308">
            <v>31968</v>
          </cell>
        </row>
        <row r="309">
          <cell r="A309" t="str">
            <v>9.2</v>
          </cell>
          <cell r="B309" t="str">
            <v>Material Granular para Subdrenes y Drenajes</v>
          </cell>
          <cell r="C309" t="str">
            <v>m³</v>
          </cell>
          <cell r="D309">
            <v>54210</v>
          </cell>
        </row>
        <row r="310">
          <cell r="A310" t="str">
            <v>9.3</v>
          </cell>
          <cell r="B310" t="str">
            <v>GEOTEXTIL NO TEJIDO TIPO PAVCO O SIMILAR PARA SUBDRENES Y DRENAJES</v>
          </cell>
        </row>
        <row r="311">
          <cell r="A311" t="str">
            <v>9.3.1</v>
          </cell>
          <cell r="B311" t="str">
            <v>Geotextil No Tejido Tipo Pavco 1600 o similar para Subdrenes y Drenajes</v>
          </cell>
          <cell r="C311" t="str">
            <v>m²</v>
          </cell>
          <cell r="D311">
            <v>3926</v>
          </cell>
        </row>
        <row r="312">
          <cell r="A312" t="str">
            <v>9.3.2</v>
          </cell>
          <cell r="B312" t="str">
            <v>Geotextil No Tejido Tipo Pavco 2000 o similar para Subdrenes y Drenajes</v>
          </cell>
          <cell r="C312" t="str">
            <v>m²</v>
          </cell>
          <cell r="D312">
            <v>5297</v>
          </cell>
        </row>
        <row r="313">
          <cell r="A313" t="str">
            <v>9.4</v>
          </cell>
          <cell r="B313" t="str">
            <v>TUBERIA PVC PARA DRENES</v>
          </cell>
        </row>
        <row r="314">
          <cell r="A314" t="str">
            <v>9.4.1</v>
          </cell>
          <cell r="B314" t="str">
            <v>Tubería Pvc 100 mm sin filtro Tipo Pavco o similar p/Subdrenes y Drenajes</v>
          </cell>
          <cell r="C314" t="str">
            <v>m</v>
          </cell>
          <cell r="D314">
            <v>24819</v>
          </cell>
        </row>
        <row r="315">
          <cell r="A315" t="str">
            <v>9.4.2</v>
          </cell>
          <cell r="B315" t="str">
            <v>Tubería Pvc de 65 mm sin filtro Tipo Pavco o similar p/Subdrenes y Drenajes</v>
          </cell>
          <cell r="C315" t="str">
            <v>m</v>
          </cell>
          <cell r="D315">
            <v>15240</v>
          </cell>
        </row>
        <row r="317">
          <cell r="B317" t="str">
            <v>CAPITULO 10 - SUBSTITUCIONES - SUBBASES Y BASES COMPACTADAS</v>
          </cell>
        </row>
        <row r="319">
          <cell r="A319" t="str">
            <v>10.1</v>
          </cell>
          <cell r="B319" t="str">
            <v>Afirmado compactado</v>
          </cell>
          <cell r="C319" t="str">
            <v>m³</v>
          </cell>
          <cell r="D319">
            <v>63409</v>
          </cell>
        </row>
        <row r="320">
          <cell r="A320" t="str">
            <v>10.2</v>
          </cell>
          <cell r="B320" t="str">
            <v>Sustituciones en Arena limpia para Tuberías</v>
          </cell>
          <cell r="C320" t="str">
            <v>m³</v>
          </cell>
          <cell r="D320">
            <v>40726</v>
          </cell>
        </row>
        <row r="321">
          <cell r="A321" t="str">
            <v>10.3</v>
          </cell>
          <cell r="B321" t="str">
            <v>Subbases para Pavimentos Vehiculares en Material granular Seleccionado</v>
          </cell>
          <cell r="C321" t="str">
            <v>m³</v>
          </cell>
          <cell r="D321">
            <v>67057</v>
          </cell>
        </row>
        <row r="322">
          <cell r="A322" t="str">
            <v>10.4</v>
          </cell>
          <cell r="B322" t="str">
            <v>Bases para Pavimentos Vehiculares en Material granular triturado tipo Invías</v>
          </cell>
          <cell r="C322" t="str">
            <v>m³</v>
          </cell>
          <cell r="D322">
            <v>88208</v>
          </cell>
        </row>
        <row r="324">
          <cell r="B324" t="str">
            <v>CAPITULO 11 - ACERO DE REFUERZO</v>
          </cell>
        </row>
        <row r="326">
          <cell r="A326" t="str">
            <v>11.1</v>
          </cell>
          <cell r="B326" t="str">
            <v>Acero de Refuerzo de 1/4" a 3/8" - 420 Mpa (4200 Kg/Cm2)</v>
          </cell>
          <cell r="C326" t="str">
            <v>Kg</v>
          </cell>
          <cell r="D326">
            <v>3108</v>
          </cell>
        </row>
        <row r="327">
          <cell r="A327" t="str">
            <v>11.2</v>
          </cell>
          <cell r="B327" t="str">
            <v>Acero de Refuerzo de 1/2" a 1 1/4" - 420 Mpa (4200 Kg/Cm2)</v>
          </cell>
          <cell r="C327" t="str">
            <v>Kg</v>
          </cell>
          <cell r="D327">
            <v>3129</v>
          </cell>
        </row>
        <row r="328">
          <cell r="A328" t="str">
            <v>11.3</v>
          </cell>
          <cell r="B328" t="str">
            <v xml:space="preserve">Acero de Refuerzo en Malla Electrosoldada D 084 de 420 Mpa </v>
          </cell>
          <cell r="C328" t="str">
            <v>m²</v>
          </cell>
          <cell r="D328">
            <v>4414</v>
          </cell>
        </row>
        <row r="329">
          <cell r="A329" t="str">
            <v>11.4</v>
          </cell>
          <cell r="B329" t="str">
            <v xml:space="preserve">Acero de Refuerzo en Malla Electrosoldada D 131 de 420 Mpa </v>
          </cell>
          <cell r="C329" t="str">
            <v>m²</v>
          </cell>
          <cell r="D329">
            <v>6790</v>
          </cell>
        </row>
        <row r="330">
          <cell r="A330" t="str">
            <v>11.5</v>
          </cell>
          <cell r="B330" t="str">
            <v xml:space="preserve">Acero de Refuerzo en Malla Electrosoldada D 188 de 420 Mpa </v>
          </cell>
          <cell r="C330" t="str">
            <v>m²</v>
          </cell>
          <cell r="D330">
            <v>9051</v>
          </cell>
        </row>
        <row r="331">
          <cell r="A331" t="str">
            <v>11.6</v>
          </cell>
          <cell r="B331" t="str">
            <v>Canastilla para apoyo de Dovelas Pavimento en Varilla de 1/4" y/ó 3/8"</v>
          </cell>
          <cell r="C331" t="str">
            <v>m</v>
          </cell>
          <cell r="D331">
            <v>9030</v>
          </cell>
        </row>
        <row r="333">
          <cell r="B333" t="str">
            <v>CAPITULO 12 - OBRAS EN CONCRETO HIDRAULICO</v>
          </cell>
        </row>
        <row r="335">
          <cell r="A335" t="str">
            <v>12.1</v>
          </cell>
          <cell r="B335" t="str">
            <v>PAVIMENTOS EN FRANJAS</v>
          </cell>
        </row>
        <row r="336">
          <cell r="A336" t="str">
            <v>12.1.1</v>
          </cell>
          <cell r="B336" t="str">
            <v>Pavimentos de franjas en Concreto Premezclado Clase IB (Mr 42)</v>
          </cell>
          <cell r="C336" t="str">
            <v>m³</v>
          </cell>
          <cell r="D336">
            <v>458194</v>
          </cell>
        </row>
        <row r="337">
          <cell r="A337" t="str">
            <v>12.1.2</v>
          </cell>
          <cell r="B337" t="str">
            <v>Pavimentos de franjas en Concreto Premezclado Clase I (280 Mpa)</v>
          </cell>
          <cell r="C337" t="str">
            <v>m³</v>
          </cell>
          <cell r="D337">
            <v>419751</v>
          </cell>
        </row>
        <row r="338">
          <cell r="A338" t="str">
            <v>12.1.3</v>
          </cell>
          <cell r="B338" t="str">
            <v>Pavimentos de franjas Concreto Producido en Obra Clase I (280 Mpa)</v>
          </cell>
          <cell r="C338" t="str">
            <v>m³</v>
          </cell>
          <cell r="D338">
            <v>337615</v>
          </cell>
        </row>
        <row r="339">
          <cell r="A339" t="str">
            <v>12.1.4</v>
          </cell>
          <cell r="B339" t="str">
            <v>Instalación Concreto Premezclado Clase IB p/Franjas de Pavimentos</v>
          </cell>
          <cell r="C339" t="str">
            <v>m³</v>
          </cell>
          <cell r="D339">
            <v>57467</v>
          </cell>
        </row>
        <row r="340">
          <cell r="A340" t="str">
            <v>12.1.5</v>
          </cell>
          <cell r="B340" t="str">
            <v xml:space="preserve">Pavimentos de Franjas en en concreto producido en obra  Mr= 42 Kg/cm2                            </v>
          </cell>
          <cell r="C340" t="str">
            <v>m³</v>
          </cell>
          <cell r="D340">
            <v>345669</v>
          </cell>
        </row>
        <row r="341">
          <cell r="A341" t="str">
            <v>12.2</v>
          </cell>
          <cell r="B341" t="str">
            <v>PAVIMENTOS COMPLETO CONCRETO PREMEZCLADO</v>
          </cell>
        </row>
        <row r="342">
          <cell r="A342" t="str">
            <v>12.2.1</v>
          </cell>
          <cell r="B342" t="str">
            <v>Pavimentos completos en Concreto Premezclado Clase IA (Mr 45)</v>
          </cell>
          <cell r="C342" t="str">
            <v>m³</v>
          </cell>
          <cell r="D342">
            <v>490623</v>
          </cell>
        </row>
        <row r="343">
          <cell r="A343" t="str">
            <v>12.2.2</v>
          </cell>
          <cell r="B343" t="str">
            <v>Pavimentos completos en Concreto Premezclado Clase IB (Mr 42)</v>
          </cell>
          <cell r="C343" t="str">
            <v>m³</v>
          </cell>
          <cell r="D343">
            <v>469756</v>
          </cell>
        </row>
        <row r="344">
          <cell r="A344" t="str">
            <v>12.2.3</v>
          </cell>
          <cell r="B344" t="str">
            <v>Instalación Concreto Premezclado Clases IA/IB p/Pavimentos completos</v>
          </cell>
          <cell r="C344" t="str">
            <v>m³</v>
          </cell>
          <cell r="D344">
            <v>61911</v>
          </cell>
        </row>
        <row r="345">
          <cell r="A345" t="str">
            <v>12.2.4</v>
          </cell>
          <cell r="B345" t="str">
            <v xml:space="preserve">Pavimentos completos en Concreto Premezclado Clase IB (MR 42)   Acelerado  7 días                                 </v>
          </cell>
          <cell r="C345" t="str">
            <v>m³</v>
          </cell>
          <cell r="D345">
            <v>619122</v>
          </cell>
        </row>
        <row r="346">
          <cell r="A346" t="str">
            <v>12.2.5</v>
          </cell>
          <cell r="B346" t="str">
            <v xml:space="preserve">Pavimentos completos en Concreto Premezclado Clase IB (MR 42)   Acelerado  3 días                                 </v>
          </cell>
          <cell r="C346" t="str">
            <v>m³</v>
          </cell>
          <cell r="D346">
            <v>586686</v>
          </cell>
        </row>
        <row r="347">
          <cell r="A347" t="str">
            <v>12.3</v>
          </cell>
          <cell r="B347" t="str">
            <v>PAVIMENTOS COMPLETO CONCRETO PRODUCIDO EN OBRA</v>
          </cell>
        </row>
        <row r="348">
          <cell r="A348" t="str">
            <v>12.3.1</v>
          </cell>
          <cell r="B348" t="str">
            <v xml:space="preserve">Pavimentos completos en concreto producido en obra  Mr= 42 Kg/cm2 </v>
          </cell>
          <cell r="C348" t="str">
            <v>m³</v>
          </cell>
          <cell r="D348">
            <v>353386</v>
          </cell>
        </row>
        <row r="349">
          <cell r="A349" t="str">
            <v>12.3.2</v>
          </cell>
          <cell r="B349" t="str">
            <v xml:space="preserve">Pavimentos completos en concreto producido en obra  Mr= 45 Kg/cm2 </v>
          </cell>
          <cell r="C349" t="str">
            <v>m³</v>
          </cell>
          <cell r="D349">
            <v>364138</v>
          </cell>
        </row>
        <row r="350">
          <cell r="A350" t="str">
            <v>12.3.3</v>
          </cell>
          <cell r="B350" t="str">
            <v>Pavimentos completos en concreto producido en obra  Mr= 42 Kg/cm2  con acelerante a 7 días</v>
          </cell>
          <cell r="C350" t="str">
            <v>m³</v>
          </cell>
          <cell r="D350">
            <v>360880</v>
          </cell>
        </row>
        <row r="351">
          <cell r="A351" t="str">
            <v>12.3.4</v>
          </cell>
          <cell r="B351" t="str">
            <v>Pavimentos completos en concreto producido en obra  Mr= 42 Kg/cm2  con acelerante a 3 días</v>
          </cell>
          <cell r="C351" t="str">
            <v>m³</v>
          </cell>
          <cell r="D351">
            <v>369267</v>
          </cell>
        </row>
        <row r="352">
          <cell r="A352" t="str">
            <v>12.4</v>
          </cell>
          <cell r="B352" t="str">
            <v>CORTES MECANIZADOS</v>
          </cell>
        </row>
        <row r="353">
          <cell r="A353" t="str">
            <v>12.4.1</v>
          </cell>
          <cell r="B353" t="str">
            <v>Corte mecanizado de Pavimentos de Concreto Hidráulico (Prof 0.10 m.)</v>
          </cell>
          <cell r="C353" t="str">
            <v>m</v>
          </cell>
          <cell r="D353">
            <v>4703</v>
          </cell>
        </row>
        <row r="354">
          <cell r="A354" t="str">
            <v>12.4.2</v>
          </cell>
          <cell r="B354" t="str">
            <v>Corte mecanizado de Pavimentos de Concreto Hidráulico (Prof 0.07 m.)</v>
          </cell>
          <cell r="C354" t="str">
            <v>m</v>
          </cell>
          <cell r="D354">
            <v>4437</v>
          </cell>
        </row>
        <row r="355">
          <cell r="A355" t="str">
            <v>12.4.3</v>
          </cell>
          <cell r="B355" t="str">
            <v>Corte mecanizado de Andén/Sardinel de Concreto Hidráulico (Prof 0.03 m.)</v>
          </cell>
          <cell r="C355" t="str">
            <v>m</v>
          </cell>
          <cell r="D355">
            <v>3884</v>
          </cell>
        </row>
        <row r="356">
          <cell r="A356" t="str">
            <v>12.5</v>
          </cell>
          <cell r="B356" t="str">
            <v>SELLADO DE JUNTAS</v>
          </cell>
        </row>
        <row r="357">
          <cell r="A357" t="str">
            <v>12.5.1</v>
          </cell>
          <cell r="B357" t="str">
            <v>Sellado de Juntas de Pavimento de Concreto Hidráulico (Ancho 0.01 m)</v>
          </cell>
          <cell r="C357" t="str">
            <v>m</v>
          </cell>
          <cell r="D357">
            <v>5753</v>
          </cell>
        </row>
        <row r="358">
          <cell r="A358" t="str">
            <v>12.5.2</v>
          </cell>
          <cell r="B358" t="str">
            <v>Sellado de Juntas de Pavimento de Concreto Hidráulico (Ancho 0.005 m)</v>
          </cell>
          <cell r="C358" t="str">
            <v>m</v>
          </cell>
          <cell r="D358">
            <v>2860</v>
          </cell>
        </row>
        <row r="359">
          <cell r="A359" t="str">
            <v>12.6</v>
          </cell>
          <cell r="B359" t="str">
            <v>ANDENES - RAMPAS - PEATONALES</v>
          </cell>
        </row>
        <row r="360">
          <cell r="A360" t="str">
            <v>12.6.1</v>
          </cell>
          <cell r="B360" t="str">
            <v>Andenes-Rampas-Peatonales en Concreto Premezclado Clase II</v>
          </cell>
          <cell r="C360" t="str">
            <v>m³</v>
          </cell>
          <cell r="D360">
            <v>394459</v>
          </cell>
        </row>
        <row r="361">
          <cell r="A361" t="str">
            <v>12.6.2</v>
          </cell>
          <cell r="B361" t="str">
            <v>Andenes-Rampas-Peatonales en Concreto Producido en Obra Clase II</v>
          </cell>
          <cell r="C361" t="str">
            <v>m³</v>
          </cell>
          <cell r="D361">
            <v>308326</v>
          </cell>
        </row>
        <row r="362">
          <cell r="A362" t="str">
            <v>12.6.3</v>
          </cell>
          <cell r="B362" t="str">
            <v>Instalación Concreto Premezclado Clase II p/Andenes-Rampas-Peatonales</v>
          </cell>
          <cell r="C362" t="str">
            <v>m³</v>
          </cell>
          <cell r="D362">
            <v>86659</v>
          </cell>
        </row>
        <row r="363">
          <cell r="A363" t="str">
            <v>12.7</v>
          </cell>
          <cell r="B363" t="str">
            <v>SARDINELES Y BORDILLOS</v>
          </cell>
        </row>
        <row r="364">
          <cell r="A364" t="str">
            <v>12.7.1</v>
          </cell>
          <cell r="B364" t="str">
            <v>Sardinel achaflanado de h=0.2 m. en Concreto Clase II producido en Obra</v>
          </cell>
          <cell r="C364" t="str">
            <v>m</v>
          </cell>
          <cell r="D364">
            <v>26499</v>
          </cell>
        </row>
        <row r="365">
          <cell r="A365" t="str">
            <v>12.7.2</v>
          </cell>
          <cell r="B365" t="str">
            <v xml:space="preserve">Bordillo Prefabricado achaflanado de h=0.35 m. en Concreto Clase II </v>
          </cell>
          <cell r="C365" t="str">
            <v>m</v>
          </cell>
          <cell r="D365">
            <v>38969</v>
          </cell>
        </row>
        <row r="366">
          <cell r="A366" t="str">
            <v>12.8</v>
          </cell>
          <cell r="B366" t="str">
            <v>CONCRETO MUROS Y PANTALLA</v>
          </cell>
        </row>
        <row r="367">
          <cell r="A367" t="str">
            <v>12.8.1</v>
          </cell>
          <cell r="B367" t="str">
            <v>Muros y Pantallas en Concreto Reforzado Clase I (28 Mpa) producido en Obra</v>
          </cell>
          <cell r="C367" t="str">
            <v>m³</v>
          </cell>
          <cell r="D367">
            <v>475599</v>
          </cell>
        </row>
        <row r="368">
          <cell r="A368" t="str">
            <v>12.8.2</v>
          </cell>
          <cell r="B368" t="str">
            <v>Muros y Pantallas en Concreto Reforzado Clase II (21 Mpa) producido en Obra</v>
          </cell>
          <cell r="C368" t="str">
            <v>m³</v>
          </cell>
          <cell r="D368">
            <v>443080</v>
          </cell>
        </row>
        <row r="369">
          <cell r="A369" t="str">
            <v>12.8.3</v>
          </cell>
          <cell r="B369" t="str">
            <v>Muros y Pantallas en Concreto Ciclópeo producido en Obra</v>
          </cell>
          <cell r="C369" t="str">
            <v>m³</v>
          </cell>
          <cell r="D369">
            <v>336235</v>
          </cell>
        </row>
        <row r="370">
          <cell r="A370" t="str">
            <v>12.9</v>
          </cell>
          <cell r="B370" t="str">
            <v>PANTALLAS ANCLADAS</v>
          </cell>
        </row>
        <row r="371">
          <cell r="A371" t="str">
            <v>12.9.1</v>
          </cell>
          <cell r="B371" t="str">
            <v>Pantallas anclaje pasivo en concreto clase II 21 Mpa (Espesor= 12 cm)</v>
          </cell>
          <cell r="C371" t="str">
            <v>m²</v>
          </cell>
          <cell r="D371">
            <v>48508</v>
          </cell>
        </row>
        <row r="372">
          <cell r="A372" t="str">
            <v>12.9.2</v>
          </cell>
          <cell r="B372" t="str">
            <v>Perforación  con equipo manual en material común para anclaje (tuberia 2"-4")</v>
          </cell>
          <cell r="C372" t="str">
            <v>m</v>
          </cell>
          <cell r="D372">
            <v>7657</v>
          </cell>
        </row>
        <row r="373">
          <cell r="A373" t="str">
            <v>12.9.3</v>
          </cell>
          <cell r="B373" t="str">
            <v>Mortero de relleno para anclaje</v>
          </cell>
          <cell r="C373" t="str">
            <v>m</v>
          </cell>
          <cell r="D373">
            <v>9048</v>
          </cell>
        </row>
        <row r="374">
          <cell r="A374" t="str">
            <v>12.9.4</v>
          </cell>
          <cell r="B374" t="str">
            <v xml:space="preserve">Vigas en concreto clase II (21 Mpa) producido en obra   </v>
          </cell>
          <cell r="C374" t="str">
            <v>m³</v>
          </cell>
          <cell r="D374">
            <v>523218</v>
          </cell>
        </row>
        <row r="375">
          <cell r="A375" t="str">
            <v>12.10</v>
          </cell>
          <cell r="B375" t="str">
            <v>CONCRETOS  PILOTES</v>
          </cell>
        </row>
        <row r="376">
          <cell r="A376" t="str">
            <v>12.10.3</v>
          </cell>
          <cell r="B376" t="str">
            <v xml:space="preserve">Concreto para pilotes         </v>
          </cell>
          <cell r="C376" t="str">
            <v>m³</v>
          </cell>
          <cell r="D376">
            <v>351587</v>
          </cell>
        </row>
        <row r="377">
          <cell r="A377" t="str">
            <v>12.11</v>
          </cell>
          <cell r="B377" t="str">
            <v>ENROCADOS</v>
          </cell>
        </row>
        <row r="378">
          <cell r="A378" t="str">
            <v>12.11.1</v>
          </cell>
          <cell r="B378" t="str">
            <v xml:space="preserve">Enrocado con ligante Clase II (21 Mpa)  Proporción 60% concreto 40% Piedra                                     </v>
          </cell>
          <cell r="C378" t="str">
            <v>m³</v>
          </cell>
          <cell r="D378">
            <v>191751</v>
          </cell>
        </row>
        <row r="379">
          <cell r="A379" t="str">
            <v>12.11.2</v>
          </cell>
          <cell r="B379" t="str">
            <v xml:space="preserve">Enrocado con ligante  14 Mpa  Proporción 60% concreto 40% Piedra                                     </v>
          </cell>
          <cell r="C379" t="str">
            <v>m³</v>
          </cell>
          <cell r="D379">
            <v>173156</v>
          </cell>
        </row>
        <row r="380">
          <cell r="A380" t="str">
            <v>12.12</v>
          </cell>
          <cell r="B380" t="str">
            <v>CONCRETOS BOXCOULVERT</v>
          </cell>
        </row>
        <row r="381">
          <cell r="A381" t="str">
            <v>12.12.1</v>
          </cell>
          <cell r="B381" t="str">
            <v>Base de Boxculvert en Concreto Reforzado Clase II producido en Obra</v>
          </cell>
          <cell r="C381" t="str">
            <v>m³</v>
          </cell>
          <cell r="D381">
            <v>399373</v>
          </cell>
        </row>
        <row r="382">
          <cell r="A382" t="str">
            <v>12.12.2</v>
          </cell>
          <cell r="B382" t="str">
            <v>Base de Boxculvert en Concreto Reforzado Premezclado Clase II</v>
          </cell>
          <cell r="C382" t="str">
            <v>m³</v>
          </cell>
          <cell r="D382">
            <v>475953</v>
          </cell>
        </row>
        <row r="383">
          <cell r="A383" t="str">
            <v>12.12.3</v>
          </cell>
          <cell r="B383" t="str">
            <v>Paredes de Boxculvert en Concreto Reforzado Clase II producido en Obra</v>
          </cell>
          <cell r="C383" t="str">
            <v>m³</v>
          </cell>
          <cell r="D383">
            <v>451536</v>
          </cell>
        </row>
        <row r="384">
          <cell r="A384" t="str">
            <v>12.12.4</v>
          </cell>
          <cell r="B384" t="str">
            <v>Paredes de Boxculvert en Concreto Reforzado Premezclado Clase II</v>
          </cell>
          <cell r="C384" t="str">
            <v>m³</v>
          </cell>
          <cell r="D384">
            <v>528116</v>
          </cell>
        </row>
        <row r="385">
          <cell r="A385" t="str">
            <v>12.12.5</v>
          </cell>
          <cell r="B385" t="str">
            <v>Losa Techo de Boxculvert Concreto Reforzado Clase II producido en Obra</v>
          </cell>
          <cell r="C385" t="str">
            <v>m³</v>
          </cell>
          <cell r="D385">
            <v>412620</v>
          </cell>
        </row>
        <row r="386">
          <cell r="A386" t="str">
            <v>12.12.6</v>
          </cell>
          <cell r="B386" t="str">
            <v>Losa Techo de Boxculvert Concreto Reforzado Premezclado Clase II</v>
          </cell>
          <cell r="C386" t="str">
            <v>m³</v>
          </cell>
          <cell r="D386">
            <v>489200</v>
          </cell>
        </row>
        <row r="387">
          <cell r="A387" t="str">
            <v>12.13</v>
          </cell>
          <cell r="B387" t="str">
            <v>CONCRETOS CANALES, ZANJAS Y CUNETAS</v>
          </cell>
        </row>
        <row r="388">
          <cell r="A388" t="str">
            <v>12.13.1</v>
          </cell>
          <cell r="B388" t="str">
            <v>Zanja Colectora en Concreto Clase II producido en Obra</v>
          </cell>
          <cell r="C388" t="str">
            <v>m³</v>
          </cell>
          <cell r="D388">
            <v>372616</v>
          </cell>
        </row>
        <row r="389">
          <cell r="A389" t="str">
            <v>12.13.2</v>
          </cell>
          <cell r="B389" t="str">
            <v>Cuneta para Vía Vehicular en Concreto Clase II producido en Obra</v>
          </cell>
          <cell r="C389" t="str">
            <v>m³</v>
          </cell>
          <cell r="D389">
            <v>351345</v>
          </cell>
        </row>
        <row r="390">
          <cell r="A390" t="str">
            <v>12.13.3</v>
          </cell>
          <cell r="B390" t="str">
            <v>Cuneta para Vía Peatonal en Concreto Clase II producido en Obra</v>
          </cell>
          <cell r="C390" t="str">
            <v>m³</v>
          </cell>
          <cell r="D390">
            <v>334136</v>
          </cell>
        </row>
        <row r="391">
          <cell r="A391" t="str">
            <v>12.13.4</v>
          </cell>
          <cell r="B391" t="str">
            <v>Canales con pantallas deflectoras y rápidas con tapa concreto clase II 21 Mpa, producido en obra</v>
          </cell>
          <cell r="C391" t="str">
            <v>m³</v>
          </cell>
          <cell r="D391">
            <v>440188</v>
          </cell>
        </row>
        <row r="392">
          <cell r="A392" t="str">
            <v>12.14</v>
          </cell>
          <cell r="B392" t="str">
            <v>CINTAS PVC</v>
          </cell>
        </row>
        <row r="393">
          <cell r="A393" t="str">
            <v>12.14.1</v>
          </cell>
          <cell r="B393" t="str">
            <v>Cinta Pvc V - 10 (10 cm.) para Juntas de Concreto</v>
          </cell>
          <cell r="C393" t="str">
            <v>m</v>
          </cell>
          <cell r="D393">
            <v>14874</v>
          </cell>
        </row>
        <row r="394">
          <cell r="A394" t="str">
            <v>12.14.2</v>
          </cell>
          <cell r="B394" t="str">
            <v>Cinta Pvc V - 15 (15 cm.) para Juntas de Concreto</v>
          </cell>
          <cell r="C394" t="str">
            <v>m</v>
          </cell>
          <cell r="D394">
            <v>24560</v>
          </cell>
        </row>
        <row r="395">
          <cell r="A395" t="str">
            <v>12.14.3</v>
          </cell>
          <cell r="B395" t="str">
            <v>Cinta Pvc V - 22 (22 cm.) para Juntas de Concreto</v>
          </cell>
          <cell r="C395" t="str">
            <v>m</v>
          </cell>
          <cell r="D395">
            <v>39723</v>
          </cell>
        </row>
        <row r="396">
          <cell r="A396" t="str">
            <v>12.15</v>
          </cell>
          <cell r="B396" t="str">
            <v>PASES TUBERIA AGUAS LLUVIAS</v>
          </cell>
        </row>
        <row r="397">
          <cell r="A397" t="str">
            <v>12.15.1</v>
          </cell>
          <cell r="B397" t="str">
            <v>Pases en Tubería Pvc Aguas Lluvias de 4" para Muros</v>
          </cell>
          <cell r="C397" t="str">
            <v>m</v>
          </cell>
          <cell r="D397">
            <v>16772</v>
          </cell>
        </row>
        <row r="398">
          <cell r="A398" t="str">
            <v>12.15.2</v>
          </cell>
          <cell r="B398" t="str">
            <v>Pases en Tubería Pvc Aguas Lluvias de 2" para Muros</v>
          </cell>
          <cell r="C398" t="str">
            <v>m</v>
          </cell>
          <cell r="D398">
            <v>8880</v>
          </cell>
        </row>
        <row r="400">
          <cell r="B400" t="str">
            <v>CAPITULO 13 - OBRAS CIVILES VARIAS</v>
          </cell>
        </row>
        <row r="402">
          <cell r="A402" t="str">
            <v>13.1</v>
          </cell>
          <cell r="B402" t="str">
            <v>Estructuras en Gaviones con malla triple torsión</v>
          </cell>
          <cell r="C402" t="str">
            <v>m³</v>
          </cell>
          <cell r="D402">
            <v>123682</v>
          </cell>
        </row>
        <row r="403">
          <cell r="A403" t="str">
            <v>13.2</v>
          </cell>
          <cell r="B403" t="str">
            <v>Reparación-Resane y Pintura de Fachadas y Bajantes de Inmuebles</v>
          </cell>
          <cell r="C403" t="str">
            <v>m²</v>
          </cell>
          <cell r="D403">
            <v>11217</v>
          </cell>
        </row>
        <row r="404">
          <cell r="A404" t="str">
            <v>13.3</v>
          </cell>
          <cell r="B404" t="str">
            <v xml:space="preserve">Suministro/Instalación de Bajantes de Aguas Lluvias en Tubería Pvc </v>
          </cell>
        </row>
        <row r="405">
          <cell r="A405" t="str">
            <v>13.3.1</v>
          </cell>
          <cell r="B405" t="str">
            <v>Suministro/Instalación de Bajantes de Aguas Lluvias en Tubería Pvc de 4"</v>
          </cell>
          <cell r="C405" t="str">
            <v>m</v>
          </cell>
          <cell r="D405">
            <v>23359</v>
          </cell>
        </row>
        <row r="406">
          <cell r="A406" t="str">
            <v>13.3.2</v>
          </cell>
          <cell r="B406" t="str">
            <v>Suministro/Instalación de Bajantes de Aguas Lluvias en Tubería Pvc de 3"</v>
          </cell>
          <cell r="C406" t="str">
            <v>m</v>
          </cell>
          <cell r="D406">
            <v>13194</v>
          </cell>
        </row>
        <row r="407">
          <cell r="A407" t="str">
            <v>13.4</v>
          </cell>
          <cell r="B407" t="str">
            <v>Empradización de Taludes y Zonas verdes (Cespedon tipo Kikuyo)</v>
          </cell>
          <cell r="C407" t="str">
            <v>m²</v>
          </cell>
          <cell r="D407">
            <v>5382</v>
          </cell>
        </row>
        <row r="408">
          <cell r="A408" t="str">
            <v>13.5</v>
          </cell>
          <cell r="B408" t="str">
            <v xml:space="preserve">Trinchos </v>
          </cell>
        </row>
        <row r="409">
          <cell r="A409" t="str">
            <v>13.5.1</v>
          </cell>
          <cell r="B409" t="str">
            <v>Trinchos en Guadua</v>
          </cell>
          <cell r="C409" t="str">
            <v>m²</v>
          </cell>
          <cell r="D409">
            <v>28359</v>
          </cell>
        </row>
        <row r="410">
          <cell r="A410" t="str">
            <v>13.5.2</v>
          </cell>
          <cell r="B410" t="str">
            <v>Trinchos provisionales</v>
          </cell>
          <cell r="C410" t="str">
            <v>m</v>
          </cell>
          <cell r="D410">
            <v>9850</v>
          </cell>
        </row>
        <row r="411">
          <cell r="A411" t="str">
            <v>13.6</v>
          </cell>
          <cell r="B411" t="str">
            <v>Recubrimiento de Gaviones en Concreto Clase II producido en Obra</v>
          </cell>
          <cell r="C411" t="str">
            <v>m³</v>
          </cell>
          <cell r="D411">
            <v>348485</v>
          </cell>
        </row>
        <row r="412">
          <cell r="A412" t="str">
            <v>13.7</v>
          </cell>
          <cell r="B412" t="str">
            <v>Solados de Limpieza en Concreto pobre 1:3:6 producido en Obra</v>
          </cell>
          <cell r="C412" t="str">
            <v>m³</v>
          </cell>
          <cell r="D412">
            <v>203900</v>
          </cell>
        </row>
        <row r="413">
          <cell r="A413" t="str">
            <v>13.8</v>
          </cell>
          <cell r="B413" t="str">
            <v>Cabezotes en Concreto Hidráulico Clase II (21 Mpa) producido en Obra</v>
          </cell>
          <cell r="C413" t="str">
            <v>m³</v>
          </cell>
          <cell r="D413">
            <v>366484</v>
          </cell>
        </row>
        <row r="414">
          <cell r="A414" t="str">
            <v>13.9</v>
          </cell>
          <cell r="B414" t="str">
            <v>PINTURAS</v>
          </cell>
        </row>
        <row r="415">
          <cell r="A415" t="str">
            <v>13.9.1</v>
          </cell>
          <cell r="B415" t="str">
            <v>Pintura tipo Tráfico para Demarcación Horizontal de Vías</v>
          </cell>
          <cell r="C415" t="str">
            <v>m²</v>
          </cell>
          <cell r="D415">
            <v>15589</v>
          </cell>
        </row>
        <row r="416">
          <cell r="A416" t="str">
            <v>13.9.2</v>
          </cell>
          <cell r="B416" t="str">
            <v>Pintura carburo para tanques</v>
          </cell>
          <cell r="C416" t="str">
            <v>m²</v>
          </cell>
          <cell r="D416">
            <v>3512</v>
          </cell>
        </row>
        <row r="417">
          <cell r="A417" t="str">
            <v>13.9.3</v>
          </cell>
          <cell r="B417" t="str">
            <v>Pintura en esmalte para tuberías</v>
          </cell>
          <cell r="C417" t="str">
            <v>m²</v>
          </cell>
          <cell r="D417">
            <v>9747</v>
          </cell>
        </row>
        <row r="418">
          <cell r="A418" t="str">
            <v>13.9.4</v>
          </cell>
          <cell r="B418" t="str">
            <v xml:space="preserve"> Pintura reflectiva de aluminio para protección de tubería expuesta</v>
          </cell>
          <cell r="C418" t="str">
            <v>m²</v>
          </cell>
          <cell r="D418">
            <v>14507</v>
          </cell>
        </row>
        <row r="419">
          <cell r="A419" t="str">
            <v>13.10</v>
          </cell>
          <cell r="B419" t="str">
            <v>PAVIMENTOS EN ADOQUIN</v>
          </cell>
        </row>
        <row r="420">
          <cell r="A420" t="str">
            <v>13.10.1</v>
          </cell>
          <cell r="B420" t="str">
            <v>Pavimentos en Adoquín vehicular Naranja (E=8 cm) (Suministro+Instal)</v>
          </cell>
          <cell r="C420" t="str">
            <v>m²</v>
          </cell>
          <cell r="D420">
            <v>51584</v>
          </cell>
        </row>
        <row r="421">
          <cell r="A421" t="str">
            <v>13.10.2</v>
          </cell>
          <cell r="B421" t="str">
            <v>Pavimentos en Adoquín vehicular Naranja (E=8 cm) (Instalación)</v>
          </cell>
          <cell r="C421" t="str">
            <v>m²</v>
          </cell>
          <cell r="D421">
            <v>16734</v>
          </cell>
        </row>
        <row r="422">
          <cell r="A422" t="str">
            <v>13.11</v>
          </cell>
          <cell r="B422" t="str">
            <v>Pavimentos en concreto asfáltico compacto</v>
          </cell>
          <cell r="C422" t="str">
            <v>m³</v>
          </cell>
          <cell r="D422">
            <v>465290</v>
          </cell>
        </row>
        <row r="423">
          <cell r="A423" t="str">
            <v>13.12</v>
          </cell>
          <cell r="B423" t="str">
            <v>ANDENES EN ADOQUIN</v>
          </cell>
        </row>
        <row r="424">
          <cell r="A424" t="str">
            <v>13.12.1</v>
          </cell>
          <cell r="B424" t="str">
            <v>Andenes en Adoquín peatonal Naranja (E=6 cm) (Suministro+Instalación)</v>
          </cell>
          <cell r="C424" t="str">
            <v>m²</v>
          </cell>
          <cell r="D424">
            <v>43008</v>
          </cell>
        </row>
        <row r="425">
          <cell r="A425" t="str">
            <v>13.12.2</v>
          </cell>
          <cell r="B425" t="str">
            <v>Andenes en Adoquín peatonal Naranja (E=6 cm) (Instalación)</v>
          </cell>
          <cell r="C425" t="str">
            <v>m²</v>
          </cell>
          <cell r="D425">
            <v>15333</v>
          </cell>
        </row>
        <row r="426">
          <cell r="A426" t="str">
            <v>13.13</v>
          </cell>
          <cell r="B426" t="str">
            <v>CAÑUELA DE DESAGUE</v>
          </cell>
        </row>
        <row r="427">
          <cell r="A427" t="str">
            <v>13.13.1</v>
          </cell>
          <cell r="B427" t="str">
            <v>Cañuela desague bicapa roja de 0.8x0.5x0.15 m. (Suministro+Instalación)</v>
          </cell>
          <cell r="C427" t="str">
            <v>m</v>
          </cell>
          <cell r="D427">
            <v>68356</v>
          </cell>
        </row>
        <row r="428">
          <cell r="A428" t="str">
            <v>13.13.2</v>
          </cell>
          <cell r="B428" t="str">
            <v>Cañuela desague bicapa roja de 0.8x0.5x0.15 m. (Instalación)</v>
          </cell>
          <cell r="C428" t="str">
            <v>m</v>
          </cell>
          <cell r="D428">
            <v>13606</v>
          </cell>
        </row>
        <row r="429">
          <cell r="A429" t="str">
            <v>13.14</v>
          </cell>
          <cell r="B429" t="str">
            <v>CONFINAMIENTO</v>
          </cell>
        </row>
        <row r="430">
          <cell r="A430" t="str">
            <v>13.14.1</v>
          </cell>
          <cell r="B430" t="str">
            <v>Confinamiento bicapa rojo de 0.8x0.5x0.15 m. (Suministro+Instalación)</v>
          </cell>
          <cell r="C430" t="str">
            <v>m</v>
          </cell>
          <cell r="D430">
            <v>69386</v>
          </cell>
        </row>
        <row r="431">
          <cell r="A431" t="str">
            <v>13.14.2</v>
          </cell>
          <cell r="B431" t="str">
            <v>Confinamiento bicapa rojo de 0.8x0.5x0.15 m. (Instalación)</v>
          </cell>
          <cell r="C431" t="str">
            <v>m</v>
          </cell>
          <cell r="D431">
            <v>14461</v>
          </cell>
        </row>
        <row r="432">
          <cell r="A432" t="str">
            <v>13.15</v>
          </cell>
          <cell r="B432" t="str">
            <v>Piedra pegada en mortero 1:3</v>
          </cell>
          <cell r="C432" t="str">
            <v>m³</v>
          </cell>
          <cell r="D432">
            <v>200977</v>
          </cell>
        </row>
        <row r="433">
          <cell r="A433" t="str">
            <v>13.16</v>
          </cell>
          <cell r="B433" t="str">
            <v xml:space="preserve">Mortero fluido 1:5 </v>
          </cell>
          <cell r="C433" t="str">
            <v>m³</v>
          </cell>
          <cell r="D433">
            <v>256837</v>
          </cell>
        </row>
        <row r="434">
          <cell r="A434" t="str">
            <v>13.17</v>
          </cell>
          <cell r="B434" t="str">
            <v>ADITIVOS PARA CONCRETOS</v>
          </cell>
        </row>
        <row r="435">
          <cell r="A435" t="str">
            <v>13.17.1</v>
          </cell>
          <cell r="B435" t="str">
            <v>Suministro y aplicación de Imprimante y puente de adherencia normal.</v>
          </cell>
          <cell r="C435" t="str">
            <v>kg</v>
          </cell>
          <cell r="D435">
            <v>63964</v>
          </cell>
        </row>
        <row r="436">
          <cell r="A436" t="str">
            <v>13.17.2</v>
          </cell>
          <cell r="B436" t="str">
            <v>Suministro y adición de Acelerante de fraguado y resistencia para concretos</v>
          </cell>
          <cell r="C436" t="str">
            <v>kg</v>
          </cell>
          <cell r="D436">
            <v>10122</v>
          </cell>
        </row>
        <row r="437">
          <cell r="A437" t="str">
            <v>13.18</v>
          </cell>
          <cell r="B437" t="str">
            <v>Estructura Cercha métalica incluye pintura anticorrosivo y pintura esmalte alquídico</v>
          </cell>
          <cell r="C437" t="str">
            <v>kg</v>
          </cell>
          <cell r="D437">
            <v>8313</v>
          </cell>
        </row>
      </sheetData>
      <sheetData sheetId="4"/>
      <sheetData sheetId="5"/>
      <sheetData sheetId="6"/>
      <sheetData sheetId="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mera Prueba"/>
      <sheetName val="Cert. Calibración"/>
      <sheetName val="individual"/>
      <sheetName val="No Conforme "/>
      <sheetName val="SEM 26"/>
      <sheetName val="CANTIDADES"/>
    </sheetNames>
    <sheetDataSet>
      <sheetData sheetId="0">
        <row r="11">
          <cell r="EI11">
            <v>407</v>
          </cell>
        </row>
        <row r="12">
          <cell r="EI12">
            <v>408</v>
          </cell>
        </row>
        <row r="13">
          <cell r="EI13">
            <v>409</v>
          </cell>
        </row>
        <row r="14">
          <cell r="EI14">
            <v>410</v>
          </cell>
        </row>
        <row r="15">
          <cell r="EI15">
            <v>411</v>
          </cell>
        </row>
        <row r="16">
          <cell r="EI16">
            <v>412</v>
          </cell>
        </row>
        <row r="17">
          <cell r="EI17">
            <v>413</v>
          </cell>
        </row>
        <row r="18">
          <cell r="EI18">
            <v>414</v>
          </cell>
        </row>
        <row r="19">
          <cell r="EI19">
            <v>415</v>
          </cell>
        </row>
        <row r="20">
          <cell r="EI20">
            <v>416</v>
          </cell>
        </row>
        <row r="21">
          <cell r="EI21">
            <v>417</v>
          </cell>
        </row>
        <row r="22">
          <cell r="EI22">
            <v>418</v>
          </cell>
        </row>
        <row r="23">
          <cell r="EI23">
            <v>419</v>
          </cell>
        </row>
        <row r="24">
          <cell r="EI24">
            <v>420</v>
          </cell>
        </row>
        <row r="25">
          <cell r="EI25">
            <v>421</v>
          </cell>
        </row>
        <row r="26">
          <cell r="EI26">
            <v>422</v>
          </cell>
        </row>
        <row r="27">
          <cell r="EI27">
            <v>423</v>
          </cell>
        </row>
        <row r="28">
          <cell r="EI28">
            <v>424</v>
          </cell>
        </row>
        <row r="29">
          <cell r="EI29">
            <v>425</v>
          </cell>
        </row>
        <row r="30">
          <cell r="EI30">
            <v>426</v>
          </cell>
        </row>
        <row r="31">
          <cell r="EI31">
            <v>427</v>
          </cell>
        </row>
        <row r="32">
          <cell r="EI32">
            <v>428</v>
          </cell>
        </row>
        <row r="33">
          <cell r="EI33">
            <v>429</v>
          </cell>
        </row>
        <row r="34">
          <cell r="EI34">
            <v>430</v>
          </cell>
        </row>
        <row r="35">
          <cell r="EI35">
            <v>431</v>
          </cell>
        </row>
        <row r="36">
          <cell r="EI36">
            <v>432</v>
          </cell>
        </row>
        <row r="37">
          <cell r="EI37">
            <v>433</v>
          </cell>
        </row>
        <row r="38">
          <cell r="EI38">
            <v>434</v>
          </cell>
        </row>
        <row r="39">
          <cell r="EI39">
            <v>435</v>
          </cell>
        </row>
        <row r="40">
          <cell r="EI40">
            <v>436</v>
          </cell>
        </row>
        <row r="41">
          <cell r="EI41">
            <v>437</v>
          </cell>
        </row>
        <row r="42">
          <cell r="EI42">
            <v>438</v>
          </cell>
        </row>
        <row r="43">
          <cell r="EI43">
            <v>439</v>
          </cell>
        </row>
        <row r="44">
          <cell r="EI44">
            <v>440</v>
          </cell>
        </row>
        <row r="45">
          <cell r="EI45">
            <v>441</v>
          </cell>
        </row>
        <row r="46">
          <cell r="EI46">
            <v>442</v>
          </cell>
        </row>
        <row r="47">
          <cell r="EI47">
            <v>443</v>
          </cell>
        </row>
        <row r="48">
          <cell r="EI48">
            <v>444</v>
          </cell>
        </row>
        <row r="49">
          <cell r="EI49">
            <v>445</v>
          </cell>
        </row>
        <row r="50">
          <cell r="EI50">
            <v>446</v>
          </cell>
        </row>
        <row r="51">
          <cell r="EI51">
            <v>447</v>
          </cell>
        </row>
        <row r="52">
          <cell r="EI52">
            <v>448</v>
          </cell>
        </row>
        <row r="53">
          <cell r="EI53">
            <v>449</v>
          </cell>
        </row>
        <row r="54">
          <cell r="EI54">
            <v>450</v>
          </cell>
        </row>
        <row r="55">
          <cell r="EI55">
            <v>451</v>
          </cell>
        </row>
        <row r="56">
          <cell r="EI56">
            <v>452</v>
          </cell>
        </row>
        <row r="57">
          <cell r="EI57">
            <v>453</v>
          </cell>
        </row>
        <row r="58">
          <cell r="EI58">
            <v>454</v>
          </cell>
        </row>
        <row r="59">
          <cell r="EI59">
            <v>455</v>
          </cell>
        </row>
        <row r="60">
          <cell r="EI60">
            <v>456</v>
          </cell>
        </row>
        <row r="61">
          <cell r="EI61">
            <v>457</v>
          </cell>
        </row>
        <row r="62">
          <cell r="EI62">
            <v>458</v>
          </cell>
        </row>
        <row r="63">
          <cell r="EI63">
            <v>459</v>
          </cell>
        </row>
        <row r="64">
          <cell r="EI64">
            <v>460</v>
          </cell>
        </row>
        <row r="65">
          <cell r="EI65">
            <v>461</v>
          </cell>
        </row>
        <row r="66">
          <cell r="EI66">
            <v>462</v>
          </cell>
        </row>
        <row r="67">
          <cell r="EI67">
            <v>463</v>
          </cell>
        </row>
        <row r="68">
          <cell r="EI68">
            <v>464</v>
          </cell>
        </row>
        <row r="69">
          <cell r="EI69">
            <v>465</v>
          </cell>
        </row>
        <row r="70">
          <cell r="EI70">
            <v>466</v>
          </cell>
        </row>
        <row r="71">
          <cell r="EI71">
            <v>467</v>
          </cell>
        </row>
        <row r="72">
          <cell r="EI72">
            <v>468</v>
          </cell>
        </row>
        <row r="73">
          <cell r="EI73">
            <v>469</v>
          </cell>
        </row>
        <row r="74">
          <cell r="EI74">
            <v>470</v>
          </cell>
        </row>
        <row r="75">
          <cell r="EI75">
            <v>471</v>
          </cell>
        </row>
        <row r="76">
          <cell r="EI76">
            <v>472</v>
          </cell>
        </row>
        <row r="77">
          <cell r="EI77">
            <v>473</v>
          </cell>
        </row>
        <row r="78">
          <cell r="EI78">
            <v>474</v>
          </cell>
        </row>
        <row r="79">
          <cell r="EI79">
            <v>475</v>
          </cell>
        </row>
        <row r="80">
          <cell r="EI80">
            <v>476</v>
          </cell>
        </row>
        <row r="81">
          <cell r="EI81">
            <v>477</v>
          </cell>
        </row>
        <row r="82">
          <cell r="EI82">
            <v>478</v>
          </cell>
        </row>
        <row r="83">
          <cell r="EI83">
            <v>479</v>
          </cell>
        </row>
        <row r="84">
          <cell r="EI84">
            <v>480</v>
          </cell>
        </row>
        <row r="85">
          <cell r="EI85">
            <v>481</v>
          </cell>
        </row>
        <row r="86">
          <cell r="EI86">
            <v>482</v>
          </cell>
        </row>
        <row r="87">
          <cell r="EI87">
            <v>483</v>
          </cell>
        </row>
        <row r="88">
          <cell r="EI88">
            <v>484</v>
          </cell>
        </row>
        <row r="89">
          <cell r="EI89">
            <v>485</v>
          </cell>
        </row>
        <row r="90">
          <cell r="EI90">
            <v>486</v>
          </cell>
        </row>
      </sheetData>
      <sheetData sheetId="1"/>
      <sheetData sheetId="2" refreshError="1"/>
      <sheetData sheetId="3"/>
      <sheetData sheetId="4"/>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STO"/>
      <sheetName val="1"/>
      <sheetName val="2"/>
      <sheetName val="3"/>
      <sheetName val="4"/>
      <sheetName val="5"/>
      <sheetName val="6"/>
      <sheetName val="7"/>
      <sheetName val="8"/>
      <sheetName val="8(1)"/>
      <sheetName val="9"/>
      <sheetName val="AUX"/>
    </sheetNames>
    <sheetDataSet>
      <sheetData sheetId="0">
        <row r="5">
          <cell r="F5">
            <v>4536</v>
          </cell>
        </row>
      </sheetData>
      <sheetData sheetId="1">
        <row r="8">
          <cell r="B8" t="str">
            <v>ADECUACIÓN DE LA CANCHA DE FUTBOL EN EL CORREGIMIENTO SAN MIGUEL DEL TIGRE DEL MUNICIPIO YONDÓ, ANTIOQUIA, OCCIDENTE</v>
          </cell>
        </row>
      </sheetData>
      <sheetData sheetId="2">
        <row r="42">
          <cell r="F42">
            <v>84000</v>
          </cell>
        </row>
      </sheetData>
      <sheetData sheetId="3">
        <row r="43">
          <cell r="H43">
            <v>36247</v>
          </cell>
        </row>
      </sheetData>
      <sheetData sheetId="4">
        <row r="46">
          <cell r="H46">
            <v>76602</v>
          </cell>
        </row>
      </sheetData>
      <sheetData sheetId="5">
        <row r="45">
          <cell r="H45">
            <v>307694</v>
          </cell>
        </row>
      </sheetData>
      <sheetData sheetId="6">
        <row r="45">
          <cell r="H45">
            <v>109449</v>
          </cell>
        </row>
      </sheetData>
      <sheetData sheetId="7">
        <row r="47">
          <cell r="H47">
            <v>2322876</v>
          </cell>
        </row>
      </sheetData>
      <sheetData sheetId="8">
        <row r="46">
          <cell r="H46">
            <v>36963</v>
          </cell>
        </row>
      </sheetData>
      <sheetData sheetId="9">
        <row r="49">
          <cell r="H49">
            <v>484275</v>
          </cell>
        </row>
      </sheetData>
      <sheetData sheetId="10">
        <row r="47">
          <cell r="H47">
            <v>164228</v>
          </cell>
        </row>
      </sheetData>
      <sheetData sheetId="11">
        <row r="46">
          <cell r="H46">
            <v>21025</v>
          </cell>
        </row>
      </sheetData>
      <sheetData sheetId="1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PTO_CANCHA"/>
      <sheetName val="PMA"/>
      <sheetName val="APU_CANCHA"/>
      <sheetName val="CANTIDADES"/>
      <sheetName val="A.P.U"/>
      <sheetName val="Insumos"/>
      <sheetName val="Analisis Mano de Obra"/>
      <sheetName val="Analisis Herramienta Menor"/>
      <sheetName val="Analisis Factor Prestacional"/>
      <sheetName val="Analisis AIU"/>
      <sheetName val="Factor Multiplicador"/>
      <sheetName val="Interventoria"/>
    </sheetNames>
    <sheetDataSet>
      <sheetData sheetId="0" refreshError="1"/>
      <sheetData sheetId="1" refreshError="1"/>
      <sheetData sheetId="2" refreshError="1"/>
      <sheetData sheetId="3" refreshError="1"/>
      <sheetData sheetId="4" refreshError="1">
        <row r="2">
          <cell r="A2" t="str">
            <v>001</v>
          </cell>
          <cell r="C2" t="str">
            <v>PRELIMINARES</v>
          </cell>
          <cell r="D2" t="str">
            <v>Capitulo</v>
          </cell>
        </row>
        <row r="4">
          <cell r="A4" t="str">
            <v>001.041</v>
          </cell>
          <cell r="B4" t="str">
            <v>-</v>
          </cell>
          <cell r="C4" t="str">
            <v>TRAZADO SOBRE TERRENO</v>
          </cell>
          <cell r="D4" t="str">
            <v>Actividad</v>
          </cell>
          <cell r="E4" t="str">
            <v>M2</v>
          </cell>
          <cell r="H4">
            <v>1735</v>
          </cell>
        </row>
        <row r="5">
          <cell r="A5" t="str">
            <v>001.041</v>
          </cell>
          <cell r="B5" t="str">
            <v>C1</v>
          </cell>
          <cell r="C5" t="str">
            <v>CUADRILLA AA TIPO 1 (1 OFICIAL + 1 AYUDANTE) (Albañileria)</v>
          </cell>
          <cell r="D5" t="str">
            <v>Cuadrilla</v>
          </cell>
          <cell r="E5" t="str">
            <v>HR</v>
          </cell>
          <cell r="F5">
            <v>0.05</v>
          </cell>
          <cell r="G5">
            <v>16712</v>
          </cell>
          <cell r="H5">
            <v>836</v>
          </cell>
        </row>
        <row r="6">
          <cell r="A6" t="str">
            <v>001.041</v>
          </cell>
          <cell r="B6" t="str">
            <v>H2</v>
          </cell>
          <cell r="C6" t="str">
            <v>EQUIPO BASICO (HERRAMIENTA MENOR)</v>
          </cell>
          <cell r="D6" t="str">
            <v>Herramienta</v>
          </cell>
          <cell r="E6" t="str">
            <v>UND</v>
          </cell>
          <cell r="F6">
            <v>0.05</v>
          </cell>
          <cell r="G6">
            <v>2536</v>
          </cell>
          <cell r="H6">
            <v>127</v>
          </cell>
        </row>
        <row r="7">
          <cell r="A7" t="str">
            <v>001.041</v>
          </cell>
          <cell r="B7" t="str">
            <v>I1002</v>
          </cell>
          <cell r="C7" t="str">
            <v>ESMALTE SINTETICO PINTULUX - TIPO PINTUCO REF. SEGÚN COLOR DISEÑO O SIMILAR</v>
          </cell>
          <cell r="D7" t="str">
            <v>Insumo</v>
          </cell>
          <cell r="E7" t="str">
            <v>GAL</v>
          </cell>
          <cell r="F7">
            <v>1E-3</v>
          </cell>
          <cell r="G7">
            <v>88789</v>
          </cell>
          <cell r="H7">
            <v>89</v>
          </cell>
        </row>
        <row r="8">
          <cell r="A8" t="str">
            <v>001.041</v>
          </cell>
          <cell r="B8" t="str">
            <v>I425</v>
          </cell>
          <cell r="C8" t="str">
            <v>PUNTILLA CON CABEZA 2"</v>
          </cell>
          <cell r="D8" t="str">
            <v>Insumo</v>
          </cell>
          <cell r="E8" t="str">
            <v>LB</v>
          </cell>
          <cell r="F8">
            <v>0.1</v>
          </cell>
          <cell r="G8">
            <v>3585</v>
          </cell>
          <cell r="H8">
            <v>359</v>
          </cell>
        </row>
        <row r="9">
          <cell r="A9" t="str">
            <v>001.041</v>
          </cell>
          <cell r="B9" t="str">
            <v>I957</v>
          </cell>
          <cell r="C9" t="str">
            <v>LISTON 2 X 4</v>
          </cell>
          <cell r="D9" t="str">
            <v>Insumo</v>
          </cell>
          <cell r="E9" t="str">
            <v>M</v>
          </cell>
          <cell r="F9">
            <v>0.1</v>
          </cell>
          <cell r="G9">
            <v>3244</v>
          </cell>
          <cell r="H9">
            <v>324</v>
          </cell>
        </row>
        <row r="10">
          <cell r="A10" t="str">
            <v>onf</v>
          </cell>
        </row>
        <row r="12">
          <cell r="A12" t="str">
            <v>001.042</v>
          </cell>
          <cell r="B12" t="str">
            <v>-</v>
          </cell>
          <cell r="C12" t="str">
            <v>LOCALIZACION Y REPLANTEO REDES (INCLUYE PLANO RECORD)</v>
          </cell>
          <cell r="D12" t="str">
            <v>Actividad</v>
          </cell>
          <cell r="E12" t="str">
            <v>DIA</v>
          </cell>
          <cell r="H12">
            <v>892750</v>
          </cell>
        </row>
        <row r="13">
          <cell r="A13" t="str">
            <v>001.042</v>
          </cell>
          <cell r="B13" t="str">
            <v>H2</v>
          </cell>
          <cell r="C13" t="str">
            <v>EQUIPO BASICO (HERRAMIENTA MENOR)</v>
          </cell>
          <cell r="D13" t="str">
            <v>Herramienta</v>
          </cell>
          <cell r="E13" t="str">
            <v>UND</v>
          </cell>
          <cell r="F13">
            <v>1</v>
          </cell>
          <cell r="G13">
            <v>2536</v>
          </cell>
          <cell r="H13">
            <v>2536</v>
          </cell>
        </row>
        <row r="14">
          <cell r="A14" t="str">
            <v>001.042</v>
          </cell>
          <cell r="B14" t="str">
            <v>I1615</v>
          </cell>
          <cell r="C14" t="str">
            <v>COMISIÓN DE TOPOGRAFÍA CON EQUIPOS</v>
          </cell>
          <cell r="D14" t="str">
            <v>Insumo</v>
          </cell>
          <cell r="E14" t="str">
            <v>DIA</v>
          </cell>
          <cell r="F14">
            <v>1</v>
          </cell>
          <cell r="G14">
            <v>593451</v>
          </cell>
          <cell r="H14">
            <v>593451</v>
          </cell>
        </row>
        <row r="15">
          <cell r="A15" t="str">
            <v>001.042</v>
          </cell>
          <cell r="B15" t="str">
            <v>I1616</v>
          </cell>
          <cell r="C15" t="str">
            <v>DIBUJO DE PLANOS</v>
          </cell>
          <cell r="D15" t="str">
            <v>Insumo</v>
          </cell>
          <cell r="E15" t="str">
            <v>UND</v>
          </cell>
          <cell r="F15">
            <v>1</v>
          </cell>
          <cell r="G15">
            <v>296727</v>
          </cell>
          <cell r="H15">
            <v>296727</v>
          </cell>
        </row>
        <row r="16">
          <cell r="A16" t="str">
            <v>001.042</v>
          </cell>
          <cell r="B16" t="str">
            <v>I425</v>
          </cell>
          <cell r="C16" t="str">
            <v>PUNTILLA CON CABEZA 2"</v>
          </cell>
          <cell r="D16" t="str">
            <v>Insumo</v>
          </cell>
          <cell r="E16" t="str">
            <v>LB</v>
          </cell>
          <cell r="F16">
            <v>0.01</v>
          </cell>
          <cell r="G16">
            <v>3585</v>
          </cell>
          <cell r="H16">
            <v>36</v>
          </cell>
        </row>
        <row r="19">
          <cell r="A19" t="str">
            <v>001.044</v>
          </cell>
          <cell r="B19" t="str">
            <v>-</v>
          </cell>
          <cell r="C19" t="str">
            <v xml:space="preserve">DESCAPOTE MANUAL e=0.20 m. </v>
          </cell>
          <cell r="D19" t="str">
            <v>Actividad</v>
          </cell>
          <cell r="E19" t="str">
            <v>M2</v>
          </cell>
          <cell r="H19">
            <v>1977</v>
          </cell>
        </row>
        <row r="20">
          <cell r="A20" t="str">
            <v>001.044</v>
          </cell>
          <cell r="B20" t="str">
            <v>C1</v>
          </cell>
          <cell r="C20" t="str">
            <v>CUADRILLA AA TIPO 1 (1 OFICIAL + 1 AYUDANTE) (Albañileria)</v>
          </cell>
          <cell r="D20" t="str">
            <v>Cuadrilla</v>
          </cell>
          <cell r="E20" t="str">
            <v>HR</v>
          </cell>
          <cell r="F20">
            <v>0.09</v>
          </cell>
          <cell r="G20">
            <v>16712</v>
          </cell>
          <cell r="H20">
            <v>1504</v>
          </cell>
        </row>
        <row r="21">
          <cell r="A21" t="str">
            <v>001.044</v>
          </cell>
          <cell r="B21" t="str">
            <v>E24</v>
          </cell>
          <cell r="C21" t="str">
            <v>VOLQUETA  6M3 (CARGUE A MANO)</v>
          </cell>
          <cell r="D21" t="str">
            <v>Equipos</v>
          </cell>
          <cell r="E21" t="str">
            <v>VJE</v>
          </cell>
          <cell r="F21">
            <v>1E-3</v>
          </cell>
          <cell r="G21">
            <v>118086</v>
          </cell>
          <cell r="H21">
            <v>118</v>
          </cell>
        </row>
        <row r="22">
          <cell r="A22" t="str">
            <v>001.044</v>
          </cell>
          <cell r="B22" t="str">
            <v>H2</v>
          </cell>
          <cell r="C22" t="str">
            <v>EQUIPO BASICO (HERRAMIENTA MENOR)</v>
          </cell>
          <cell r="D22" t="str">
            <v>Herramienta</v>
          </cell>
          <cell r="E22" t="str">
            <v>UND</v>
          </cell>
          <cell r="F22">
            <v>0.09</v>
          </cell>
          <cell r="G22">
            <v>2536</v>
          </cell>
          <cell r="H22">
            <v>228</v>
          </cell>
        </row>
        <row r="23">
          <cell r="A23" t="str">
            <v>001.044</v>
          </cell>
          <cell r="B23" t="str">
            <v>I1565</v>
          </cell>
          <cell r="C23" t="str">
            <v>ACARREO INTERNO</v>
          </cell>
          <cell r="D23" t="str">
            <v>Insumo</v>
          </cell>
          <cell r="E23" t="str">
            <v>UND</v>
          </cell>
          <cell r="F23">
            <v>9.6000000000000002E-2</v>
          </cell>
          <cell r="G23">
            <v>1327</v>
          </cell>
          <cell r="H23">
            <v>127</v>
          </cell>
        </row>
        <row r="26">
          <cell r="A26" t="str">
            <v>001.046</v>
          </cell>
          <cell r="B26" t="str">
            <v>-</v>
          </cell>
          <cell r="C26" t="str">
            <v>SUMINISTRO, TRANSPORTE E INSTALACION CAMPAMENTO PROVISIONAL</v>
          </cell>
          <cell r="D26" t="str">
            <v>Actividad</v>
          </cell>
          <cell r="E26" t="str">
            <v>M2</v>
          </cell>
          <cell r="H26">
            <v>128872</v>
          </cell>
        </row>
        <row r="27">
          <cell r="A27" t="str">
            <v>001.046</v>
          </cell>
          <cell r="B27" t="str">
            <v>AB4</v>
          </cell>
          <cell r="C27" t="str">
            <v>CONCRETO 2500 psi - 17.5 Mpa</v>
          </cell>
          <cell r="D27" t="str">
            <v>Analisis</v>
          </cell>
          <cell r="E27" t="str">
            <v>M3</v>
          </cell>
          <cell r="F27">
            <v>0.05</v>
          </cell>
          <cell r="G27">
            <v>380250</v>
          </cell>
          <cell r="H27">
            <v>19013</v>
          </cell>
        </row>
        <row r="28">
          <cell r="A28" t="str">
            <v>001.046</v>
          </cell>
          <cell r="B28" t="str">
            <v>C15</v>
          </cell>
          <cell r="C28" t="str">
            <v>CUADRILLA AA TIPO 3 (1 OFICIAL + 3 AYUDANTE) (Albañileria)</v>
          </cell>
          <cell r="D28" t="str">
            <v>Cuadrilla</v>
          </cell>
          <cell r="E28" t="str">
            <v>HR</v>
          </cell>
          <cell r="F28">
            <v>0.85</v>
          </cell>
          <cell r="G28">
            <v>29568</v>
          </cell>
          <cell r="H28">
            <v>25133</v>
          </cell>
        </row>
        <row r="29">
          <cell r="A29" t="str">
            <v>001.046</v>
          </cell>
          <cell r="B29" t="str">
            <v>E14</v>
          </cell>
          <cell r="C29" t="str">
            <v>MEZCLADORA A GASOLINA 1 SACO</v>
          </cell>
          <cell r="D29" t="str">
            <v>Equipos</v>
          </cell>
          <cell r="E29" t="str">
            <v>DIA</v>
          </cell>
          <cell r="F29">
            <v>2.1000000000000001E-2</v>
          </cell>
          <cell r="G29">
            <v>34593</v>
          </cell>
          <cell r="H29">
            <v>726</v>
          </cell>
        </row>
        <row r="30">
          <cell r="A30" t="str">
            <v>001.046</v>
          </cell>
          <cell r="B30" t="str">
            <v>H1</v>
          </cell>
          <cell r="C30" t="str">
            <v>EQUIPO BASICO ( CONSTRUCCIÓN )</v>
          </cell>
          <cell r="D30" t="str">
            <v>Herramienta</v>
          </cell>
          <cell r="E30" t="str">
            <v>UND</v>
          </cell>
          <cell r="F30">
            <v>0.85</v>
          </cell>
          <cell r="G30">
            <v>2536</v>
          </cell>
          <cell r="H30">
            <v>2156</v>
          </cell>
        </row>
        <row r="31">
          <cell r="A31" t="str">
            <v>001.046</v>
          </cell>
          <cell r="B31" t="str">
            <v>I1614</v>
          </cell>
          <cell r="C31" t="str">
            <v>PUERTAS Y VENTANAS EN TABLA PARA CAMPAMENTO</v>
          </cell>
          <cell r="D31" t="str">
            <v>Insumo</v>
          </cell>
          <cell r="E31" t="str">
            <v>M2</v>
          </cell>
          <cell r="F31">
            <v>0.51500000000000001</v>
          </cell>
          <cell r="G31">
            <v>3238</v>
          </cell>
          <cell r="H31">
            <v>1668</v>
          </cell>
        </row>
        <row r="32">
          <cell r="A32" t="str">
            <v>001.046</v>
          </cell>
          <cell r="B32" t="str">
            <v>I1619</v>
          </cell>
          <cell r="C32" t="str">
            <v>INSTALACIONES PROVISIONALES</v>
          </cell>
          <cell r="D32" t="str">
            <v>Insumo</v>
          </cell>
          <cell r="E32" t="str">
            <v>UND</v>
          </cell>
          <cell r="F32">
            <v>1.03</v>
          </cell>
          <cell r="G32">
            <v>16626</v>
          </cell>
          <cell r="H32">
            <v>17125</v>
          </cell>
        </row>
        <row r="33">
          <cell r="A33" t="str">
            <v>001.046</v>
          </cell>
          <cell r="B33" t="str">
            <v>I1620</v>
          </cell>
          <cell r="C33" t="str">
            <v>GUADUA-TABLA-CUARTÓN-LISTÓN-VARILLÓN PARA CAMPAMENTO</v>
          </cell>
          <cell r="D33" t="str">
            <v>Insumo</v>
          </cell>
          <cell r="E33" t="str">
            <v>M2</v>
          </cell>
          <cell r="F33">
            <v>0.51500000000000001</v>
          </cell>
          <cell r="G33">
            <v>101958</v>
          </cell>
          <cell r="H33">
            <v>52508</v>
          </cell>
        </row>
        <row r="34">
          <cell r="A34" t="str">
            <v>001.046</v>
          </cell>
          <cell r="B34" t="str">
            <v>I302</v>
          </cell>
          <cell r="C34" t="str">
            <v>TEJA DE ZINC ONDULADA TZO L=2.44X0.80</v>
          </cell>
          <cell r="D34" t="str">
            <v>Insumo</v>
          </cell>
          <cell r="E34" t="str">
            <v>UND</v>
          </cell>
          <cell r="F34">
            <v>0.35</v>
          </cell>
          <cell r="G34">
            <v>30124</v>
          </cell>
          <cell r="H34">
            <v>10543</v>
          </cell>
        </row>
        <row r="37">
          <cell r="A37" t="str">
            <v>001.050</v>
          </cell>
          <cell r="B37" t="str">
            <v>-</v>
          </cell>
          <cell r="C37" t="str">
            <v>INSTALACION PROVISIONAL DE ACUEDUCTO</v>
          </cell>
          <cell r="D37" t="str">
            <v>Actividad</v>
          </cell>
          <cell r="E37" t="str">
            <v>UND</v>
          </cell>
          <cell r="H37">
            <v>62923</v>
          </cell>
        </row>
        <row r="38">
          <cell r="A38" t="str">
            <v>001.050</v>
          </cell>
          <cell r="B38" t="str">
            <v>I1558</v>
          </cell>
          <cell r="C38" t="str">
            <v>SERVICIO DE AGUA</v>
          </cell>
          <cell r="D38" t="str">
            <v>Insumo</v>
          </cell>
          <cell r="E38" t="str">
            <v>MES</v>
          </cell>
          <cell r="F38">
            <v>1</v>
          </cell>
          <cell r="G38">
            <v>62923</v>
          </cell>
          <cell r="H38">
            <v>62923</v>
          </cell>
        </row>
        <row r="41">
          <cell r="A41" t="str">
            <v>001.051</v>
          </cell>
          <cell r="B41" t="str">
            <v>-</v>
          </cell>
          <cell r="C41" t="str">
            <v>INSTALACION PROVISIONAL DE ENERGIA</v>
          </cell>
          <cell r="D41" t="str">
            <v>Actividad</v>
          </cell>
          <cell r="E41" t="str">
            <v>UND</v>
          </cell>
          <cell r="H41">
            <v>55930</v>
          </cell>
        </row>
        <row r="42">
          <cell r="A42" t="str">
            <v>001.051</v>
          </cell>
          <cell r="B42" t="str">
            <v>I1559</v>
          </cell>
          <cell r="C42" t="str">
            <v>SERVICIO DE ENERGIA</v>
          </cell>
          <cell r="D42" t="str">
            <v>Insumo</v>
          </cell>
          <cell r="E42" t="str">
            <v>MES</v>
          </cell>
          <cell r="F42">
            <v>1</v>
          </cell>
          <cell r="G42">
            <v>55930</v>
          </cell>
          <cell r="H42">
            <v>55930</v>
          </cell>
        </row>
        <row r="45">
          <cell r="A45" t="str">
            <v>001.052</v>
          </cell>
          <cell r="B45" t="str">
            <v>-</v>
          </cell>
          <cell r="C45" t="str">
            <v>SUMINISTRO, TRANSPORTE E INSTALACION VALLA INFORMATIVA GENERAL DEL PROYECTO</v>
          </cell>
          <cell r="D45" t="str">
            <v>Actividad</v>
          </cell>
          <cell r="E45" t="str">
            <v>M2</v>
          </cell>
          <cell r="H45">
            <v>167128</v>
          </cell>
        </row>
        <row r="46">
          <cell r="A46" t="str">
            <v>001.052</v>
          </cell>
          <cell r="B46" t="str">
            <v>C8</v>
          </cell>
          <cell r="C46" t="str">
            <v>CUADRILLA AA TIPO 2 (1 OFICIAL + 2 AYUDANTE) (Albañileria)</v>
          </cell>
          <cell r="D46" t="str">
            <v>Cuadrilla</v>
          </cell>
          <cell r="E46" t="str">
            <v>HR</v>
          </cell>
          <cell r="F46">
            <v>1.5</v>
          </cell>
          <cell r="G46">
            <v>23140</v>
          </cell>
          <cell r="H46">
            <v>34710</v>
          </cell>
        </row>
        <row r="47">
          <cell r="A47" t="str">
            <v>001.052</v>
          </cell>
          <cell r="B47" t="str">
            <v>E12</v>
          </cell>
          <cell r="C47" t="str">
            <v>EQUIPO DE TRANSPORTE</v>
          </cell>
          <cell r="D47" t="str">
            <v>Equipos</v>
          </cell>
          <cell r="E47" t="str">
            <v>DIA</v>
          </cell>
          <cell r="F47">
            <v>1.8800000000000001E-2</v>
          </cell>
          <cell r="G47">
            <v>131205</v>
          </cell>
          <cell r="H47">
            <v>2467</v>
          </cell>
        </row>
        <row r="48">
          <cell r="A48" t="str">
            <v>001.052</v>
          </cell>
          <cell r="B48" t="str">
            <v>H2</v>
          </cell>
          <cell r="C48" t="str">
            <v>EQUIPO BASICO (HERRAMIENTA MENOR)</v>
          </cell>
          <cell r="D48" t="str">
            <v>Herramienta</v>
          </cell>
          <cell r="E48" t="str">
            <v>UND</v>
          </cell>
          <cell r="F48">
            <v>1.5</v>
          </cell>
          <cell r="G48">
            <v>2536</v>
          </cell>
          <cell r="H48">
            <v>3804</v>
          </cell>
        </row>
        <row r="49">
          <cell r="A49" t="str">
            <v>001.052</v>
          </cell>
          <cell r="B49" t="str">
            <v>I1565</v>
          </cell>
          <cell r="C49" t="str">
            <v>ACARREO INTERNO</v>
          </cell>
          <cell r="D49" t="str">
            <v>Insumo</v>
          </cell>
          <cell r="E49" t="str">
            <v>UND</v>
          </cell>
          <cell r="F49">
            <v>2.1</v>
          </cell>
          <cell r="G49">
            <v>1327</v>
          </cell>
          <cell r="H49">
            <v>2787</v>
          </cell>
        </row>
        <row r="50">
          <cell r="A50" t="str">
            <v>001.052</v>
          </cell>
          <cell r="B50" t="str">
            <v>I345</v>
          </cell>
          <cell r="C50" t="str">
            <v>PERFIL METALICO CAL 12 - 2,5MM. - 2,44M.</v>
          </cell>
          <cell r="D50" t="str">
            <v>Insumo</v>
          </cell>
          <cell r="E50" t="str">
            <v>UND</v>
          </cell>
          <cell r="F50">
            <v>1</v>
          </cell>
          <cell r="G50">
            <v>51640</v>
          </cell>
          <cell r="H50">
            <v>51640</v>
          </cell>
        </row>
        <row r="51">
          <cell r="A51" t="str">
            <v>001.052</v>
          </cell>
          <cell r="B51" t="str">
            <v>I448</v>
          </cell>
          <cell r="C51" t="str">
            <v>VALLA EN LONA</v>
          </cell>
          <cell r="D51" t="str">
            <v>Insumo</v>
          </cell>
          <cell r="E51" t="str">
            <v>M2</v>
          </cell>
          <cell r="F51">
            <v>1</v>
          </cell>
          <cell r="G51">
            <v>71720</v>
          </cell>
          <cell r="H51">
            <v>71720</v>
          </cell>
        </row>
        <row r="54">
          <cell r="A54" t="str">
            <v>001.054</v>
          </cell>
          <cell r="B54" t="str">
            <v>-</v>
          </cell>
          <cell r="C54" t="str">
            <v>SUMINISTRO, TRANSPORTE E INSTALACION SEÑAL PREVENTIVA, REGLAMENTARIA E INFORMATIVA</v>
          </cell>
          <cell r="D54" t="str">
            <v>Actividad</v>
          </cell>
          <cell r="E54" t="str">
            <v>UND</v>
          </cell>
          <cell r="H54">
            <v>160565</v>
          </cell>
        </row>
        <row r="55">
          <cell r="A55" t="str">
            <v>001.054</v>
          </cell>
          <cell r="B55" t="str">
            <v>AB4</v>
          </cell>
          <cell r="C55" t="str">
            <v>CONCRETO 2500 psi - 17.5 Mpa</v>
          </cell>
          <cell r="D55" t="str">
            <v>Analisis</v>
          </cell>
          <cell r="E55" t="str">
            <v>M3</v>
          </cell>
          <cell r="F55">
            <v>0.01</v>
          </cell>
          <cell r="G55">
            <v>380250</v>
          </cell>
          <cell r="H55">
            <v>3803</v>
          </cell>
        </row>
        <row r="56">
          <cell r="A56" t="str">
            <v>001.054</v>
          </cell>
          <cell r="B56" t="str">
            <v>C1</v>
          </cell>
          <cell r="C56" t="str">
            <v>CUADRILLA AA TIPO 1 (1 OFICIAL + 1 AYUDANTE) (Albañileria)</v>
          </cell>
          <cell r="D56" t="str">
            <v>Cuadrilla</v>
          </cell>
          <cell r="E56" t="str">
            <v>HR</v>
          </cell>
          <cell r="F56">
            <v>2</v>
          </cell>
          <cell r="G56">
            <v>16712</v>
          </cell>
          <cell r="H56">
            <v>33424</v>
          </cell>
        </row>
        <row r="57">
          <cell r="A57" t="str">
            <v>001.054</v>
          </cell>
          <cell r="B57" t="str">
            <v>E111</v>
          </cell>
          <cell r="C57" t="str">
            <v>FORMALETA PARA BASE DE CONCRETO</v>
          </cell>
          <cell r="D57" t="str">
            <v>Equipos</v>
          </cell>
          <cell r="E57" t="str">
            <v>UND</v>
          </cell>
          <cell r="F57">
            <v>0.5</v>
          </cell>
          <cell r="G57">
            <v>4151</v>
          </cell>
          <cell r="H57">
            <v>2076</v>
          </cell>
        </row>
        <row r="58">
          <cell r="A58" t="str">
            <v>001.054</v>
          </cell>
          <cell r="B58" t="str">
            <v>E12</v>
          </cell>
          <cell r="C58" t="str">
            <v>EQUIPO DE TRANSPORTE</v>
          </cell>
          <cell r="D58" t="str">
            <v>Equipos</v>
          </cell>
          <cell r="E58" t="str">
            <v>DIA</v>
          </cell>
          <cell r="F58">
            <v>0.22800000000000001</v>
          </cell>
          <cell r="G58">
            <v>131205</v>
          </cell>
          <cell r="H58">
            <v>29915</v>
          </cell>
        </row>
        <row r="59">
          <cell r="A59" t="str">
            <v>001.054</v>
          </cell>
          <cell r="B59" t="str">
            <v>H2</v>
          </cell>
          <cell r="C59" t="str">
            <v>EQUIPO BASICO (HERRAMIENTA MENOR)</v>
          </cell>
          <cell r="D59" t="str">
            <v>Herramienta</v>
          </cell>
          <cell r="E59" t="str">
            <v>UND</v>
          </cell>
          <cell r="F59">
            <v>2</v>
          </cell>
          <cell r="G59">
            <v>2536</v>
          </cell>
          <cell r="H59">
            <v>5072</v>
          </cell>
        </row>
        <row r="60">
          <cell r="A60" t="str">
            <v>001.054</v>
          </cell>
          <cell r="B60" t="str">
            <v>I1565</v>
          </cell>
          <cell r="C60" t="str">
            <v>ACARREO INTERNO</v>
          </cell>
          <cell r="D60" t="str">
            <v>Insumo</v>
          </cell>
          <cell r="E60" t="str">
            <v>UND</v>
          </cell>
          <cell r="F60">
            <v>0.158</v>
          </cell>
          <cell r="G60">
            <v>1327</v>
          </cell>
          <cell r="H60">
            <v>210</v>
          </cell>
        </row>
        <row r="61">
          <cell r="A61" t="str">
            <v>001.054</v>
          </cell>
          <cell r="B61" t="str">
            <v>I450</v>
          </cell>
          <cell r="C61" t="str">
            <v>SEÑAL PREVENTIVA, REGLAMENTARIA E INFORMATIVA (2 USOS)</v>
          </cell>
          <cell r="D61" t="str">
            <v>Insumo</v>
          </cell>
          <cell r="E61" t="str">
            <v>UND</v>
          </cell>
          <cell r="F61">
            <v>0.6</v>
          </cell>
          <cell r="G61">
            <v>143441</v>
          </cell>
          <cell r="H61">
            <v>86065</v>
          </cell>
        </row>
        <row r="64">
          <cell r="A64" t="str">
            <v>001.086</v>
          </cell>
          <cell r="B64" t="str">
            <v>-</v>
          </cell>
          <cell r="C64" t="str">
            <v>CERRAMIENTO PROVISIONAL CON SEÑALIZADOR Y TELA DE CERRAMIENTO</v>
          </cell>
          <cell r="D64" t="str">
            <v>Actividad</v>
          </cell>
          <cell r="E64" t="str">
            <v>ML</v>
          </cell>
          <cell r="H64">
            <v>5422</v>
          </cell>
        </row>
        <row r="65">
          <cell r="A65" t="str">
            <v>001.086</v>
          </cell>
          <cell r="B65" t="str">
            <v>C1</v>
          </cell>
          <cell r="C65" t="str">
            <v>CUADRILLA AA TIPO 1 (1 OFICIAL + 1 AYUDANTE) (Albañileria)</v>
          </cell>
          <cell r="D65" t="str">
            <v>Cuadrilla</v>
          </cell>
          <cell r="E65" t="str">
            <v>HR</v>
          </cell>
          <cell r="F65">
            <v>0.12</v>
          </cell>
          <cell r="G65">
            <v>16712</v>
          </cell>
          <cell r="H65">
            <v>2005</v>
          </cell>
        </row>
        <row r="66">
          <cell r="A66" t="str">
            <v>001.086</v>
          </cell>
          <cell r="B66" t="str">
            <v>H2</v>
          </cell>
          <cell r="C66" t="str">
            <v>EQUIPO BASICO (HERRAMIENTA MENOR)</v>
          </cell>
          <cell r="D66" t="str">
            <v>Herramienta</v>
          </cell>
          <cell r="E66" t="str">
            <v>UND</v>
          </cell>
          <cell r="F66">
            <v>7.0000000000000007E-2</v>
          </cell>
          <cell r="G66">
            <v>2536</v>
          </cell>
          <cell r="H66">
            <v>178</v>
          </cell>
        </row>
        <row r="67">
          <cell r="A67" t="str">
            <v>001.086</v>
          </cell>
          <cell r="B67" t="str">
            <v>I1810</v>
          </cell>
          <cell r="C67" t="str">
            <v>GUADUA SOBREBASA LONGITUD PROMEDIO L = 5MT</v>
          </cell>
          <cell r="D67" t="str">
            <v>Insumo</v>
          </cell>
          <cell r="E67" t="str">
            <v>M</v>
          </cell>
          <cell r="F67">
            <v>7.0000000000000007E-2</v>
          </cell>
          <cell r="G67">
            <v>4529</v>
          </cell>
          <cell r="H67">
            <v>317</v>
          </cell>
        </row>
        <row r="68">
          <cell r="A68" t="str">
            <v>001.086</v>
          </cell>
          <cell r="B68" t="str">
            <v>I1811</v>
          </cell>
          <cell r="C68" t="str">
            <v>TELA DE CERRAMIENTO A= 2,10 M ( ROLLO POR 100 M)</v>
          </cell>
          <cell r="D68" t="str">
            <v>Insumo</v>
          </cell>
          <cell r="E68" t="str">
            <v>M</v>
          </cell>
          <cell r="F68">
            <v>2.2000000000000002</v>
          </cell>
          <cell r="G68">
            <v>1247</v>
          </cell>
          <cell r="H68">
            <v>2743</v>
          </cell>
        </row>
        <row r="69">
          <cell r="A69" t="str">
            <v>001.086</v>
          </cell>
          <cell r="B69" t="str">
            <v>I425</v>
          </cell>
          <cell r="C69" t="str">
            <v>PUNTILLA CON CABEZA 2"</v>
          </cell>
          <cell r="D69" t="str">
            <v>Insumo</v>
          </cell>
          <cell r="E69" t="str">
            <v>LB</v>
          </cell>
          <cell r="F69">
            <v>0.05</v>
          </cell>
          <cell r="G69">
            <v>3585</v>
          </cell>
          <cell r="H69">
            <v>179</v>
          </cell>
        </row>
        <row r="72">
          <cell r="A72" t="str">
            <v>002</v>
          </cell>
          <cell r="C72" t="str">
            <v>MOVIMIENTO DE TIERRAS</v>
          </cell>
          <cell r="D72" t="str">
            <v>Capitulo</v>
          </cell>
        </row>
        <row r="75">
          <cell r="A75" t="str">
            <v>002.018</v>
          </cell>
          <cell r="B75" t="str">
            <v>-</v>
          </cell>
          <cell r="C75" t="str">
            <v xml:space="preserve">EXCAVACIÓN MECANIZADA CIELO ABIERTO-MAT COMÚN/CONGLOM  0.0 A 6.0 M.                                                                                                                                              </v>
          </cell>
          <cell r="D75" t="str">
            <v>Actividad</v>
          </cell>
          <cell r="E75" t="str">
            <v>M3</v>
          </cell>
          <cell r="H75">
            <v>11645</v>
          </cell>
        </row>
        <row r="76">
          <cell r="A76" t="str">
            <v>002.018</v>
          </cell>
          <cell r="B76" t="str">
            <v>C22</v>
          </cell>
          <cell r="C76" t="str">
            <v>CUADRILLA AA TIPO 4 (1 OFICIAL + 4 AYUDANTE) (Albañileria)</v>
          </cell>
          <cell r="D76" t="str">
            <v>Cuadrilla</v>
          </cell>
          <cell r="E76" t="str">
            <v>HR</v>
          </cell>
          <cell r="F76">
            <v>0.1</v>
          </cell>
          <cell r="G76">
            <v>35996</v>
          </cell>
          <cell r="H76">
            <v>3600</v>
          </cell>
        </row>
        <row r="77">
          <cell r="A77" t="str">
            <v>002.018</v>
          </cell>
          <cell r="B77" t="str">
            <v>E18</v>
          </cell>
          <cell r="C77" t="str">
            <v>RETROEXCAVADORA SOBRE ORUGAS</v>
          </cell>
          <cell r="D77" t="str">
            <v>Equipos</v>
          </cell>
          <cell r="E77" t="str">
            <v>HR</v>
          </cell>
          <cell r="F77">
            <v>2.8000000000000001E-2</v>
          </cell>
          <cell r="G77">
            <v>213079</v>
          </cell>
          <cell r="H77">
            <v>5966</v>
          </cell>
        </row>
        <row r="78">
          <cell r="A78" t="str">
            <v>002.018</v>
          </cell>
          <cell r="B78" t="str">
            <v>E37</v>
          </cell>
          <cell r="C78" t="str">
            <v>MOTOBOMBA DE 2" A GASOLINA</v>
          </cell>
          <cell r="D78" t="str">
            <v>Equipos</v>
          </cell>
          <cell r="E78" t="str">
            <v>DIA</v>
          </cell>
          <cell r="F78">
            <v>2.1999999999999999E-2</v>
          </cell>
          <cell r="G78">
            <v>48431</v>
          </cell>
          <cell r="H78">
            <v>1065</v>
          </cell>
        </row>
        <row r="79">
          <cell r="A79" t="str">
            <v>002.018</v>
          </cell>
          <cell r="B79" t="str">
            <v>H2</v>
          </cell>
          <cell r="C79" t="str">
            <v>EQUIPO BASICO (HERRAMIENTA MENOR)</v>
          </cell>
          <cell r="D79" t="str">
            <v>Herramienta</v>
          </cell>
          <cell r="E79" t="str">
            <v>UND</v>
          </cell>
          <cell r="F79">
            <v>0.4</v>
          </cell>
          <cell r="G79">
            <v>2536</v>
          </cell>
          <cell r="H79">
            <v>1014</v>
          </cell>
        </row>
        <row r="82">
          <cell r="A82" t="str">
            <v>033.166</v>
          </cell>
          <cell r="B82" t="str">
            <v>-</v>
          </cell>
          <cell r="C82" t="str">
            <v>RELLENO, CONFORMACION Y COMPACTACION A MAQUINA CON MATERIAL DE SITIO</v>
          </cell>
          <cell r="D82" t="str">
            <v>Actividad</v>
          </cell>
          <cell r="E82" t="str">
            <v>M3</v>
          </cell>
          <cell r="H82">
            <v>29717</v>
          </cell>
        </row>
        <row r="83">
          <cell r="A83" t="str">
            <v>033.166</v>
          </cell>
          <cell r="B83" t="str">
            <v>C1</v>
          </cell>
          <cell r="C83" t="str">
            <v>CUADRILLA AA TIPO 1 (1 OFICIAL + 1 AYUDANTE) (Albañileria)</v>
          </cell>
          <cell r="D83" t="str">
            <v>Cuadrilla</v>
          </cell>
          <cell r="E83" t="str">
            <v>HR</v>
          </cell>
          <cell r="F83">
            <v>0.08</v>
          </cell>
          <cell r="G83">
            <v>16712</v>
          </cell>
          <cell r="H83">
            <v>1337</v>
          </cell>
        </row>
        <row r="84">
          <cell r="A84" t="str">
            <v>033.166</v>
          </cell>
          <cell r="B84" t="str">
            <v>E15</v>
          </cell>
          <cell r="C84" t="str">
            <v>MOTONIVELADORA 120 HP.</v>
          </cell>
          <cell r="D84" t="str">
            <v>Equipos</v>
          </cell>
          <cell r="E84" t="str">
            <v>HR</v>
          </cell>
          <cell r="F84">
            <v>0.05</v>
          </cell>
          <cell r="G84">
            <v>213079</v>
          </cell>
          <cell r="H84">
            <v>10654</v>
          </cell>
        </row>
        <row r="85">
          <cell r="A85" t="str">
            <v>033.166</v>
          </cell>
          <cell r="B85" t="str">
            <v>E18</v>
          </cell>
          <cell r="C85" t="str">
            <v>RETROEXCAVADORA SOBRE ORUGAS</v>
          </cell>
          <cell r="D85" t="str">
            <v>Equipos</v>
          </cell>
          <cell r="E85" t="str">
            <v>HR</v>
          </cell>
          <cell r="F85">
            <v>8.9999999999999993E-3</v>
          </cell>
          <cell r="G85">
            <v>213079</v>
          </cell>
          <cell r="H85">
            <v>1918</v>
          </cell>
        </row>
        <row r="86">
          <cell r="A86" t="str">
            <v>033.166</v>
          </cell>
          <cell r="B86" t="str">
            <v>E22</v>
          </cell>
          <cell r="C86" t="str">
            <v>VIBROCOMPACTADOR DE SUELO</v>
          </cell>
          <cell r="D86" t="str">
            <v>Equipos</v>
          </cell>
          <cell r="E86" t="str">
            <v>HR</v>
          </cell>
          <cell r="F86">
            <v>0.05</v>
          </cell>
          <cell r="G86">
            <v>117621</v>
          </cell>
          <cell r="H86">
            <v>5881</v>
          </cell>
        </row>
        <row r="87">
          <cell r="A87" t="str">
            <v>033.166</v>
          </cell>
          <cell r="B87" t="str">
            <v>E3</v>
          </cell>
          <cell r="C87" t="str">
            <v>CARROTANQUE DE AGUA 10.000 LTS.</v>
          </cell>
          <cell r="D87" t="str">
            <v>Equipos</v>
          </cell>
          <cell r="E87" t="str">
            <v>HR</v>
          </cell>
          <cell r="F87">
            <v>0.05</v>
          </cell>
          <cell r="G87">
            <v>62269</v>
          </cell>
          <cell r="H87">
            <v>3113</v>
          </cell>
        </row>
        <row r="88">
          <cell r="A88" t="str">
            <v>033.166</v>
          </cell>
          <cell r="B88" t="str">
            <v>H2</v>
          </cell>
          <cell r="C88" t="str">
            <v>EQUIPO BASICO (HERRAMIENTA MENOR)</v>
          </cell>
          <cell r="D88" t="str">
            <v>Herramienta</v>
          </cell>
          <cell r="E88" t="str">
            <v>UND</v>
          </cell>
          <cell r="F88">
            <v>0.1</v>
          </cell>
          <cell r="G88">
            <v>2536</v>
          </cell>
          <cell r="H88">
            <v>254</v>
          </cell>
        </row>
        <row r="89">
          <cell r="A89" t="str">
            <v>033.166</v>
          </cell>
          <cell r="B89" t="str">
            <v>E12</v>
          </cell>
          <cell r="C89" t="str">
            <v>EQUIPO DE TRANSPORTE</v>
          </cell>
          <cell r="D89" t="str">
            <v>Equipos</v>
          </cell>
          <cell r="E89" t="str">
            <v>DIA</v>
          </cell>
          <cell r="F89">
            <v>0.05</v>
          </cell>
          <cell r="G89">
            <v>131205</v>
          </cell>
          <cell r="H89">
            <v>6560</v>
          </cell>
        </row>
        <row r="92">
          <cell r="A92" t="str">
            <v>003</v>
          </cell>
          <cell r="C92" t="str">
            <v>ESTABILIDAD DE TALUDES</v>
          </cell>
          <cell r="D92" t="str">
            <v>Capitulo</v>
          </cell>
        </row>
        <row r="95">
          <cell r="A95" t="str">
            <v>002.022</v>
          </cell>
          <cell r="B95" t="str">
            <v>-</v>
          </cell>
          <cell r="C95" t="str">
            <v>CONFORMACION TALUDES EN TIERRA</v>
          </cell>
          <cell r="D95" t="str">
            <v>Actividad</v>
          </cell>
          <cell r="E95" t="str">
            <v>M3</v>
          </cell>
          <cell r="H95">
            <v>33723</v>
          </cell>
        </row>
        <row r="96">
          <cell r="A96" t="str">
            <v>002.022</v>
          </cell>
          <cell r="B96" t="str">
            <v>C22</v>
          </cell>
          <cell r="C96" t="str">
            <v>CUADRILLA AA TIPO 4 (1 OFICIAL + 4 AYUDANTE) (Albañileria)</v>
          </cell>
          <cell r="D96" t="str">
            <v>Cuadrilla</v>
          </cell>
          <cell r="E96" t="str">
            <v>HR</v>
          </cell>
          <cell r="F96">
            <v>0.8</v>
          </cell>
          <cell r="G96">
            <v>35996</v>
          </cell>
          <cell r="H96">
            <v>28797</v>
          </cell>
        </row>
        <row r="97">
          <cell r="A97" t="str">
            <v>002.022</v>
          </cell>
          <cell r="B97" t="str">
            <v>E27</v>
          </cell>
          <cell r="C97" t="str">
            <v>VOLQUETA  6M3 (CARGUE A MANO) RETIRO INTERNO</v>
          </cell>
          <cell r="D97" t="str">
            <v>Equipos</v>
          </cell>
          <cell r="E97" t="str">
            <v>VJE</v>
          </cell>
          <cell r="F97">
            <v>8.0000000000000002E-3</v>
          </cell>
          <cell r="G97">
            <v>166055</v>
          </cell>
          <cell r="H97">
            <v>1328</v>
          </cell>
        </row>
        <row r="98">
          <cell r="A98" t="str">
            <v>002.022</v>
          </cell>
          <cell r="B98" t="str">
            <v>H2</v>
          </cell>
          <cell r="C98" t="str">
            <v>EQUIPO BASICO (HERRAMIENTA MENOR)</v>
          </cell>
          <cell r="D98" t="str">
            <v>Herramienta</v>
          </cell>
          <cell r="E98" t="str">
            <v>UND</v>
          </cell>
          <cell r="F98">
            <v>0.5</v>
          </cell>
          <cell r="G98">
            <v>2536</v>
          </cell>
          <cell r="H98">
            <v>1268</v>
          </cell>
        </row>
        <row r="99">
          <cell r="A99" t="str">
            <v>002.022</v>
          </cell>
          <cell r="B99" t="str">
            <v>I1563</v>
          </cell>
          <cell r="C99" t="str">
            <v>CONTROL DE AGUAS</v>
          </cell>
          <cell r="D99" t="str">
            <v>Insumo</v>
          </cell>
          <cell r="E99" t="str">
            <v>UND</v>
          </cell>
          <cell r="F99">
            <v>0.09</v>
          </cell>
          <cell r="G99">
            <v>23203</v>
          </cell>
          <cell r="H99">
            <v>2088</v>
          </cell>
        </row>
        <row r="100">
          <cell r="A100" t="str">
            <v>002.022</v>
          </cell>
          <cell r="B100" t="str">
            <v>I1565</v>
          </cell>
          <cell r="C100" t="str">
            <v>ACARREO INTERNO</v>
          </cell>
          <cell r="D100" t="str">
            <v>Insumo</v>
          </cell>
          <cell r="E100" t="str">
            <v>UND</v>
          </cell>
          <cell r="F100">
            <v>0.182</v>
          </cell>
          <cell r="G100">
            <v>1327</v>
          </cell>
          <cell r="H100">
            <v>242</v>
          </cell>
        </row>
        <row r="103">
          <cell r="A103" t="str">
            <v>027.003</v>
          </cell>
          <cell r="B103" t="str">
            <v>-</v>
          </cell>
          <cell r="C103" t="str">
            <v>SUMINISTRO, TRANSPORTE E INSTALACION GAVIONES EN MEDIA ZOGA EN MALLA GALVANIZADA 12-2"</v>
          </cell>
          <cell r="D103" t="str">
            <v>Actividad</v>
          </cell>
          <cell r="E103" t="str">
            <v>M3</v>
          </cell>
          <cell r="H103">
            <v>267507</v>
          </cell>
        </row>
        <row r="104">
          <cell r="A104" t="str">
            <v>027.003</v>
          </cell>
          <cell r="B104" t="str">
            <v>C36</v>
          </cell>
          <cell r="C104" t="str">
            <v>CUADRILLA AA TIPO 6 (1 OFICIAL + 6 AYUDANTE) (Albañileria)</v>
          </cell>
          <cell r="D104" t="str">
            <v>Cuadrilla</v>
          </cell>
          <cell r="E104" t="str">
            <v>HR</v>
          </cell>
          <cell r="F104">
            <v>1</v>
          </cell>
          <cell r="G104">
            <v>48852</v>
          </cell>
          <cell r="H104">
            <v>48852</v>
          </cell>
        </row>
        <row r="105">
          <cell r="A105" t="str">
            <v>027.003</v>
          </cell>
          <cell r="B105" t="str">
            <v>E12</v>
          </cell>
          <cell r="C105" t="str">
            <v>EQUIPO DE TRANSPORTE</v>
          </cell>
          <cell r="D105" t="str">
            <v>Equipos</v>
          </cell>
          <cell r="E105" t="str">
            <v>DIA</v>
          </cell>
          <cell r="F105">
            <v>3.1809999999999998E-2</v>
          </cell>
          <cell r="G105">
            <v>131205</v>
          </cell>
          <cell r="H105">
            <v>4174</v>
          </cell>
        </row>
        <row r="106">
          <cell r="A106" t="str">
            <v>027.003</v>
          </cell>
          <cell r="B106" t="str">
            <v>H2</v>
          </cell>
          <cell r="C106" t="str">
            <v>EQUIPO BASICO (HERRAMIENTA MENOR)</v>
          </cell>
          <cell r="D106" t="str">
            <v>Herramienta</v>
          </cell>
          <cell r="E106" t="str">
            <v>UND</v>
          </cell>
          <cell r="F106">
            <v>0.25</v>
          </cell>
          <cell r="G106">
            <v>2536</v>
          </cell>
          <cell r="H106">
            <v>634</v>
          </cell>
        </row>
        <row r="107">
          <cell r="A107" t="str">
            <v>027.003</v>
          </cell>
          <cell r="B107" t="str">
            <v>I1565</v>
          </cell>
          <cell r="C107" t="str">
            <v>ACARREO INTERNO</v>
          </cell>
          <cell r="D107" t="str">
            <v>Insumo</v>
          </cell>
          <cell r="E107" t="str">
            <v>UND</v>
          </cell>
          <cell r="F107">
            <v>3.9</v>
          </cell>
          <cell r="G107">
            <v>1327</v>
          </cell>
          <cell r="H107">
            <v>5175</v>
          </cell>
        </row>
        <row r="108">
          <cell r="A108" t="str">
            <v>027.003</v>
          </cell>
          <cell r="B108" t="str">
            <v>I242</v>
          </cell>
          <cell r="C108" t="str">
            <v xml:space="preserve">MALLA GALVANIZADA 12-2" </v>
          </cell>
          <cell r="D108" t="str">
            <v>Insumo</v>
          </cell>
          <cell r="E108" t="str">
            <v>M2</v>
          </cell>
          <cell r="F108">
            <v>6.2</v>
          </cell>
          <cell r="G108">
            <v>20510</v>
          </cell>
          <cell r="H108">
            <v>127162</v>
          </cell>
        </row>
        <row r="109">
          <cell r="A109" t="str">
            <v>027.003</v>
          </cell>
          <cell r="B109" t="str">
            <v>I243</v>
          </cell>
          <cell r="C109" t="str">
            <v>ALAMBRE GALVANIZADO CAL 12</v>
          </cell>
          <cell r="D109" t="str">
            <v>Insumo</v>
          </cell>
          <cell r="E109" t="str">
            <v>KG</v>
          </cell>
          <cell r="F109">
            <v>0.25</v>
          </cell>
          <cell r="G109">
            <v>4734</v>
          </cell>
          <cell r="H109">
            <v>1184</v>
          </cell>
        </row>
        <row r="110">
          <cell r="A110" t="str">
            <v>027.003</v>
          </cell>
          <cell r="B110" t="str">
            <v>I37</v>
          </cell>
          <cell r="C110" t="str">
            <v>PIEDRA MEDIA ZONGA</v>
          </cell>
          <cell r="D110" t="str">
            <v>Insumo</v>
          </cell>
          <cell r="E110" t="str">
            <v>M3</v>
          </cell>
          <cell r="F110">
            <v>1.4</v>
          </cell>
          <cell r="G110">
            <v>57376</v>
          </cell>
          <cell r="H110">
            <v>80326</v>
          </cell>
        </row>
        <row r="113">
          <cell r="A113" t="str">
            <v>027.008</v>
          </cell>
          <cell r="B113" t="str">
            <v>-</v>
          </cell>
          <cell r="C113" t="str">
            <v>SUMINISTRO, TRANSPORTE E INSTALACION RECUBRIMIENTO DE GAVIONES CONCRETO DE 3000 PSI</v>
          </cell>
          <cell r="D113" t="str">
            <v>Actividad</v>
          </cell>
          <cell r="E113" t="str">
            <v>M3</v>
          </cell>
          <cell r="H113">
            <v>648737</v>
          </cell>
        </row>
        <row r="114">
          <cell r="A114" t="str">
            <v>027.008</v>
          </cell>
          <cell r="B114" t="str">
            <v>AB5</v>
          </cell>
          <cell r="C114" t="str">
            <v>CONCRETO 3000 psi - 21 Mpa</v>
          </cell>
          <cell r="D114" t="str">
            <v>Analisis</v>
          </cell>
          <cell r="E114" t="str">
            <v>M3</v>
          </cell>
          <cell r="F114">
            <v>1.05</v>
          </cell>
          <cell r="G114">
            <v>421155</v>
          </cell>
          <cell r="H114">
            <v>442213</v>
          </cell>
        </row>
        <row r="115">
          <cell r="A115" t="str">
            <v>027.008</v>
          </cell>
          <cell r="B115" t="str">
            <v>C36</v>
          </cell>
          <cell r="C115" t="str">
            <v>CUADRILLA AA TIPO 6 (1 OFICIAL + 6 AYUDANTE) (Albañileria)</v>
          </cell>
          <cell r="D115" t="str">
            <v>Cuadrilla</v>
          </cell>
          <cell r="E115" t="str">
            <v>HR</v>
          </cell>
          <cell r="F115">
            <v>2.6</v>
          </cell>
          <cell r="G115">
            <v>48852</v>
          </cell>
          <cell r="H115">
            <v>127015</v>
          </cell>
        </row>
        <row r="116">
          <cell r="A116" t="str">
            <v>027.008</v>
          </cell>
          <cell r="B116" t="str">
            <v>E105</v>
          </cell>
          <cell r="C116" t="str">
            <v>MORDAZA METALICA</v>
          </cell>
          <cell r="D116" t="str">
            <v>Equipos</v>
          </cell>
          <cell r="E116" t="str">
            <v>DIA</v>
          </cell>
          <cell r="F116">
            <v>15</v>
          </cell>
          <cell r="G116">
            <v>104</v>
          </cell>
          <cell r="H116">
            <v>1560</v>
          </cell>
        </row>
        <row r="117">
          <cell r="A117" t="str">
            <v>027.008</v>
          </cell>
          <cell r="B117" t="str">
            <v>E12</v>
          </cell>
          <cell r="C117" t="str">
            <v>EQUIPO DE TRANSPORTE</v>
          </cell>
          <cell r="D117" t="str">
            <v>Equipos</v>
          </cell>
          <cell r="E117" t="str">
            <v>DIA</v>
          </cell>
          <cell r="F117">
            <v>7.424E-2</v>
          </cell>
          <cell r="G117">
            <v>131205</v>
          </cell>
          <cell r="H117">
            <v>9741</v>
          </cell>
        </row>
        <row r="118">
          <cell r="A118" t="str">
            <v>027.008</v>
          </cell>
          <cell r="B118" t="str">
            <v>E21</v>
          </cell>
          <cell r="C118" t="str">
            <v>VIBRADOR A GASOLINA</v>
          </cell>
          <cell r="D118" t="str">
            <v>Equipos</v>
          </cell>
          <cell r="E118" t="str">
            <v>DIA</v>
          </cell>
          <cell r="F118">
            <v>0.1</v>
          </cell>
          <cell r="G118">
            <v>51948</v>
          </cell>
          <cell r="H118">
            <v>5195</v>
          </cell>
        </row>
        <row r="119">
          <cell r="A119" t="str">
            <v>027.008</v>
          </cell>
          <cell r="B119" t="str">
            <v>E35</v>
          </cell>
          <cell r="C119" t="str">
            <v>TABLERO  1.40 X 0,70</v>
          </cell>
          <cell r="D119" t="str">
            <v>Equipos</v>
          </cell>
          <cell r="E119" t="str">
            <v>DIA</v>
          </cell>
          <cell r="F119">
            <v>15</v>
          </cell>
          <cell r="G119">
            <v>343</v>
          </cell>
          <cell r="H119">
            <v>5145</v>
          </cell>
        </row>
        <row r="120">
          <cell r="A120" t="str">
            <v>027.008</v>
          </cell>
          <cell r="B120" t="str">
            <v>H2</v>
          </cell>
          <cell r="C120" t="str">
            <v>EQUIPO BASICO (HERRAMIENTA MENOR)</v>
          </cell>
          <cell r="D120" t="str">
            <v>Herramienta</v>
          </cell>
          <cell r="E120" t="str">
            <v>UND</v>
          </cell>
          <cell r="F120">
            <v>2.6</v>
          </cell>
          <cell r="G120">
            <v>2536</v>
          </cell>
          <cell r="H120">
            <v>6594</v>
          </cell>
        </row>
        <row r="121">
          <cell r="A121" t="str">
            <v>027.008</v>
          </cell>
          <cell r="B121" t="str">
            <v>I1565</v>
          </cell>
          <cell r="C121" t="str">
            <v>ACARREO INTERNO</v>
          </cell>
          <cell r="D121" t="str">
            <v>Insumo</v>
          </cell>
          <cell r="E121" t="str">
            <v>UND</v>
          </cell>
          <cell r="F121">
            <v>7</v>
          </cell>
          <cell r="G121">
            <v>1327</v>
          </cell>
          <cell r="H121">
            <v>9289</v>
          </cell>
        </row>
        <row r="122">
          <cell r="A122" t="str">
            <v>027.008</v>
          </cell>
          <cell r="B122" t="str">
            <v>I425</v>
          </cell>
          <cell r="C122" t="str">
            <v>PUNTILLA CON CABEZA 2"</v>
          </cell>
          <cell r="D122" t="str">
            <v>Insumo</v>
          </cell>
          <cell r="E122" t="str">
            <v>LB</v>
          </cell>
          <cell r="F122">
            <v>2</v>
          </cell>
          <cell r="G122">
            <v>3585</v>
          </cell>
          <cell r="H122">
            <v>7170</v>
          </cell>
        </row>
        <row r="123">
          <cell r="A123" t="str">
            <v>027.008</v>
          </cell>
          <cell r="B123" t="str">
            <v>I987</v>
          </cell>
          <cell r="C123" t="str">
            <v>VARILLÓN DE 0,02 X 0,05 X 2,80</v>
          </cell>
          <cell r="D123" t="str">
            <v>Insumo</v>
          </cell>
          <cell r="E123" t="str">
            <v>UND</v>
          </cell>
          <cell r="F123">
            <v>15</v>
          </cell>
          <cell r="G123">
            <v>2321</v>
          </cell>
          <cell r="H123">
            <v>34815</v>
          </cell>
        </row>
        <row r="126">
          <cell r="A126" t="str">
            <v>002A.005</v>
          </cell>
          <cell r="B126" t="str">
            <v>-</v>
          </cell>
          <cell r="C126" t="str">
            <v>SUMINISTRO, TRANSPORTE E INSTALACION VIGA CIMENTACION CONCRETO 3000 PSI</v>
          </cell>
          <cell r="D126" t="str">
            <v>Actividad</v>
          </cell>
          <cell r="E126" t="str">
            <v>M3</v>
          </cell>
          <cell r="H126">
            <v>633438</v>
          </cell>
        </row>
        <row r="127">
          <cell r="A127" t="str">
            <v>002A.005</v>
          </cell>
          <cell r="B127" t="str">
            <v>AB6</v>
          </cell>
          <cell r="C127" t="str">
            <v>CONCRETO 3500 psi - 24.5 Mpa</v>
          </cell>
          <cell r="D127" t="str">
            <v>Analisis</v>
          </cell>
          <cell r="E127" t="str">
            <v>M3</v>
          </cell>
          <cell r="F127">
            <v>1</v>
          </cell>
          <cell r="G127">
            <v>459324</v>
          </cell>
          <cell r="H127">
            <v>459324</v>
          </cell>
        </row>
        <row r="128">
          <cell r="A128" t="str">
            <v>002A.005</v>
          </cell>
          <cell r="B128" t="str">
            <v>C29</v>
          </cell>
          <cell r="C128" t="str">
            <v>CUADRILLA AA TIPO 5 (1 OFICIAL + 5 AYUDANTE) (Albañileria)</v>
          </cell>
          <cell r="D128" t="str">
            <v>Cuadrilla</v>
          </cell>
          <cell r="E128" t="str">
            <v>HR</v>
          </cell>
          <cell r="F128">
            <v>3</v>
          </cell>
          <cell r="G128">
            <v>42424</v>
          </cell>
          <cell r="H128">
            <v>127272</v>
          </cell>
        </row>
        <row r="129">
          <cell r="A129" t="str">
            <v>002A.005</v>
          </cell>
          <cell r="B129" t="str">
            <v>E111</v>
          </cell>
          <cell r="C129" t="str">
            <v>FORMALETA PARA BASE DE CONCRETO</v>
          </cell>
          <cell r="D129" t="str">
            <v>Equipos</v>
          </cell>
          <cell r="E129" t="str">
            <v>UND</v>
          </cell>
          <cell r="F129">
            <v>3</v>
          </cell>
          <cell r="G129">
            <v>4151</v>
          </cell>
          <cell r="H129">
            <v>12453</v>
          </cell>
        </row>
        <row r="130">
          <cell r="A130" t="str">
            <v>002A.005</v>
          </cell>
          <cell r="B130" t="str">
            <v>E12</v>
          </cell>
          <cell r="C130" t="str">
            <v>EQUIPO DE TRANSPORTE</v>
          </cell>
          <cell r="D130" t="str">
            <v>Equipos</v>
          </cell>
          <cell r="E130" t="str">
            <v>DIA</v>
          </cell>
          <cell r="F130">
            <v>0.1</v>
          </cell>
          <cell r="G130">
            <v>131205</v>
          </cell>
          <cell r="H130">
            <v>13121</v>
          </cell>
        </row>
        <row r="131">
          <cell r="A131" t="str">
            <v>002A.005</v>
          </cell>
          <cell r="B131" t="str">
            <v>E21</v>
          </cell>
          <cell r="C131" t="str">
            <v>VIBRADOR A GASOLINA</v>
          </cell>
          <cell r="D131" t="str">
            <v>Equipos</v>
          </cell>
          <cell r="E131" t="str">
            <v>DIA</v>
          </cell>
          <cell r="F131">
            <v>0.18</v>
          </cell>
          <cell r="G131">
            <v>51948</v>
          </cell>
          <cell r="H131">
            <v>9351</v>
          </cell>
        </row>
        <row r="132">
          <cell r="A132" t="str">
            <v>002A.005</v>
          </cell>
          <cell r="B132" t="str">
            <v>H1</v>
          </cell>
          <cell r="C132" t="str">
            <v>EQUIPO BASICO ( CONSTRUCCIÓN )</v>
          </cell>
          <cell r="D132" t="str">
            <v>Herramienta</v>
          </cell>
          <cell r="E132" t="str">
            <v>UND</v>
          </cell>
          <cell r="F132">
            <v>1.5</v>
          </cell>
          <cell r="G132">
            <v>2536</v>
          </cell>
          <cell r="H132">
            <v>3804</v>
          </cell>
        </row>
        <row r="133">
          <cell r="A133" t="str">
            <v>002A.005</v>
          </cell>
          <cell r="B133" t="str">
            <v>H2</v>
          </cell>
          <cell r="C133" t="str">
            <v>EQUIPO BASICO (HERRAMIENTA MENOR)</v>
          </cell>
          <cell r="D133" t="str">
            <v>Herramienta</v>
          </cell>
          <cell r="E133" t="str">
            <v>UND</v>
          </cell>
          <cell r="F133">
            <v>2.1</v>
          </cell>
          <cell r="G133">
            <v>2536</v>
          </cell>
          <cell r="H133">
            <v>5326</v>
          </cell>
        </row>
        <row r="134">
          <cell r="A134" t="str">
            <v>002A.005</v>
          </cell>
          <cell r="B134" t="str">
            <v>I1565</v>
          </cell>
          <cell r="C134" t="str">
            <v>ACARREO INTERNO</v>
          </cell>
          <cell r="D134" t="str">
            <v>Insumo</v>
          </cell>
          <cell r="E134" t="str">
            <v>UND</v>
          </cell>
          <cell r="F134">
            <v>2.1</v>
          </cell>
          <cell r="G134">
            <v>1327</v>
          </cell>
          <cell r="H134">
            <v>2787</v>
          </cell>
        </row>
        <row r="137">
          <cell r="A137" t="str">
            <v>032.083</v>
          </cell>
          <cell r="B137" t="str">
            <v>-</v>
          </cell>
          <cell r="C137" t="str">
            <v xml:space="preserve">EXCAVACION PARA PILOTES D=&lt;  a 35 cm (0-6)m </v>
          </cell>
          <cell r="D137" t="str">
            <v>Actividad</v>
          </cell>
          <cell r="E137" t="str">
            <v>ML</v>
          </cell>
          <cell r="H137">
            <v>44219</v>
          </cell>
        </row>
        <row r="138">
          <cell r="A138" t="str">
            <v>032.083</v>
          </cell>
          <cell r="B138" t="str">
            <v>C22</v>
          </cell>
          <cell r="C138" t="str">
            <v>CUADRILLA AA TIPO 4 (1 OFICIAL + 4 AYUDANTE) (Albañileria)</v>
          </cell>
          <cell r="D138" t="str">
            <v>Cuadrilla</v>
          </cell>
          <cell r="E138" t="str">
            <v>HR</v>
          </cell>
          <cell r="F138">
            <v>1</v>
          </cell>
          <cell r="G138">
            <v>35996</v>
          </cell>
          <cell r="H138">
            <v>35996</v>
          </cell>
        </row>
        <row r="139">
          <cell r="A139" t="str">
            <v>032.083</v>
          </cell>
          <cell r="B139" t="str">
            <v>E27</v>
          </cell>
          <cell r="C139" t="str">
            <v>VOLQUETA  6M3 (CARGUE A MANO) RETIRO INTERNO</v>
          </cell>
          <cell r="D139" t="str">
            <v>Equipos</v>
          </cell>
          <cell r="E139" t="str">
            <v>VJE</v>
          </cell>
          <cell r="F139">
            <v>0.02</v>
          </cell>
          <cell r="G139">
            <v>166055</v>
          </cell>
          <cell r="H139">
            <v>3321</v>
          </cell>
        </row>
        <row r="140">
          <cell r="A140" t="str">
            <v>032.083</v>
          </cell>
          <cell r="B140" t="str">
            <v>H2</v>
          </cell>
          <cell r="C140" t="str">
            <v>EQUIPO BASICO (HERRAMIENTA MENOR)</v>
          </cell>
          <cell r="D140" t="str">
            <v>Herramienta</v>
          </cell>
          <cell r="E140" t="str">
            <v>UND</v>
          </cell>
          <cell r="F140">
            <v>1.75</v>
          </cell>
          <cell r="G140">
            <v>2536</v>
          </cell>
          <cell r="H140">
            <v>4438</v>
          </cell>
        </row>
        <row r="141">
          <cell r="A141" t="str">
            <v>032.083</v>
          </cell>
          <cell r="B141" t="str">
            <v>I1565</v>
          </cell>
          <cell r="C141" t="str">
            <v>ACARREO INTERNO</v>
          </cell>
          <cell r="D141" t="str">
            <v>Insumo</v>
          </cell>
          <cell r="E141" t="str">
            <v>UND</v>
          </cell>
          <cell r="F141">
            <v>0.35</v>
          </cell>
          <cell r="G141">
            <v>1327</v>
          </cell>
          <cell r="H141">
            <v>464</v>
          </cell>
        </row>
        <row r="144">
          <cell r="A144" t="str">
            <v>002A.019</v>
          </cell>
          <cell r="B144" t="str">
            <v>-</v>
          </cell>
          <cell r="C144" t="str">
            <v>SUMINISTRO, TRANSPORTE E INSTALACION PILOTES EN CONCRETO 3000 PSI D= 0.35 m</v>
          </cell>
          <cell r="D144" t="str">
            <v>Actividad</v>
          </cell>
          <cell r="E144" t="str">
            <v>M3</v>
          </cell>
          <cell r="H144">
            <v>582723</v>
          </cell>
        </row>
        <row r="145">
          <cell r="A145" t="str">
            <v>002A.019</v>
          </cell>
          <cell r="B145" t="str">
            <v>AB5</v>
          </cell>
          <cell r="C145" t="str">
            <v>CONCRETO 3000 psi - 21 Mpa</v>
          </cell>
          <cell r="D145" t="str">
            <v>Analisis</v>
          </cell>
          <cell r="E145" t="str">
            <v>M3</v>
          </cell>
          <cell r="F145">
            <v>1.05</v>
          </cell>
          <cell r="G145">
            <v>421155</v>
          </cell>
          <cell r="H145">
            <v>442213</v>
          </cell>
        </row>
        <row r="146">
          <cell r="A146" t="str">
            <v>002A.019</v>
          </cell>
          <cell r="B146" t="str">
            <v>C29</v>
          </cell>
          <cell r="C146" t="str">
            <v>CUADRILLA AA TIPO 5 (1 OFICIAL + 5 AYUDANTE) (Albañileria)</v>
          </cell>
          <cell r="D146" t="str">
            <v>Cuadrilla</v>
          </cell>
          <cell r="E146" t="str">
            <v>HR</v>
          </cell>
          <cell r="F146">
            <v>2.6</v>
          </cell>
          <cell r="G146">
            <v>42424</v>
          </cell>
          <cell r="H146">
            <v>110302</v>
          </cell>
        </row>
        <row r="147">
          <cell r="A147" t="str">
            <v>002A.019</v>
          </cell>
          <cell r="B147" t="str">
            <v>E21</v>
          </cell>
          <cell r="C147" t="str">
            <v>VIBRADOR A GASOLINA</v>
          </cell>
          <cell r="D147" t="str">
            <v>Equipos</v>
          </cell>
          <cell r="E147" t="str">
            <v>DIA</v>
          </cell>
          <cell r="F147">
            <v>0.12</v>
          </cell>
          <cell r="G147">
            <v>51948</v>
          </cell>
          <cell r="H147">
            <v>6234</v>
          </cell>
        </row>
        <row r="148">
          <cell r="A148" t="str">
            <v>002A.019</v>
          </cell>
          <cell r="B148" t="str">
            <v>H2</v>
          </cell>
          <cell r="C148" t="str">
            <v>EQUIPO BASICO (HERRAMIENTA MENOR)</v>
          </cell>
          <cell r="D148" t="str">
            <v>Herramienta</v>
          </cell>
          <cell r="E148" t="str">
            <v>UND</v>
          </cell>
          <cell r="F148">
            <v>6</v>
          </cell>
          <cell r="G148">
            <v>2536</v>
          </cell>
          <cell r="H148">
            <v>15216</v>
          </cell>
        </row>
        <row r="149">
          <cell r="A149" t="str">
            <v>002A.019</v>
          </cell>
          <cell r="B149" t="str">
            <v>I1565</v>
          </cell>
          <cell r="C149" t="str">
            <v>ACARREO INTERNO</v>
          </cell>
          <cell r="D149" t="str">
            <v>Insumo</v>
          </cell>
          <cell r="E149" t="str">
            <v>UND</v>
          </cell>
          <cell r="F149">
            <v>6.6</v>
          </cell>
          <cell r="G149">
            <v>1327</v>
          </cell>
          <cell r="H149">
            <v>8758</v>
          </cell>
        </row>
        <row r="152">
          <cell r="A152" t="str">
            <v>033.158</v>
          </cell>
          <cell r="B152" t="str">
            <v>-</v>
          </cell>
          <cell r="C152" t="str">
            <v>SUMINISTRO, TRANSPORTE E INSTALACIÓN DE ACERO DE REFUERZO DE 1/4" HASTA 1 1/4" DE 420 MPA (4200 KG/CM2)</v>
          </cell>
          <cell r="D152" t="str">
            <v>Actividad</v>
          </cell>
          <cell r="E152" t="str">
            <v>KG</v>
          </cell>
          <cell r="H152">
            <v>5274</v>
          </cell>
        </row>
        <row r="153">
          <cell r="A153" t="str">
            <v>033.158</v>
          </cell>
          <cell r="B153" t="str">
            <v>C29</v>
          </cell>
          <cell r="C153" t="str">
            <v>CUADRILLA AA TIPO 5 (1 OFICIAL + 5 AYUDANTE) (Albañileria)</v>
          </cell>
          <cell r="D153" t="str">
            <v>Cuadrilla</v>
          </cell>
          <cell r="E153" t="str">
            <v>HR</v>
          </cell>
          <cell r="F153">
            <v>0.02</v>
          </cell>
          <cell r="G153">
            <v>42424</v>
          </cell>
          <cell r="H153">
            <v>848</v>
          </cell>
        </row>
        <row r="154">
          <cell r="A154" t="str">
            <v>033.158</v>
          </cell>
          <cell r="B154" t="str">
            <v>E12</v>
          </cell>
          <cell r="C154" t="str">
            <v>EQUIPO DE TRANSPORTE</v>
          </cell>
          <cell r="D154" t="str">
            <v>Equipos</v>
          </cell>
          <cell r="E154" t="str">
            <v>DIA</v>
          </cell>
          <cell r="F154">
            <v>5.9999999999999995E-4</v>
          </cell>
          <cell r="G154">
            <v>131205</v>
          </cell>
          <cell r="H154">
            <v>79</v>
          </cell>
        </row>
        <row r="155">
          <cell r="A155" t="str">
            <v>033.158</v>
          </cell>
          <cell r="B155" t="str">
            <v>H2</v>
          </cell>
          <cell r="C155" t="str">
            <v>EQUIPO BASICO (HERRAMIENTA MENOR)</v>
          </cell>
          <cell r="D155" t="str">
            <v>Herramienta</v>
          </cell>
          <cell r="E155" t="str">
            <v>UND</v>
          </cell>
          <cell r="F155">
            <v>0.03</v>
          </cell>
          <cell r="G155">
            <v>2536</v>
          </cell>
          <cell r="H155">
            <v>76</v>
          </cell>
        </row>
        <row r="156">
          <cell r="A156" t="str">
            <v>033.158</v>
          </cell>
          <cell r="B156" t="str">
            <v>I1565</v>
          </cell>
          <cell r="C156" t="str">
            <v>ACARREO INTERNO</v>
          </cell>
          <cell r="D156" t="str">
            <v>Insumo</v>
          </cell>
          <cell r="E156" t="str">
            <v>UND</v>
          </cell>
          <cell r="F156">
            <v>0.2</v>
          </cell>
          <cell r="G156">
            <v>1327</v>
          </cell>
          <cell r="H156">
            <v>265</v>
          </cell>
        </row>
        <row r="157">
          <cell r="A157" t="str">
            <v>033.158</v>
          </cell>
          <cell r="B157" t="str">
            <v>I2</v>
          </cell>
          <cell r="C157" t="str">
            <v>ACERO 60.000 PSI</v>
          </cell>
          <cell r="D157" t="str">
            <v>Insumo</v>
          </cell>
          <cell r="E157" t="str">
            <v>KG</v>
          </cell>
          <cell r="F157">
            <v>1.17</v>
          </cell>
          <cell r="G157">
            <v>3313</v>
          </cell>
          <cell r="H157">
            <v>3876</v>
          </cell>
        </row>
        <row r="158">
          <cell r="A158" t="str">
            <v>033.158</v>
          </cell>
          <cell r="B158" t="str">
            <v>I3</v>
          </cell>
          <cell r="C158" t="str">
            <v>ALAMBRE NEGRO NO. 18</v>
          </cell>
          <cell r="D158" t="str">
            <v>Insumo</v>
          </cell>
          <cell r="E158" t="str">
            <v>KG</v>
          </cell>
          <cell r="F158">
            <v>0.03</v>
          </cell>
          <cell r="G158">
            <v>4323</v>
          </cell>
          <cell r="H158">
            <v>130</v>
          </cell>
        </row>
        <row r="161">
          <cell r="A161" t="str">
            <v>005.008</v>
          </cell>
          <cell r="B161" t="str">
            <v>-</v>
          </cell>
          <cell r="C161" t="str">
            <v>SUMINISTRO, TRANSPORTE E INSTALACION MALLA ELECTROSOLDADA M-188 Q-5 F  6 mm c/.15m en ambos sentidos (Incluye alambre negro, colocación y traslapo).</v>
          </cell>
          <cell r="D161" t="str">
            <v>Actividad</v>
          </cell>
          <cell r="E161" t="str">
            <v>KG</v>
          </cell>
          <cell r="H161">
            <v>4739</v>
          </cell>
        </row>
        <row r="162">
          <cell r="A162" t="str">
            <v>005.008</v>
          </cell>
          <cell r="B162" t="str">
            <v>C8</v>
          </cell>
          <cell r="C162" t="str">
            <v>CUADRILLA AA TIPO 2 (1 OFICIAL + 2 AYUDANTE) (Albañileria)</v>
          </cell>
          <cell r="D162" t="str">
            <v>Cuadrilla</v>
          </cell>
          <cell r="E162" t="str">
            <v>HR</v>
          </cell>
          <cell r="F162">
            <v>0.05</v>
          </cell>
          <cell r="G162">
            <v>23140</v>
          </cell>
          <cell r="H162">
            <v>1157</v>
          </cell>
        </row>
        <row r="163">
          <cell r="A163" t="str">
            <v>005.008</v>
          </cell>
          <cell r="B163" t="str">
            <v>E12</v>
          </cell>
          <cell r="C163" t="str">
            <v>EQUIPO DE TRANSPORTE</v>
          </cell>
          <cell r="D163" t="str">
            <v>Equipos</v>
          </cell>
          <cell r="E163" t="str">
            <v>DIA</v>
          </cell>
          <cell r="F163">
            <v>5.0000000000000001E-4</v>
          </cell>
          <cell r="G163">
            <v>131205</v>
          </cell>
          <cell r="H163">
            <v>66</v>
          </cell>
        </row>
        <row r="164">
          <cell r="A164" t="str">
            <v>005.008</v>
          </cell>
          <cell r="B164" t="str">
            <v>I10</v>
          </cell>
          <cell r="C164" t="str">
            <v>MALLA ELECTROSOLDADA M-188. Q-5  6.0MM  15 X 15CM.</v>
          </cell>
          <cell r="D164" t="str">
            <v>Insumo</v>
          </cell>
          <cell r="E164" t="str">
            <v>KG</v>
          </cell>
          <cell r="F164">
            <v>1.05</v>
          </cell>
          <cell r="G164">
            <v>3154</v>
          </cell>
          <cell r="H164">
            <v>3312</v>
          </cell>
        </row>
        <row r="165">
          <cell r="A165" t="str">
            <v>005.008</v>
          </cell>
          <cell r="B165" t="str">
            <v>I1565</v>
          </cell>
          <cell r="C165" t="str">
            <v>ACARREO INTERNO</v>
          </cell>
          <cell r="D165" t="str">
            <v>Insumo</v>
          </cell>
          <cell r="E165" t="str">
            <v>UND</v>
          </cell>
          <cell r="F165">
            <v>5.2999999999999999E-2</v>
          </cell>
          <cell r="G165">
            <v>1327</v>
          </cell>
          <cell r="H165">
            <v>70</v>
          </cell>
        </row>
        <row r="166">
          <cell r="A166" t="str">
            <v>005.008</v>
          </cell>
          <cell r="B166" t="str">
            <v>I3</v>
          </cell>
          <cell r="C166" t="str">
            <v>ALAMBRE NEGRO NO. 18</v>
          </cell>
          <cell r="D166" t="str">
            <v>Insumo</v>
          </cell>
          <cell r="E166" t="str">
            <v>KG</v>
          </cell>
          <cell r="F166">
            <v>3.1E-2</v>
          </cell>
          <cell r="G166">
            <v>4323</v>
          </cell>
          <cell r="H166">
            <v>134</v>
          </cell>
        </row>
        <row r="169">
          <cell r="A169" t="str">
            <v>033.126</v>
          </cell>
          <cell r="B169" t="str">
            <v>-</v>
          </cell>
          <cell r="C169" t="str">
            <v>SUMINISTRO, TRANSPORTE E INSTALACION PERFORACION PARA ANCLAJE EN TIERRA CON EQUIPO MANUAL LONGITUD &lt; DE 10 METROS, Tuberia 2"-4"</v>
          </cell>
          <cell r="D169" t="str">
            <v>Actividad</v>
          </cell>
          <cell r="E169" t="str">
            <v>ML</v>
          </cell>
          <cell r="H169">
            <v>12931</v>
          </cell>
        </row>
        <row r="170">
          <cell r="A170" t="str">
            <v>033.126</v>
          </cell>
          <cell r="B170" t="str">
            <v>C8</v>
          </cell>
          <cell r="C170" t="str">
            <v>CUADRILLA AA TIPO 2 (1 OFICIAL + 2 AYUDANTE) (Albañileria)</v>
          </cell>
          <cell r="D170" t="str">
            <v>Cuadrilla</v>
          </cell>
          <cell r="E170" t="str">
            <v>HR</v>
          </cell>
          <cell r="F170">
            <v>0.3</v>
          </cell>
          <cell r="G170">
            <v>23140</v>
          </cell>
          <cell r="H170">
            <v>6942</v>
          </cell>
        </row>
        <row r="171">
          <cell r="A171" t="str">
            <v>033.126</v>
          </cell>
          <cell r="B171" t="str">
            <v>E12</v>
          </cell>
          <cell r="C171" t="str">
            <v>EQUIPO DE TRANSPORTE</v>
          </cell>
          <cell r="D171" t="str">
            <v>Equipos</v>
          </cell>
          <cell r="E171" t="str">
            <v>DIA</v>
          </cell>
          <cell r="F171">
            <v>1E-3</v>
          </cell>
          <cell r="G171">
            <v>131205</v>
          </cell>
          <cell r="H171">
            <v>131</v>
          </cell>
        </row>
        <row r="172">
          <cell r="A172" t="str">
            <v>033.126</v>
          </cell>
          <cell r="B172" t="str">
            <v>E90</v>
          </cell>
          <cell r="C172" t="str">
            <v>BARRENO</v>
          </cell>
          <cell r="D172" t="str">
            <v>Equipos</v>
          </cell>
          <cell r="E172" t="str">
            <v>DIA</v>
          </cell>
          <cell r="F172">
            <v>0.2</v>
          </cell>
          <cell r="G172">
            <v>22831</v>
          </cell>
          <cell r="H172">
            <v>4566</v>
          </cell>
        </row>
        <row r="173">
          <cell r="A173" t="str">
            <v>033.126</v>
          </cell>
          <cell r="B173" t="str">
            <v>H2</v>
          </cell>
          <cell r="C173" t="str">
            <v>EQUIPO BASICO (HERRAMIENTA MENOR)</v>
          </cell>
          <cell r="D173" t="str">
            <v>Herramienta</v>
          </cell>
          <cell r="E173" t="str">
            <v>UND</v>
          </cell>
          <cell r="F173">
            <v>0.3</v>
          </cell>
          <cell r="G173">
            <v>2536</v>
          </cell>
          <cell r="H173">
            <v>761</v>
          </cell>
        </row>
        <row r="174">
          <cell r="A174" t="str">
            <v>033.126</v>
          </cell>
          <cell r="B174" t="str">
            <v>I1565</v>
          </cell>
          <cell r="C174" t="str">
            <v>ACARREO INTERNO</v>
          </cell>
          <cell r="D174" t="str">
            <v>Insumo</v>
          </cell>
          <cell r="E174" t="str">
            <v>UND</v>
          </cell>
          <cell r="F174">
            <v>0.4</v>
          </cell>
          <cell r="G174">
            <v>1327</v>
          </cell>
          <cell r="H174">
            <v>531</v>
          </cell>
        </row>
        <row r="177">
          <cell r="A177" t="str">
            <v>027.038</v>
          </cell>
          <cell r="B177" t="str">
            <v>-</v>
          </cell>
          <cell r="C177" t="str">
            <v>SUMINISTRO, TRANSPORTE E INSTALACION PANTALLA PASIVA CONCRETO de 3000 PSI e=0,15m</v>
          </cell>
          <cell r="D177" t="str">
            <v>Actividad</v>
          </cell>
          <cell r="E177" t="str">
            <v>M2</v>
          </cell>
          <cell r="H177">
            <v>107204</v>
          </cell>
        </row>
        <row r="178">
          <cell r="A178" t="str">
            <v>027.038</v>
          </cell>
          <cell r="B178" t="str">
            <v>AB5</v>
          </cell>
          <cell r="C178" t="str">
            <v>CONCRETO 3000 psi - 21 Mpa</v>
          </cell>
          <cell r="D178" t="str">
            <v>Analisis</v>
          </cell>
          <cell r="E178" t="str">
            <v>M3</v>
          </cell>
          <cell r="F178">
            <v>0.158</v>
          </cell>
          <cell r="G178">
            <v>421155</v>
          </cell>
          <cell r="H178">
            <v>66542</v>
          </cell>
        </row>
        <row r="179">
          <cell r="A179" t="str">
            <v>027.038</v>
          </cell>
          <cell r="B179" t="str">
            <v>C36</v>
          </cell>
          <cell r="C179" t="str">
            <v>CUADRILLA AA TIPO 6 (1 OFICIAL + 6 AYUDANTE) (Albañileria)</v>
          </cell>
          <cell r="D179" t="str">
            <v>Cuadrilla</v>
          </cell>
          <cell r="E179" t="str">
            <v>HR</v>
          </cell>
          <cell r="F179">
            <v>0.5</v>
          </cell>
          <cell r="G179">
            <v>48852</v>
          </cell>
          <cell r="H179">
            <v>24426</v>
          </cell>
        </row>
        <row r="180">
          <cell r="A180" t="str">
            <v>027.038</v>
          </cell>
          <cell r="B180" t="str">
            <v>E105</v>
          </cell>
          <cell r="C180" t="str">
            <v>MORDAZA METALICA</v>
          </cell>
          <cell r="D180" t="str">
            <v>Equipos</v>
          </cell>
          <cell r="E180" t="str">
            <v>DIA</v>
          </cell>
          <cell r="F180">
            <v>1.5</v>
          </cell>
          <cell r="G180">
            <v>104</v>
          </cell>
          <cell r="H180">
            <v>156</v>
          </cell>
        </row>
        <row r="181">
          <cell r="A181" t="str">
            <v>027.038</v>
          </cell>
          <cell r="B181" t="str">
            <v>E117</v>
          </cell>
          <cell r="C181" t="str">
            <v>CERCHA VIGA METALICA</v>
          </cell>
          <cell r="D181" t="str">
            <v>Equipos</v>
          </cell>
          <cell r="E181" t="str">
            <v>DIA</v>
          </cell>
          <cell r="F181">
            <v>1.5</v>
          </cell>
          <cell r="G181">
            <v>154</v>
          </cell>
          <cell r="H181">
            <v>231</v>
          </cell>
        </row>
        <row r="182">
          <cell r="A182" t="str">
            <v>027.038</v>
          </cell>
          <cell r="B182" t="str">
            <v>E12</v>
          </cell>
          <cell r="C182" t="str">
            <v>EQUIPO DE TRANSPORTE</v>
          </cell>
          <cell r="D182" t="str">
            <v>Equipos</v>
          </cell>
          <cell r="E182" t="str">
            <v>DIA</v>
          </cell>
          <cell r="F182">
            <v>1.1299999999999999E-2</v>
          </cell>
          <cell r="G182">
            <v>131205</v>
          </cell>
          <cell r="H182">
            <v>1483</v>
          </cell>
        </row>
        <row r="183">
          <cell r="A183" t="str">
            <v>027.038</v>
          </cell>
          <cell r="B183" t="str">
            <v>E21</v>
          </cell>
          <cell r="C183" t="str">
            <v>VIBRADOR A GASOLINA</v>
          </cell>
          <cell r="D183" t="str">
            <v>Equipos</v>
          </cell>
          <cell r="E183" t="str">
            <v>DIA</v>
          </cell>
          <cell r="F183">
            <v>0.01</v>
          </cell>
          <cell r="G183">
            <v>51948</v>
          </cell>
          <cell r="H183">
            <v>519</v>
          </cell>
        </row>
        <row r="184">
          <cell r="A184" t="str">
            <v>027.038</v>
          </cell>
          <cell r="B184" t="str">
            <v>E35</v>
          </cell>
          <cell r="C184" t="str">
            <v>TABLERO  1.40 X 0,70</v>
          </cell>
          <cell r="D184" t="str">
            <v>Equipos</v>
          </cell>
          <cell r="E184" t="str">
            <v>DIA</v>
          </cell>
          <cell r="F184">
            <v>15</v>
          </cell>
          <cell r="G184">
            <v>343</v>
          </cell>
          <cell r="H184">
            <v>5145</v>
          </cell>
        </row>
        <row r="185">
          <cell r="A185" t="str">
            <v>027.038</v>
          </cell>
          <cell r="B185" t="str">
            <v>H2</v>
          </cell>
          <cell r="C185" t="str">
            <v>EQUIPO BASICO (HERRAMIENTA MENOR)</v>
          </cell>
          <cell r="D185" t="str">
            <v>Herramienta</v>
          </cell>
          <cell r="E185" t="str">
            <v>UND</v>
          </cell>
          <cell r="F185">
            <v>0.5</v>
          </cell>
          <cell r="G185">
            <v>2536</v>
          </cell>
          <cell r="H185">
            <v>1268</v>
          </cell>
        </row>
        <row r="186">
          <cell r="A186" t="str">
            <v>027.038</v>
          </cell>
          <cell r="B186" t="str">
            <v>I1565</v>
          </cell>
          <cell r="C186" t="str">
            <v>ACARREO INTERNO</v>
          </cell>
          <cell r="D186" t="str">
            <v>Insumo</v>
          </cell>
          <cell r="E186" t="str">
            <v>UND</v>
          </cell>
          <cell r="F186">
            <v>1.4</v>
          </cell>
          <cell r="G186">
            <v>1327</v>
          </cell>
          <cell r="H186">
            <v>1858</v>
          </cell>
        </row>
        <row r="187">
          <cell r="A187" t="str">
            <v>027.038</v>
          </cell>
          <cell r="B187" t="str">
            <v>I425</v>
          </cell>
          <cell r="C187" t="str">
            <v>PUNTILLA CON CABEZA 2"</v>
          </cell>
          <cell r="D187" t="str">
            <v>Insumo</v>
          </cell>
          <cell r="E187" t="str">
            <v>LB</v>
          </cell>
          <cell r="F187">
            <v>0.2</v>
          </cell>
          <cell r="G187">
            <v>3585</v>
          </cell>
          <cell r="H187">
            <v>717</v>
          </cell>
        </row>
        <row r="188">
          <cell r="A188" t="str">
            <v>027.038</v>
          </cell>
          <cell r="B188" t="str">
            <v>I441</v>
          </cell>
          <cell r="C188" t="str">
            <v xml:space="preserve">SIKA ANTISOL ROJO </v>
          </cell>
          <cell r="D188" t="str">
            <v>Insumo</v>
          </cell>
          <cell r="E188" t="str">
            <v>KG</v>
          </cell>
          <cell r="F188">
            <v>0.18</v>
          </cell>
          <cell r="G188">
            <v>14890</v>
          </cell>
          <cell r="H188">
            <v>2680</v>
          </cell>
        </row>
        <row r="189">
          <cell r="A189" t="str">
            <v>027.038</v>
          </cell>
          <cell r="B189" t="str">
            <v>I442</v>
          </cell>
          <cell r="C189" t="str">
            <v xml:space="preserve">SIKA SEPAROL </v>
          </cell>
          <cell r="D189" t="str">
            <v>Insumo</v>
          </cell>
          <cell r="E189" t="str">
            <v>KG</v>
          </cell>
          <cell r="F189">
            <v>6.7000000000000004E-2</v>
          </cell>
          <cell r="G189">
            <v>19302</v>
          </cell>
          <cell r="H189">
            <v>1293</v>
          </cell>
        </row>
        <row r="190">
          <cell r="A190" t="str">
            <v>027.038</v>
          </cell>
          <cell r="B190" t="str">
            <v>I443</v>
          </cell>
          <cell r="C190" t="str">
            <v xml:space="preserve">POLIETILENO NEGRO CAL 3.5 </v>
          </cell>
          <cell r="D190" t="str">
            <v>Insumo</v>
          </cell>
          <cell r="E190" t="str">
            <v>M</v>
          </cell>
          <cell r="F190">
            <v>0.16700000000000001</v>
          </cell>
          <cell r="G190">
            <v>5306</v>
          </cell>
          <cell r="H190">
            <v>886</v>
          </cell>
        </row>
        <row r="193">
          <cell r="A193" t="str">
            <v>027.006</v>
          </cell>
          <cell r="B193" t="str">
            <v>-</v>
          </cell>
          <cell r="C193" t="str">
            <v>SUMINISTRO, TRANSPORTE E INSTALACION INYECCION MORTERO 1:2 PARA ANCLAJE PANTALLA PASIVA</v>
          </cell>
          <cell r="D193" t="str">
            <v>Actividad</v>
          </cell>
          <cell r="E193" t="str">
            <v>ML</v>
          </cell>
          <cell r="H193">
            <v>15457</v>
          </cell>
        </row>
        <row r="194">
          <cell r="A194" t="str">
            <v>027.006</v>
          </cell>
          <cell r="B194" t="str">
            <v>AB19</v>
          </cell>
          <cell r="C194" t="str">
            <v>MORTERO 1:2</v>
          </cell>
          <cell r="D194" t="str">
            <v>Analisis</v>
          </cell>
          <cell r="E194" t="str">
            <v>M3</v>
          </cell>
          <cell r="F194">
            <v>8.9999999999999993E-3</v>
          </cell>
          <cell r="G194">
            <v>553412</v>
          </cell>
          <cell r="H194">
            <v>4981</v>
          </cell>
        </row>
        <row r="195">
          <cell r="A195" t="str">
            <v>027.006</v>
          </cell>
          <cell r="B195" t="str">
            <v>C15</v>
          </cell>
          <cell r="C195" t="str">
            <v>CUADRILLA AA TIPO 3 (1 OFICIAL + 3 AYUDANTE) (Albañileria)</v>
          </cell>
          <cell r="D195" t="str">
            <v>Cuadrilla</v>
          </cell>
          <cell r="E195" t="str">
            <v>HR</v>
          </cell>
          <cell r="F195">
            <v>0.32</v>
          </cell>
          <cell r="G195">
            <v>29568</v>
          </cell>
          <cell r="H195">
            <v>9462</v>
          </cell>
        </row>
        <row r="196">
          <cell r="A196" t="str">
            <v>027.006</v>
          </cell>
          <cell r="B196" t="str">
            <v>H2</v>
          </cell>
          <cell r="C196" t="str">
            <v>EQUIPO BASICO (HERRAMIENTA MENOR)</v>
          </cell>
          <cell r="D196" t="str">
            <v>Herramienta</v>
          </cell>
          <cell r="E196" t="str">
            <v>UND</v>
          </cell>
          <cell r="F196">
            <v>0.4</v>
          </cell>
          <cell r="G196">
            <v>2536</v>
          </cell>
          <cell r="H196">
            <v>1014</v>
          </cell>
        </row>
        <row r="199">
          <cell r="A199" t="str">
            <v>004</v>
          </cell>
          <cell r="C199" t="str">
            <v>DESAGUES E INSTALACIONES SANITARIAS</v>
          </cell>
          <cell r="D199" t="str">
            <v>Capitulo</v>
          </cell>
        </row>
        <row r="202">
          <cell r="A202" t="str">
            <v>003.004</v>
          </cell>
          <cell r="B202" t="str">
            <v>-</v>
          </cell>
          <cell r="C202" t="str">
            <v>SUMINISTRO, TRANSPORTE E INSTALACION CAJA DE INSPECCION  0.80*0.80*1 m.  (Incluye, ladrillo común, marco en angulo 2 1/2 x 2 1/2 * 3/16" y tapa reforzada en platina de 3 * 3/16" con parrilla en varilla 3/8 cada 10 cm.).</v>
          </cell>
          <cell r="D202" t="str">
            <v>Actividad</v>
          </cell>
          <cell r="E202" t="str">
            <v>UND</v>
          </cell>
          <cell r="H202">
            <v>983354</v>
          </cell>
        </row>
        <row r="203">
          <cell r="A203" t="str">
            <v>003.004</v>
          </cell>
          <cell r="B203" t="str">
            <v>AB21</v>
          </cell>
          <cell r="C203" t="str">
            <v>MORTERO 1:4</v>
          </cell>
          <cell r="D203" t="str">
            <v>Analisis</v>
          </cell>
          <cell r="E203" t="str">
            <v>M3</v>
          </cell>
          <cell r="F203">
            <v>0.13</v>
          </cell>
          <cell r="G203">
            <v>388939</v>
          </cell>
          <cell r="H203">
            <v>50562</v>
          </cell>
        </row>
        <row r="204">
          <cell r="A204" t="str">
            <v>003.004</v>
          </cell>
          <cell r="B204" t="str">
            <v>AB4</v>
          </cell>
          <cell r="C204" t="str">
            <v>CONCRETO 2500 psi - 17.5 Mpa</v>
          </cell>
          <cell r="D204" t="str">
            <v>Analisis</v>
          </cell>
          <cell r="E204" t="str">
            <v>M3</v>
          </cell>
          <cell r="F204">
            <v>6.4000000000000001E-2</v>
          </cell>
          <cell r="G204">
            <v>380250</v>
          </cell>
          <cell r="H204">
            <v>24336</v>
          </cell>
        </row>
        <row r="205">
          <cell r="A205" t="str">
            <v>003.004</v>
          </cell>
          <cell r="B205" t="str">
            <v>C23</v>
          </cell>
          <cell r="C205" t="str">
            <v>CUADRILLA BB TIPO 4 (1 OFICIAL + 4 AYUDANTE) (Instalaciones)</v>
          </cell>
          <cell r="D205" t="str">
            <v>Cuadrilla</v>
          </cell>
          <cell r="E205" t="str">
            <v>HR</v>
          </cell>
          <cell r="F205">
            <v>3.35</v>
          </cell>
          <cell r="G205">
            <v>39593</v>
          </cell>
          <cell r="H205">
            <v>132637</v>
          </cell>
        </row>
        <row r="206">
          <cell r="A206" t="str">
            <v>003.004</v>
          </cell>
          <cell r="B206" t="str">
            <v>E12</v>
          </cell>
          <cell r="C206" t="str">
            <v>EQUIPO DE TRANSPORTE</v>
          </cell>
          <cell r="D206" t="str">
            <v>Equipos</v>
          </cell>
          <cell r="E206" t="str">
            <v>DIA</v>
          </cell>
          <cell r="F206">
            <v>8.5000000000000006E-2</v>
          </cell>
          <cell r="G206">
            <v>131205</v>
          </cell>
          <cell r="H206">
            <v>11152</v>
          </cell>
        </row>
        <row r="207">
          <cell r="A207" t="str">
            <v>003.004</v>
          </cell>
          <cell r="B207" t="str">
            <v>H2</v>
          </cell>
          <cell r="C207" t="str">
            <v>EQUIPO BASICO (HERRAMIENTA MENOR)</v>
          </cell>
          <cell r="D207" t="str">
            <v>Herramienta</v>
          </cell>
          <cell r="E207" t="str">
            <v>UND</v>
          </cell>
          <cell r="F207">
            <v>0.3</v>
          </cell>
          <cell r="G207">
            <v>2536</v>
          </cell>
          <cell r="H207">
            <v>761</v>
          </cell>
        </row>
        <row r="208">
          <cell r="A208" t="str">
            <v>003.004</v>
          </cell>
          <cell r="B208" t="str">
            <v>I1565</v>
          </cell>
          <cell r="C208" t="str">
            <v>ACARREO INTERNO</v>
          </cell>
          <cell r="D208" t="str">
            <v>Insumo</v>
          </cell>
          <cell r="E208" t="str">
            <v>UND</v>
          </cell>
          <cell r="F208">
            <v>9</v>
          </cell>
          <cell r="G208">
            <v>1327</v>
          </cell>
          <cell r="H208">
            <v>11943</v>
          </cell>
        </row>
        <row r="209">
          <cell r="A209" t="str">
            <v>003.004</v>
          </cell>
          <cell r="B209" t="str">
            <v>I199</v>
          </cell>
          <cell r="C209" t="str">
            <v>MARCO Y TAPA CAJA INSPECCION DE 0.80 X 0.80 CM. (MARCO EN ANGULO 2 1/2 X 2 1/2 * 3/16", TAPA REFORZADA EN PLATINA DE 3 * 3/16" CON PARRILLA EN VARILLA 3/8 CADA 10 CM.).</v>
          </cell>
          <cell r="D209" t="str">
            <v>Insumo</v>
          </cell>
          <cell r="E209" t="str">
            <v>UND</v>
          </cell>
          <cell r="F209">
            <v>1</v>
          </cell>
          <cell r="G209">
            <v>368040</v>
          </cell>
          <cell r="H209">
            <v>368040</v>
          </cell>
        </row>
        <row r="210">
          <cell r="A210" t="str">
            <v>003.004</v>
          </cell>
          <cell r="B210" t="str">
            <v>I427</v>
          </cell>
          <cell r="C210" t="str">
            <v>SIKA-1 IMPERMEABILIZANTE INTEGRAL MORTEROS O SIMILAR.</v>
          </cell>
          <cell r="D210" t="str">
            <v>Insumo</v>
          </cell>
          <cell r="E210" t="str">
            <v>KG</v>
          </cell>
          <cell r="F210">
            <v>2.56</v>
          </cell>
          <cell r="G210">
            <v>10146</v>
          </cell>
          <cell r="H210">
            <v>25974</v>
          </cell>
        </row>
        <row r="211">
          <cell r="A211" t="str">
            <v>003.004</v>
          </cell>
          <cell r="B211" t="str">
            <v>I944</v>
          </cell>
          <cell r="C211" t="str">
            <v>LADRILLO TOLETE RECOCIDO (24,5 X 12 X 6 CM)</v>
          </cell>
          <cell r="D211" t="str">
            <v>Insumo</v>
          </cell>
          <cell r="E211" t="str">
            <v>UND</v>
          </cell>
          <cell r="F211">
            <v>197</v>
          </cell>
          <cell r="G211">
            <v>1817</v>
          </cell>
          <cell r="H211">
            <v>357949</v>
          </cell>
        </row>
        <row r="214">
          <cell r="A214" t="str">
            <v>003.006</v>
          </cell>
          <cell r="B214" t="str">
            <v>-</v>
          </cell>
          <cell r="C214" t="str">
            <v>SUMINISTRO, TRANSPORTE E INSTALACION CAJA DE INSPECCION  1 * 1 * 1.50 m.  (Incluye, ladrillo común, marco en angulo 2 1/2 x 2 1/2 * 3/16" y tapa reforzada en platina de 3 * 3/16" con parrilla en varilla 3/8 cada 10 cm.).</v>
          </cell>
          <cell r="D214" t="str">
            <v>Actividad</v>
          </cell>
          <cell r="E214" t="str">
            <v>UND</v>
          </cell>
          <cell r="H214">
            <v>1483512</v>
          </cell>
        </row>
        <row r="215">
          <cell r="A215" t="str">
            <v>003.006</v>
          </cell>
          <cell r="B215" t="str">
            <v>AB21</v>
          </cell>
          <cell r="C215" t="str">
            <v>MORTERO 1:4</v>
          </cell>
          <cell r="D215" t="str">
            <v>Analisis</v>
          </cell>
          <cell r="E215" t="str">
            <v>M3</v>
          </cell>
          <cell r="F215">
            <v>0.23</v>
          </cell>
          <cell r="G215">
            <v>388939</v>
          </cell>
          <cell r="H215">
            <v>89456</v>
          </cell>
        </row>
        <row r="216">
          <cell r="A216" t="str">
            <v>003.006</v>
          </cell>
          <cell r="B216" t="str">
            <v>AB4</v>
          </cell>
          <cell r="C216" t="str">
            <v>CONCRETO 2500 psi - 17.5 Mpa</v>
          </cell>
          <cell r="D216" t="str">
            <v>Analisis</v>
          </cell>
          <cell r="E216" t="str">
            <v>M3</v>
          </cell>
          <cell r="F216">
            <v>0.1</v>
          </cell>
          <cell r="G216">
            <v>380250</v>
          </cell>
          <cell r="H216">
            <v>38025</v>
          </cell>
        </row>
        <row r="217">
          <cell r="A217" t="str">
            <v>003.006</v>
          </cell>
          <cell r="B217" t="str">
            <v>C23</v>
          </cell>
          <cell r="C217" t="str">
            <v>CUADRILLA BB TIPO 4 (1 OFICIAL + 4 AYUDANTE) (Instalaciones)</v>
          </cell>
          <cell r="D217" t="str">
            <v>Cuadrilla</v>
          </cell>
          <cell r="E217" t="str">
            <v>HR</v>
          </cell>
          <cell r="F217">
            <v>4.0999999999999996</v>
          </cell>
          <cell r="G217">
            <v>39593</v>
          </cell>
          <cell r="H217">
            <v>162331</v>
          </cell>
        </row>
        <row r="218">
          <cell r="A218" t="str">
            <v>003.006</v>
          </cell>
          <cell r="B218" t="str">
            <v>E12</v>
          </cell>
          <cell r="C218" t="str">
            <v>EQUIPO DE TRANSPORTE</v>
          </cell>
          <cell r="D218" t="str">
            <v>Equipos</v>
          </cell>
          <cell r="E218" t="str">
            <v>DIA</v>
          </cell>
          <cell r="F218">
            <v>0.14299999999999999</v>
          </cell>
          <cell r="G218">
            <v>131205</v>
          </cell>
          <cell r="H218">
            <v>18762</v>
          </cell>
        </row>
        <row r="219">
          <cell r="A219" t="str">
            <v>003.006</v>
          </cell>
          <cell r="B219" t="str">
            <v>H2</v>
          </cell>
          <cell r="C219" t="str">
            <v>EQUIPO BASICO (HERRAMIENTA MENOR)</v>
          </cell>
          <cell r="D219" t="str">
            <v>Herramienta</v>
          </cell>
          <cell r="E219" t="str">
            <v>UND</v>
          </cell>
          <cell r="F219">
            <v>0.3</v>
          </cell>
          <cell r="G219">
            <v>2536</v>
          </cell>
          <cell r="H219">
            <v>761</v>
          </cell>
        </row>
        <row r="220">
          <cell r="A220" t="str">
            <v>003.006</v>
          </cell>
          <cell r="B220" t="str">
            <v>I1565</v>
          </cell>
          <cell r="C220" t="str">
            <v>ACARREO INTERNO</v>
          </cell>
          <cell r="D220" t="str">
            <v>Insumo</v>
          </cell>
          <cell r="E220" t="str">
            <v>UND</v>
          </cell>
          <cell r="F220">
            <v>13</v>
          </cell>
          <cell r="G220">
            <v>1327</v>
          </cell>
          <cell r="H220">
            <v>17251</v>
          </cell>
        </row>
        <row r="221">
          <cell r="A221" t="str">
            <v>003.006</v>
          </cell>
          <cell r="B221" t="str">
            <v>I200</v>
          </cell>
          <cell r="C221" t="str">
            <v>MARCO Y TAPA CAJA INSPECCION DE 1.00 X 1.00 M. (MARCO EN ANGULO 2 1/2 X 2 1/2 * 3/16", TAPA REFORZADA EN PLATINA DE 3 * 3/16" CON PARRILLA EN VARILLA 3/8 CADA 10 CM.).</v>
          </cell>
          <cell r="D221" t="str">
            <v>Insumo</v>
          </cell>
          <cell r="E221" t="str">
            <v>UND</v>
          </cell>
          <cell r="F221">
            <v>1</v>
          </cell>
          <cell r="G221">
            <v>486453</v>
          </cell>
          <cell r="H221">
            <v>486453</v>
          </cell>
        </row>
        <row r="222">
          <cell r="A222" t="str">
            <v>003.006</v>
          </cell>
          <cell r="B222" t="str">
            <v>I944</v>
          </cell>
          <cell r="C222" t="str">
            <v>LADRILLO TOLETE RECOCIDO (24,5 X 12 X 6 CM)</v>
          </cell>
          <cell r="D222" t="str">
            <v>Insumo</v>
          </cell>
          <cell r="E222" t="str">
            <v>UND</v>
          </cell>
          <cell r="F222">
            <v>369</v>
          </cell>
          <cell r="G222">
            <v>1817</v>
          </cell>
          <cell r="H222">
            <v>670473</v>
          </cell>
        </row>
        <row r="225">
          <cell r="A225" t="str">
            <v>003.035</v>
          </cell>
          <cell r="B225" t="str">
            <v>-</v>
          </cell>
          <cell r="C225" t="str">
            <v>SUMINISTRO, TRANSPORTE E INSTALACION TUBERIA A  LL 110MM Tipo Novafort o similar.  (Incluye accesorios, nivelación y cinta de demarcación)</v>
          </cell>
          <cell r="D225" t="str">
            <v>Actividad</v>
          </cell>
          <cell r="E225" t="str">
            <v>ML</v>
          </cell>
          <cell r="H225">
            <v>31125</v>
          </cell>
        </row>
        <row r="226">
          <cell r="A226" t="str">
            <v>003.035</v>
          </cell>
          <cell r="B226" t="str">
            <v>C16</v>
          </cell>
          <cell r="C226" t="str">
            <v>CUADRILLA BB TIPO 3 (1 OFICIAL + 3 AYUDANTE) (Instalaciones)</v>
          </cell>
          <cell r="D226" t="str">
            <v>Cuadrilla</v>
          </cell>
          <cell r="E226" t="str">
            <v>HR</v>
          </cell>
          <cell r="F226">
            <v>0.2</v>
          </cell>
          <cell r="G226">
            <v>32523</v>
          </cell>
          <cell r="H226">
            <v>6505</v>
          </cell>
        </row>
        <row r="227">
          <cell r="A227" t="str">
            <v>003.035</v>
          </cell>
          <cell r="B227" t="str">
            <v>E12</v>
          </cell>
          <cell r="C227" t="str">
            <v>EQUIPO DE TRANSPORTE</v>
          </cell>
          <cell r="D227" t="str">
            <v>Equipos</v>
          </cell>
          <cell r="E227" t="str">
            <v>DIA</v>
          </cell>
          <cell r="F227">
            <v>3.0000000000000001E-3</v>
          </cell>
          <cell r="G227">
            <v>131205</v>
          </cell>
          <cell r="H227">
            <v>394</v>
          </cell>
        </row>
        <row r="228">
          <cell r="A228" t="str">
            <v>003.035</v>
          </cell>
          <cell r="B228" t="str">
            <v>H2</v>
          </cell>
          <cell r="C228" t="str">
            <v>EQUIPO BASICO (HERRAMIENTA MENOR)</v>
          </cell>
          <cell r="D228" t="str">
            <v>Herramienta</v>
          </cell>
          <cell r="E228" t="str">
            <v>UND</v>
          </cell>
          <cell r="F228">
            <v>0.2</v>
          </cell>
          <cell r="G228">
            <v>2536</v>
          </cell>
          <cell r="H228">
            <v>507</v>
          </cell>
        </row>
        <row r="229">
          <cell r="A229" t="str">
            <v>003.035</v>
          </cell>
          <cell r="B229" t="str">
            <v>I1565</v>
          </cell>
          <cell r="C229" t="str">
            <v>ACARREO INTERNO</v>
          </cell>
          <cell r="D229" t="str">
            <v>Insumo</v>
          </cell>
          <cell r="E229" t="str">
            <v>UND</v>
          </cell>
          <cell r="F229">
            <v>0.4</v>
          </cell>
          <cell r="G229">
            <v>1327</v>
          </cell>
          <cell r="H229">
            <v>531</v>
          </cell>
        </row>
        <row r="230">
          <cell r="A230" t="str">
            <v>003.035</v>
          </cell>
          <cell r="B230" t="str">
            <v>I407</v>
          </cell>
          <cell r="C230" t="str">
            <v>CINTA DE DEMARCACION * 10 M.</v>
          </cell>
          <cell r="D230" t="str">
            <v>Insumo</v>
          </cell>
          <cell r="E230" t="str">
            <v>M</v>
          </cell>
          <cell r="F230">
            <v>1.03</v>
          </cell>
          <cell r="G230">
            <v>140</v>
          </cell>
          <cell r="H230">
            <v>144</v>
          </cell>
        </row>
        <row r="231">
          <cell r="A231" t="str">
            <v>003.035</v>
          </cell>
          <cell r="B231" t="str">
            <v>I534</v>
          </cell>
          <cell r="C231" t="str">
            <v>ACONDICIONADOR NOVAFORT  TARRO 500 GRS. O SIMILAR.</v>
          </cell>
          <cell r="D231" t="str">
            <v>Insumo</v>
          </cell>
          <cell r="E231" t="str">
            <v>UND</v>
          </cell>
          <cell r="F231">
            <v>0.06</v>
          </cell>
          <cell r="G231">
            <v>112862</v>
          </cell>
          <cell r="H231">
            <v>6772</v>
          </cell>
        </row>
        <row r="232">
          <cell r="A232" t="str">
            <v>003.035</v>
          </cell>
          <cell r="B232" t="str">
            <v>I698</v>
          </cell>
          <cell r="C232" t="str">
            <v xml:space="preserve">TUBO ALCANTARILLADO NOVAFORT  PVC  110 MM  </v>
          </cell>
          <cell r="D232" t="str">
            <v>Insumo</v>
          </cell>
          <cell r="E232" t="str">
            <v>M</v>
          </cell>
          <cell r="F232">
            <v>1.03</v>
          </cell>
          <cell r="G232">
            <v>15798</v>
          </cell>
          <cell r="H232">
            <v>16272</v>
          </cell>
        </row>
        <row r="235">
          <cell r="A235" t="str">
            <v>003.037</v>
          </cell>
          <cell r="B235" t="str">
            <v>-</v>
          </cell>
          <cell r="C235" t="str">
            <v>SUMINISTRO, TRANSPORTE E INSTALACION TUBERIA A LL 200 MM Tipo Novafort o similar. (Incluye accesorios, nivelación y cinta de demarcación)</v>
          </cell>
          <cell r="D235" t="str">
            <v>Actividad</v>
          </cell>
          <cell r="E235" t="str">
            <v>ML</v>
          </cell>
          <cell r="H235">
            <v>59692</v>
          </cell>
        </row>
        <row r="236">
          <cell r="A236" t="str">
            <v>003.037</v>
          </cell>
          <cell r="B236" t="str">
            <v>C16</v>
          </cell>
          <cell r="C236" t="str">
            <v>CUADRILLA BB TIPO 3 (1 OFICIAL + 3 AYUDANTE) (Instalaciones)</v>
          </cell>
          <cell r="D236" t="str">
            <v>Cuadrilla</v>
          </cell>
          <cell r="E236" t="str">
            <v>HR</v>
          </cell>
          <cell r="F236">
            <v>0.23</v>
          </cell>
          <cell r="G236">
            <v>32523</v>
          </cell>
          <cell r="H236">
            <v>7480</v>
          </cell>
        </row>
        <row r="237">
          <cell r="A237" t="str">
            <v>003.037</v>
          </cell>
          <cell r="B237" t="str">
            <v>E12</v>
          </cell>
          <cell r="C237" t="str">
            <v>EQUIPO DE TRANSPORTE</v>
          </cell>
          <cell r="D237" t="str">
            <v>Equipos</v>
          </cell>
          <cell r="E237" t="str">
            <v>DIA</v>
          </cell>
          <cell r="F237">
            <v>7.0000000000000001E-3</v>
          </cell>
          <cell r="G237">
            <v>131205</v>
          </cell>
          <cell r="H237">
            <v>918</v>
          </cell>
        </row>
        <row r="238">
          <cell r="A238" t="str">
            <v>003.037</v>
          </cell>
          <cell r="B238" t="str">
            <v>H2</v>
          </cell>
          <cell r="C238" t="str">
            <v>EQUIPO BASICO (HERRAMIENTA MENOR)</v>
          </cell>
          <cell r="D238" t="str">
            <v>Herramienta</v>
          </cell>
          <cell r="E238" t="str">
            <v>UND</v>
          </cell>
          <cell r="F238">
            <v>0.2</v>
          </cell>
          <cell r="G238">
            <v>2536</v>
          </cell>
          <cell r="H238">
            <v>507</v>
          </cell>
        </row>
        <row r="239">
          <cell r="A239" t="str">
            <v>003.037</v>
          </cell>
          <cell r="B239" t="str">
            <v>I1565</v>
          </cell>
          <cell r="C239" t="str">
            <v>ACARREO INTERNO</v>
          </cell>
          <cell r="D239" t="str">
            <v>Insumo</v>
          </cell>
          <cell r="E239" t="str">
            <v>UND</v>
          </cell>
          <cell r="F239">
            <v>0.5</v>
          </cell>
          <cell r="G239">
            <v>1327</v>
          </cell>
          <cell r="H239">
            <v>664</v>
          </cell>
        </row>
        <row r="240">
          <cell r="A240" t="str">
            <v>003.037</v>
          </cell>
          <cell r="B240" t="str">
            <v>I407</v>
          </cell>
          <cell r="C240" t="str">
            <v>CINTA DE DEMARCACION * 10 M.</v>
          </cell>
          <cell r="D240" t="str">
            <v>Insumo</v>
          </cell>
          <cell r="E240" t="str">
            <v>M</v>
          </cell>
          <cell r="F240">
            <v>1.03</v>
          </cell>
          <cell r="G240">
            <v>140</v>
          </cell>
          <cell r="H240">
            <v>144</v>
          </cell>
        </row>
        <row r="241">
          <cell r="A241" t="str">
            <v>003.037</v>
          </cell>
          <cell r="B241" t="str">
            <v>I534</v>
          </cell>
          <cell r="C241" t="str">
            <v>ACONDICIONADOR NOVAFORT  TARRO 500 GRS. O SIMILAR.</v>
          </cell>
          <cell r="D241" t="str">
            <v>Insumo</v>
          </cell>
          <cell r="E241" t="str">
            <v>UND</v>
          </cell>
          <cell r="F241">
            <v>0.06</v>
          </cell>
          <cell r="G241">
            <v>112862</v>
          </cell>
          <cell r="H241">
            <v>6772</v>
          </cell>
        </row>
        <row r="242">
          <cell r="A242" t="str">
            <v>003.037</v>
          </cell>
          <cell r="B242" t="str">
            <v>I700</v>
          </cell>
          <cell r="C242" t="str">
            <v xml:space="preserve">TUBO ALCANTARILLADO NOVAFORT  PVC  200 MM  </v>
          </cell>
          <cell r="D242" t="str">
            <v>Insumo</v>
          </cell>
          <cell r="E242" t="str">
            <v>M</v>
          </cell>
          <cell r="F242">
            <v>1.03</v>
          </cell>
          <cell r="G242">
            <v>41949</v>
          </cell>
          <cell r="H242">
            <v>43207</v>
          </cell>
        </row>
        <row r="245">
          <cell r="A245" t="str">
            <v>003.038</v>
          </cell>
          <cell r="B245" t="str">
            <v>-</v>
          </cell>
          <cell r="C245" t="str">
            <v>SUMINISTRO, TRANSPORTE E INSTALACION TUBERIA A LL 250 MM Tipo Novafort o similar. (Incluye cama de apoyo en grava fina, relleno lateral en arena lavada, relleno inicial en recebo B-600, instalación, accesorios, nivelación y cinta de nivelación).</v>
          </cell>
          <cell r="D245" t="str">
            <v>Actividad</v>
          </cell>
          <cell r="E245" t="str">
            <v>ML</v>
          </cell>
          <cell r="H245">
            <v>82082</v>
          </cell>
        </row>
        <row r="246">
          <cell r="A246" t="str">
            <v>003.038</v>
          </cell>
          <cell r="B246" t="str">
            <v>C16</v>
          </cell>
          <cell r="C246" t="str">
            <v>CUADRILLA BB TIPO 3 (1 OFICIAL + 3 AYUDANTE) (Instalaciones)</v>
          </cell>
          <cell r="D246" t="str">
            <v>Cuadrilla</v>
          </cell>
          <cell r="E246" t="str">
            <v>HR</v>
          </cell>
          <cell r="F246">
            <v>0.23</v>
          </cell>
          <cell r="G246">
            <v>32523</v>
          </cell>
          <cell r="H246">
            <v>7480</v>
          </cell>
        </row>
        <row r="247">
          <cell r="A247" t="str">
            <v>003.038</v>
          </cell>
          <cell r="B247" t="str">
            <v>E12</v>
          </cell>
          <cell r="C247" t="str">
            <v>EQUIPO DE TRANSPORTE</v>
          </cell>
          <cell r="D247" t="str">
            <v>Equipos</v>
          </cell>
          <cell r="E247" t="str">
            <v>DIA</v>
          </cell>
          <cell r="F247">
            <v>1.0999999999999999E-2</v>
          </cell>
          <cell r="G247">
            <v>131205</v>
          </cell>
          <cell r="H247">
            <v>1443</v>
          </cell>
        </row>
        <row r="248">
          <cell r="A248" t="str">
            <v>003.038</v>
          </cell>
          <cell r="B248" t="str">
            <v>H2</v>
          </cell>
          <cell r="C248" t="str">
            <v>EQUIPO BASICO (HERRAMIENTA MENOR)</v>
          </cell>
          <cell r="D248" t="str">
            <v>Herramienta</v>
          </cell>
          <cell r="E248" t="str">
            <v>UND</v>
          </cell>
          <cell r="F248">
            <v>0.2</v>
          </cell>
          <cell r="G248">
            <v>2536</v>
          </cell>
          <cell r="H248">
            <v>507</v>
          </cell>
        </row>
        <row r="249">
          <cell r="A249" t="str">
            <v>003.038</v>
          </cell>
          <cell r="B249" t="str">
            <v>I1565</v>
          </cell>
          <cell r="C249" t="str">
            <v>ACARREO INTERNO</v>
          </cell>
          <cell r="D249" t="str">
            <v>Insumo</v>
          </cell>
          <cell r="E249" t="str">
            <v>UND</v>
          </cell>
          <cell r="F249">
            <v>0.5</v>
          </cell>
          <cell r="G249">
            <v>1327</v>
          </cell>
          <cell r="H249">
            <v>664</v>
          </cell>
        </row>
        <row r="250">
          <cell r="A250" t="str">
            <v>003.038</v>
          </cell>
          <cell r="B250" t="str">
            <v>I407</v>
          </cell>
          <cell r="C250" t="str">
            <v>CINTA DE DEMARCACION * 10 M.</v>
          </cell>
          <cell r="D250" t="str">
            <v>Insumo</v>
          </cell>
          <cell r="E250" t="str">
            <v>M</v>
          </cell>
          <cell r="F250">
            <v>1.03</v>
          </cell>
          <cell r="G250">
            <v>140</v>
          </cell>
          <cell r="H250">
            <v>144</v>
          </cell>
        </row>
        <row r="251">
          <cell r="A251" t="str">
            <v>003.038</v>
          </cell>
          <cell r="B251" t="str">
            <v>I534</v>
          </cell>
          <cell r="C251" t="str">
            <v>ACONDICIONADOR NOVAFORT  TARRO 500 GRS. O SIMILAR.</v>
          </cell>
          <cell r="D251" t="str">
            <v>Insumo</v>
          </cell>
          <cell r="E251" t="str">
            <v>UND</v>
          </cell>
          <cell r="F251">
            <v>0.08</v>
          </cell>
          <cell r="G251">
            <v>112862</v>
          </cell>
          <cell r="H251">
            <v>9029</v>
          </cell>
        </row>
        <row r="252">
          <cell r="A252" t="str">
            <v>003.038</v>
          </cell>
          <cell r="B252" t="str">
            <v>I701</v>
          </cell>
          <cell r="C252" t="str">
            <v xml:space="preserve">TUBO ALCANTARILLADO NOVAFORT  PVC  250 MM </v>
          </cell>
          <cell r="D252" t="str">
            <v>Insumo</v>
          </cell>
          <cell r="E252" t="str">
            <v>M</v>
          </cell>
          <cell r="F252">
            <v>1.03</v>
          </cell>
          <cell r="G252">
            <v>60985</v>
          </cell>
          <cell r="H252">
            <v>62815</v>
          </cell>
        </row>
        <row r="255">
          <cell r="A255" t="str">
            <v>032.144</v>
          </cell>
          <cell r="B255" t="str">
            <v>-</v>
          </cell>
          <cell r="C255" t="str">
            <v>SUMINISTRO, TRANSPORTE E INSTALACION CANAL EN CONCRETO 3000 PSI; E=0,08, DESARROLLO 1,2</v>
          </cell>
          <cell r="D255" t="str">
            <v>Actividad</v>
          </cell>
          <cell r="E255" t="str">
            <v>ML</v>
          </cell>
          <cell r="H255">
            <v>119254</v>
          </cell>
        </row>
        <row r="256">
          <cell r="A256" t="str">
            <v>032.144</v>
          </cell>
          <cell r="B256" t="str">
            <v>AB5</v>
          </cell>
          <cell r="C256" t="str">
            <v>CONCRETO 3000 psi - 21 Mpa</v>
          </cell>
          <cell r="D256" t="str">
            <v>Analisis</v>
          </cell>
          <cell r="E256" t="str">
            <v>M3</v>
          </cell>
          <cell r="F256">
            <v>9.6000000000000002E-2</v>
          </cell>
          <cell r="G256">
            <v>421155</v>
          </cell>
          <cell r="H256">
            <v>40431</v>
          </cell>
        </row>
        <row r="257">
          <cell r="A257" t="str">
            <v>032.144</v>
          </cell>
          <cell r="B257" t="str">
            <v>C8</v>
          </cell>
          <cell r="C257" t="str">
            <v>CUADRILLA AA TIPO 2 (1 OFICIAL + 2 AYUDANTE) (Albañileria)</v>
          </cell>
          <cell r="D257" t="str">
            <v>Cuadrilla</v>
          </cell>
          <cell r="E257" t="str">
            <v>HR</v>
          </cell>
          <cell r="F257">
            <v>2</v>
          </cell>
          <cell r="G257">
            <v>23140</v>
          </cell>
          <cell r="H257">
            <v>46280</v>
          </cell>
        </row>
        <row r="258">
          <cell r="A258" t="str">
            <v>032.144</v>
          </cell>
          <cell r="B258" t="str">
            <v>E12</v>
          </cell>
          <cell r="C258" t="str">
            <v>EQUIPO DE TRANSPORTE</v>
          </cell>
          <cell r="D258" t="str">
            <v>Equipos</v>
          </cell>
          <cell r="E258" t="str">
            <v>DIA</v>
          </cell>
          <cell r="F258">
            <v>1.2E-2</v>
          </cell>
          <cell r="G258">
            <v>131205</v>
          </cell>
          <cell r="H258">
            <v>1574</v>
          </cell>
        </row>
        <row r="259">
          <cell r="A259" t="str">
            <v>032.144</v>
          </cell>
          <cell r="B259" t="str">
            <v>E21</v>
          </cell>
          <cell r="C259" t="str">
            <v>VIBRADOR A GASOLINA</v>
          </cell>
          <cell r="D259" t="str">
            <v>Equipos</v>
          </cell>
          <cell r="E259" t="str">
            <v>DIA</v>
          </cell>
          <cell r="F259">
            <v>0.01</v>
          </cell>
          <cell r="G259">
            <v>51948</v>
          </cell>
          <cell r="H259">
            <v>519</v>
          </cell>
        </row>
        <row r="260">
          <cell r="A260" t="str">
            <v>032.144</v>
          </cell>
          <cell r="B260" t="str">
            <v>H2</v>
          </cell>
          <cell r="C260" t="str">
            <v>EQUIPO BASICO (HERRAMIENTA MENOR)</v>
          </cell>
          <cell r="D260" t="str">
            <v>Herramienta</v>
          </cell>
          <cell r="E260" t="str">
            <v>UND</v>
          </cell>
          <cell r="F260">
            <v>0.63500000000000001</v>
          </cell>
          <cell r="G260">
            <v>2536</v>
          </cell>
          <cell r="H260">
            <v>1610</v>
          </cell>
        </row>
        <row r="261">
          <cell r="A261" t="str">
            <v>032.144</v>
          </cell>
          <cell r="B261" t="str">
            <v>I1565</v>
          </cell>
          <cell r="C261" t="str">
            <v>ACARREO INTERNO</v>
          </cell>
          <cell r="D261" t="str">
            <v>Insumo</v>
          </cell>
          <cell r="E261" t="str">
            <v>UND</v>
          </cell>
          <cell r="F261">
            <v>1.6559999999999999</v>
          </cell>
          <cell r="G261">
            <v>1327</v>
          </cell>
          <cell r="H261">
            <v>2198</v>
          </cell>
        </row>
        <row r="262">
          <cell r="A262" t="str">
            <v>032.144</v>
          </cell>
          <cell r="B262" t="str">
            <v>I3</v>
          </cell>
          <cell r="C262" t="str">
            <v>ALAMBRE NEGRO NO. 18</v>
          </cell>
          <cell r="D262" t="str">
            <v>Insumo</v>
          </cell>
          <cell r="E262" t="str">
            <v>KG</v>
          </cell>
          <cell r="F262">
            <v>6.9000000000000006E-2</v>
          </cell>
          <cell r="G262">
            <v>4323</v>
          </cell>
          <cell r="H262">
            <v>298</v>
          </cell>
        </row>
        <row r="263">
          <cell r="A263" t="str">
            <v>032.144</v>
          </cell>
          <cell r="B263" t="str">
            <v>I425</v>
          </cell>
          <cell r="C263" t="str">
            <v>PUNTILLA CON CABEZA 2"</v>
          </cell>
          <cell r="D263" t="str">
            <v>Insumo</v>
          </cell>
          <cell r="E263" t="str">
            <v>LB</v>
          </cell>
          <cell r="F263">
            <v>0.3</v>
          </cell>
          <cell r="G263">
            <v>3585</v>
          </cell>
          <cell r="H263">
            <v>1076</v>
          </cell>
        </row>
        <row r="264">
          <cell r="A264" t="str">
            <v>032.144</v>
          </cell>
          <cell r="B264" t="str">
            <v>I8</v>
          </cell>
          <cell r="C264" t="str">
            <v>MALLA ELECTROSOLDADA M-131  Q-3.1  5.0 MM 15 X 15 CM.</v>
          </cell>
          <cell r="D264" t="str">
            <v>Insumo</v>
          </cell>
          <cell r="E264" t="str">
            <v>KG</v>
          </cell>
          <cell r="F264">
            <v>2.9</v>
          </cell>
          <cell r="G264">
            <v>3154</v>
          </cell>
          <cell r="H264">
            <v>9147</v>
          </cell>
        </row>
        <row r="265">
          <cell r="A265" t="str">
            <v>032.144</v>
          </cell>
          <cell r="B265" t="str">
            <v>I957</v>
          </cell>
          <cell r="C265" t="str">
            <v>LISTON 2 X 4</v>
          </cell>
          <cell r="D265" t="str">
            <v>Insumo</v>
          </cell>
          <cell r="E265" t="str">
            <v>M</v>
          </cell>
          <cell r="F265">
            <v>1.7</v>
          </cell>
          <cell r="G265">
            <v>3244</v>
          </cell>
          <cell r="H265">
            <v>5515</v>
          </cell>
        </row>
        <row r="266">
          <cell r="A266" t="str">
            <v>032.144</v>
          </cell>
          <cell r="B266" t="str">
            <v>I990</v>
          </cell>
          <cell r="C266" t="str">
            <v>TABLA 1"X10"X3M</v>
          </cell>
          <cell r="D266" t="str">
            <v>Insumo</v>
          </cell>
          <cell r="E266" t="str">
            <v>UND</v>
          </cell>
          <cell r="F266">
            <v>1</v>
          </cell>
          <cell r="G266">
            <v>10606</v>
          </cell>
          <cell r="H266">
            <v>10606</v>
          </cell>
        </row>
        <row r="269">
          <cell r="A269" t="str">
            <v>032.145</v>
          </cell>
          <cell r="B269" t="str">
            <v>-</v>
          </cell>
          <cell r="C269" t="str">
            <v>SUMINISTRO E INSTALACION REJA ACERO NO. 5 PARA CANAL EN CONCRETO ANCHO ENTRE 0,5 Y 0,6 MT</v>
          </cell>
          <cell r="D269" t="str">
            <v>Actividad</v>
          </cell>
          <cell r="E269" t="str">
            <v>ML</v>
          </cell>
          <cell r="H269">
            <v>141867</v>
          </cell>
        </row>
        <row r="270">
          <cell r="A270" t="str">
            <v>032.145</v>
          </cell>
          <cell r="B270" t="str">
            <v>C11</v>
          </cell>
          <cell r="C270" t="str">
            <v>CUADRILLA DD TIPO 2 (1 OFICIAL + 2 AYUDANTE) (Carpinteria)</v>
          </cell>
          <cell r="D270" t="str">
            <v>Cuadrilla</v>
          </cell>
          <cell r="E270" t="str">
            <v>HR</v>
          </cell>
          <cell r="F270">
            <v>3.5</v>
          </cell>
          <cell r="G270">
            <v>26608</v>
          </cell>
          <cell r="H270">
            <v>93128</v>
          </cell>
        </row>
        <row r="271">
          <cell r="A271" t="str">
            <v>032.145</v>
          </cell>
          <cell r="B271" t="str">
            <v>E12</v>
          </cell>
          <cell r="C271" t="str">
            <v>EQUIPO DE TRANSPORTE</v>
          </cell>
          <cell r="D271" t="str">
            <v>Equipos</v>
          </cell>
          <cell r="E271" t="str">
            <v>DIA</v>
          </cell>
          <cell r="F271">
            <v>3.0000000000000001E-3</v>
          </cell>
          <cell r="G271">
            <v>131205</v>
          </cell>
          <cell r="H271">
            <v>394</v>
          </cell>
        </row>
        <row r="272">
          <cell r="A272" t="str">
            <v>032.145</v>
          </cell>
          <cell r="B272" t="str">
            <v>E59</v>
          </cell>
          <cell r="C272" t="str">
            <v>EQUIPO DE SOLDADURA</v>
          </cell>
          <cell r="D272" t="str">
            <v>Equipos</v>
          </cell>
          <cell r="E272" t="str">
            <v>HR</v>
          </cell>
          <cell r="F272">
            <v>0.01</v>
          </cell>
          <cell r="G272">
            <v>32800</v>
          </cell>
          <cell r="H272">
            <v>328</v>
          </cell>
        </row>
        <row r="273">
          <cell r="A273" t="str">
            <v>032.145</v>
          </cell>
          <cell r="B273" t="str">
            <v>H2</v>
          </cell>
          <cell r="C273" t="str">
            <v>EQUIPO BASICO (HERRAMIENTA MENOR)</v>
          </cell>
          <cell r="D273" t="str">
            <v>Herramienta</v>
          </cell>
          <cell r="E273" t="str">
            <v>UND</v>
          </cell>
          <cell r="F273">
            <v>0.18</v>
          </cell>
          <cell r="G273">
            <v>2536</v>
          </cell>
          <cell r="H273">
            <v>456</v>
          </cell>
        </row>
        <row r="274">
          <cell r="A274" t="str">
            <v>032.145</v>
          </cell>
          <cell r="B274" t="str">
            <v>I13</v>
          </cell>
          <cell r="C274" t="str">
            <v xml:space="preserve">VARILLA LISA 5/8" </v>
          </cell>
          <cell r="D274" t="str">
            <v>Insumo</v>
          </cell>
          <cell r="E274" t="str">
            <v>M</v>
          </cell>
          <cell r="F274">
            <v>5</v>
          </cell>
          <cell r="G274">
            <v>4897</v>
          </cell>
          <cell r="H274">
            <v>24485</v>
          </cell>
        </row>
        <row r="275">
          <cell r="A275" t="str">
            <v>032.145</v>
          </cell>
          <cell r="B275" t="str">
            <v>I1565</v>
          </cell>
          <cell r="C275" t="str">
            <v>ACARREO INTERNO</v>
          </cell>
          <cell r="D275" t="str">
            <v>Insumo</v>
          </cell>
          <cell r="E275" t="str">
            <v>UND</v>
          </cell>
          <cell r="F275">
            <v>0.2</v>
          </cell>
          <cell r="G275">
            <v>1327</v>
          </cell>
          <cell r="H275">
            <v>265</v>
          </cell>
        </row>
        <row r="276">
          <cell r="A276" t="str">
            <v>032.145</v>
          </cell>
          <cell r="B276" t="str">
            <v>I239</v>
          </cell>
          <cell r="C276" t="str">
            <v>ANGULO 2"* 2"*3/16"</v>
          </cell>
          <cell r="D276" t="str">
            <v>Insumo</v>
          </cell>
          <cell r="E276" t="str">
            <v>M</v>
          </cell>
          <cell r="F276">
            <v>1.27</v>
          </cell>
          <cell r="G276">
            <v>13727</v>
          </cell>
          <cell r="H276">
            <v>17433</v>
          </cell>
        </row>
        <row r="277">
          <cell r="A277" t="str">
            <v>032.145</v>
          </cell>
          <cell r="B277" t="str">
            <v>I435</v>
          </cell>
          <cell r="C277" t="str">
            <v>SOLDADURA ELECTRICA TIPO WESTARCO SUPER E- 6013  DE 1/8 O SIMILAR.</v>
          </cell>
          <cell r="D277" t="str">
            <v>Insumo</v>
          </cell>
          <cell r="E277" t="str">
            <v>KG</v>
          </cell>
          <cell r="F277">
            <v>0.5</v>
          </cell>
          <cell r="G277">
            <v>10755</v>
          </cell>
          <cell r="H277">
            <v>5378</v>
          </cell>
        </row>
        <row r="280">
          <cell r="A280" t="str">
            <v>024.120</v>
          </cell>
          <cell r="B280" t="str">
            <v>-</v>
          </cell>
          <cell r="C280" t="str">
            <v>SUMINISTRO, TRANSPORTE E INSTALACION EMPALME A CÁMARAS DE INSPECCIÓN CONCRETO CLASE II</v>
          </cell>
          <cell r="D280" t="str">
            <v>Actividad</v>
          </cell>
          <cell r="E280" t="str">
            <v>UND</v>
          </cell>
          <cell r="H280">
            <v>74819</v>
          </cell>
        </row>
        <row r="281">
          <cell r="A281" t="str">
            <v>024.120</v>
          </cell>
          <cell r="B281" t="str">
            <v>C37</v>
          </cell>
          <cell r="C281" t="str">
            <v>CUADRILLA BB TIPO 6 (1 OFICIAL + 6 AYUDANTE) (Instalaciones)</v>
          </cell>
          <cell r="D281" t="str">
            <v>Cuadrilla</v>
          </cell>
          <cell r="E281" t="str">
            <v>HR</v>
          </cell>
          <cell r="F281">
            <v>1</v>
          </cell>
          <cell r="G281">
            <v>53733</v>
          </cell>
          <cell r="H281">
            <v>53733</v>
          </cell>
        </row>
        <row r="282">
          <cell r="A282" t="str">
            <v>024.120</v>
          </cell>
          <cell r="B282" t="str">
            <v>E112</v>
          </cell>
          <cell r="C282" t="str">
            <v>FORMALETA METALICA PARA CAMARA CIRCULAR</v>
          </cell>
          <cell r="D282" t="str">
            <v>Equipos</v>
          </cell>
          <cell r="E282" t="str">
            <v>UND</v>
          </cell>
          <cell r="F282">
            <v>0.45</v>
          </cell>
          <cell r="G282">
            <v>1311</v>
          </cell>
          <cell r="H282">
            <v>590</v>
          </cell>
        </row>
        <row r="283">
          <cell r="A283" t="str">
            <v>024.120</v>
          </cell>
          <cell r="B283" t="str">
            <v>E12</v>
          </cell>
          <cell r="C283" t="str">
            <v>EQUIPO DE TRANSPORTE</v>
          </cell>
          <cell r="D283" t="str">
            <v>Equipos</v>
          </cell>
          <cell r="E283" t="str">
            <v>DIA</v>
          </cell>
          <cell r="F283">
            <v>2.8999999999999998E-3</v>
          </cell>
          <cell r="G283">
            <v>131205</v>
          </cell>
          <cell r="H283">
            <v>380</v>
          </cell>
        </row>
        <row r="284">
          <cell r="A284" t="str">
            <v>024.120</v>
          </cell>
          <cell r="B284" t="str">
            <v>H2</v>
          </cell>
          <cell r="C284" t="str">
            <v>EQUIPO BASICO (HERRAMIENTA MENOR)</v>
          </cell>
          <cell r="D284" t="str">
            <v>Herramienta</v>
          </cell>
          <cell r="E284" t="str">
            <v>UND</v>
          </cell>
          <cell r="F284">
            <v>2.5000000000000001E-2</v>
          </cell>
          <cell r="G284">
            <v>2536</v>
          </cell>
          <cell r="H284">
            <v>63</v>
          </cell>
        </row>
        <row r="285">
          <cell r="A285" t="str">
            <v>024.120</v>
          </cell>
          <cell r="B285" t="str">
            <v>I1565</v>
          </cell>
          <cell r="C285" t="str">
            <v>ACARREO INTERNO</v>
          </cell>
          <cell r="D285" t="str">
            <v>Insumo</v>
          </cell>
          <cell r="E285" t="str">
            <v>UND</v>
          </cell>
          <cell r="F285">
            <v>1.3</v>
          </cell>
          <cell r="G285">
            <v>1327</v>
          </cell>
          <cell r="H285">
            <v>1725</v>
          </cell>
        </row>
        <row r="286">
          <cell r="A286" t="str">
            <v>024.120</v>
          </cell>
          <cell r="B286" t="str">
            <v>I1566</v>
          </cell>
          <cell r="C286" t="str">
            <v>CURADO DEL CONCRETO</v>
          </cell>
          <cell r="D286" t="str">
            <v>Insumo</v>
          </cell>
          <cell r="E286" t="str">
            <v>M3</v>
          </cell>
          <cell r="F286">
            <v>0.15429999999999999</v>
          </cell>
          <cell r="G286">
            <v>2044</v>
          </cell>
          <cell r="H286">
            <v>315</v>
          </cell>
        </row>
        <row r="287">
          <cell r="A287" t="str">
            <v>024.120</v>
          </cell>
          <cell r="B287" t="str">
            <v>I274</v>
          </cell>
          <cell r="C287" t="str">
            <v>CEMENTO GRIS</v>
          </cell>
          <cell r="D287" t="str">
            <v>Insumo</v>
          </cell>
          <cell r="E287" t="str">
            <v>KG</v>
          </cell>
          <cell r="F287">
            <v>18</v>
          </cell>
          <cell r="G287">
            <v>719</v>
          </cell>
          <cell r="H287">
            <v>12942</v>
          </cell>
        </row>
        <row r="288">
          <cell r="A288" t="str">
            <v>024.120</v>
          </cell>
          <cell r="B288" t="str">
            <v>I32</v>
          </cell>
          <cell r="C288" t="str">
            <v>ARENA LAVADA DE RIO</v>
          </cell>
          <cell r="D288" t="str">
            <v>Insumo</v>
          </cell>
          <cell r="E288" t="str">
            <v>M3</v>
          </cell>
          <cell r="F288">
            <v>1.4999999999999999E-2</v>
          </cell>
          <cell r="G288">
            <v>93238</v>
          </cell>
          <cell r="H288">
            <v>1399</v>
          </cell>
        </row>
        <row r="289">
          <cell r="A289" t="str">
            <v>024.120</v>
          </cell>
          <cell r="B289" t="str">
            <v>I34</v>
          </cell>
          <cell r="C289" t="str">
            <v>GRAVILLA COMUN DE RIO</v>
          </cell>
          <cell r="D289" t="str">
            <v>Insumo</v>
          </cell>
          <cell r="E289" t="str">
            <v>M3</v>
          </cell>
          <cell r="F289">
            <v>3.5000000000000003E-2</v>
          </cell>
          <cell r="G289">
            <v>93238</v>
          </cell>
          <cell r="H289">
            <v>3263</v>
          </cell>
        </row>
        <row r="290">
          <cell r="A290" t="str">
            <v>024.120</v>
          </cell>
          <cell r="B290" t="str">
            <v>I45</v>
          </cell>
          <cell r="C290" t="str">
            <v>AGUA M3</v>
          </cell>
          <cell r="D290" t="str">
            <v>Insumo</v>
          </cell>
          <cell r="E290" t="str">
            <v>M3</v>
          </cell>
          <cell r="F290">
            <v>0.2</v>
          </cell>
          <cell r="G290">
            <v>2044</v>
          </cell>
          <cell r="H290">
            <v>409</v>
          </cell>
        </row>
        <row r="293">
          <cell r="A293" t="str">
            <v>033.156</v>
          </cell>
          <cell r="B293" t="str">
            <v>-</v>
          </cell>
          <cell r="C293" t="str">
            <v>SUMINISTRO, TRANSPORTE E INSTALACIÓN DE MATERIAL GRANULAR PARA SUBDRENES Y DRENAJES</v>
          </cell>
          <cell r="D293" t="str">
            <v>Actividad</v>
          </cell>
          <cell r="E293" t="str">
            <v>M3</v>
          </cell>
          <cell r="H293">
            <v>78618</v>
          </cell>
        </row>
        <row r="294">
          <cell r="A294" t="str">
            <v>033.156</v>
          </cell>
          <cell r="B294" t="str">
            <v>C8</v>
          </cell>
          <cell r="C294" t="str">
            <v>CUADRILLA AA TIPO 2 (1 OFICIAL + 2 AYUDANTE) (Albañileria)</v>
          </cell>
          <cell r="D294" t="str">
            <v>Cuadrilla</v>
          </cell>
          <cell r="E294" t="str">
            <v>HR</v>
          </cell>
          <cell r="F294">
            <v>0.4</v>
          </cell>
          <cell r="G294">
            <v>23140</v>
          </cell>
          <cell r="H294">
            <v>9256</v>
          </cell>
        </row>
        <row r="295">
          <cell r="A295" t="str">
            <v>033.156</v>
          </cell>
          <cell r="B295" t="str">
            <v>H2</v>
          </cell>
          <cell r="C295" t="str">
            <v>EQUIPO BASICO (HERRAMIENTA MENOR)</v>
          </cell>
          <cell r="D295" t="str">
            <v>Herramienta</v>
          </cell>
          <cell r="E295" t="str">
            <v>UND</v>
          </cell>
          <cell r="F295">
            <v>0.5</v>
          </cell>
          <cell r="G295">
            <v>2536</v>
          </cell>
          <cell r="H295">
            <v>1268</v>
          </cell>
        </row>
        <row r="296">
          <cell r="A296" t="str">
            <v>033.156</v>
          </cell>
          <cell r="B296" t="str">
            <v>I1621</v>
          </cell>
          <cell r="C296" t="str">
            <v>MATERIAL GRANULAR PARA SUBDREN</v>
          </cell>
          <cell r="D296" t="str">
            <v>Insumo</v>
          </cell>
          <cell r="E296" t="str">
            <v>M3</v>
          </cell>
          <cell r="F296">
            <v>1.21</v>
          </cell>
          <cell r="G296">
            <v>56276</v>
          </cell>
          <cell r="H296">
            <v>68094</v>
          </cell>
        </row>
        <row r="300">
          <cell r="A300" t="str">
            <v>005</v>
          </cell>
          <cell r="C300" t="str">
            <v>CAMPO DEPORTIVO</v>
          </cell>
          <cell r="D300" t="str">
            <v>Capitulo</v>
          </cell>
        </row>
        <row r="303">
          <cell r="A303" t="str">
            <v>023.002</v>
          </cell>
          <cell r="B303" t="str">
            <v>-</v>
          </cell>
          <cell r="C303" t="str">
            <v>SUMINISTRO, TRANSPORTE E INSTALACION IMPRIMACION CON EMULSION ASFALTICA según norma INVIAS.</v>
          </cell>
          <cell r="D303" t="str">
            <v>Actividad</v>
          </cell>
          <cell r="E303" t="str">
            <v>M2</v>
          </cell>
          <cell r="H303">
            <v>3152</v>
          </cell>
        </row>
        <row r="304">
          <cell r="A304" t="str">
            <v>023.002</v>
          </cell>
          <cell r="B304" t="str">
            <v>C8</v>
          </cell>
          <cell r="C304" t="str">
            <v>CUADRILLA AA TIPO 2 (1 OFICIAL + 2 AYUDANTE) (Albañileria)</v>
          </cell>
          <cell r="D304" t="str">
            <v>Cuadrilla</v>
          </cell>
          <cell r="E304" t="str">
            <v>HR</v>
          </cell>
          <cell r="F304">
            <v>2E-3</v>
          </cell>
          <cell r="G304">
            <v>23140</v>
          </cell>
          <cell r="H304">
            <v>46</v>
          </cell>
        </row>
        <row r="305">
          <cell r="A305" t="str">
            <v>023.002</v>
          </cell>
          <cell r="B305" t="str">
            <v>E12</v>
          </cell>
          <cell r="C305" t="str">
            <v>EQUIPO DE TRANSPORTE</v>
          </cell>
          <cell r="D305" t="str">
            <v>Equipos</v>
          </cell>
          <cell r="E305" t="str">
            <v>DIA</v>
          </cell>
          <cell r="F305">
            <v>5.0000000000000001E-4</v>
          </cell>
          <cell r="G305">
            <v>131205</v>
          </cell>
          <cell r="H305">
            <v>66</v>
          </cell>
        </row>
        <row r="306">
          <cell r="A306" t="str">
            <v>023.002</v>
          </cell>
          <cell r="B306" t="str">
            <v>E4</v>
          </cell>
          <cell r="C306" t="str">
            <v>CARROTANQUE IRRIGADOR DE ASFALTO</v>
          </cell>
          <cell r="D306" t="str">
            <v>Equipos</v>
          </cell>
          <cell r="E306" t="str">
            <v>HR</v>
          </cell>
          <cell r="F306">
            <v>2E-3</v>
          </cell>
          <cell r="G306">
            <v>71956</v>
          </cell>
          <cell r="H306">
            <v>144</v>
          </cell>
        </row>
        <row r="307">
          <cell r="A307" t="str">
            <v>023.002</v>
          </cell>
          <cell r="B307" t="str">
            <v>E6</v>
          </cell>
          <cell r="C307" t="str">
            <v>COMPRESOR (BARRIDO Y/O SOPLADO DE LA SUPERFICIE PAVIMENTO)</v>
          </cell>
          <cell r="D307" t="str">
            <v>Equipos</v>
          </cell>
          <cell r="E307" t="str">
            <v>HR</v>
          </cell>
          <cell r="F307">
            <v>2E-3</v>
          </cell>
          <cell r="G307">
            <v>74724</v>
          </cell>
          <cell r="H307">
            <v>149</v>
          </cell>
        </row>
        <row r="308">
          <cell r="A308" t="str">
            <v>023.002</v>
          </cell>
          <cell r="B308" t="str">
            <v>H2</v>
          </cell>
          <cell r="C308" t="str">
            <v>EQUIPO BASICO (HERRAMIENTA MENOR)</v>
          </cell>
          <cell r="D308" t="str">
            <v>Herramienta</v>
          </cell>
          <cell r="E308" t="str">
            <v>UND</v>
          </cell>
          <cell r="F308">
            <v>1E-3</v>
          </cell>
          <cell r="G308">
            <v>2536</v>
          </cell>
          <cell r="H308">
            <v>3</v>
          </cell>
        </row>
        <row r="309">
          <cell r="A309" t="str">
            <v>023.002</v>
          </cell>
          <cell r="B309" t="str">
            <v>I1565</v>
          </cell>
          <cell r="C309" t="str">
            <v>ACARREO INTERNO</v>
          </cell>
          <cell r="D309" t="str">
            <v>Insumo</v>
          </cell>
          <cell r="E309" t="str">
            <v>UND</v>
          </cell>
          <cell r="F309">
            <v>2.3E-3</v>
          </cell>
          <cell r="G309">
            <v>1327</v>
          </cell>
          <cell r="H309">
            <v>3</v>
          </cell>
        </row>
        <row r="310">
          <cell r="A310" t="str">
            <v>023.002</v>
          </cell>
          <cell r="B310" t="str">
            <v>I367</v>
          </cell>
          <cell r="C310" t="str">
            <v>EMULSION ASFALTICA TIPO CRL-1</v>
          </cell>
          <cell r="D310" t="str">
            <v>Insumo</v>
          </cell>
          <cell r="E310" t="str">
            <v>LT</v>
          </cell>
          <cell r="F310">
            <v>1</v>
          </cell>
          <cell r="G310">
            <v>2741</v>
          </cell>
          <cell r="H310">
            <v>2741</v>
          </cell>
        </row>
        <row r="313">
          <cell r="A313" t="str">
            <v>033.169</v>
          </cell>
          <cell r="B313" t="str">
            <v>-</v>
          </cell>
          <cell r="C313" t="str">
            <v>SUMINISTRO, TRANSPORTE E INSTALACION DE GRAMA SINTÉTICA EN POLIETILENO, 13.300/6 DTEX COMPUESTO POR UNA COMBINACION DE DOS FIBRAS EN FORMA CONCAVA DE 300 MICRONES Y OTRA EN FORMA DE DIAMANTE REFORZADO CON 400 MICRONES ESTABILIZADO CON PROTECCION UV, TEN C</v>
          </cell>
          <cell r="D313" t="str">
            <v>Actividad</v>
          </cell>
          <cell r="E313" t="str">
            <v>M2</v>
          </cell>
          <cell r="H313">
            <v>105000</v>
          </cell>
        </row>
        <row r="314">
          <cell r="A314" t="str">
            <v>033.169</v>
          </cell>
          <cell r="B314" t="str">
            <v>-</v>
          </cell>
          <cell r="C314" t="str">
            <v xml:space="preserve">GRAMA SINTETICA DE POLIETILENO, 1 CAPA DE TEJIDO POLIPROPILENO EN URDIMBRE Y EN TRAMA; 2DA CAPA DE TEJIDO  DE POLIPROPILENO Y FIBRA DE VIDRIO; LATEX SBR, ALTURA DEL HILADO 50 MM, ANCHO DEL ROLLO 3,90M PESO DEL HILADO 1400 GRAMOS/M2, 8,150 PUNTOS/M2  </v>
          </cell>
          <cell r="D314" t="str">
            <v>Insumo</v>
          </cell>
          <cell r="E314" t="str">
            <v>M2</v>
          </cell>
          <cell r="F314">
            <v>1</v>
          </cell>
          <cell r="G314">
            <v>105000</v>
          </cell>
          <cell r="H314">
            <v>105000</v>
          </cell>
        </row>
        <row r="317">
          <cell r="A317" t="str">
            <v>033.170</v>
          </cell>
          <cell r="B317" t="str">
            <v>-</v>
          </cell>
          <cell r="C317" t="str">
            <v xml:space="preserve">SUMINISTRO, TRANSPORTE E INSTALACION DE SHOCKPAD, </v>
          </cell>
          <cell r="D317" t="str">
            <v>Actividad</v>
          </cell>
          <cell r="E317" t="str">
            <v>M2</v>
          </cell>
          <cell r="H317">
            <v>52000</v>
          </cell>
        </row>
        <row r="318">
          <cell r="A318" t="str">
            <v>033.170</v>
          </cell>
          <cell r="B318" t="str">
            <v>-</v>
          </cell>
          <cell r="C318" t="str">
            <v xml:space="preserve">SHOCKPAD; ESPUMA DE POLIETILENO RETICULADA ( DE CELDAS CERRADAS) DE ENLACE TERMICO (PROCEDIENTE DE RESIDUOS INDUSTRIALES NO CONTAMINADOS) ALTURA 12 MM ABSORCION DE CHOQUE 65%, INFILTRACION DE AGUA: 110.112 MM/ H </v>
          </cell>
          <cell r="D318" t="str">
            <v>Insumo</v>
          </cell>
          <cell r="E318" t="str">
            <v>M2</v>
          </cell>
          <cell r="F318">
            <v>1</v>
          </cell>
          <cell r="G318">
            <v>52000</v>
          </cell>
          <cell r="H318">
            <v>52000</v>
          </cell>
        </row>
        <row r="321">
          <cell r="A321" t="str">
            <v>033.161</v>
          </cell>
          <cell r="C321" t="str">
            <v>SUMINISTRO, TRANSPORTE E INSTALACION  DE DOS (2)  ARCOS METALICOS DE FUTBOL EN TUBERIA NEGRA (INCLUYE REDES, ANTICORROSIVO,PINTURA, CONCRETO Y ACERO PARA PILOTES)</v>
          </cell>
          <cell r="D321" t="str">
            <v>Actividad</v>
          </cell>
          <cell r="E321" t="str">
            <v>UND</v>
          </cell>
          <cell r="H321">
            <v>2529353</v>
          </cell>
        </row>
        <row r="322">
          <cell r="A322" t="str">
            <v>033.161</v>
          </cell>
          <cell r="B322" t="str">
            <v>I697</v>
          </cell>
          <cell r="C322" t="str">
            <v xml:space="preserve">TUBO ACERO NEGRA CONTRA INCENDIO 4" - CALIBRE 10 ASTM A795 - TIPO COLMENA O SIMILAR. </v>
          </cell>
          <cell r="D322" t="str">
            <v>Insumo</v>
          </cell>
          <cell r="E322" t="str">
            <v>m</v>
          </cell>
          <cell r="F322">
            <v>18</v>
          </cell>
          <cell r="G322">
            <v>51534</v>
          </cell>
          <cell r="H322">
            <v>927612</v>
          </cell>
        </row>
        <row r="323">
          <cell r="A323" t="str">
            <v>033.161</v>
          </cell>
          <cell r="B323" t="str">
            <v>I435</v>
          </cell>
          <cell r="C323" t="str">
            <v>SOLDADURA ELECTRICA TIPO WESTARCO SUPER E- 6013  DE 1/8 O SIMILAR.</v>
          </cell>
          <cell r="D323" t="str">
            <v>Insumo</v>
          </cell>
          <cell r="E323" t="str">
            <v>kg</v>
          </cell>
          <cell r="F323">
            <v>4</v>
          </cell>
          <cell r="G323">
            <v>10197</v>
          </cell>
          <cell r="H323">
            <v>40788</v>
          </cell>
        </row>
        <row r="324">
          <cell r="A324" t="str">
            <v>033.161</v>
          </cell>
          <cell r="B324" t="str">
            <v>AB1</v>
          </cell>
          <cell r="C324" t="str">
            <v>ACERO 60.000 PSI</v>
          </cell>
          <cell r="D324" t="str">
            <v>Insumo</v>
          </cell>
          <cell r="E324" t="str">
            <v>kg</v>
          </cell>
          <cell r="F324">
            <v>3.9200000000000004</v>
          </cell>
          <cell r="G324">
            <v>4971</v>
          </cell>
          <cell r="H324">
            <v>19486</v>
          </cell>
        </row>
        <row r="325">
          <cell r="A325" t="str">
            <v>033.161</v>
          </cell>
          <cell r="B325" t="str">
            <v>I685</v>
          </cell>
          <cell r="C325" t="str">
            <v>TUBO ACERO AGUA NEGRA PARA CERRAMIENTO  3" -   - TIPO COLMENA O SIMILAR.</v>
          </cell>
          <cell r="D325" t="str">
            <v>Insumo</v>
          </cell>
          <cell r="E325" t="str">
            <v>m</v>
          </cell>
          <cell r="F325">
            <v>21.6</v>
          </cell>
          <cell r="G325">
            <v>34905</v>
          </cell>
          <cell r="H325">
            <v>753948</v>
          </cell>
        </row>
        <row r="326">
          <cell r="A326" t="str">
            <v>033.161</v>
          </cell>
          <cell r="B326" t="str">
            <v>I1001</v>
          </cell>
          <cell r="C326" t="str">
            <v>ANTICORROSIVO PREMIUM - TIPO PINTUCO REF. 513 O SIMILAR</v>
          </cell>
          <cell r="D326" t="str">
            <v>Insumos</v>
          </cell>
          <cell r="E326" t="str">
            <v>GAL</v>
          </cell>
          <cell r="F326">
            <v>0.5</v>
          </cell>
          <cell r="G326">
            <v>58057</v>
          </cell>
          <cell r="H326">
            <v>29029</v>
          </cell>
        </row>
        <row r="327">
          <cell r="A327" t="str">
            <v>033.161</v>
          </cell>
          <cell r="B327" t="str">
            <v>I1002</v>
          </cell>
          <cell r="C327" t="str">
            <v>ESMALTE SINTETICO PINTULUX - TIPO PINTUCO REF. SEGÚN COLOR DISEÑO O SIMILAR</v>
          </cell>
          <cell r="D327" t="str">
            <v xml:space="preserve">Insumo </v>
          </cell>
          <cell r="E327" t="str">
            <v>GAL</v>
          </cell>
          <cell r="F327">
            <v>0.72</v>
          </cell>
          <cell r="G327">
            <v>84184</v>
          </cell>
          <cell r="H327">
            <v>60612</v>
          </cell>
        </row>
        <row r="328">
          <cell r="A328" t="str">
            <v>033.161</v>
          </cell>
          <cell r="B328" t="str">
            <v>NI06</v>
          </cell>
          <cell r="C328" t="str">
            <v>MALLA NYLON CAL 2</v>
          </cell>
          <cell r="D328" t="str">
            <v>Insumo</v>
          </cell>
          <cell r="E328" t="str">
            <v>m2</v>
          </cell>
          <cell r="F328">
            <v>20.86</v>
          </cell>
          <cell r="G328">
            <v>10831.998799999999</v>
          </cell>
          <cell r="H328">
            <v>225955</v>
          </cell>
        </row>
        <row r="329">
          <cell r="A329" t="str">
            <v>033.161</v>
          </cell>
          <cell r="B329" t="str">
            <v>H2</v>
          </cell>
          <cell r="C329" t="str">
            <v>EQUIPO BASICO ( HERRAMIENTA MENOR )</v>
          </cell>
          <cell r="D329" t="str">
            <v>Herramienta</v>
          </cell>
          <cell r="E329" t="str">
            <v>und</v>
          </cell>
          <cell r="F329">
            <v>0.2</v>
          </cell>
          <cell r="G329">
            <v>2404</v>
          </cell>
          <cell r="H329">
            <v>481</v>
          </cell>
        </row>
        <row r="330">
          <cell r="A330" t="str">
            <v>033.161</v>
          </cell>
          <cell r="B330" t="str">
            <v>C4</v>
          </cell>
          <cell r="C330" t="str">
            <v>CUADRILLA DD TIPO 1 (1 OFICIAL + 1 AYUDANTE) (Carpinteria)</v>
          </cell>
          <cell r="D330" t="str">
            <v>Mano de Obra</v>
          </cell>
          <cell r="E330" t="str">
            <v>hr</v>
          </cell>
          <cell r="F330">
            <v>16</v>
          </cell>
          <cell r="G330">
            <v>19480</v>
          </cell>
          <cell r="H330">
            <v>311680</v>
          </cell>
        </row>
        <row r="331">
          <cell r="A331" t="str">
            <v>033.161</v>
          </cell>
          <cell r="B331" t="str">
            <v>AB5</v>
          </cell>
          <cell r="C331" t="str">
            <v>CONCRETO 3000 psi - 21 Mpa</v>
          </cell>
          <cell r="D331" t="str">
            <v>Analisis</v>
          </cell>
          <cell r="E331" t="str">
            <v>m3</v>
          </cell>
          <cell r="F331">
            <v>0.36</v>
          </cell>
          <cell r="G331">
            <v>397872</v>
          </cell>
          <cell r="H331">
            <v>143234</v>
          </cell>
        </row>
        <row r="332">
          <cell r="A332" t="str">
            <v>033.161</v>
          </cell>
          <cell r="B332" t="str">
            <v>I1799</v>
          </cell>
          <cell r="C332" t="str">
            <v>SUMINISTRO TRANSPORTE E INSTALACION ACERO DE 60000 PCI (INCLUYE ALAMBRE NEGRO Y FIGURACION)</v>
          </cell>
          <cell r="D332" t="str">
            <v>Insumo</v>
          </cell>
          <cell r="E332" t="str">
            <v>KG</v>
          </cell>
          <cell r="F332">
            <v>3.3600000000000003</v>
          </cell>
          <cell r="G332">
            <v>4919</v>
          </cell>
          <cell r="H332">
            <v>16528</v>
          </cell>
        </row>
        <row r="335">
          <cell r="A335" t="str">
            <v>033.103</v>
          </cell>
          <cell r="B335" t="str">
            <v>-</v>
          </cell>
          <cell r="C335" t="str">
            <v>SUMINISTRO, TRANSPORTE E INSTALACION GEOTEXTIL NO TEJIDO 2000</v>
          </cell>
          <cell r="D335" t="str">
            <v>Actividad</v>
          </cell>
          <cell r="E335" t="str">
            <v>M2</v>
          </cell>
          <cell r="H335">
            <v>8433</v>
          </cell>
        </row>
        <row r="336">
          <cell r="A336" t="str">
            <v>033.103</v>
          </cell>
          <cell r="B336" t="str">
            <v>C1</v>
          </cell>
          <cell r="C336" t="str">
            <v>CUADRILLA AA TIPO 1 (1 OFICIAL + 1 AYUDANTE) (Albañileria)</v>
          </cell>
          <cell r="D336" t="str">
            <v>Cuadrilla</v>
          </cell>
          <cell r="E336" t="str">
            <v>HR</v>
          </cell>
          <cell r="F336">
            <v>0.1</v>
          </cell>
          <cell r="G336">
            <v>16712</v>
          </cell>
          <cell r="H336">
            <v>1671</v>
          </cell>
        </row>
        <row r="337">
          <cell r="A337" t="str">
            <v>033.103</v>
          </cell>
          <cell r="B337" t="str">
            <v>E12</v>
          </cell>
          <cell r="C337" t="str">
            <v>EQUIPO DE TRANSPORTE</v>
          </cell>
          <cell r="D337" t="str">
            <v>Equipos</v>
          </cell>
          <cell r="E337" t="str">
            <v>DIA</v>
          </cell>
          <cell r="F337">
            <v>1E-3</v>
          </cell>
          <cell r="G337">
            <v>131205</v>
          </cell>
          <cell r="H337">
            <v>131</v>
          </cell>
        </row>
        <row r="338">
          <cell r="A338" t="str">
            <v>033.103</v>
          </cell>
          <cell r="B338" t="str">
            <v>I1565</v>
          </cell>
          <cell r="C338" t="str">
            <v>ACARREO INTERNO</v>
          </cell>
          <cell r="D338" t="str">
            <v>Insumo</v>
          </cell>
          <cell r="E338" t="str">
            <v>UND</v>
          </cell>
          <cell r="F338">
            <v>3.0000000000000001E-3</v>
          </cell>
          <cell r="G338">
            <v>1327</v>
          </cell>
          <cell r="H338">
            <v>4</v>
          </cell>
        </row>
        <row r="339">
          <cell r="A339" t="str">
            <v>033.103</v>
          </cell>
          <cell r="B339" t="str">
            <v>I512</v>
          </cell>
          <cell r="C339" t="str">
            <v>GEOTEXTIL NO TEJIDO  2000 PAVCO O SIMILAR</v>
          </cell>
          <cell r="D339" t="str">
            <v>Insumo</v>
          </cell>
          <cell r="E339" t="str">
            <v>M2</v>
          </cell>
          <cell r="F339">
            <v>1.05</v>
          </cell>
          <cell r="G339">
            <v>6311</v>
          </cell>
          <cell r="H339">
            <v>6627</v>
          </cell>
        </row>
        <row r="342">
          <cell r="A342" t="str">
            <v>019.036</v>
          </cell>
          <cell r="B342" t="str">
            <v>-</v>
          </cell>
          <cell r="C342" t="str">
            <v>SUMINISTRO, TRANSPORTE E INSTALACIÓN DE PINTURA SPORT LINE PARA ESCENARIOS DEPORTIVAS, INCLUYE PREPARACIÓN DE SUPERFICIE CON HIDROLAVADORA Y SIKATOP 122. INCLUYE DEMARCACIÓN.</v>
          </cell>
          <cell r="D342" t="str">
            <v>Actividad</v>
          </cell>
          <cell r="E342" t="str">
            <v>M2</v>
          </cell>
          <cell r="H342">
            <v>61120</v>
          </cell>
        </row>
        <row r="343">
          <cell r="A343" t="str">
            <v>019.036</v>
          </cell>
          <cell r="B343" t="str">
            <v>I1959</v>
          </cell>
          <cell r="C343" t="str">
            <v>PREPARACIÓN DE SUPERFICIE CON MÁQUINA HIDROLAVADORA, LIMPIEZA MANUAL CON ESPÁTULA Y GRATA METÁLICA, RESANE CON SIKATOPO 122, RESANES DE BACHES CON MORTERO ACRÍLICO, REPARACIÓN DE JUNTAS Y SELLO CON PELIURETANO Y FACTOR FORMA CON SIKA ROOD DE 3/8.</v>
          </cell>
          <cell r="D343" t="str">
            <v>Insumo</v>
          </cell>
          <cell r="E343" t="str">
            <v>M2</v>
          </cell>
          <cell r="F343">
            <v>1</v>
          </cell>
          <cell r="G343">
            <v>13184</v>
          </cell>
          <cell r="H343">
            <v>13184</v>
          </cell>
        </row>
        <row r="344">
          <cell r="A344" t="str">
            <v>019.036</v>
          </cell>
          <cell r="B344" t="str">
            <v>I1960</v>
          </cell>
          <cell r="C344" t="str">
            <v>SUMINISTRO Y APLICACIÓN DE SISTEMA SPORT LINE, CON PRODUCTOS DE SIKA EN COLORES ROJO, VERDE Y AZUL, INCLUYE DEMARCACIÓN DE LÍNEAS.</v>
          </cell>
          <cell r="D344" t="str">
            <v>Insumo</v>
          </cell>
          <cell r="E344" t="str">
            <v>M2</v>
          </cell>
          <cell r="F344">
            <v>1</v>
          </cell>
          <cell r="G344">
            <v>47936</v>
          </cell>
          <cell r="H344">
            <v>47936</v>
          </cell>
        </row>
        <row r="347">
          <cell r="A347" t="str">
            <v>023.011</v>
          </cell>
          <cell r="B347" t="str">
            <v>-</v>
          </cell>
          <cell r="C347" t="str">
            <v>SUMINISTRO, TRANSPORTE E INSTALACION SUB BASE COMPACTADA CON RANA</v>
          </cell>
          <cell r="D347" t="str">
            <v>Actividad</v>
          </cell>
          <cell r="E347" t="str">
            <v>M3</v>
          </cell>
          <cell r="H347">
            <v>146631</v>
          </cell>
        </row>
        <row r="348">
          <cell r="A348" t="str">
            <v>023.011</v>
          </cell>
          <cell r="B348" t="str">
            <v>C15</v>
          </cell>
          <cell r="C348" t="str">
            <v>CUADRILLA AA TIPO 3 (1 OFICIAL + 3 AYUDANTE) (Albañileria)</v>
          </cell>
          <cell r="D348" t="str">
            <v>Cuadrilla</v>
          </cell>
          <cell r="E348" t="str">
            <v>HR</v>
          </cell>
          <cell r="F348">
            <v>0.5</v>
          </cell>
          <cell r="G348">
            <v>29568</v>
          </cell>
          <cell r="H348">
            <v>14784</v>
          </cell>
        </row>
        <row r="349">
          <cell r="A349" t="str">
            <v>023.011</v>
          </cell>
          <cell r="B349" t="str">
            <v>E12</v>
          </cell>
          <cell r="C349" t="str">
            <v>EQUIPO DE TRANSPORTE</v>
          </cell>
          <cell r="D349" t="str">
            <v>Equipos</v>
          </cell>
          <cell r="E349" t="str">
            <v>DIA</v>
          </cell>
          <cell r="F349">
            <v>1.5299999999999999E-2</v>
          </cell>
          <cell r="G349">
            <v>131205</v>
          </cell>
          <cell r="H349">
            <v>2007</v>
          </cell>
        </row>
        <row r="350">
          <cell r="A350" t="str">
            <v>023.011</v>
          </cell>
          <cell r="B350" t="str">
            <v>E47</v>
          </cell>
          <cell r="C350" t="str">
            <v>VIBROCOMPACTADOR TIPO RANA</v>
          </cell>
          <cell r="D350" t="str">
            <v>Equipos</v>
          </cell>
          <cell r="E350" t="str">
            <v>DIA</v>
          </cell>
          <cell r="F350">
            <v>0.3</v>
          </cell>
          <cell r="G350">
            <v>43299</v>
          </cell>
          <cell r="H350">
            <v>12990</v>
          </cell>
        </row>
        <row r="351">
          <cell r="A351" t="str">
            <v>023.011</v>
          </cell>
          <cell r="B351" t="str">
            <v>H2</v>
          </cell>
          <cell r="C351" t="str">
            <v>EQUIPO BASICO (HERRAMIENTA MENOR)</v>
          </cell>
          <cell r="D351" t="str">
            <v>Herramienta</v>
          </cell>
          <cell r="E351" t="str">
            <v>UND</v>
          </cell>
          <cell r="F351">
            <v>4.2999999999999997E-2</v>
          </cell>
          <cell r="G351">
            <v>2536</v>
          </cell>
          <cell r="H351">
            <v>109</v>
          </cell>
        </row>
        <row r="352">
          <cell r="A352" t="str">
            <v>023.011</v>
          </cell>
          <cell r="B352" t="str">
            <v>I1565</v>
          </cell>
          <cell r="C352" t="str">
            <v>ACARREO INTERNO</v>
          </cell>
          <cell r="D352" t="str">
            <v>Insumo</v>
          </cell>
          <cell r="E352" t="str">
            <v>UND</v>
          </cell>
          <cell r="F352">
            <v>0.85</v>
          </cell>
          <cell r="G352">
            <v>1327</v>
          </cell>
          <cell r="H352">
            <v>1128</v>
          </cell>
        </row>
        <row r="353">
          <cell r="A353" t="str">
            <v>023.011</v>
          </cell>
          <cell r="B353" t="str">
            <v>I43</v>
          </cell>
          <cell r="C353" t="str">
            <v>SUB BASE GRANULAR SBG-1 NORMA INVIAS</v>
          </cell>
          <cell r="D353" t="str">
            <v>Insumo</v>
          </cell>
          <cell r="E353" t="str">
            <v>M3</v>
          </cell>
          <cell r="F353">
            <v>1.3</v>
          </cell>
          <cell r="G353">
            <v>88933</v>
          </cell>
          <cell r="H353">
            <v>115613</v>
          </cell>
        </row>
        <row r="356">
          <cell r="A356" t="str">
            <v>004.001</v>
          </cell>
          <cell r="B356" t="str">
            <v>-</v>
          </cell>
          <cell r="C356" t="str">
            <v>SUMINISTRO, TRANSPORTE E INSTALACION  BASE GRANULAR B-200  ( Extendido y compactado )</v>
          </cell>
          <cell r="D356" t="str">
            <v>Actividad</v>
          </cell>
          <cell r="E356" t="str">
            <v>M3</v>
          </cell>
          <cell r="H356">
            <v>85799</v>
          </cell>
        </row>
        <row r="357">
          <cell r="A357" t="str">
            <v>004.001</v>
          </cell>
          <cell r="B357" t="str">
            <v>C15</v>
          </cell>
          <cell r="C357" t="str">
            <v>CUADRILLA AA TIPO 3 (1 OFICIAL + 3 AYUDANTE) (Albañileria)</v>
          </cell>
          <cell r="D357" t="str">
            <v>Cuadrilla</v>
          </cell>
          <cell r="E357" t="str">
            <v>HR</v>
          </cell>
          <cell r="F357">
            <v>0.75</v>
          </cell>
          <cell r="G357">
            <v>29568</v>
          </cell>
          <cell r="H357">
            <v>22176</v>
          </cell>
        </row>
        <row r="358">
          <cell r="A358" t="str">
            <v>004.001</v>
          </cell>
          <cell r="B358" t="str">
            <v>E47</v>
          </cell>
          <cell r="C358" t="str">
            <v>VIBROCOMPACTADOR TIPO RANA</v>
          </cell>
          <cell r="D358" t="str">
            <v>Equipos</v>
          </cell>
          <cell r="E358" t="str">
            <v>DIA</v>
          </cell>
          <cell r="F358">
            <v>0.1</v>
          </cell>
          <cell r="G358">
            <v>43299</v>
          </cell>
          <cell r="H358">
            <v>4330</v>
          </cell>
        </row>
        <row r="359">
          <cell r="A359" t="str">
            <v>004.001</v>
          </cell>
          <cell r="B359" t="str">
            <v>H2</v>
          </cell>
          <cell r="C359" t="str">
            <v>EQUIPO BASICO (HERRAMIENTA MENOR)</v>
          </cell>
          <cell r="D359" t="str">
            <v>Herramienta</v>
          </cell>
          <cell r="E359" t="str">
            <v>UND</v>
          </cell>
          <cell r="F359">
            <v>1.3</v>
          </cell>
          <cell r="G359">
            <v>2536</v>
          </cell>
          <cell r="H359">
            <v>3297</v>
          </cell>
        </row>
        <row r="360">
          <cell r="A360" t="str">
            <v>004.001</v>
          </cell>
          <cell r="B360" t="str">
            <v>I1565</v>
          </cell>
          <cell r="C360" t="str">
            <v>ACARREO INTERNO</v>
          </cell>
          <cell r="D360" t="str">
            <v>Insumo</v>
          </cell>
          <cell r="E360" t="str">
            <v>UND</v>
          </cell>
          <cell r="F360">
            <v>0.04</v>
          </cell>
          <cell r="G360">
            <v>1327</v>
          </cell>
          <cell r="H360">
            <v>53</v>
          </cell>
        </row>
        <row r="361">
          <cell r="A361" t="str">
            <v>004.001</v>
          </cell>
          <cell r="B361" t="str">
            <v>I39</v>
          </cell>
          <cell r="C361" t="str">
            <v>BASE GRANULAR B-200 NORMA INVIAS</v>
          </cell>
          <cell r="D361" t="str">
            <v>Insumo</v>
          </cell>
          <cell r="E361" t="str">
            <v>M3</v>
          </cell>
          <cell r="F361">
            <v>1.3</v>
          </cell>
          <cell r="G361">
            <v>43033</v>
          </cell>
          <cell r="H361">
            <v>55943</v>
          </cell>
        </row>
        <row r="364">
          <cell r="A364" t="str">
            <v>006</v>
          </cell>
          <cell r="C364" t="str">
            <v>CERRAMIENTO</v>
          </cell>
          <cell r="D364" t="str">
            <v>Capitulo</v>
          </cell>
        </row>
        <row r="367">
          <cell r="A367" t="str">
            <v>033.172</v>
          </cell>
          <cell r="C367" t="str">
            <v xml:space="preserve">CERRAMIENTO CONTRA IMPACTO H=2.5m , VARILLA LISA 3/4" (inclye parales en tuberia HG 4", platinas, ángulos, anticorrosivo) </v>
          </cell>
          <cell r="D367" t="str">
            <v>Actividad</v>
          </cell>
          <cell r="E367" t="str">
            <v>ml</v>
          </cell>
          <cell r="H367">
            <v>586060.4</v>
          </cell>
        </row>
        <row r="368">
          <cell r="A368" t="str">
            <v>033.172</v>
          </cell>
          <cell r="B368" t="str">
            <v>I44</v>
          </cell>
          <cell r="C368" t="str">
            <v>CUADRILLA AA TIPO 4 (1 OFICIAL + 4 AYUDANTE) (Albañileria)</v>
          </cell>
          <cell r="D368" t="str">
            <v>Mano de Obra</v>
          </cell>
          <cell r="E368" t="str">
            <v>hr</v>
          </cell>
          <cell r="F368">
            <v>1.35</v>
          </cell>
          <cell r="G368">
            <v>27316</v>
          </cell>
          <cell r="H368">
            <v>36877</v>
          </cell>
        </row>
        <row r="369">
          <cell r="A369" t="str">
            <v>033.172</v>
          </cell>
          <cell r="B369" t="str">
            <v>M03</v>
          </cell>
          <cell r="C369" t="str">
            <v>EQUIPO BASICO ( HERRAMIENTA MENOR )</v>
          </cell>
          <cell r="D369" t="str">
            <v>Herramienta</v>
          </cell>
          <cell r="E369" t="str">
            <v>und</v>
          </cell>
          <cell r="F369">
            <v>2.5</v>
          </cell>
          <cell r="G369">
            <v>1933</v>
          </cell>
          <cell r="H369">
            <v>4833</v>
          </cell>
        </row>
        <row r="370">
          <cell r="A370" t="str">
            <v>033.172</v>
          </cell>
          <cell r="B370" t="str">
            <v>O19</v>
          </cell>
          <cell r="C370" t="str">
            <v>SOLDADURA ELECTRICA TIPO WESTARCO SUPER E- 6013  DE 1/8 O SIMILAR.</v>
          </cell>
          <cell r="D370" t="str">
            <v>Insumo</v>
          </cell>
          <cell r="E370" t="str">
            <v>kg</v>
          </cell>
          <cell r="F370">
            <v>0.7</v>
          </cell>
          <cell r="G370">
            <v>8198</v>
          </cell>
          <cell r="H370">
            <v>5739</v>
          </cell>
        </row>
        <row r="371">
          <cell r="A371" t="str">
            <v>033.172</v>
          </cell>
          <cell r="B371" t="str">
            <v>X01</v>
          </cell>
          <cell r="C371" t="str">
            <v>ANTICORROSIVO PREMIUM - TIPO PINTUCO REF. 513 O SIMILAR</v>
          </cell>
          <cell r="D371" t="str">
            <v>Insumo</v>
          </cell>
          <cell r="E371" t="str">
            <v>gal</v>
          </cell>
          <cell r="F371">
            <v>0.35</v>
          </cell>
          <cell r="G371">
            <v>46669</v>
          </cell>
          <cell r="H371">
            <v>16334</v>
          </cell>
        </row>
        <row r="372">
          <cell r="A372" t="str">
            <v>033.172</v>
          </cell>
          <cell r="B372" t="str">
            <v>I26</v>
          </cell>
          <cell r="C372" t="str">
            <v>ACARREO INTERNO</v>
          </cell>
          <cell r="D372" t="str">
            <v>Mano de Obra</v>
          </cell>
          <cell r="E372" t="str">
            <v>und</v>
          </cell>
          <cell r="F372">
            <v>0.5</v>
          </cell>
          <cell r="G372">
            <v>1037</v>
          </cell>
          <cell r="H372">
            <v>519</v>
          </cell>
        </row>
        <row r="373">
          <cell r="A373" t="str">
            <v>033.172</v>
          </cell>
          <cell r="B373" t="str">
            <v>E20B</v>
          </cell>
          <cell r="C373" t="str">
            <v>TUBO HG 3"</v>
          </cell>
          <cell r="D373" t="str">
            <v>Insumo</v>
          </cell>
          <cell r="E373" t="str">
            <v>m</v>
          </cell>
          <cell r="F373">
            <v>5</v>
          </cell>
          <cell r="G373">
            <v>51706</v>
          </cell>
          <cell r="H373">
            <v>258530</v>
          </cell>
        </row>
        <row r="374">
          <cell r="A374" t="str">
            <v>033.172</v>
          </cell>
          <cell r="B374" t="str">
            <v>E20B</v>
          </cell>
          <cell r="C374" t="str">
            <v>TUBO HG 4"</v>
          </cell>
          <cell r="D374" t="str">
            <v>Insumo</v>
          </cell>
          <cell r="E374" t="str">
            <v>m</v>
          </cell>
          <cell r="F374">
            <v>1.7359049239933473</v>
          </cell>
          <cell r="G374">
            <v>51706</v>
          </cell>
          <cell r="H374">
            <v>89757</v>
          </cell>
        </row>
        <row r="375">
          <cell r="A375" t="str">
            <v>033.172</v>
          </cell>
          <cell r="B375" t="str">
            <v>D28</v>
          </cell>
          <cell r="C375" t="str">
            <v>ANGULO 1 1/4" X 1 1/4" X 1/8"</v>
          </cell>
          <cell r="D375" t="str">
            <v>Insumo</v>
          </cell>
          <cell r="E375" t="str">
            <v>ml</v>
          </cell>
          <cell r="F375">
            <v>2.8</v>
          </cell>
          <cell r="G375">
            <v>6012</v>
          </cell>
          <cell r="H375">
            <v>16834</v>
          </cell>
        </row>
        <row r="376">
          <cell r="A376" t="str">
            <v>033.172</v>
          </cell>
          <cell r="B376" t="str">
            <v>E07</v>
          </cell>
          <cell r="C376" t="str">
            <v>PLATINA 3/4 X 1/8"</v>
          </cell>
          <cell r="D376" t="str">
            <v>Insumo</v>
          </cell>
          <cell r="E376" t="str">
            <v>ml</v>
          </cell>
          <cell r="F376">
            <v>4</v>
          </cell>
          <cell r="G376">
            <v>2100</v>
          </cell>
          <cell r="H376">
            <v>8400</v>
          </cell>
        </row>
        <row r="377">
          <cell r="A377" t="str">
            <v>033.172</v>
          </cell>
          <cell r="B377" t="str">
            <v>A09B</v>
          </cell>
          <cell r="C377" t="str">
            <v>VARILLA REDONDA LISA 3/4"</v>
          </cell>
          <cell r="D377" t="str">
            <v>Insumo</v>
          </cell>
          <cell r="E377" t="str">
            <v>m</v>
          </cell>
          <cell r="F377">
            <v>20</v>
          </cell>
          <cell r="G377">
            <v>3487</v>
          </cell>
          <cell r="H377">
            <v>69740</v>
          </cell>
        </row>
        <row r="378">
          <cell r="A378" t="str">
            <v>033.172</v>
          </cell>
          <cell r="B378" t="str">
            <v>A09B.1</v>
          </cell>
          <cell r="C378" t="str">
            <v>PLATINA 1 1/4" X 1/8"</v>
          </cell>
          <cell r="D378" t="str">
            <v>Insumo</v>
          </cell>
          <cell r="E378" t="str">
            <v>m</v>
          </cell>
          <cell r="F378">
            <v>3.75</v>
          </cell>
          <cell r="G378">
            <v>2500</v>
          </cell>
          <cell r="H378">
            <v>9375</v>
          </cell>
        </row>
        <row r="379">
          <cell r="A379" t="str">
            <v>033.172</v>
          </cell>
          <cell r="B379" t="str">
            <v>E20A</v>
          </cell>
          <cell r="C379" t="str">
            <v>TUBO HG 1 1/4"</v>
          </cell>
          <cell r="D379" t="str">
            <v>Insumo</v>
          </cell>
          <cell r="E379" t="str">
            <v>m</v>
          </cell>
          <cell r="F379">
            <v>0.2</v>
          </cell>
          <cell r="G379">
            <v>33669</v>
          </cell>
          <cell r="H379">
            <v>6734</v>
          </cell>
        </row>
        <row r="380">
          <cell r="A380" t="str">
            <v>033.172</v>
          </cell>
          <cell r="B380" t="str">
            <v>D28</v>
          </cell>
          <cell r="C380" t="str">
            <v>ANGULO 1 1/2 " CALIBRE 3.175</v>
          </cell>
          <cell r="D380" t="str">
            <v>Insumo</v>
          </cell>
          <cell r="E380" t="str">
            <v>ml</v>
          </cell>
          <cell r="F380">
            <v>4</v>
          </cell>
          <cell r="G380">
            <v>6012</v>
          </cell>
          <cell r="H380">
            <v>24048</v>
          </cell>
        </row>
        <row r="382">
          <cell r="A382" t="str">
            <v>033.173</v>
          </cell>
          <cell r="C382" t="str">
            <v xml:space="preserve">SUMINISTRO, TRANSPORTE E INSTALACION, CERRAMIENTO EN ESTRUCTURA CONTRA IMPACTO Y MALLA ESLABONADA </v>
          </cell>
          <cell r="E382" t="str">
            <v>ml</v>
          </cell>
          <cell r="H382">
            <v>510793.39</v>
          </cell>
        </row>
        <row r="383">
          <cell r="A383" t="str">
            <v>033.173</v>
          </cell>
          <cell r="B383" t="str">
            <v>I44</v>
          </cell>
          <cell r="C383" t="str">
            <v>CUADRILLA AA TIPO 4 (1 OFICIAL + 4 AYUDANTE) (Albañileria)</v>
          </cell>
          <cell r="D383" t="str">
            <v>Mano de Obra</v>
          </cell>
          <cell r="E383" t="str">
            <v>hr</v>
          </cell>
          <cell r="F383">
            <v>1.35</v>
          </cell>
          <cell r="G383">
            <v>27316</v>
          </cell>
          <cell r="H383">
            <v>36877</v>
          </cell>
        </row>
        <row r="384">
          <cell r="A384" t="str">
            <v>033.173</v>
          </cell>
          <cell r="B384" t="str">
            <v>M03</v>
          </cell>
          <cell r="C384" t="str">
            <v>EQUIPO BASICO ( HERRAMIENTA MENOR )</v>
          </cell>
          <cell r="D384" t="str">
            <v>Herramienta</v>
          </cell>
          <cell r="E384" t="str">
            <v>und</v>
          </cell>
          <cell r="F384">
            <v>2.5</v>
          </cell>
          <cell r="G384">
            <v>1933</v>
          </cell>
          <cell r="H384">
            <v>4833</v>
          </cell>
        </row>
        <row r="385">
          <cell r="A385" t="str">
            <v>033.173</v>
          </cell>
          <cell r="B385" t="str">
            <v>O19</v>
          </cell>
          <cell r="C385" t="str">
            <v>SOLDADURA ELECTRICA TIPO WESTARCO SUPER E- 6013  DE 1/8 O SIMILAR.</v>
          </cell>
          <cell r="D385" t="str">
            <v>Insumo</v>
          </cell>
          <cell r="E385" t="str">
            <v>kg</v>
          </cell>
          <cell r="F385">
            <v>0.7</v>
          </cell>
          <cell r="G385">
            <v>8198</v>
          </cell>
          <cell r="H385">
            <v>5739</v>
          </cell>
        </row>
        <row r="386">
          <cell r="A386" t="str">
            <v>033.173</v>
          </cell>
          <cell r="B386" t="str">
            <v>X01</v>
          </cell>
          <cell r="C386" t="str">
            <v>ANTICORROSIVO PREMIUM - TIPO PINTUCO REF. 513 O SIMILAR</v>
          </cell>
          <cell r="D386" t="str">
            <v>Insumo</v>
          </cell>
          <cell r="E386" t="str">
            <v>gal</v>
          </cell>
          <cell r="F386">
            <v>0.35</v>
          </cell>
          <cell r="G386">
            <v>46669</v>
          </cell>
          <cell r="H386">
            <v>16334</v>
          </cell>
        </row>
        <row r="387">
          <cell r="A387" t="str">
            <v>033.173</v>
          </cell>
          <cell r="B387" t="str">
            <v>M28</v>
          </cell>
          <cell r="C387" t="str">
            <v>VOLQUETA  6M3 (CARGUE A MANO) RETIRO INTERNO</v>
          </cell>
          <cell r="D387" t="str">
            <v>Equipo</v>
          </cell>
          <cell r="E387" t="str">
            <v>vje</v>
          </cell>
          <cell r="F387">
            <v>0.05</v>
          </cell>
          <cell r="G387">
            <v>126559</v>
          </cell>
          <cell r="H387">
            <v>6328</v>
          </cell>
        </row>
        <row r="388">
          <cell r="A388" t="str">
            <v>033.173</v>
          </cell>
          <cell r="B388" t="str">
            <v>I26</v>
          </cell>
          <cell r="C388" t="str">
            <v>ACARREO INTERNO</v>
          </cell>
          <cell r="D388" t="str">
            <v>Mano de Obra</v>
          </cell>
          <cell r="E388" t="str">
            <v>und</v>
          </cell>
          <cell r="F388">
            <v>0.5</v>
          </cell>
          <cell r="G388">
            <v>1037</v>
          </cell>
          <cell r="H388">
            <v>519</v>
          </cell>
        </row>
        <row r="389">
          <cell r="A389" t="str">
            <v>033.173</v>
          </cell>
          <cell r="B389" t="str">
            <v>E20B</v>
          </cell>
          <cell r="C389" t="str">
            <v>TUBO HG 3"</v>
          </cell>
          <cell r="D389" t="str">
            <v>Insumo</v>
          </cell>
          <cell r="E389" t="str">
            <v>m</v>
          </cell>
          <cell r="F389">
            <v>5</v>
          </cell>
          <cell r="G389">
            <v>51706</v>
          </cell>
          <cell r="H389">
            <v>258530</v>
          </cell>
        </row>
        <row r="390">
          <cell r="A390" t="str">
            <v>033.173</v>
          </cell>
          <cell r="B390" t="str">
            <v>D28</v>
          </cell>
          <cell r="C390" t="str">
            <v>ANGULO 1 1/4" X 1 1/4" X 1/8"</v>
          </cell>
          <cell r="D390" t="str">
            <v>Insumo</v>
          </cell>
          <cell r="E390" t="str">
            <v>ml</v>
          </cell>
          <cell r="F390">
            <v>2.8</v>
          </cell>
          <cell r="G390">
            <v>6012</v>
          </cell>
          <cell r="H390">
            <v>16834</v>
          </cell>
        </row>
        <row r="391">
          <cell r="A391" t="str">
            <v>033.173</v>
          </cell>
          <cell r="B391" t="str">
            <v>E07</v>
          </cell>
          <cell r="C391" t="str">
            <v>PLATINA 3/4 X 1/8"</v>
          </cell>
          <cell r="D391" t="str">
            <v>Insumo</v>
          </cell>
          <cell r="E391" t="str">
            <v>ml</v>
          </cell>
          <cell r="F391">
            <v>4</v>
          </cell>
          <cell r="G391">
            <v>2100</v>
          </cell>
          <cell r="H391">
            <v>8400</v>
          </cell>
        </row>
        <row r="392">
          <cell r="A392" t="str">
            <v>033.173</v>
          </cell>
          <cell r="B392" t="str">
            <v>E02A</v>
          </cell>
          <cell r="C392" t="str">
            <v>MALLA ESLABONADA CAL. 10 X 2" +  ANGULO 1 1/2" X  1/8" CAL.3,175+ ANTICORROSIVO + PINTURA ELECTROSTATICA. SUMINISTRO E INSTALACIÓN A TODO COSTO. INCLUYE EL SUMINISTRO DE TODOS LOS ACCESORIOS REQUERIDOS PARA EL CORRECTO MONTAJE.</v>
          </cell>
          <cell r="D392" t="str">
            <v>Insumo</v>
          </cell>
          <cell r="E392" t="str">
            <v>m2</v>
          </cell>
          <cell r="F392">
            <v>1.03</v>
          </cell>
          <cell r="G392">
            <v>15514</v>
          </cell>
          <cell r="H392">
            <v>15979</v>
          </cell>
        </row>
        <row r="393">
          <cell r="A393" t="str">
            <v>033.173</v>
          </cell>
          <cell r="B393" t="str">
            <v>E19</v>
          </cell>
          <cell r="C393" t="str">
            <v>PLATINA HR DE 1/8"  ( 1*1M )</v>
          </cell>
          <cell r="D393" t="str">
            <v>Insumo</v>
          </cell>
          <cell r="E393" t="str">
            <v>und</v>
          </cell>
          <cell r="F393">
            <v>0.5</v>
          </cell>
          <cell r="G393">
            <v>214007</v>
          </cell>
          <cell r="H393">
            <v>107004</v>
          </cell>
        </row>
        <row r="395">
          <cell r="A395" t="str">
            <v>033.174</v>
          </cell>
          <cell r="C395" t="str">
            <v>SUMINISTRO, TRANSPORTE E INSTALACION, CERRAMIENTO EN TUBERIA GALVANIZADA DE 3", MALLA EN  NYLON CAL 2 CON PROTECCION UV.</v>
          </cell>
          <cell r="E395" t="str">
            <v>ml</v>
          </cell>
          <cell r="H395">
            <v>46226.14</v>
          </cell>
        </row>
        <row r="396">
          <cell r="A396" t="str">
            <v>033.174</v>
          </cell>
          <cell r="B396" t="str">
            <v>I44</v>
          </cell>
          <cell r="C396" t="str">
            <v>CUADRILLA AA TIPO 4 (1 OFICIAL + 4 AYUDANTE) (Albañileria)</v>
          </cell>
          <cell r="D396" t="str">
            <v>Mano de Obra</v>
          </cell>
          <cell r="E396" t="str">
            <v>hr</v>
          </cell>
          <cell r="F396">
            <v>0.5</v>
          </cell>
          <cell r="G396">
            <v>27316</v>
          </cell>
          <cell r="H396">
            <v>13658</v>
          </cell>
        </row>
        <row r="397">
          <cell r="A397" t="str">
            <v>033.174</v>
          </cell>
          <cell r="B397" t="str">
            <v>M03</v>
          </cell>
          <cell r="C397" t="str">
            <v>EQUIPO BASICO ( HERRAMIENTA MENOR )</v>
          </cell>
          <cell r="D397" t="str">
            <v>Herramienta</v>
          </cell>
          <cell r="E397" t="str">
            <v>und</v>
          </cell>
          <cell r="F397">
            <v>2.5</v>
          </cell>
          <cell r="G397">
            <v>1933</v>
          </cell>
          <cell r="H397">
            <v>4833</v>
          </cell>
        </row>
        <row r="398">
          <cell r="A398" t="str">
            <v>033.174</v>
          </cell>
          <cell r="B398" t="str">
            <v>M28</v>
          </cell>
          <cell r="C398" t="str">
            <v>VOLQUETA  6M3 (CARGUE A MANO) RETIRO INTERNO</v>
          </cell>
          <cell r="D398" t="str">
            <v>Equipo</v>
          </cell>
          <cell r="E398" t="str">
            <v>vje</v>
          </cell>
          <cell r="F398">
            <v>0.05</v>
          </cell>
          <cell r="G398">
            <v>126559</v>
          </cell>
          <cell r="H398">
            <v>6328</v>
          </cell>
        </row>
        <row r="399">
          <cell r="A399" t="str">
            <v>033.174</v>
          </cell>
          <cell r="B399" t="str">
            <v>I26</v>
          </cell>
          <cell r="C399" t="str">
            <v>ACARREO INTERNO</v>
          </cell>
          <cell r="D399" t="str">
            <v>Mano de Obra</v>
          </cell>
          <cell r="E399" t="str">
            <v>und</v>
          </cell>
          <cell r="F399">
            <v>0.5</v>
          </cell>
          <cell r="G399">
            <v>1037</v>
          </cell>
          <cell r="H399">
            <v>519</v>
          </cell>
        </row>
        <row r="400">
          <cell r="A400" t="str">
            <v>033.174</v>
          </cell>
          <cell r="B400" t="str">
            <v>E20B.2</v>
          </cell>
          <cell r="C400" t="str">
            <v xml:space="preserve">TUBERIA GALVANIZADA 3" X6M </v>
          </cell>
          <cell r="D400" t="str">
            <v>Insumo</v>
          </cell>
          <cell r="E400" t="str">
            <v>ml</v>
          </cell>
          <cell r="F400">
            <v>0.111</v>
          </cell>
          <cell r="G400">
            <v>28500</v>
          </cell>
          <cell r="H400">
            <v>3164</v>
          </cell>
        </row>
        <row r="401">
          <cell r="A401" t="str">
            <v>033.174</v>
          </cell>
          <cell r="B401" t="str">
            <v>E07</v>
          </cell>
          <cell r="C401" t="str">
            <v>PLATINA 3/4 X 1/8"</v>
          </cell>
          <cell r="D401" t="str">
            <v>Insumo</v>
          </cell>
          <cell r="E401" t="str">
            <v>ml</v>
          </cell>
          <cell r="F401">
            <v>4</v>
          </cell>
          <cell r="G401">
            <v>2100</v>
          </cell>
          <cell r="H401">
            <v>8400</v>
          </cell>
        </row>
        <row r="402">
          <cell r="A402" t="str">
            <v>033.174</v>
          </cell>
          <cell r="B402" t="str">
            <v>I455</v>
          </cell>
          <cell r="C402" t="str">
            <v>MALLA NYLON CAL 2</v>
          </cell>
          <cell r="D402" t="str">
            <v>Insumo</v>
          </cell>
          <cell r="E402" t="str">
            <v>m2</v>
          </cell>
          <cell r="F402">
            <v>1.05</v>
          </cell>
          <cell r="G402">
            <v>6000</v>
          </cell>
          <cell r="H402">
            <v>6300</v>
          </cell>
        </row>
        <row r="405">
          <cell r="A405" t="str">
            <v>033.175</v>
          </cell>
          <cell r="C405" t="str">
            <v xml:space="preserve">SUMINISTRO, TRANSPORTE E INSTALACION PUERTA CORREDIZA INCLUYE RIEL EN LAMINA DE ACERO A-500 Y TODOS LOS ACCESORIOS NECESARIOS PARA LA CORRECTA INSTALACION </v>
          </cell>
          <cell r="E405" t="str">
            <v>ml</v>
          </cell>
          <cell r="H405">
            <v>1599869.35</v>
          </cell>
        </row>
        <row r="406">
          <cell r="A406" t="str">
            <v>033.175</v>
          </cell>
          <cell r="B406" t="str">
            <v>I44</v>
          </cell>
          <cell r="C406" t="str">
            <v>CUADRILLA AA TIPO 4 (1 OFICIAL + 4 AYUDANTE) (Albañileria)</v>
          </cell>
          <cell r="D406" t="str">
            <v>Mano de Obra</v>
          </cell>
          <cell r="E406" t="str">
            <v>hr</v>
          </cell>
          <cell r="F406">
            <v>1.35</v>
          </cell>
          <cell r="G406">
            <v>27316</v>
          </cell>
          <cell r="H406">
            <v>36877</v>
          </cell>
        </row>
        <row r="407">
          <cell r="A407" t="str">
            <v>033.175</v>
          </cell>
          <cell r="B407" t="str">
            <v>M03</v>
          </cell>
          <cell r="C407" t="str">
            <v>EQUIPO BASICO ( HERRAMIENTA MENOR )</v>
          </cell>
          <cell r="D407" t="str">
            <v>Herramienta</v>
          </cell>
          <cell r="E407" t="str">
            <v>und</v>
          </cell>
          <cell r="F407">
            <v>2.5</v>
          </cell>
          <cell r="G407">
            <v>1933</v>
          </cell>
          <cell r="H407">
            <v>4833</v>
          </cell>
        </row>
        <row r="408">
          <cell r="A408" t="str">
            <v>033.175</v>
          </cell>
          <cell r="B408" t="str">
            <v>O19</v>
          </cell>
          <cell r="C408" t="str">
            <v>SOLDADURA ELECTRICA TIPO WESTARCO SUPER E- 6013  DE 1/8 O SIMILAR.</v>
          </cell>
          <cell r="D408" t="str">
            <v>Insumo</v>
          </cell>
          <cell r="E408" t="str">
            <v>kg</v>
          </cell>
          <cell r="F408">
            <v>0.7</v>
          </cell>
          <cell r="G408">
            <v>8198</v>
          </cell>
          <cell r="H408">
            <v>5739</v>
          </cell>
        </row>
        <row r="409">
          <cell r="A409" t="str">
            <v>033.175</v>
          </cell>
          <cell r="B409" t="str">
            <v>X01</v>
          </cell>
          <cell r="C409" t="str">
            <v>ANTICORROSIVO PREMIUM - TIPO PINTUCO REF. 513 O SIMILAR</v>
          </cell>
          <cell r="D409" t="str">
            <v>Insumo</v>
          </cell>
          <cell r="E409" t="str">
            <v>gal</v>
          </cell>
          <cell r="F409">
            <v>0.35</v>
          </cell>
          <cell r="G409">
            <v>46669</v>
          </cell>
          <cell r="H409">
            <v>16334</v>
          </cell>
        </row>
        <row r="410">
          <cell r="A410" t="str">
            <v>033.175</v>
          </cell>
          <cell r="B410" t="str">
            <v>M28</v>
          </cell>
          <cell r="C410" t="str">
            <v>VOLQUETA  6M3 (CARGUE A MANO) RETIRO INTERNO</v>
          </cell>
          <cell r="D410" t="str">
            <v>Equipo</v>
          </cell>
          <cell r="E410" t="str">
            <v>vje</v>
          </cell>
          <cell r="F410">
            <v>0.05</v>
          </cell>
          <cell r="G410">
            <v>126559</v>
          </cell>
          <cell r="H410">
            <v>6328</v>
          </cell>
        </row>
        <row r="411">
          <cell r="A411" t="str">
            <v>033.175</v>
          </cell>
          <cell r="B411" t="str">
            <v>I26</v>
          </cell>
          <cell r="C411" t="str">
            <v>ACARREO INTERNO</v>
          </cell>
          <cell r="D411" t="str">
            <v>Mano de Obra</v>
          </cell>
          <cell r="E411" t="str">
            <v>und</v>
          </cell>
          <cell r="F411">
            <v>0.5</v>
          </cell>
          <cell r="G411">
            <v>1037</v>
          </cell>
          <cell r="H411">
            <v>519</v>
          </cell>
        </row>
        <row r="412">
          <cell r="A412" t="str">
            <v>033.175</v>
          </cell>
          <cell r="B412" t="str">
            <v>E20B</v>
          </cell>
          <cell r="C412" t="str">
            <v>TUBO HG 3"</v>
          </cell>
          <cell r="D412" t="str">
            <v>Insumo</v>
          </cell>
          <cell r="E412" t="str">
            <v>m</v>
          </cell>
          <cell r="F412">
            <v>17</v>
          </cell>
          <cell r="G412">
            <v>51706</v>
          </cell>
          <cell r="H412">
            <v>879002</v>
          </cell>
        </row>
        <row r="413">
          <cell r="A413" t="str">
            <v>033.175</v>
          </cell>
          <cell r="B413" t="str">
            <v>D28</v>
          </cell>
          <cell r="C413" t="str">
            <v>ANGULO 1 1/4" X 1 1/4" X 1/8"</v>
          </cell>
          <cell r="D413" t="str">
            <v>Insumo</v>
          </cell>
          <cell r="E413" t="str">
            <v>ml</v>
          </cell>
          <cell r="F413">
            <v>2.8</v>
          </cell>
          <cell r="G413">
            <v>6012</v>
          </cell>
          <cell r="H413">
            <v>16834</v>
          </cell>
        </row>
        <row r="414">
          <cell r="A414" t="str">
            <v>033.175</v>
          </cell>
          <cell r="B414" t="str">
            <v>E07</v>
          </cell>
          <cell r="C414" t="str">
            <v>PLATINA 3/4 X 1/8"</v>
          </cell>
          <cell r="D414" t="str">
            <v>Insumo</v>
          </cell>
          <cell r="E414" t="str">
            <v>ml</v>
          </cell>
          <cell r="F414">
            <v>4</v>
          </cell>
          <cell r="G414">
            <v>2100</v>
          </cell>
          <cell r="H414">
            <v>8400</v>
          </cell>
        </row>
        <row r="415">
          <cell r="A415" t="str">
            <v>033.175</v>
          </cell>
          <cell r="B415" t="str">
            <v>E02A</v>
          </cell>
          <cell r="C415" t="str">
            <v>MALLA ESLABONADA CAL. 10 X 2" +  ANGULO 1 1/2 X  1 1/2 X 1/4" + ANTICORROSIVO + PINTURA ELECTROSTATICA. SUMINISTRO E INSTALACIÓN A TODO COSTO. INCLUYE EL SUMINISTRO DE TODOS LOS ACCESORIOS REQUERIDOS PARA EL CORRECTO MONTAJE.</v>
          </cell>
          <cell r="D415" t="str">
            <v>Insumo</v>
          </cell>
          <cell r="E415" t="str">
            <v>m2</v>
          </cell>
          <cell r="F415">
            <v>1.03</v>
          </cell>
          <cell r="G415">
            <v>15514</v>
          </cell>
          <cell r="H415">
            <v>15979</v>
          </cell>
        </row>
        <row r="416">
          <cell r="A416" t="str">
            <v>033.175</v>
          </cell>
          <cell r="B416" t="str">
            <v>E81.1</v>
          </cell>
          <cell r="C416" t="str">
            <v>RIEL EN LAMINA DE ACERO A-500</v>
          </cell>
          <cell r="D416" t="str">
            <v>Insumo</v>
          </cell>
          <cell r="E416" t="str">
            <v>m</v>
          </cell>
          <cell r="F416">
            <v>12</v>
          </cell>
          <cell r="G416">
            <v>35780</v>
          </cell>
          <cell r="H416">
            <v>429360</v>
          </cell>
        </row>
        <row r="417">
          <cell r="A417" t="str">
            <v>033.175</v>
          </cell>
          <cell r="B417" t="str">
            <v>ACC</v>
          </cell>
          <cell r="C417" t="str">
            <v xml:space="preserve">ACCESORIOS </v>
          </cell>
          <cell r="D417" t="str">
            <v>Insumo</v>
          </cell>
          <cell r="E417" t="str">
            <v>gl</v>
          </cell>
          <cell r="F417">
            <v>1.5</v>
          </cell>
          <cell r="G417">
            <v>50000</v>
          </cell>
          <cell r="H417">
            <v>75000</v>
          </cell>
        </row>
        <row r="419">
          <cell r="A419" t="str">
            <v>007</v>
          </cell>
          <cell r="C419" t="str">
            <v>OBRAS COMPLEMENTARIAS</v>
          </cell>
          <cell r="D419" t="str">
            <v>Capitulo</v>
          </cell>
        </row>
        <row r="422">
          <cell r="A422" t="str">
            <v>033.087</v>
          </cell>
          <cell r="B422" t="str">
            <v>-</v>
          </cell>
          <cell r="C422" t="str">
            <v>DEMOLICION DE ESTRUCTURAS DE CONCRETO REFORZADO</v>
          </cell>
          <cell r="D422" t="str">
            <v>Actividad</v>
          </cell>
          <cell r="E422" t="str">
            <v>M3</v>
          </cell>
          <cell r="H422">
            <v>128189</v>
          </cell>
        </row>
        <row r="423">
          <cell r="A423" t="str">
            <v>033.087</v>
          </cell>
          <cell r="B423" t="str">
            <v>C22</v>
          </cell>
          <cell r="C423" t="str">
            <v>CUADRILLA AA TIPO 4 (1 OFICIAL + 4 AYUDANTE) (Albañileria)</v>
          </cell>
          <cell r="D423" t="str">
            <v>Cuadrilla</v>
          </cell>
          <cell r="E423" t="str">
            <v>HR</v>
          </cell>
          <cell r="F423">
            <v>0.75</v>
          </cell>
          <cell r="G423">
            <v>35996</v>
          </cell>
          <cell r="H423">
            <v>26997</v>
          </cell>
        </row>
        <row r="424">
          <cell r="A424" t="str">
            <v>033.087</v>
          </cell>
          <cell r="B424" t="str">
            <v>E24</v>
          </cell>
          <cell r="C424" t="str">
            <v>VOLQUETA  6M3 (CARGUE A MANO)</v>
          </cell>
          <cell r="D424" t="str">
            <v>Equipos</v>
          </cell>
          <cell r="E424" t="str">
            <v>VJE</v>
          </cell>
          <cell r="F424">
            <v>0.25</v>
          </cell>
          <cell r="G424">
            <v>118086</v>
          </cell>
          <cell r="H424">
            <v>29522</v>
          </cell>
        </row>
        <row r="425">
          <cell r="A425" t="str">
            <v>033.087</v>
          </cell>
          <cell r="B425" t="str">
            <v>E7</v>
          </cell>
          <cell r="C425" t="str">
            <v>COMPRESOR 2 MARTILLOS (INCLUYE ACPM Y TRANSPORTE)</v>
          </cell>
          <cell r="D425" t="str">
            <v>Equipos</v>
          </cell>
          <cell r="E425" t="str">
            <v>HR</v>
          </cell>
          <cell r="F425">
            <v>0.9</v>
          </cell>
          <cell r="G425">
            <v>76106</v>
          </cell>
          <cell r="H425">
            <v>68495</v>
          </cell>
        </row>
        <row r="426">
          <cell r="A426" t="str">
            <v>033.087</v>
          </cell>
          <cell r="B426" t="str">
            <v>H2</v>
          </cell>
          <cell r="C426" t="str">
            <v>EQUIPO BASICO (HERRAMIENTA MENOR)</v>
          </cell>
          <cell r="D426" t="str">
            <v>Herramienta</v>
          </cell>
          <cell r="E426" t="str">
            <v>UND</v>
          </cell>
          <cell r="F426">
            <v>0.75</v>
          </cell>
          <cell r="G426">
            <v>2536</v>
          </cell>
          <cell r="H426">
            <v>1902</v>
          </cell>
        </row>
        <row r="427">
          <cell r="A427" t="str">
            <v>033.087</v>
          </cell>
          <cell r="B427" t="str">
            <v>I1565</v>
          </cell>
          <cell r="C427" t="str">
            <v>ACARREO INTERNO</v>
          </cell>
          <cell r="D427" t="str">
            <v>Insumo</v>
          </cell>
          <cell r="E427" t="str">
            <v>UND</v>
          </cell>
          <cell r="F427">
            <v>0.95960000000000001</v>
          </cell>
          <cell r="G427">
            <v>1327</v>
          </cell>
          <cell r="H427">
            <v>1273</v>
          </cell>
        </row>
        <row r="430">
          <cell r="A430" t="str">
            <v>033.127</v>
          </cell>
          <cell r="B430" t="str">
            <v>-</v>
          </cell>
          <cell r="C430" t="str">
            <v>SUMINISTRO, TRANSPORTE E INSTALACION BASE ALCANTARILLA DE CAJON O BOX COULVERT EN CONCRETO PRODUCIDO EN OBRA DE 3000 PSI</v>
          </cell>
          <cell r="D430" t="str">
            <v>Actividad</v>
          </cell>
          <cell r="E430" t="str">
            <v>M3</v>
          </cell>
          <cell r="H430">
            <v>683186</v>
          </cell>
        </row>
        <row r="431">
          <cell r="A431" t="str">
            <v>033.127</v>
          </cell>
          <cell r="B431" t="str">
            <v>AB5</v>
          </cell>
          <cell r="C431" t="str">
            <v>CONCRETO 3000 psi - 21 Mpa</v>
          </cell>
          <cell r="D431" t="str">
            <v>Analisis</v>
          </cell>
          <cell r="E431" t="str">
            <v>M3</v>
          </cell>
          <cell r="F431">
            <v>1.05</v>
          </cell>
          <cell r="G431">
            <v>421155</v>
          </cell>
          <cell r="H431">
            <v>442213</v>
          </cell>
        </row>
        <row r="432">
          <cell r="A432" t="str">
            <v>033.127</v>
          </cell>
          <cell r="B432" t="str">
            <v>C36</v>
          </cell>
          <cell r="C432" t="str">
            <v>CUADRILLA AA TIPO 6 (1 OFICIAL + 6 AYUDANTE) (Albañileria)</v>
          </cell>
          <cell r="D432" t="str">
            <v>Cuadrilla</v>
          </cell>
          <cell r="E432" t="str">
            <v>HR</v>
          </cell>
          <cell r="F432">
            <v>2.8</v>
          </cell>
          <cell r="G432">
            <v>48852</v>
          </cell>
          <cell r="H432">
            <v>136786</v>
          </cell>
        </row>
        <row r="433">
          <cell r="A433" t="str">
            <v>033.127</v>
          </cell>
          <cell r="B433" t="str">
            <v>E12</v>
          </cell>
          <cell r="C433" t="str">
            <v>EQUIPO DE TRANSPORTE</v>
          </cell>
          <cell r="D433" t="str">
            <v>Equipos</v>
          </cell>
          <cell r="E433" t="str">
            <v>DIA</v>
          </cell>
          <cell r="F433">
            <v>7.51E-2</v>
          </cell>
          <cell r="G433">
            <v>131205</v>
          </cell>
          <cell r="H433">
            <v>9853</v>
          </cell>
        </row>
        <row r="434">
          <cell r="A434" t="str">
            <v>033.127</v>
          </cell>
          <cell r="B434" t="str">
            <v>E21</v>
          </cell>
          <cell r="C434" t="str">
            <v>VIBRADOR A GASOLINA</v>
          </cell>
          <cell r="D434" t="str">
            <v>Equipos</v>
          </cell>
          <cell r="E434" t="str">
            <v>DIA</v>
          </cell>
          <cell r="F434">
            <v>0.1</v>
          </cell>
          <cell r="G434">
            <v>51948</v>
          </cell>
          <cell r="H434">
            <v>5195</v>
          </cell>
        </row>
        <row r="435">
          <cell r="A435" t="str">
            <v>033.127</v>
          </cell>
          <cell r="B435" t="str">
            <v>H2</v>
          </cell>
          <cell r="C435" t="str">
            <v>EQUIPO BASICO (HERRAMIENTA MENOR)</v>
          </cell>
          <cell r="D435" t="str">
            <v>Herramienta</v>
          </cell>
          <cell r="E435" t="str">
            <v>UND</v>
          </cell>
          <cell r="F435">
            <v>2.8</v>
          </cell>
          <cell r="G435">
            <v>2536</v>
          </cell>
          <cell r="H435">
            <v>7101</v>
          </cell>
        </row>
        <row r="436">
          <cell r="A436" t="str">
            <v>033.127</v>
          </cell>
          <cell r="B436" t="str">
            <v>I1565</v>
          </cell>
          <cell r="C436" t="str">
            <v>ACARREO INTERNO</v>
          </cell>
          <cell r="D436" t="str">
            <v>Insumo</v>
          </cell>
          <cell r="E436" t="str">
            <v>UND</v>
          </cell>
          <cell r="F436">
            <v>8.6999999999999993</v>
          </cell>
          <cell r="G436">
            <v>1327</v>
          </cell>
          <cell r="H436">
            <v>11545</v>
          </cell>
        </row>
        <row r="437">
          <cell r="A437" t="str">
            <v>033.127</v>
          </cell>
          <cell r="B437" t="str">
            <v>I425</v>
          </cell>
          <cell r="C437" t="str">
            <v>PUNTILLA CON CABEZA 2"</v>
          </cell>
          <cell r="D437" t="str">
            <v>Insumo</v>
          </cell>
          <cell r="E437" t="str">
            <v>LB</v>
          </cell>
          <cell r="F437">
            <v>2</v>
          </cell>
          <cell r="G437">
            <v>3585</v>
          </cell>
          <cell r="H437">
            <v>7170</v>
          </cell>
        </row>
        <row r="438">
          <cell r="A438" t="str">
            <v>033.127</v>
          </cell>
          <cell r="B438" t="str">
            <v>I987</v>
          </cell>
          <cell r="C438" t="str">
            <v>VARILLÓN DE 0,02 X 0,05 X 2,80</v>
          </cell>
          <cell r="D438" t="str">
            <v>Insumo</v>
          </cell>
          <cell r="E438" t="str">
            <v>UND</v>
          </cell>
          <cell r="F438">
            <v>17</v>
          </cell>
          <cell r="G438">
            <v>2321</v>
          </cell>
          <cell r="H438">
            <v>39457</v>
          </cell>
        </row>
        <row r="439">
          <cell r="A439" t="str">
            <v>033.127</v>
          </cell>
          <cell r="B439" t="str">
            <v>I991</v>
          </cell>
          <cell r="C439" t="str">
            <v>CUARTON 2"X4"X3M</v>
          </cell>
          <cell r="D439" t="str">
            <v>Insumo</v>
          </cell>
          <cell r="E439" t="str">
            <v>UND</v>
          </cell>
          <cell r="F439">
            <v>2.4</v>
          </cell>
          <cell r="G439">
            <v>9944</v>
          </cell>
          <cell r="H439">
            <v>23866</v>
          </cell>
        </row>
        <row r="442">
          <cell r="A442" t="str">
            <v>002.001</v>
          </cell>
          <cell r="B442" t="str">
            <v>-</v>
          </cell>
          <cell r="C442" t="str">
            <v>EXCAVACIÓN EN ZANJA - MATERIAL COMÚN - 0.0 A 2.0 M</v>
          </cell>
          <cell r="D442" t="str">
            <v>Actividad</v>
          </cell>
          <cell r="E442" t="str">
            <v>M3</v>
          </cell>
          <cell r="H442">
            <v>23703</v>
          </cell>
        </row>
        <row r="443">
          <cell r="A443" t="str">
            <v>002.001</v>
          </cell>
          <cell r="B443" t="str">
            <v>C22</v>
          </cell>
          <cell r="C443" t="str">
            <v>CUADRILLA AA TIPO 4 (1 OFICIAL + 4 AYUDANTE) (Albañileria)</v>
          </cell>
          <cell r="D443" t="str">
            <v>Cuadrilla</v>
          </cell>
          <cell r="E443" t="str">
            <v>HR</v>
          </cell>
          <cell r="F443">
            <v>0.6</v>
          </cell>
          <cell r="G443">
            <v>35996</v>
          </cell>
          <cell r="H443">
            <v>21598</v>
          </cell>
        </row>
        <row r="444">
          <cell r="A444" t="str">
            <v>002.001</v>
          </cell>
          <cell r="B444" t="str">
            <v>E36</v>
          </cell>
          <cell r="C444" t="str">
            <v>EQUIPO MANEJO DE AGUAS DIFERENTE A AGUAS RESIDUALES</v>
          </cell>
          <cell r="D444" t="str">
            <v>Equipos</v>
          </cell>
          <cell r="E444" t="str">
            <v>DIA</v>
          </cell>
          <cell r="F444">
            <v>3.3000000000000002E-2</v>
          </cell>
          <cell r="G444">
            <v>48431</v>
          </cell>
          <cell r="H444">
            <v>1598</v>
          </cell>
        </row>
        <row r="445">
          <cell r="A445" t="str">
            <v>002.001</v>
          </cell>
          <cell r="B445" t="str">
            <v>H2</v>
          </cell>
          <cell r="C445" t="str">
            <v>EQUIPO BASICO (HERRAMIENTA MENOR)</v>
          </cell>
          <cell r="D445" t="str">
            <v>Herramienta</v>
          </cell>
          <cell r="E445" t="str">
            <v>UND</v>
          </cell>
          <cell r="F445">
            <v>0.2</v>
          </cell>
          <cell r="G445">
            <v>2536</v>
          </cell>
          <cell r="H445">
            <v>507</v>
          </cell>
        </row>
        <row r="448">
          <cell r="A448" t="str">
            <v>021.004</v>
          </cell>
          <cell r="B448" t="str">
            <v>-</v>
          </cell>
          <cell r="C448" t="str">
            <v>SUMINISTRO, TRANSPORTE E INSTALACION ANDEN CONCRETO 2500 PSI  REFORZADO  E= 0.10M.  ACABADO:  ESCOBIADO</v>
          </cell>
          <cell r="D448" t="str">
            <v>Actividad</v>
          </cell>
          <cell r="E448" t="str">
            <v>M2</v>
          </cell>
          <cell r="H448">
            <v>78559</v>
          </cell>
        </row>
        <row r="449">
          <cell r="A449" t="str">
            <v>021.004</v>
          </cell>
          <cell r="B449" t="str">
            <v>AB4</v>
          </cell>
          <cell r="C449" t="str">
            <v>CONCRETO 2500 psi - 17.5 Mpa</v>
          </cell>
          <cell r="D449" t="str">
            <v>Analisis</v>
          </cell>
          <cell r="E449" t="str">
            <v>M3</v>
          </cell>
          <cell r="F449">
            <v>0.1</v>
          </cell>
          <cell r="G449">
            <v>380250</v>
          </cell>
          <cell r="H449">
            <v>38025</v>
          </cell>
        </row>
        <row r="450">
          <cell r="A450" t="str">
            <v>021.004</v>
          </cell>
          <cell r="B450" t="str">
            <v>C15</v>
          </cell>
          <cell r="C450" t="str">
            <v>CUADRILLA AA TIPO 3 (1 OFICIAL + 3 AYUDANTE) (Albañileria)</v>
          </cell>
          <cell r="D450" t="str">
            <v>Cuadrilla</v>
          </cell>
          <cell r="E450" t="str">
            <v>HR</v>
          </cell>
          <cell r="F450">
            <v>1</v>
          </cell>
          <cell r="G450">
            <v>29568</v>
          </cell>
          <cell r="H450">
            <v>29568</v>
          </cell>
        </row>
        <row r="451">
          <cell r="A451" t="str">
            <v>021.004</v>
          </cell>
          <cell r="B451" t="str">
            <v>E104</v>
          </cell>
          <cell r="C451" t="str">
            <v>FORMALETA SARDINEL DESDE 0.20 HASTA 0.60 M. DE ALTURA POR 2.00 M. DE LONGITUD</v>
          </cell>
          <cell r="D451" t="str">
            <v>Equipos</v>
          </cell>
          <cell r="E451" t="str">
            <v>DIA</v>
          </cell>
          <cell r="F451">
            <v>1.5</v>
          </cell>
          <cell r="G451">
            <v>353</v>
          </cell>
          <cell r="H451">
            <v>530</v>
          </cell>
        </row>
        <row r="452">
          <cell r="A452" t="str">
            <v>021.004</v>
          </cell>
          <cell r="B452" t="str">
            <v>E12</v>
          </cell>
          <cell r="C452" t="str">
            <v>EQUIPO DE TRANSPORTE</v>
          </cell>
          <cell r="D452" t="str">
            <v>Equipos</v>
          </cell>
          <cell r="E452" t="str">
            <v>DIA</v>
          </cell>
          <cell r="F452">
            <v>6.4999999999999997E-3</v>
          </cell>
          <cell r="G452">
            <v>131205</v>
          </cell>
          <cell r="H452">
            <v>853</v>
          </cell>
        </row>
        <row r="453">
          <cell r="A453" t="str">
            <v>021.004</v>
          </cell>
          <cell r="B453" t="str">
            <v>H2</v>
          </cell>
          <cell r="C453" t="str">
            <v>EQUIPO BASICO (HERRAMIENTA MENOR)</v>
          </cell>
          <cell r="D453" t="str">
            <v>Herramienta</v>
          </cell>
          <cell r="E453" t="str">
            <v>UND</v>
          </cell>
          <cell r="F453">
            <v>0.4</v>
          </cell>
          <cell r="G453">
            <v>2536</v>
          </cell>
          <cell r="H453">
            <v>1014</v>
          </cell>
        </row>
        <row r="454">
          <cell r="A454" t="str">
            <v>021.004</v>
          </cell>
          <cell r="B454" t="str">
            <v>I1565</v>
          </cell>
          <cell r="C454" t="str">
            <v>ACARREO INTERNO</v>
          </cell>
          <cell r="D454" t="str">
            <v>Insumo</v>
          </cell>
          <cell r="E454" t="str">
            <v>UND</v>
          </cell>
          <cell r="F454">
            <v>1.8</v>
          </cell>
          <cell r="G454">
            <v>1327</v>
          </cell>
          <cell r="H454">
            <v>2389</v>
          </cell>
        </row>
        <row r="455">
          <cell r="A455" t="str">
            <v>021.004</v>
          </cell>
          <cell r="B455" t="str">
            <v>I423</v>
          </cell>
          <cell r="C455" t="str">
            <v>POLIETILENO NO. 6</v>
          </cell>
          <cell r="D455" t="str">
            <v>Insumo</v>
          </cell>
          <cell r="E455" t="str">
            <v>M2</v>
          </cell>
          <cell r="F455">
            <v>1</v>
          </cell>
          <cell r="G455">
            <v>3585</v>
          </cell>
          <cell r="H455">
            <v>3585</v>
          </cell>
        </row>
        <row r="456">
          <cell r="A456" t="str">
            <v>021.004</v>
          </cell>
          <cell r="B456" t="str">
            <v>I957</v>
          </cell>
          <cell r="C456" t="str">
            <v>LISTON 2 X 4</v>
          </cell>
          <cell r="D456" t="str">
            <v>Insumo</v>
          </cell>
          <cell r="E456" t="str">
            <v>M</v>
          </cell>
          <cell r="F456">
            <v>0.8</v>
          </cell>
          <cell r="G456">
            <v>3244</v>
          </cell>
          <cell r="H456">
            <v>2595</v>
          </cell>
        </row>
        <row r="459">
          <cell r="A459" t="str">
            <v>033.139</v>
          </cell>
          <cell r="B459" t="str">
            <v>-</v>
          </cell>
          <cell r="C459" t="str">
            <v>SUMINISTRO, TRANSPORTE E INSTALACION ZANJA COLECTORA EN CONCRETO DE 3000 PSI PRODUCIDO EN OBRA</v>
          </cell>
          <cell r="D459" t="str">
            <v>Actividad</v>
          </cell>
          <cell r="E459" t="str">
            <v>M3</v>
          </cell>
          <cell r="H459">
            <v>693005</v>
          </cell>
        </row>
        <row r="460">
          <cell r="A460" t="str">
            <v>033.139</v>
          </cell>
          <cell r="B460" t="str">
            <v>AB5</v>
          </cell>
          <cell r="C460" t="str">
            <v>CONCRETO 3000 psi - 21 Mpa</v>
          </cell>
          <cell r="D460" t="str">
            <v>Analisis</v>
          </cell>
          <cell r="E460" t="str">
            <v>M3</v>
          </cell>
          <cell r="F460">
            <v>1.05</v>
          </cell>
          <cell r="G460">
            <v>421155</v>
          </cell>
          <cell r="H460">
            <v>442213</v>
          </cell>
        </row>
        <row r="461">
          <cell r="A461" t="str">
            <v>033.139</v>
          </cell>
          <cell r="B461" t="str">
            <v>C36</v>
          </cell>
          <cell r="C461" t="str">
            <v>CUADRILLA AA TIPO 6 (1 OFICIAL + 6 AYUDANTE) (Albañileria)</v>
          </cell>
          <cell r="D461" t="str">
            <v>Cuadrilla</v>
          </cell>
          <cell r="E461" t="str">
            <v>HR</v>
          </cell>
          <cell r="F461">
            <v>3</v>
          </cell>
          <cell r="G461">
            <v>48852</v>
          </cell>
          <cell r="H461">
            <v>146556</v>
          </cell>
        </row>
        <row r="462">
          <cell r="A462" t="str">
            <v>033.139</v>
          </cell>
          <cell r="B462" t="str">
            <v>E12</v>
          </cell>
          <cell r="C462" t="str">
            <v>EQUIPO DE TRANSPORTE</v>
          </cell>
          <cell r="D462" t="str">
            <v>Equipos</v>
          </cell>
          <cell r="E462" t="str">
            <v>DIA</v>
          </cell>
          <cell r="F462">
            <v>7.7670000000000003E-2</v>
          </cell>
          <cell r="G462">
            <v>131205</v>
          </cell>
          <cell r="H462">
            <v>10191</v>
          </cell>
        </row>
        <row r="463">
          <cell r="A463" t="str">
            <v>033.139</v>
          </cell>
          <cell r="B463" t="str">
            <v>E21</v>
          </cell>
          <cell r="C463" t="str">
            <v>VIBRADOR A GASOLINA</v>
          </cell>
          <cell r="D463" t="str">
            <v>Equipos</v>
          </cell>
          <cell r="E463" t="str">
            <v>DIA</v>
          </cell>
          <cell r="F463">
            <v>0.1</v>
          </cell>
          <cell r="G463">
            <v>51948</v>
          </cell>
          <cell r="H463">
            <v>5195</v>
          </cell>
        </row>
        <row r="464">
          <cell r="A464" t="str">
            <v>033.139</v>
          </cell>
          <cell r="B464" t="str">
            <v>H2</v>
          </cell>
          <cell r="C464" t="str">
            <v>EQUIPO BASICO (HERRAMIENTA MENOR)</v>
          </cell>
          <cell r="D464" t="str">
            <v>Herramienta</v>
          </cell>
          <cell r="E464" t="str">
            <v>UND</v>
          </cell>
          <cell r="F464">
            <v>3</v>
          </cell>
          <cell r="G464">
            <v>2536</v>
          </cell>
          <cell r="H464">
            <v>7608</v>
          </cell>
        </row>
        <row r="465">
          <cell r="A465" t="str">
            <v>033.139</v>
          </cell>
          <cell r="B465" t="str">
            <v>I1565</v>
          </cell>
          <cell r="C465" t="str">
            <v>ACARREO INTERNO</v>
          </cell>
          <cell r="D465" t="str">
            <v>Insumo</v>
          </cell>
          <cell r="E465" t="str">
            <v>UND</v>
          </cell>
          <cell r="F465">
            <v>8.1</v>
          </cell>
          <cell r="G465">
            <v>1327</v>
          </cell>
          <cell r="H465">
            <v>10749</v>
          </cell>
        </row>
        <row r="466">
          <cell r="A466" t="str">
            <v>033.139</v>
          </cell>
          <cell r="B466" t="str">
            <v>I425</v>
          </cell>
          <cell r="C466" t="str">
            <v>PUNTILLA CON CABEZA 2"</v>
          </cell>
          <cell r="D466" t="str">
            <v>Insumo</v>
          </cell>
          <cell r="E466" t="str">
            <v>LB</v>
          </cell>
          <cell r="F466">
            <v>2</v>
          </cell>
          <cell r="G466">
            <v>3585</v>
          </cell>
          <cell r="H466">
            <v>7170</v>
          </cell>
        </row>
        <row r="467">
          <cell r="A467" t="str">
            <v>033.139</v>
          </cell>
          <cell r="B467" t="str">
            <v>I987</v>
          </cell>
          <cell r="C467" t="str">
            <v>VARILLÓN DE 0,02 X 0,05 X 2,80</v>
          </cell>
          <cell r="D467" t="str">
            <v>Insumo</v>
          </cell>
          <cell r="E467" t="str">
            <v>UND</v>
          </cell>
          <cell r="F467">
            <v>17</v>
          </cell>
          <cell r="G467">
            <v>2321</v>
          </cell>
          <cell r="H467">
            <v>39457</v>
          </cell>
        </row>
        <row r="468">
          <cell r="A468" t="str">
            <v>033.139</v>
          </cell>
          <cell r="B468" t="str">
            <v>I991</v>
          </cell>
          <cell r="C468" t="str">
            <v>CUARTON 2"X4"X3M</v>
          </cell>
          <cell r="D468" t="str">
            <v>Insumo</v>
          </cell>
          <cell r="E468" t="str">
            <v>UND</v>
          </cell>
          <cell r="F468">
            <v>2.4</v>
          </cell>
          <cell r="G468">
            <v>9944</v>
          </cell>
          <cell r="H468">
            <v>23866</v>
          </cell>
        </row>
        <row r="471">
          <cell r="A471" t="str">
            <v>003.063</v>
          </cell>
          <cell r="B471" t="str">
            <v>-</v>
          </cell>
          <cell r="C471" t="str">
            <v>SUMINISTRO, TRANSPORTE E INSTALACION CARCAMO  A=0.30 m.  H=0.20 m. CON REJILLA PREFABRICADA (Incluye rejilla prefabricada concreto)</v>
          </cell>
          <cell r="D471" t="str">
            <v>Actividad</v>
          </cell>
          <cell r="E471" t="str">
            <v>ML</v>
          </cell>
          <cell r="H471">
            <v>69954</v>
          </cell>
        </row>
        <row r="472">
          <cell r="A472" t="str">
            <v>003.063</v>
          </cell>
          <cell r="B472" t="str">
            <v>AB5</v>
          </cell>
          <cell r="C472" t="str">
            <v>CONCRETO 3000 psi - 21 Mpa</v>
          </cell>
          <cell r="D472" t="str">
            <v>Analisis</v>
          </cell>
          <cell r="E472" t="str">
            <v>M3</v>
          </cell>
          <cell r="F472">
            <v>2.4E-2</v>
          </cell>
          <cell r="G472">
            <v>421155</v>
          </cell>
          <cell r="H472">
            <v>10108</v>
          </cell>
        </row>
        <row r="473">
          <cell r="A473" t="str">
            <v>003.063</v>
          </cell>
          <cell r="B473" t="str">
            <v>C30</v>
          </cell>
          <cell r="C473" t="str">
            <v>CUADRILLA BB TIPO 5 (1 OFICIAL + 5 AYUDANTE) (Instalaciones)</v>
          </cell>
          <cell r="D473" t="str">
            <v>Cuadrilla</v>
          </cell>
          <cell r="E473" t="str">
            <v>HR</v>
          </cell>
          <cell r="F473">
            <v>0.15</v>
          </cell>
          <cell r="G473">
            <v>46663</v>
          </cell>
          <cell r="H473">
            <v>6999</v>
          </cell>
        </row>
        <row r="474">
          <cell r="A474" t="str">
            <v>003.063</v>
          </cell>
          <cell r="B474" t="str">
            <v>E12</v>
          </cell>
          <cell r="C474" t="str">
            <v>EQUIPO DE TRANSPORTE</v>
          </cell>
          <cell r="D474" t="str">
            <v>Equipos</v>
          </cell>
          <cell r="E474" t="str">
            <v>DIA</v>
          </cell>
          <cell r="F474">
            <v>8.9999999999999993E-3</v>
          </cell>
          <cell r="G474">
            <v>131205</v>
          </cell>
          <cell r="H474">
            <v>1181</v>
          </cell>
        </row>
        <row r="475">
          <cell r="A475" t="str">
            <v>003.063</v>
          </cell>
          <cell r="B475" t="str">
            <v>H2</v>
          </cell>
          <cell r="C475" t="str">
            <v>EQUIPO BASICO (HERRAMIENTA MENOR)</v>
          </cell>
          <cell r="D475" t="str">
            <v>Herramienta</v>
          </cell>
          <cell r="E475" t="str">
            <v>UND</v>
          </cell>
          <cell r="F475">
            <v>0.36</v>
          </cell>
          <cell r="G475">
            <v>2536</v>
          </cell>
          <cell r="H475">
            <v>913</v>
          </cell>
        </row>
        <row r="476">
          <cell r="A476" t="str">
            <v>003.063</v>
          </cell>
          <cell r="B476" t="str">
            <v>I1097</v>
          </cell>
          <cell r="C476" t="str">
            <v>REJILLA SUMIDERO PLAQUETA (PEATONAL) A=40 CM. L=40 CM. E=6 CM. REF. P40402 TIPO TITAN O SIMILAR</v>
          </cell>
          <cell r="D476" t="str">
            <v>Insumo</v>
          </cell>
          <cell r="E476" t="str">
            <v>UND</v>
          </cell>
          <cell r="F476">
            <v>2.5</v>
          </cell>
          <cell r="G476">
            <v>18790</v>
          </cell>
          <cell r="H476">
            <v>46975</v>
          </cell>
        </row>
        <row r="477">
          <cell r="A477" t="str">
            <v>003.063</v>
          </cell>
          <cell r="B477" t="str">
            <v>I1565</v>
          </cell>
          <cell r="C477" t="str">
            <v>ACARREO INTERNO</v>
          </cell>
          <cell r="D477" t="str">
            <v>Insumo</v>
          </cell>
          <cell r="E477" t="str">
            <v>UND</v>
          </cell>
          <cell r="F477">
            <v>0.4</v>
          </cell>
          <cell r="G477">
            <v>1327</v>
          </cell>
          <cell r="H477">
            <v>531</v>
          </cell>
        </row>
        <row r="478">
          <cell r="A478" t="str">
            <v>003.063</v>
          </cell>
          <cell r="B478" t="str">
            <v>I427</v>
          </cell>
          <cell r="C478" t="str">
            <v>SIKA-1 IMPERMEABILIZANTE INTEGRAL MORTEROS O SIMILAR.</v>
          </cell>
          <cell r="D478" t="str">
            <v>Insumo</v>
          </cell>
          <cell r="E478" t="str">
            <v>KG</v>
          </cell>
          <cell r="F478">
            <v>0.32</v>
          </cell>
          <cell r="G478">
            <v>10146</v>
          </cell>
          <cell r="H478">
            <v>3247</v>
          </cell>
        </row>
        <row r="482">
          <cell r="A482" t="str">
            <v>023.019</v>
          </cell>
          <cell r="B482" t="str">
            <v>-</v>
          </cell>
          <cell r="C482" t="str">
            <v>SUMINISTRO, TRANSPORTE E INSTALACION BARRERA TIPO NEW JERSEY EN CONCRETO 3000 PSI</v>
          </cell>
          <cell r="D482" t="str">
            <v>Actividad</v>
          </cell>
          <cell r="E482" t="str">
            <v>M3</v>
          </cell>
          <cell r="H482">
            <v>739384</v>
          </cell>
        </row>
        <row r="483">
          <cell r="A483" t="str">
            <v>023.019</v>
          </cell>
          <cell r="B483" t="str">
            <v>AB5</v>
          </cell>
          <cell r="C483" t="str">
            <v>CONCRETO 3000 psi - 21 Mpa</v>
          </cell>
          <cell r="D483" t="str">
            <v>Analisis</v>
          </cell>
          <cell r="E483" t="str">
            <v>M3</v>
          </cell>
          <cell r="F483">
            <v>1.1499999999999999</v>
          </cell>
          <cell r="G483">
            <v>421155</v>
          </cell>
          <cell r="H483">
            <v>484328</v>
          </cell>
        </row>
        <row r="484">
          <cell r="A484" t="str">
            <v>023.019</v>
          </cell>
          <cell r="B484" t="str">
            <v>C22</v>
          </cell>
          <cell r="C484" t="str">
            <v>CUADRILLA AA TIPO 4 (1 OFICIAL + 4 AYUDANTE) (Albañileria)</v>
          </cell>
          <cell r="D484" t="str">
            <v>Cuadrilla</v>
          </cell>
          <cell r="E484" t="str">
            <v>HR</v>
          </cell>
          <cell r="F484">
            <v>2</v>
          </cell>
          <cell r="G484">
            <v>35996</v>
          </cell>
          <cell r="H484">
            <v>71992</v>
          </cell>
        </row>
        <row r="485">
          <cell r="A485" t="str">
            <v>023.019</v>
          </cell>
          <cell r="B485" t="str">
            <v>E115</v>
          </cell>
          <cell r="C485" t="str">
            <v>LAMINA  DE SUPER T FORMALETA</v>
          </cell>
          <cell r="D485" t="str">
            <v>Equipos</v>
          </cell>
          <cell r="E485" t="str">
            <v>UND</v>
          </cell>
          <cell r="F485">
            <v>0.6</v>
          </cell>
          <cell r="G485">
            <v>129896</v>
          </cell>
          <cell r="H485">
            <v>77938</v>
          </cell>
        </row>
        <row r="486">
          <cell r="A486" t="str">
            <v>023.019</v>
          </cell>
          <cell r="B486" t="str">
            <v>E12</v>
          </cell>
          <cell r="C486" t="str">
            <v>EQUIPO DE TRANSPORTE</v>
          </cell>
          <cell r="D486" t="str">
            <v>Equipos</v>
          </cell>
          <cell r="E486" t="str">
            <v>DIA</v>
          </cell>
          <cell r="F486">
            <v>0.10290000000000001</v>
          </cell>
          <cell r="G486">
            <v>131205</v>
          </cell>
          <cell r="H486">
            <v>13501</v>
          </cell>
        </row>
        <row r="487">
          <cell r="A487" t="str">
            <v>023.019</v>
          </cell>
          <cell r="B487" t="str">
            <v>E52</v>
          </cell>
          <cell r="C487" t="str">
            <v>VIBRADOR</v>
          </cell>
          <cell r="D487" t="str">
            <v>Equipos</v>
          </cell>
          <cell r="E487" t="str">
            <v>HR</v>
          </cell>
          <cell r="F487">
            <v>0.5</v>
          </cell>
          <cell r="G487">
            <v>5905</v>
          </cell>
          <cell r="H487">
            <v>2953</v>
          </cell>
        </row>
        <row r="488">
          <cell r="A488" t="str">
            <v>023.019</v>
          </cell>
          <cell r="B488" t="str">
            <v>H2</v>
          </cell>
          <cell r="C488" t="str">
            <v>EQUIPO BASICO (HERRAMIENTA MENOR)</v>
          </cell>
          <cell r="D488" t="str">
            <v>Herramienta</v>
          </cell>
          <cell r="E488" t="str">
            <v>UND</v>
          </cell>
          <cell r="F488">
            <v>1.03</v>
          </cell>
          <cell r="G488">
            <v>2536</v>
          </cell>
          <cell r="H488">
            <v>2612</v>
          </cell>
        </row>
        <row r="489">
          <cell r="A489" t="str">
            <v>023.019</v>
          </cell>
          <cell r="B489" t="str">
            <v>I1565</v>
          </cell>
          <cell r="C489" t="str">
            <v>ACARREO INTERNO</v>
          </cell>
          <cell r="D489" t="str">
            <v>Insumo</v>
          </cell>
          <cell r="E489" t="str">
            <v>UND</v>
          </cell>
          <cell r="F489">
            <v>9.5</v>
          </cell>
          <cell r="G489">
            <v>1327</v>
          </cell>
          <cell r="H489">
            <v>12607</v>
          </cell>
        </row>
        <row r="490">
          <cell r="A490" t="str">
            <v>023.019</v>
          </cell>
          <cell r="B490" t="str">
            <v>I424</v>
          </cell>
          <cell r="C490" t="str">
            <v>PUNTILLA CON CABEZA 1"</v>
          </cell>
          <cell r="D490" t="str">
            <v>Insumo</v>
          </cell>
          <cell r="E490" t="str">
            <v>LB</v>
          </cell>
          <cell r="F490">
            <v>0.3</v>
          </cell>
          <cell r="G490">
            <v>3585</v>
          </cell>
          <cell r="H490">
            <v>1076</v>
          </cell>
        </row>
        <row r="491">
          <cell r="A491" t="str">
            <v>023.019</v>
          </cell>
          <cell r="B491" t="str">
            <v>I478</v>
          </cell>
          <cell r="C491" t="str">
            <v>ADITIVO PARA CURAR EL CONCRETO</v>
          </cell>
          <cell r="D491" t="str">
            <v>Insumo</v>
          </cell>
          <cell r="E491" t="str">
            <v>UND</v>
          </cell>
          <cell r="F491">
            <v>0.1</v>
          </cell>
          <cell r="G491">
            <v>34001</v>
          </cell>
          <cell r="H491">
            <v>3400</v>
          </cell>
        </row>
        <row r="492">
          <cell r="A492" t="str">
            <v>023.019</v>
          </cell>
          <cell r="B492" t="str">
            <v>I957</v>
          </cell>
          <cell r="C492" t="str">
            <v>LISTON 2 X 4</v>
          </cell>
          <cell r="D492" t="str">
            <v>Insumo</v>
          </cell>
          <cell r="E492" t="str">
            <v>M</v>
          </cell>
          <cell r="F492">
            <v>1.5</v>
          </cell>
          <cell r="G492">
            <v>3244</v>
          </cell>
          <cell r="H492">
            <v>4866</v>
          </cell>
        </row>
        <row r="493">
          <cell r="A493" t="str">
            <v>023.019</v>
          </cell>
          <cell r="B493" t="str">
            <v>I988</v>
          </cell>
          <cell r="C493" t="str">
            <v>VARILLON DE SAJO</v>
          </cell>
          <cell r="D493" t="str">
            <v>Insumo</v>
          </cell>
          <cell r="E493" t="str">
            <v>UND</v>
          </cell>
          <cell r="F493">
            <v>4</v>
          </cell>
          <cell r="G493">
            <v>12597</v>
          </cell>
          <cell r="H493">
            <v>50388</v>
          </cell>
        </row>
        <row r="494">
          <cell r="A494" t="str">
            <v>023.019</v>
          </cell>
          <cell r="B494" t="str">
            <v>I989</v>
          </cell>
          <cell r="C494" t="str">
            <v>GUADUA SOBREBASA L= 1.50 MT. 3 USOS</v>
          </cell>
          <cell r="D494" t="str">
            <v>Insumo</v>
          </cell>
          <cell r="E494" t="str">
            <v>UND</v>
          </cell>
          <cell r="F494">
            <v>0.9</v>
          </cell>
          <cell r="G494">
            <v>4642</v>
          </cell>
          <cell r="H494">
            <v>4178</v>
          </cell>
        </row>
        <row r="495">
          <cell r="A495" t="str">
            <v>023.019</v>
          </cell>
          <cell r="B495" t="str">
            <v>I990</v>
          </cell>
          <cell r="C495" t="str">
            <v>TABLA 1"X10"X3M</v>
          </cell>
          <cell r="D495" t="str">
            <v>Insumo</v>
          </cell>
          <cell r="E495" t="str">
            <v>UND</v>
          </cell>
          <cell r="F495">
            <v>0.9</v>
          </cell>
          <cell r="G495">
            <v>10606</v>
          </cell>
          <cell r="H495">
            <v>9545</v>
          </cell>
        </row>
        <row r="498">
          <cell r="A498" t="str">
            <v>033.164</v>
          </cell>
          <cell r="B498" t="str">
            <v>-</v>
          </cell>
          <cell r="C498" t="str">
            <v>DESMONTE PORTERIAS DE FUTBOL  INCLUYE RETIRO</v>
          </cell>
          <cell r="D498" t="str">
            <v>Actividad</v>
          </cell>
          <cell r="E498" t="str">
            <v>UND</v>
          </cell>
          <cell r="H498">
            <v>131844</v>
          </cell>
        </row>
        <row r="499">
          <cell r="A499" t="str">
            <v>033.164</v>
          </cell>
          <cell r="B499" t="str">
            <v>C8</v>
          </cell>
          <cell r="C499" t="str">
            <v>CUADRILLA AA TIPO 2 (1 OFICIAL + 2 AYUDANTE) (Albañileria)</v>
          </cell>
          <cell r="D499" t="str">
            <v>Cuadrilla</v>
          </cell>
          <cell r="E499" t="str">
            <v>HR</v>
          </cell>
          <cell r="F499">
            <v>2</v>
          </cell>
          <cell r="G499">
            <v>23140</v>
          </cell>
          <cell r="H499">
            <v>46280</v>
          </cell>
        </row>
        <row r="500">
          <cell r="A500" t="str">
            <v>033.164</v>
          </cell>
          <cell r="B500" t="str">
            <v>E27</v>
          </cell>
          <cell r="C500" t="str">
            <v>VOLQUETA  6M3 (CARGUE A MANO) RETIRO INTERNO</v>
          </cell>
          <cell r="D500" t="str">
            <v>Equipos</v>
          </cell>
          <cell r="E500" t="str">
            <v>VJE</v>
          </cell>
          <cell r="F500">
            <v>0.5</v>
          </cell>
          <cell r="G500">
            <v>166055</v>
          </cell>
          <cell r="H500">
            <v>83028</v>
          </cell>
        </row>
        <row r="501">
          <cell r="A501" t="str">
            <v>033.164</v>
          </cell>
          <cell r="B501" t="str">
            <v>H2</v>
          </cell>
          <cell r="C501" t="str">
            <v>EQUIPO BASICO (HERRAMIENTA MENOR)</v>
          </cell>
          <cell r="D501" t="str">
            <v>Herramienta</v>
          </cell>
          <cell r="E501" t="str">
            <v>UND</v>
          </cell>
          <cell r="F501">
            <v>1</v>
          </cell>
          <cell r="G501">
            <v>2536</v>
          </cell>
          <cell r="H501">
            <v>2536</v>
          </cell>
        </row>
        <row r="504">
          <cell r="A504" t="str">
            <v>004.013</v>
          </cell>
          <cell r="B504" t="str">
            <v>-</v>
          </cell>
          <cell r="C504" t="str">
            <v>SUMINISTRO, TRANSPORTE E INSTALACION AFIRMADO COMPACTADO PARA ESTRUCTURAS</v>
          </cell>
          <cell r="D504" t="str">
            <v>Actividad</v>
          </cell>
          <cell r="E504" t="str">
            <v>M3</v>
          </cell>
          <cell r="H504">
            <v>98786</v>
          </cell>
        </row>
        <row r="505">
          <cell r="A505" t="str">
            <v>004.013</v>
          </cell>
          <cell r="B505" t="str">
            <v>C15</v>
          </cell>
          <cell r="C505" t="str">
            <v>CUADRILLA AA TIPO 3 (1 OFICIAL + 3 AYUDANTE) (Albañileria)</v>
          </cell>
          <cell r="D505" t="str">
            <v>Cuadrilla</v>
          </cell>
          <cell r="E505" t="str">
            <v>HR</v>
          </cell>
          <cell r="F505">
            <v>0.3</v>
          </cell>
          <cell r="G505">
            <v>29568</v>
          </cell>
          <cell r="H505">
            <v>8870</v>
          </cell>
        </row>
        <row r="506">
          <cell r="A506" t="str">
            <v>004.013</v>
          </cell>
          <cell r="B506" t="str">
            <v>E47</v>
          </cell>
          <cell r="C506" t="str">
            <v>VIBROCOMPACTADOR TIPO RANA</v>
          </cell>
          <cell r="D506" t="str">
            <v>Equipos</v>
          </cell>
          <cell r="E506" t="str">
            <v>DIA</v>
          </cell>
          <cell r="F506">
            <v>0.4</v>
          </cell>
          <cell r="G506">
            <v>43299</v>
          </cell>
          <cell r="H506">
            <v>17320</v>
          </cell>
        </row>
        <row r="507">
          <cell r="A507" t="str">
            <v>004.013</v>
          </cell>
          <cell r="B507" t="str">
            <v>H2</v>
          </cell>
          <cell r="C507" t="str">
            <v>EQUIPO BASICO (HERRAMIENTA MENOR)</v>
          </cell>
          <cell r="D507" t="str">
            <v>Herramienta</v>
          </cell>
          <cell r="E507" t="str">
            <v>UND</v>
          </cell>
          <cell r="F507">
            <v>0.5</v>
          </cell>
          <cell r="G507">
            <v>2536</v>
          </cell>
          <cell r="H507">
            <v>1268</v>
          </cell>
        </row>
        <row r="508">
          <cell r="A508" t="str">
            <v>004.013</v>
          </cell>
          <cell r="B508" t="str">
            <v>I1565</v>
          </cell>
          <cell r="C508" t="str">
            <v>ACARREO INTERNO</v>
          </cell>
          <cell r="D508" t="str">
            <v>Insumo</v>
          </cell>
          <cell r="E508" t="str">
            <v>UND</v>
          </cell>
          <cell r="F508">
            <v>0.6</v>
          </cell>
          <cell r="G508">
            <v>1327</v>
          </cell>
          <cell r="H508">
            <v>796</v>
          </cell>
        </row>
        <row r="509">
          <cell r="A509" t="str">
            <v>004.013</v>
          </cell>
          <cell r="B509" t="str">
            <v>I50</v>
          </cell>
          <cell r="C509" t="str">
            <v>AFIRMADO NORMA INVIAS</v>
          </cell>
          <cell r="D509" t="str">
            <v>Insumo</v>
          </cell>
          <cell r="E509" t="str">
            <v>M3</v>
          </cell>
          <cell r="F509">
            <v>1.4</v>
          </cell>
          <cell r="G509">
            <v>50380</v>
          </cell>
          <cell r="H509">
            <v>70532</v>
          </cell>
        </row>
        <row r="512">
          <cell r="A512" t="str">
            <v>032.144</v>
          </cell>
          <cell r="B512" t="str">
            <v>-</v>
          </cell>
          <cell r="C512" t="str">
            <v xml:space="preserve">SUMINISTRO, TRANSPORTE E INSTALACION CANAL EN CONCRETO 3000 PSI; </v>
          </cell>
          <cell r="D512" t="str">
            <v>Actividad</v>
          </cell>
          <cell r="E512" t="str">
            <v>ML</v>
          </cell>
          <cell r="H512">
            <v>167266</v>
          </cell>
        </row>
        <row r="513">
          <cell r="A513" t="str">
            <v>032.144</v>
          </cell>
          <cell r="B513" t="str">
            <v>AB5</v>
          </cell>
          <cell r="C513" t="str">
            <v>CONCRETO 3000 psi - 21 Mpa</v>
          </cell>
          <cell r="D513" t="str">
            <v>Analisis</v>
          </cell>
          <cell r="E513" t="str">
            <v>M3</v>
          </cell>
          <cell r="F513">
            <v>0.21</v>
          </cell>
          <cell r="G513">
            <v>421155</v>
          </cell>
          <cell r="H513">
            <v>88443</v>
          </cell>
        </row>
        <row r="514">
          <cell r="A514" t="str">
            <v>032.144</v>
          </cell>
          <cell r="B514" t="str">
            <v>C8</v>
          </cell>
          <cell r="C514" t="str">
            <v>CUADRILLA AA TIPO 2 (1 OFICIAL + 2 AYUDANTE) (Albañileria)</v>
          </cell>
          <cell r="D514" t="str">
            <v>Cuadrilla</v>
          </cell>
          <cell r="E514" t="str">
            <v>HR</v>
          </cell>
          <cell r="F514">
            <v>2</v>
          </cell>
          <cell r="G514">
            <v>23140</v>
          </cell>
          <cell r="H514">
            <v>46280</v>
          </cell>
        </row>
        <row r="515">
          <cell r="A515" t="str">
            <v>032.144</v>
          </cell>
          <cell r="B515" t="str">
            <v>E12</v>
          </cell>
          <cell r="C515" t="str">
            <v>EQUIPO DE TRANSPORTE</v>
          </cell>
          <cell r="D515" t="str">
            <v>Equipos</v>
          </cell>
          <cell r="E515" t="str">
            <v>DIA</v>
          </cell>
          <cell r="F515">
            <v>1.2E-2</v>
          </cell>
          <cell r="G515">
            <v>131205</v>
          </cell>
          <cell r="H515">
            <v>1574</v>
          </cell>
        </row>
        <row r="516">
          <cell r="A516" t="str">
            <v>032.144</v>
          </cell>
          <cell r="B516" t="str">
            <v>E21</v>
          </cell>
          <cell r="C516" t="str">
            <v>VIBRADOR A GASOLINA</v>
          </cell>
          <cell r="D516" t="str">
            <v>Equipos</v>
          </cell>
          <cell r="E516" t="str">
            <v>DIA</v>
          </cell>
          <cell r="F516">
            <v>0.01</v>
          </cell>
          <cell r="G516">
            <v>51948</v>
          </cell>
          <cell r="H516">
            <v>519</v>
          </cell>
        </row>
        <row r="517">
          <cell r="A517" t="str">
            <v>032.144</v>
          </cell>
          <cell r="B517" t="str">
            <v>H2</v>
          </cell>
          <cell r="C517" t="str">
            <v>EQUIPO BASICO (HERRAMIENTA MENOR)</v>
          </cell>
          <cell r="D517" t="str">
            <v>Herramienta</v>
          </cell>
          <cell r="E517" t="str">
            <v>UND</v>
          </cell>
          <cell r="F517">
            <v>0.63500000000000001</v>
          </cell>
          <cell r="G517">
            <v>2536</v>
          </cell>
          <cell r="H517">
            <v>1610</v>
          </cell>
        </row>
        <row r="518">
          <cell r="A518" t="str">
            <v>032.144</v>
          </cell>
          <cell r="B518" t="str">
            <v>I1565</v>
          </cell>
          <cell r="C518" t="str">
            <v>ACARREO INTERNO</v>
          </cell>
          <cell r="D518" t="str">
            <v>Insumo</v>
          </cell>
          <cell r="E518" t="str">
            <v>UND</v>
          </cell>
          <cell r="F518">
            <v>1.6559999999999999</v>
          </cell>
          <cell r="G518">
            <v>1327</v>
          </cell>
          <cell r="H518">
            <v>2198</v>
          </cell>
        </row>
        <row r="519">
          <cell r="A519" t="str">
            <v>032.144</v>
          </cell>
          <cell r="B519" t="str">
            <v>I3</v>
          </cell>
          <cell r="C519" t="str">
            <v>ALAMBRE NEGRO NO. 18</v>
          </cell>
          <cell r="D519" t="str">
            <v>Insumo</v>
          </cell>
          <cell r="E519" t="str">
            <v>KG</v>
          </cell>
          <cell r="F519">
            <v>6.9000000000000006E-2</v>
          </cell>
          <cell r="G519">
            <v>4323</v>
          </cell>
          <cell r="H519">
            <v>298</v>
          </cell>
        </row>
        <row r="520">
          <cell r="A520" t="str">
            <v>032.144</v>
          </cell>
          <cell r="B520" t="str">
            <v>I425</v>
          </cell>
          <cell r="C520" t="str">
            <v>PUNTILLA CON CABEZA 2"</v>
          </cell>
          <cell r="D520" t="str">
            <v>Insumo</v>
          </cell>
          <cell r="E520" t="str">
            <v>LB</v>
          </cell>
          <cell r="F520">
            <v>0.3</v>
          </cell>
          <cell r="G520">
            <v>3585</v>
          </cell>
          <cell r="H520">
            <v>1076</v>
          </cell>
        </row>
        <row r="521">
          <cell r="A521" t="str">
            <v>032.144</v>
          </cell>
          <cell r="B521" t="str">
            <v>I8</v>
          </cell>
          <cell r="C521" t="str">
            <v>MALLA ELECTROSOLDADA M-131  Q-3.1  5.0 MM 15 X 15 CM.</v>
          </cell>
          <cell r="D521" t="str">
            <v>Insumo</v>
          </cell>
          <cell r="E521" t="str">
            <v>KG</v>
          </cell>
          <cell r="F521">
            <v>2.9</v>
          </cell>
          <cell r="G521">
            <v>3154</v>
          </cell>
          <cell r="H521">
            <v>9147</v>
          </cell>
        </row>
        <row r="522">
          <cell r="A522" t="str">
            <v>032.144</v>
          </cell>
          <cell r="B522" t="str">
            <v>I957</v>
          </cell>
          <cell r="C522" t="str">
            <v>LISTON 2 X 4</v>
          </cell>
          <cell r="D522" t="str">
            <v>Insumo</v>
          </cell>
          <cell r="E522" t="str">
            <v>M</v>
          </cell>
          <cell r="F522">
            <v>1.7</v>
          </cell>
          <cell r="G522">
            <v>3244</v>
          </cell>
          <cell r="H522">
            <v>5515</v>
          </cell>
        </row>
        <row r="523">
          <cell r="A523" t="str">
            <v>032.144</v>
          </cell>
          <cell r="B523" t="str">
            <v>I990</v>
          </cell>
          <cell r="C523" t="str">
            <v>TABLA 1"X10"X3M</v>
          </cell>
          <cell r="D523" t="str">
            <v>Insumo</v>
          </cell>
          <cell r="E523" t="str">
            <v>UND</v>
          </cell>
          <cell r="F523">
            <v>1</v>
          </cell>
          <cell r="G523">
            <v>10606</v>
          </cell>
          <cell r="H523">
            <v>10606</v>
          </cell>
        </row>
        <row r="526">
          <cell r="A526" t="str">
            <v>021.034</v>
          </cell>
          <cell r="B526" t="str">
            <v>-</v>
          </cell>
          <cell r="C526" t="str">
            <v>SUMINISTRO, TRANSPORTE E INSTALACION ESCALAS CONCRETO 3000 PSI E= 0.10M.  SOBRE TIERRA ACABADO ESCOBIADO</v>
          </cell>
          <cell r="D526" t="str">
            <v>Actividad</v>
          </cell>
          <cell r="E526" t="str">
            <v>M2</v>
          </cell>
          <cell r="H526">
            <v>113711</v>
          </cell>
        </row>
        <row r="527">
          <cell r="A527" t="str">
            <v>021.034</v>
          </cell>
          <cell r="B527" t="str">
            <v>AB20</v>
          </cell>
          <cell r="C527" t="str">
            <v>MORTERO 1:3</v>
          </cell>
          <cell r="D527" t="str">
            <v>Analisis</v>
          </cell>
          <cell r="E527" t="str">
            <v>M3</v>
          </cell>
          <cell r="F527">
            <v>1.0999999999999999E-2</v>
          </cell>
          <cell r="G527">
            <v>449080</v>
          </cell>
          <cell r="H527">
            <v>4940</v>
          </cell>
        </row>
        <row r="528">
          <cell r="A528" t="str">
            <v>021.034</v>
          </cell>
          <cell r="B528" t="str">
            <v>AB5</v>
          </cell>
          <cell r="C528" t="str">
            <v>CONCRETO 3000 psi - 21 Mpa</v>
          </cell>
          <cell r="D528" t="str">
            <v>Analisis</v>
          </cell>
          <cell r="E528" t="str">
            <v>M3</v>
          </cell>
          <cell r="F528">
            <v>0.18</v>
          </cell>
          <cell r="G528">
            <v>421155</v>
          </cell>
          <cell r="H528">
            <v>75808</v>
          </cell>
        </row>
        <row r="529">
          <cell r="A529" t="str">
            <v>021.034</v>
          </cell>
          <cell r="B529" t="str">
            <v>C15</v>
          </cell>
          <cell r="C529" t="str">
            <v>CUADRILLA AA TIPO 3 (1 OFICIAL + 3 AYUDANTE) (Albañileria)</v>
          </cell>
          <cell r="D529" t="str">
            <v>Cuadrilla</v>
          </cell>
          <cell r="E529" t="str">
            <v>HR</v>
          </cell>
          <cell r="F529">
            <v>0.65</v>
          </cell>
          <cell r="G529">
            <v>29568</v>
          </cell>
          <cell r="H529">
            <v>19219</v>
          </cell>
        </row>
        <row r="530">
          <cell r="A530" t="str">
            <v>021.034</v>
          </cell>
          <cell r="B530" t="str">
            <v>E104</v>
          </cell>
          <cell r="C530" t="str">
            <v>FORMALETA SARDINEL DESDE 0.20 HASTA 0.60 M. DE ALTURA POR 2.00 M. DE LONGITUD</v>
          </cell>
          <cell r="D530" t="str">
            <v>Equipos</v>
          </cell>
          <cell r="E530" t="str">
            <v>DIA</v>
          </cell>
          <cell r="F530">
            <v>1.5</v>
          </cell>
          <cell r="G530">
            <v>353</v>
          </cell>
          <cell r="H530">
            <v>530</v>
          </cell>
        </row>
        <row r="531">
          <cell r="A531" t="str">
            <v>021.034</v>
          </cell>
          <cell r="B531" t="str">
            <v>E12</v>
          </cell>
          <cell r="C531" t="str">
            <v>EQUIPO DE TRANSPORTE</v>
          </cell>
          <cell r="D531" t="str">
            <v>Equipos</v>
          </cell>
          <cell r="E531" t="str">
            <v>DIA</v>
          </cell>
          <cell r="F531">
            <v>7.7999999999999996E-3</v>
          </cell>
          <cell r="G531">
            <v>131205</v>
          </cell>
          <cell r="H531">
            <v>1023</v>
          </cell>
        </row>
        <row r="532">
          <cell r="A532" t="str">
            <v>021.034</v>
          </cell>
          <cell r="B532" t="str">
            <v>E21</v>
          </cell>
          <cell r="C532" t="str">
            <v>VIBRADOR A GASOLINA</v>
          </cell>
          <cell r="D532" t="str">
            <v>Equipos</v>
          </cell>
          <cell r="E532" t="str">
            <v>DIA</v>
          </cell>
          <cell r="F532">
            <v>3.7999999999999999E-2</v>
          </cell>
          <cell r="G532">
            <v>51948</v>
          </cell>
          <cell r="H532">
            <v>1974</v>
          </cell>
        </row>
        <row r="533">
          <cell r="A533" t="str">
            <v>021.034</v>
          </cell>
          <cell r="B533" t="str">
            <v>H2</v>
          </cell>
          <cell r="C533" t="str">
            <v>EQUIPO BASICO (HERRAMIENTA MENOR)</v>
          </cell>
          <cell r="D533" t="str">
            <v>Herramienta</v>
          </cell>
          <cell r="E533" t="str">
            <v>UND</v>
          </cell>
          <cell r="F533">
            <v>0.65</v>
          </cell>
          <cell r="G533">
            <v>2536</v>
          </cell>
          <cell r="H533">
            <v>1648</v>
          </cell>
        </row>
        <row r="534">
          <cell r="A534" t="str">
            <v>021.034</v>
          </cell>
          <cell r="B534" t="str">
            <v>I1565</v>
          </cell>
          <cell r="C534" t="str">
            <v>ACARREO INTERNO</v>
          </cell>
          <cell r="D534" t="str">
            <v>Insumo</v>
          </cell>
          <cell r="E534" t="str">
            <v>UND</v>
          </cell>
          <cell r="F534">
            <v>1.8</v>
          </cell>
          <cell r="G534">
            <v>1327</v>
          </cell>
          <cell r="H534">
            <v>2389</v>
          </cell>
        </row>
        <row r="535">
          <cell r="A535" t="str">
            <v>021.034</v>
          </cell>
          <cell r="B535" t="str">
            <v>I423</v>
          </cell>
          <cell r="C535" t="str">
            <v>POLIETILENO NO. 6</v>
          </cell>
          <cell r="D535" t="str">
            <v>Insumo</v>
          </cell>
          <cell r="E535" t="str">
            <v>M2</v>
          </cell>
          <cell r="F535">
            <v>1</v>
          </cell>
          <cell r="G535">
            <v>3585</v>
          </cell>
          <cell r="H535">
            <v>3585</v>
          </cell>
        </row>
        <row r="536">
          <cell r="A536" t="str">
            <v>021.034</v>
          </cell>
          <cell r="B536" t="str">
            <v>I957</v>
          </cell>
          <cell r="C536" t="str">
            <v>LISTON 2 X 4</v>
          </cell>
          <cell r="D536" t="str">
            <v>Insumo</v>
          </cell>
          <cell r="E536" t="str">
            <v>M</v>
          </cell>
          <cell r="F536">
            <v>0.8</v>
          </cell>
          <cell r="G536">
            <v>3244</v>
          </cell>
          <cell r="H536">
            <v>2595</v>
          </cell>
        </row>
        <row r="539">
          <cell r="A539" t="str">
            <v>033.148</v>
          </cell>
          <cell r="B539" t="str">
            <v>-</v>
          </cell>
          <cell r="C539" t="str">
            <v>SUMINISTRO, TRANSPORTE E INSTALACION IMPRIMANTE Y PUENTE DE ADHERENCIA NORMAL</v>
          </cell>
          <cell r="D539" t="str">
            <v>Actividad</v>
          </cell>
          <cell r="E539" t="str">
            <v>KG</v>
          </cell>
          <cell r="H539">
            <v>102629</v>
          </cell>
        </row>
        <row r="540">
          <cell r="A540" t="str">
            <v>033.148</v>
          </cell>
          <cell r="B540" t="str">
            <v>C1</v>
          </cell>
          <cell r="C540" t="str">
            <v>CUADRILLA AA TIPO 1 (1 OFICIAL + 1 AYUDANTE) (Albañileria)</v>
          </cell>
          <cell r="D540" t="str">
            <v>Cuadrilla</v>
          </cell>
          <cell r="E540" t="str">
            <v>HR</v>
          </cell>
          <cell r="F540">
            <v>1</v>
          </cell>
          <cell r="G540">
            <v>16712</v>
          </cell>
          <cell r="H540">
            <v>16712</v>
          </cell>
        </row>
        <row r="541">
          <cell r="A541" t="str">
            <v>033.148</v>
          </cell>
          <cell r="B541" t="str">
            <v>E12</v>
          </cell>
          <cell r="C541" t="str">
            <v>EQUIPO DE TRANSPORTE</v>
          </cell>
          <cell r="D541" t="str">
            <v>Equipos</v>
          </cell>
          <cell r="E541" t="str">
            <v>DIA</v>
          </cell>
          <cell r="F541">
            <v>4.0000000000000002E-4</v>
          </cell>
          <cell r="G541">
            <v>131205</v>
          </cell>
          <cell r="H541">
            <v>52</v>
          </cell>
        </row>
        <row r="542">
          <cell r="A542" t="str">
            <v>033.148</v>
          </cell>
          <cell r="B542" t="str">
            <v>H2</v>
          </cell>
          <cell r="C542" t="str">
            <v>EQUIPO BASICO (HERRAMIENTA MENOR)</v>
          </cell>
          <cell r="D542" t="str">
            <v>Herramienta</v>
          </cell>
          <cell r="E542" t="str">
            <v>UND</v>
          </cell>
          <cell r="F542">
            <v>1.03</v>
          </cell>
          <cell r="G542">
            <v>2536</v>
          </cell>
          <cell r="H542">
            <v>2612</v>
          </cell>
        </row>
        <row r="543">
          <cell r="A543" t="str">
            <v>033.148</v>
          </cell>
          <cell r="B543" t="str">
            <v>I1565</v>
          </cell>
          <cell r="C543" t="str">
            <v>ACARREO INTERNO</v>
          </cell>
          <cell r="D543" t="str">
            <v>Insumo</v>
          </cell>
          <cell r="E543" t="str">
            <v>UND</v>
          </cell>
          <cell r="F543">
            <v>0.91439999999999999</v>
          </cell>
          <cell r="G543">
            <v>1327</v>
          </cell>
          <cell r="H543">
            <v>1213</v>
          </cell>
        </row>
        <row r="544">
          <cell r="A544" t="str">
            <v>033.148</v>
          </cell>
          <cell r="B544" t="str">
            <v>I429</v>
          </cell>
          <cell r="C544" t="str">
            <v>SIKADUR -32 PRIMER</v>
          </cell>
          <cell r="D544" t="str">
            <v>Insumo</v>
          </cell>
          <cell r="E544" t="str">
            <v>KG</v>
          </cell>
          <cell r="F544">
            <v>1</v>
          </cell>
          <cell r="G544">
            <v>82040</v>
          </cell>
          <cell r="H544">
            <v>82040</v>
          </cell>
        </row>
        <row r="547">
          <cell r="A547" t="str">
            <v>024.092</v>
          </cell>
          <cell r="B547" t="str">
            <v>-</v>
          </cell>
          <cell r="C547" t="str">
            <v>SUMINISTRO, TRANSPORTE E INSTALACION TAPA D=0.68 M. P/CÁMARA DE INSPECCIÓN EN CONCRETO REFORZ CLASE II PEATONAL</v>
          </cell>
          <cell r="D547" t="str">
            <v>Actividad</v>
          </cell>
          <cell r="E547" t="str">
            <v>UND</v>
          </cell>
          <cell r="H547">
            <v>77100</v>
          </cell>
        </row>
        <row r="548">
          <cell r="A548" t="str">
            <v>024.092</v>
          </cell>
          <cell r="B548" t="str">
            <v>C37</v>
          </cell>
          <cell r="C548" t="str">
            <v>CUADRILLA BB TIPO 6 (1 OFICIAL + 6 AYUDANTE) (Instalaciones)</v>
          </cell>
          <cell r="D548" t="str">
            <v>Cuadrilla</v>
          </cell>
          <cell r="E548" t="str">
            <v>HR</v>
          </cell>
          <cell r="F548">
            <v>0.5</v>
          </cell>
          <cell r="G548">
            <v>53733</v>
          </cell>
          <cell r="H548">
            <v>26867</v>
          </cell>
        </row>
        <row r="549">
          <cell r="A549" t="str">
            <v>024.092</v>
          </cell>
          <cell r="B549" t="str">
            <v>E112</v>
          </cell>
          <cell r="C549" t="str">
            <v>FORMALETA METALICA PARA CAMARA CIRCULAR</v>
          </cell>
          <cell r="D549" t="str">
            <v>Equipos</v>
          </cell>
          <cell r="E549" t="str">
            <v>UND</v>
          </cell>
          <cell r="F549">
            <v>0.9</v>
          </cell>
          <cell r="G549">
            <v>1311</v>
          </cell>
          <cell r="H549">
            <v>1180</v>
          </cell>
        </row>
        <row r="550">
          <cell r="A550" t="str">
            <v>024.092</v>
          </cell>
          <cell r="B550" t="str">
            <v>E12</v>
          </cell>
          <cell r="C550" t="str">
            <v>EQUIPO DE TRANSPORTE</v>
          </cell>
          <cell r="D550" t="str">
            <v>Equipos</v>
          </cell>
          <cell r="E550" t="str">
            <v>DIA</v>
          </cell>
          <cell r="F550">
            <v>0.06</v>
          </cell>
          <cell r="G550">
            <v>131205</v>
          </cell>
          <cell r="H550">
            <v>7872</v>
          </cell>
        </row>
        <row r="551">
          <cell r="A551" t="str">
            <v>024.092</v>
          </cell>
          <cell r="B551" t="str">
            <v>E14</v>
          </cell>
          <cell r="C551" t="str">
            <v>MEZCLADORA A GASOLINA 1 SACO</v>
          </cell>
          <cell r="D551" t="str">
            <v>Equipos</v>
          </cell>
          <cell r="E551" t="str">
            <v>DIA</v>
          </cell>
          <cell r="F551">
            <v>0.34520000000000001</v>
          </cell>
          <cell r="G551">
            <v>34593</v>
          </cell>
          <cell r="H551">
            <v>11942</v>
          </cell>
        </row>
        <row r="552">
          <cell r="A552" t="str">
            <v>024.092</v>
          </cell>
          <cell r="B552" t="str">
            <v>H2</v>
          </cell>
          <cell r="C552" t="str">
            <v>EQUIPO BASICO (HERRAMIENTA MENOR)</v>
          </cell>
          <cell r="D552" t="str">
            <v>Herramienta</v>
          </cell>
          <cell r="E552" t="str">
            <v>UND</v>
          </cell>
          <cell r="F552">
            <v>0.35</v>
          </cell>
          <cell r="G552">
            <v>2536</v>
          </cell>
          <cell r="H552">
            <v>888</v>
          </cell>
        </row>
        <row r="553">
          <cell r="A553" t="str">
            <v>024.092</v>
          </cell>
          <cell r="B553" t="str">
            <v>I1565</v>
          </cell>
          <cell r="C553" t="str">
            <v>ACARREO INTERNO</v>
          </cell>
          <cell r="D553" t="str">
            <v>Insumo</v>
          </cell>
          <cell r="E553" t="str">
            <v>UND</v>
          </cell>
          <cell r="F553">
            <v>1.6</v>
          </cell>
          <cell r="G553">
            <v>1327</v>
          </cell>
          <cell r="H553">
            <v>2123</v>
          </cell>
        </row>
        <row r="554">
          <cell r="A554" t="str">
            <v>024.092</v>
          </cell>
          <cell r="B554" t="str">
            <v>I2</v>
          </cell>
          <cell r="C554" t="str">
            <v>ACERO 60.000 PSI</v>
          </cell>
          <cell r="D554" t="str">
            <v>Insumo</v>
          </cell>
          <cell r="E554" t="str">
            <v>KG</v>
          </cell>
          <cell r="F554">
            <v>3</v>
          </cell>
          <cell r="G554">
            <v>3313</v>
          </cell>
          <cell r="H554">
            <v>9939</v>
          </cell>
        </row>
        <row r="555">
          <cell r="A555" t="str">
            <v>024.092</v>
          </cell>
          <cell r="B555" t="str">
            <v>I21</v>
          </cell>
          <cell r="C555" t="str">
            <v>GANCHO DE AGARRE DE 5/8" DE FY 420 MPA</v>
          </cell>
          <cell r="D555" t="str">
            <v>Insumo</v>
          </cell>
          <cell r="E555" t="str">
            <v>UND</v>
          </cell>
          <cell r="F555">
            <v>1.2815399999999999</v>
          </cell>
          <cell r="G555">
            <v>2855</v>
          </cell>
          <cell r="H555">
            <v>3659</v>
          </cell>
        </row>
        <row r="556">
          <cell r="A556" t="str">
            <v>024.092</v>
          </cell>
          <cell r="B556" t="str">
            <v>I274</v>
          </cell>
          <cell r="C556" t="str">
            <v>CEMENTO GRIS</v>
          </cell>
          <cell r="D556" t="str">
            <v>Insumo</v>
          </cell>
          <cell r="E556" t="str">
            <v>KG</v>
          </cell>
          <cell r="F556">
            <v>12.2</v>
          </cell>
          <cell r="G556">
            <v>719</v>
          </cell>
          <cell r="H556">
            <v>8772</v>
          </cell>
        </row>
        <row r="557">
          <cell r="A557" t="str">
            <v>024.092</v>
          </cell>
          <cell r="B557" t="str">
            <v>I32</v>
          </cell>
          <cell r="C557" t="str">
            <v>ARENA LAVADA DE RIO</v>
          </cell>
          <cell r="D557" t="str">
            <v>Insumo</v>
          </cell>
          <cell r="E557" t="str">
            <v>M3</v>
          </cell>
          <cell r="F557">
            <v>0.01</v>
          </cell>
          <cell r="G557">
            <v>93238</v>
          </cell>
          <cell r="H557">
            <v>932</v>
          </cell>
        </row>
        <row r="558">
          <cell r="A558" t="str">
            <v>024.092</v>
          </cell>
          <cell r="B558" t="str">
            <v>I34</v>
          </cell>
          <cell r="C558" t="str">
            <v>GRAVILLA COMUN DE RIO</v>
          </cell>
          <cell r="D558" t="str">
            <v>Insumo</v>
          </cell>
          <cell r="E558" t="str">
            <v>M3</v>
          </cell>
          <cell r="F558">
            <v>2.7E-2</v>
          </cell>
          <cell r="G558">
            <v>93238</v>
          </cell>
          <cell r="H558">
            <v>2517</v>
          </cell>
        </row>
        <row r="559">
          <cell r="A559" t="str">
            <v>024.092</v>
          </cell>
          <cell r="B559" t="str">
            <v>I45</v>
          </cell>
          <cell r="C559" t="str">
            <v>AGUA M3</v>
          </cell>
          <cell r="D559" t="str">
            <v>Insumo</v>
          </cell>
          <cell r="E559" t="str">
            <v>M3</v>
          </cell>
          <cell r="F559">
            <v>0.2</v>
          </cell>
          <cell r="G559">
            <v>2044</v>
          </cell>
          <cell r="H559">
            <v>409</v>
          </cell>
        </row>
        <row r="562">
          <cell r="A562" t="str">
            <v>024.081</v>
          </cell>
          <cell r="B562" t="str">
            <v>-</v>
          </cell>
          <cell r="C562" t="str">
            <v>TRANSPORTE E INSTALACION CÁMARA CIRCULAR DE INSPECCIÓN/CAÍDA D=1.50 M. EN CONCRETO CLASE II</v>
          </cell>
          <cell r="D562" t="str">
            <v>Actividad</v>
          </cell>
          <cell r="E562" t="str">
            <v>ML</v>
          </cell>
          <cell r="H562">
            <v>153816</v>
          </cell>
        </row>
        <row r="563">
          <cell r="A563" t="str">
            <v>024.081</v>
          </cell>
          <cell r="B563" t="str">
            <v>C37</v>
          </cell>
          <cell r="C563" t="str">
            <v>CUADRILLA BB TIPO 6 (1 OFICIAL + 6 AYUDANTE) (Instalaciones)</v>
          </cell>
          <cell r="D563" t="str">
            <v>Cuadrilla</v>
          </cell>
          <cell r="E563" t="str">
            <v>HR</v>
          </cell>
          <cell r="F563">
            <v>2</v>
          </cell>
          <cell r="G563">
            <v>53733</v>
          </cell>
          <cell r="H563">
            <v>107466</v>
          </cell>
        </row>
        <row r="564">
          <cell r="A564" t="str">
            <v>024.081</v>
          </cell>
          <cell r="B564" t="str">
            <v>E112</v>
          </cell>
          <cell r="C564" t="str">
            <v>FORMALETA METALICA PARA CAMARA CIRCULAR</v>
          </cell>
          <cell r="D564" t="str">
            <v>Equipos</v>
          </cell>
          <cell r="E564" t="str">
            <v>UND</v>
          </cell>
          <cell r="F564">
            <v>20</v>
          </cell>
          <cell r="G564">
            <v>1311</v>
          </cell>
          <cell r="H564">
            <v>26220</v>
          </cell>
        </row>
        <row r="565">
          <cell r="A565" t="str">
            <v>024.081</v>
          </cell>
          <cell r="B565" t="str">
            <v>H2</v>
          </cell>
          <cell r="C565" t="str">
            <v>EQUIPO BASICO (HERRAMIENTA MENOR)</v>
          </cell>
          <cell r="D565" t="str">
            <v>Herramienta</v>
          </cell>
          <cell r="E565" t="str">
            <v>UND</v>
          </cell>
          <cell r="F565">
            <v>0.35</v>
          </cell>
          <cell r="G565">
            <v>2536</v>
          </cell>
          <cell r="H565">
            <v>888</v>
          </cell>
        </row>
        <row r="566">
          <cell r="A566" t="str">
            <v>024.081</v>
          </cell>
          <cell r="B566" t="str">
            <v>I1565</v>
          </cell>
          <cell r="C566" t="str">
            <v>ACARREO INTERNO</v>
          </cell>
          <cell r="D566" t="str">
            <v>Insumo</v>
          </cell>
          <cell r="E566" t="str">
            <v>UND</v>
          </cell>
          <cell r="F566">
            <v>14.5</v>
          </cell>
          <cell r="G566">
            <v>1327</v>
          </cell>
          <cell r="H566">
            <v>19242</v>
          </cell>
        </row>
        <row r="569">
          <cell r="A569" t="str">
            <v>007.126</v>
          </cell>
          <cell r="B569" t="str">
            <v>-</v>
          </cell>
          <cell r="C569" t="str">
            <v>SUMINISTRO, TRANSPORTE E INSTALACIÓN DE EMPALME A CÁMARAS DE INSPECCIÓN CONCRETO DE 3000 PSI</v>
          </cell>
          <cell r="D569" t="str">
            <v>Actividad</v>
          </cell>
          <cell r="E569" t="str">
            <v>UND</v>
          </cell>
          <cell r="H569">
            <v>55469</v>
          </cell>
        </row>
        <row r="570">
          <cell r="A570" t="str">
            <v>007.126</v>
          </cell>
          <cell r="B570" t="str">
            <v>I1985</v>
          </cell>
          <cell r="C570" t="str">
            <v>SUMINISTRO, TRANSPORTE E INSTALACIÓN DE EMPALME A CÁMARAS DE INSPECCIÓN CONCRETO DE 3000 PSI</v>
          </cell>
          <cell r="D570" t="str">
            <v>Insumo</v>
          </cell>
          <cell r="E570" t="str">
            <v>UND</v>
          </cell>
          <cell r="F570">
            <v>1</v>
          </cell>
          <cell r="G570">
            <v>55469</v>
          </cell>
          <cell r="H570">
            <v>55469</v>
          </cell>
        </row>
        <row r="573">
          <cell r="A573" t="str">
            <v>002A.003</v>
          </cell>
          <cell r="B573" t="str">
            <v>-</v>
          </cell>
          <cell r="C573" t="str">
            <v>SUMINISTRO, TRANSPORTE E INSTALACION SOLADO DE LIMPIEZA 2.000 PSI  E = 5 CM</v>
          </cell>
          <cell r="D573" t="str">
            <v>Actividad</v>
          </cell>
          <cell r="E573" t="str">
            <v>M2</v>
          </cell>
          <cell r="H573">
            <v>21094</v>
          </cell>
        </row>
        <row r="574">
          <cell r="A574" t="str">
            <v>002A.003</v>
          </cell>
          <cell r="B574" t="str">
            <v>AB3</v>
          </cell>
          <cell r="C574" t="str">
            <v>CONCRETO 2000 PSI - 14 MPA</v>
          </cell>
          <cell r="D574" t="str">
            <v>Analisis</v>
          </cell>
          <cell r="E574" t="str">
            <v>M3</v>
          </cell>
          <cell r="F574">
            <v>5.0999999999999997E-2</v>
          </cell>
          <cell r="G574">
            <v>337644</v>
          </cell>
          <cell r="H574">
            <v>17220</v>
          </cell>
        </row>
        <row r="575">
          <cell r="A575" t="str">
            <v>002A.003</v>
          </cell>
          <cell r="B575" t="str">
            <v>C15</v>
          </cell>
          <cell r="C575" t="str">
            <v>CUADRILLA AA TIPO 3 (1 OFICIAL + 3 AYUDANTE) (Albañileria)</v>
          </cell>
          <cell r="D575" t="str">
            <v>Cuadrilla</v>
          </cell>
          <cell r="E575" t="str">
            <v>HR</v>
          </cell>
          <cell r="F575">
            <v>0.13</v>
          </cell>
          <cell r="G575">
            <v>29568</v>
          </cell>
          <cell r="H575">
            <v>3844</v>
          </cell>
        </row>
        <row r="576">
          <cell r="A576" t="str">
            <v>002A.003</v>
          </cell>
          <cell r="B576" t="str">
            <v>H2</v>
          </cell>
          <cell r="C576" t="str">
            <v>EQUIPO BASICO (HERRAMIENTA MENOR)</v>
          </cell>
          <cell r="D576" t="str">
            <v>Herramienta</v>
          </cell>
          <cell r="E576" t="str">
            <v>UND</v>
          </cell>
          <cell r="F576">
            <v>1.2E-2</v>
          </cell>
          <cell r="G576">
            <v>2536</v>
          </cell>
          <cell r="H576">
            <v>30</v>
          </cell>
        </row>
        <row r="579">
          <cell r="A579" t="str">
            <v>017.094</v>
          </cell>
          <cell r="B579" t="str">
            <v>-</v>
          </cell>
          <cell r="C579" t="str">
            <v>SUMINISTRO, TRANSPORTE E INSTALACION BARANDA EN TUBERIA GALVANIZADA  4 HILOS DE 2", ENTRE 0.9 Y 1 MTS, PARALES VERTICALES  CADA 2 MTS, RELLENA DE  CONCRETO, INCLUYE WASH PRIMER, PINTURA, ANCLAJES Y RETIRO DE SOBRANTES</v>
          </cell>
          <cell r="D579" t="str">
            <v>Actividad</v>
          </cell>
          <cell r="E579" t="str">
            <v>ML</v>
          </cell>
          <cell r="H579">
            <v>299052</v>
          </cell>
        </row>
        <row r="580">
          <cell r="A580" t="str">
            <v>017.094</v>
          </cell>
          <cell r="B580" t="str">
            <v>I1793</v>
          </cell>
          <cell r="C580" t="str">
            <v>SUMINISTRO,TRANSPORTE E INSTALCION  BARANDA EN TUBERIA GALVANIZADA A 4 HILOS DE 2" ENTRE 0.9 Y 1 MTS, PARALES  VERTICALES CADA 2 MTS,RELLENA DE CONCRETO, INCLUYE  WASH PRIMER PINTURA, ANCLAJES Y RETIRO DE SOBRANTES</v>
          </cell>
          <cell r="D580" t="str">
            <v>Insumo</v>
          </cell>
          <cell r="E580" t="str">
            <v>ML</v>
          </cell>
          <cell r="F580">
            <v>1</v>
          </cell>
          <cell r="G580">
            <v>299052</v>
          </cell>
          <cell r="H580">
            <v>299052</v>
          </cell>
        </row>
        <row r="583">
          <cell r="A583" t="str">
            <v>033.165</v>
          </cell>
          <cell r="B583" t="str">
            <v>-</v>
          </cell>
          <cell r="C583" t="str">
            <v>SUMINISTRO, TRANSPORTE E INSTALACION SIKAFLOOR SPORT LINE SUSTRATOS CIMENTOSOS</v>
          </cell>
          <cell r="D583" t="str">
            <v>Actividad</v>
          </cell>
          <cell r="E583" t="str">
            <v>M2</v>
          </cell>
          <cell r="H583">
            <v>96346</v>
          </cell>
        </row>
        <row r="584">
          <cell r="A584" t="str">
            <v>033.165</v>
          </cell>
          <cell r="B584" t="str">
            <v>C8</v>
          </cell>
          <cell r="C584" t="str">
            <v>CUADRILLA AA TIPO 2 (1 OFICIAL + 2 AYUDANTE) (Albañileria)</v>
          </cell>
          <cell r="D584" t="str">
            <v>Cuadrilla</v>
          </cell>
          <cell r="E584" t="str">
            <v>HR</v>
          </cell>
          <cell r="F584">
            <v>2</v>
          </cell>
          <cell r="G584">
            <v>23140</v>
          </cell>
          <cell r="H584">
            <v>46280</v>
          </cell>
        </row>
        <row r="585">
          <cell r="A585" t="str">
            <v>033.165</v>
          </cell>
          <cell r="B585" t="str">
            <v>E12</v>
          </cell>
          <cell r="C585" t="str">
            <v>EQUIPO DE TRANSPORTE</v>
          </cell>
          <cell r="D585" t="str">
            <v>Equipos</v>
          </cell>
          <cell r="E585" t="str">
            <v>DIA</v>
          </cell>
          <cell r="F585">
            <v>6.0000000000000001E-3</v>
          </cell>
          <cell r="G585">
            <v>131205</v>
          </cell>
          <cell r="H585">
            <v>787</v>
          </cell>
        </row>
        <row r="586">
          <cell r="A586" t="str">
            <v>033.165</v>
          </cell>
          <cell r="B586" t="str">
            <v>H2</v>
          </cell>
          <cell r="C586" t="str">
            <v>EQUIPO BASICO (HERRAMIENTA MENOR)</v>
          </cell>
          <cell r="D586" t="str">
            <v>Herramienta</v>
          </cell>
          <cell r="E586" t="str">
            <v>UND</v>
          </cell>
          <cell r="F586">
            <v>0.4</v>
          </cell>
          <cell r="G586">
            <v>2536</v>
          </cell>
          <cell r="H586">
            <v>1014</v>
          </cell>
        </row>
        <row r="587">
          <cell r="A587" t="str">
            <v>033.165</v>
          </cell>
          <cell r="B587" t="str">
            <v>I1565</v>
          </cell>
          <cell r="C587" t="str">
            <v>ACARREO INTERNO</v>
          </cell>
          <cell r="D587" t="str">
            <v>Insumo</v>
          </cell>
          <cell r="E587" t="str">
            <v>UND</v>
          </cell>
          <cell r="F587">
            <v>0.85</v>
          </cell>
          <cell r="G587">
            <v>1327</v>
          </cell>
          <cell r="H587">
            <v>1128</v>
          </cell>
        </row>
        <row r="588">
          <cell r="A588" t="str">
            <v>033.165</v>
          </cell>
          <cell r="B588" t="str">
            <v>_</v>
          </cell>
          <cell r="C588" t="str">
            <v>SIKAFLOOR - 154 W O SIMILAR.</v>
          </cell>
          <cell r="D588" t="str">
            <v>Insumo</v>
          </cell>
          <cell r="E588" t="str">
            <v>G/M2</v>
          </cell>
          <cell r="F588">
            <v>1</v>
          </cell>
          <cell r="G588">
            <v>13331</v>
          </cell>
          <cell r="H588">
            <v>13331</v>
          </cell>
        </row>
        <row r="589">
          <cell r="A589" t="str">
            <v>033.165</v>
          </cell>
          <cell r="B589" t="str">
            <v>_</v>
          </cell>
          <cell r="C589" t="str">
            <v>SIKAFLOOR - 2030 O SIMILAR.</v>
          </cell>
          <cell r="D589" t="str">
            <v>Insumo</v>
          </cell>
          <cell r="E589" t="str">
            <v>G/M2</v>
          </cell>
          <cell r="F589">
            <v>1</v>
          </cell>
          <cell r="G589">
            <v>23260</v>
          </cell>
          <cell r="H589">
            <v>23260</v>
          </cell>
        </row>
        <row r="590">
          <cell r="A590" t="str">
            <v>033.165</v>
          </cell>
          <cell r="B590" t="str">
            <v>_</v>
          </cell>
          <cell r="C590" t="str">
            <v>SIKAFLOOR - 2020 O SIMILAR.</v>
          </cell>
          <cell r="D590" t="str">
            <v>Insumo</v>
          </cell>
          <cell r="E590" t="str">
            <v>G/M2</v>
          </cell>
          <cell r="F590">
            <v>1</v>
          </cell>
          <cell r="G590">
            <v>9826</v>
          </cell>
          <cell r="H590">
            <v>9826</v>
          </cell>
        </row>
        <row r="591">
          <cell r="A591" t="str">
            <v>033.165</v>
          </cell>
          <cell r="B591" t="str">
            <v>I49</v>
          </cell>
          <cell r="C591" t="str">
            <v>AGUA LITRO</v>
          </cell>
          <cell r="D591" t="str">
            <v>Insumo</v>
          </cell>
          <cell r="E591" t="str">
            <v>LT</v>
          </cell>
          <cell r="F591">
            <v>30</v>
          </cell>
          <cell r="G591">
            <v>24</v>
          </cell>
          <cell r="H591">
            <v>720</v>
          </cell>
        </row>
        <row r="594">
          <cell r="A594" t="str">
            <v>033.168</v>
          </cell>
          <cell r="B594" t="str">
            <v>-</v>
          </cell>
          <cell r="C594" t="str">
            <v>SUMINISTRO, TRANSPORTE E INSTALACION FILTRO DRENAJE (0.60 x 1.00 m) Tubo Drenaje Corrugado de 8" con filtro. Incluye relleno piedra filtro, Geotextil NT 3000</v>
          </cell>
          <cell r="D594" t="str">
            <v>Actividad</v>
          </cell>
          <cell r="E594" t="str">
            <v>ML</v>
          </cell>
          <cell r="H594">
            <v>255575</v>
          </cell>
        </row>
        <row r="595">
          <cell r="A595" t="str">
            <v>033.168</v>
          </cell>
          <cell r="B595" t="str">
            <v>I11</v>
          </cell>
          <cell r="C595" t="str">
            <v>Concreto 3000 psi - 21 Mpa</v>
          </cell>
          <cell r="D595" t="str">
            <v>Insumo</v>
          </cell>
          <cell r="E595" t="str">
            <v>M3</v>
          </cell>
          <cell r="F595">
            <v>0.21</v>
          </cell>
          <cell r="G595">
            <v>361590</v>
          </cell>
          <cell r="H595">
            <v>75934</v>
          </cell>
        </row>
        <row r="596">
          <cell r="A596" t="str">
            <v>033.168</v>
          </cell>
          <cell r="B596" t="str">
            <v>I12</v>
          </cell>
          <cell r="C596" t="str">
            <v>Cuarton 2"x4"x3m</v>
          </cell>
          <cell r="D596" t="str">
            <v xml:space="preserve">Insumo </v>
          </cell>
          <cell r="E596" t="str">
            <v>ML</v>
          </cell>
          <cell r="F596">
            <v>0.3</v>
          </cell>
          <cell r="G596">
            <v>8301</v>
          </cell>
          <cell r="H596">
            <v>2490</v>
          </cell>
        </row>
        <row r="597">
          <cell r="A597" t="str">
            <v>033.168</v>
          </cell>
          <cell r="B597" t="str">
            <v>I13</v>
          </cell>
          <cell r="C597" t="str">
            <v>Bastidor Otobo 2x4"</v>
          </cell>
          <cell r="D597" t="str">
            <v>Insumo</v>
          </cell>
          <cell r="E597" t="str">
            <v>ML</v>
          </cell>
          <cell r="F597">
            <v>0.4</v>
          </cell>
          <cell r="G597">
            <v>3200</v>
          </cell>
          <cell r="H597">
            <v>1280</v>
          </cell>
        </row>
        <row r="598">
          <cell r="A598" t="str">
            <v>033.168</v>
          </cell>
          <cell r="B598" t="str">
            <v>I03</v>
          </cell>
          <cell r="C598" t="str">
            <v>Puntilla comun 2"</v>
          </cell>
          <cell r="D598" t="str">
            <v>Insumo</v>
          </cell>
          <cell r="E598" t="str">
            <v>LB</v>
          </cell>
          <cell r="F598">
            <v>0.2</v>
          </cell>
          <cell r="G598">
            <v>2915</v>
          </cell>
          <cell r="H598">
            <v>583</v>
          </cell>
        </row>
        <row r="599">
          <cell r="A599" t="str">
            <v>033.168</v>
          </cell>
          <cell r="B599" t="str">
            <v>I14</v>
          </cell>
          <cell r="C599" t="str">
            <v>Formaleta super T (2,44x1,50 (3,66)</v>
          </cell>
          <cell r="D599" t="str">
            <v xml:space="preserve">Insumo </v>
          </cell>
          <cell r="E599" t="str">
            <v>UN</v>
          </cell>
          <cell r="F599">
            <v>0.8</v>
          </cell>
          <cell r="G599">
            <v>32800</v>
          </cell>
          <cell r="H599">
            <v>26240</v>
          </cell>
        </row>
        <row r="600">
          <cell r="A600" t="str">
            <v>033.168</v>
          </cell>
          <cell r="B600" t="str">
            <v>I66</v>
          </cell>
          <cell r="C600" t="str">
            <v>Acero 60000PSI (Incluye alambre negro y figuracion)</v>
          </cell>
          <cell r="D600" t="str">
            <v>Insumo</v>
          </cell>
          <cell r="E600" t="str">
            <v>KG</v>
          </cell>
          <cell r="F600">
            <v>14</v>
          </cell>
          <cell r="G600">
            <v>4450</v>
          </cell>
          <cell r="H600">
            <v>62300</v>
          </cell>
        </row>
        <row r="601">
          <cell r="A601" t="str">
            <v>033.168</v>
          </cell>
          <cell r="B601" t="str">
            <v>I132</v>
          </cell>
          <cell r="C601" t="str">
            <v>Malla electrosoldada 4 mm</v>
          </cell>
          <cell r="D601" t="str">
            <v>Insumo</v>
          </cell>
          <cell r="E601" t="str">
            <v>M2</v>
          </cell>
          <cell r="F601">
            <v>0.36</v>
          </cell>
          <cell r="G601">
            <v>4700</v>
          </cell>
          <cell r="H601">
            <v>1692</v>
          </cell>
        </row>
        <row r="602">
          <cell r="A602" t="str">
            <v>033.168</v>
          </cell>
          <cell r="B602" t="str">
            <v>MO2</v>
          </cell>
          <cell r="C602" t="str">
            <v>Cuadrilla Tipo II (1 Oficial + 2 Ayudante)</v>
          </cell>
          <cell r="D602" t="str">
            <v>Mano de Obra</v>
          </cell>
          <cell r="E602" t="str">
            <v>Hora</v>
          </cell>
          <cell r="F602">
            <v>1.5</v>
          </cell>
          <cell r="G602">
            <v>25982.968799999999</v>
          </cell>
          <cell r="H602">
            <v>38974</v>
          </cell>
        </row>
        <row r="603">
          <cell r="A603" t="str">
            <v>033.168</v>
          </cell>
          <cell r="B603" t="str">
            <v>E10</v>
          </cell>
          <cell r="C603" t="str">
            <v xml:space="preserve">Herramienta menor </v>
          </cell>
          <cell r="D603" t="str">
            <v>Equipo</v>
          </cell>
          <cell r="E603" t="str">
            <v>Und</v>
          </cell>
          <cell r="F603">
            <v>0.08</v>
          </cell>
          <cell r="G603">
            <v>2663</v>
          </cell>
          <cell r="H603">
            <v>213</v>
          </cell>
        </row>
        <row r="604">
          <cell r="A604" t="str">
            <v>033.168</v>
          </cell>
          <cell r="B604" t="str">
            <v>MO00</v>
          </cell>
          <cell r="C604" t="str">
            <v>Acarreo Interno</v>
          </cell>
          <cell r="D604" t="str">
            <v>Mano de Obra</v>
          </cell>
          <cell r="E604" t="str">
            <v>%</v>
          </cell>
          <cell r="F604">
            <v>0.5</v>
          </cell>
          <cell r="G604">
            <v>3897.4</v>
          </cell>
          <cell r="H604">
            <v>1949</v>
          </cell>
        </row>
        <row r="605">
          <cell r="A605" t="str">
            <v>033.168</v>
          </cell>
          <cell r="B605" t="str">
            <v>I74</v>
          </cell>
          <cell r="C605" t="str">
            <v>Cinta SIKA PVC V-15 cinta flexible sello juntas</v>
          </cell>
          <cell r="D605" t="str">
            <v>Insumo</v>
          </cell>
          <cell r="E605" t="str">
            <v>ml</v>
          </cell>
          <cell r="F605">
            <v>0.3</v>
          </cell>
          <cell r="G605">
            <v>20500</v>
          </cell>
          <cell r="H605">
            <v>6150</v>
          </cell>
        </row>
        <row r="606">
          <cell r="A606" t="str">
            <v>033.168</v>
          </cell>
          <cell r="B606" t="str">
            <v>I75</v>
          </cell>
          <cell r="C606" t="str">
            <v>Angulo Hierro 1 1/2"x 1 1/2" x 1/8"</v>
          </cell>
          <cell r="D606" t="str">
            <v xml:space="preserve">Insumo </v>
          </cell>
          <cell r="E606" t="str">
            <v>Und</v>
          </cell>
          <cell r="F606">
            <v>3</v>
          </cell>
          <cell r="G606">
            <v>3750</v>
          </cell>
          <cell r="H606">
            <v>11250</v>
          </cell>
        </row>
        <row r="607">
          <cell r="A607" t="str">
            <v>033.168</v>
          </cell>
          <cell r="B607" t="str">
            <v>I76</v>
          </cell>
          <cell r="C607" t="str">
            <v>Tubo Conduit PVC 1/2"</v>
          </cell>
          <cell r="D607" t="str">
            <v>Insumo</v>
          </cell>
          <cell r="E607" t="str">
            <v>ml</v>
          </cell>
          <cell r="F607">
            <v>3.75</v>
          </cell>
          <cell r="G607">
            <v>3750</v>
          </cell>
          <cell r="H607">
            <v>14063</v>
          </cell>
        </row>
        <row r="608">
          <cell r="A608" t="str">
            <v>033.168</v>
          </cell>
          <cell r="B608" t="str">
            <v>I21</v>
          </cell>
          <cell r="C608" t="str">
            <v>Concreto 2500 Psi</v>
          </cell>
          <cell r="D608" t="str">
            <v>Insumo</v>
          </cell>
          <cell r="E608" t="str">
            <v>M3</v>
          </cell>
          <cell r="F608">
            <v>3.7499999999999999E-2</v>
          </cell>
          <cell r="G608">
            <v>332193</v>
          </cell>
          <cell r="H608">
            <v>12457</v>
          </cell>
        </row>
        <row r="611">
          <cell r="A611" t="str">
            <v>005.004</v>
          </cell>
          <cell r="B611" t="str">
            <v>-</v>
          </cell>
          <cell r="C611" t="str">
            <v>SUMINISTRO, TRANSPORTE E INSTALACION MALLA ELECTROSOLDADA M-084 Q-2 F  4 mm c/.15m en ambos sentidos (Incluye alambre negro, colocación y traslapo).</v>
          </cell>
          <cell r="D611" t="str">
            <v>Actividad</v>
          </cell>
          <cell r="E611" t="str">
            <v>KG</v>
          </cell>
          <cell r="H611">
            <v>6748</v>
          </cell>
        </row>
        <row r="612">
          <cell r="A612" t="str">
            <v>005.004</v>
          </cell>
          <cell r="B612" t="str">
            <v>C8</v>
          </cell>
          <cell r="C612" t="str">
            <v>CUADRILLA AA TIPO 2 (1 OFICIAL + 2 AYUDANTE) (Albañileria)</v>
          </cell>
          <cell r="D612" t="str">
            <v>Cuadrilla</v>
          </cell>
          <cell r="E612" t="str">
            <v>HR</v>
          </cell>
          <cell r="F612">
            <v>0.05</v>
          </cell>
          <cell r="G612">
            <v>23140</v>
          </cell>
          <cell r="H612">
            <v>1157</v>
          </cell>
        </row>
        <row r="613">
          <cell r="A613" t="str">
            <v>005.004</v>
          </cell>
          <cell r="B613" t="str">
            <v>E12</v>
          </cell>
          <cell r="C613" t="str">
            <v>EQUIPO DE TRANSPORTE</v>
          </cell>
          <cell r="D613" t="str">
            <v>Equipos</v>
          </cell>
          <cell r="E613" t="str">
            <v>DIA</v>
          </cell>
          <cell r="F613">
            <v>5.0000000000000001E-4</v>
          </cell>
          <cell r="G613">
            <v>131205</v>
          </cell>
          <cell r="H613">
            <v>66</v>
          </cell>
        </row>
        <row r="614">
          <cell r="A614" t="str">
            <v>005.004</v>
          </cell>
          <cell r="B614" t="str">
            <v>I1565</v>
          </cell>
          <cell r="C614" t="str">
            <v>ACARREO INTERNO</v>
          </cell>
          <cell r="D614" t="str">
            <v>Insumo</v>
          </cell>
          <cell r="E614" t="str">
            <v>UND</v>
          </cell>
          <cell r="F614">
            <v>5.2999999999999999E-2</v>
          </cell>
          <cell r="G614">
            <v>1327</v>
          </cell>
          <cell r="H614">
            <v>70</v>
          </cell>
        </row>
        <row r="615">
          <cell r="A615" t="str">
            <v>005.004</v>
          </cell>
          <cell r="B615" t="str">
            <v>I3</v>
          </cell>
          <cell r="C615" t="str">
            <v>ALAMBRE NEGRO NO. 18</v>
          </cell>
          <cell r="D615" t="str">
            <v>Insumo</v>
          </cell>
          <cell r="E615" t="str">
            <v>KG</v>
          </cell>
          <cell r="F615">
            <v>3.1E-2</v>
          </cell>
          <cell r="G615">
            <v>4323</v>
          </cell>
          <cell r="H615">
            <v>134</v>
          </cell>
        </row>
        <row r="616">
          <cell r="A616" t="str">
            <v>005.004</v>
          </cell>
          <cell r="B616" t="str">
            <v>I6</v>
          </cell>
          <cell r="C616" t="str">
            <v>MALLA ELECTROSOLDADA M-084  Q-2  4 MM  15 X 15 CM.</v>
          </cell>
          <cell r="D616" t="str">
            <v>Insumo</v>
          </cell>
          <cell r="E616" t="str">
            <v>KG</v>
          </cell>
          <cell r="F616">
            <v>1.05</v>
          </cell>
          <cell r="G616">
            <v>5068</v>
          </cell>
          <cell r="H616">
            <v>5321</v>
          </cell>
        </row>
        <row r="619">
          <cell r="A619" t="str">
            <v>032.017</v>
          </cell>
          <cell r="B619" t="str">
            <v>-</v>
          </cell>
          <cell r="C619" t="str">
            <v>SUMINISTRO, TRANSPORTE E INSTALACION SARDINEL ANCHO = 20 CM H = ENTRE  15 Y 20 CM  EN CONCRETO 3000 PSI, CHAFLANADO</v>
          </cell>
          <cell r="D619" t="str">
            <v>Actividad</v>
          </cell>
          <cell r="E619" t="str">
            <v>ML</v>
          </cell>
          <cell r="H619">
            <v>63771</v>
          </cell>
        </row>
        <row r="620">
          <cell r="A620" t="str">
            <v>032.017</v>
          </cell>
          <cell r="B620" t="str">
            <v>AB5</v>
          </cell>
          <cell r="C620" t="str">
            <v>CONCRETO 3000 psi - 21 Mpa</v>
          </cell>
          <cell r="D620" t="str">
            <v>Analisis</v>
          </cell>
          <cell r="E620" t="str">
            <v>M3</v>
          </cell>
          <cell r="F620">
            <v>4.2999999999999997E-2</v>
          </cell>
          <cell r="G620">
            <v>421155</v>
          </cell>
          <cell r="H620">
            <v>18110</v>
          </cell>
        </row>
        <row r="621">
          <cell r="A621" t="str">
            <v>032.017</v>
          </cell>
          <cell r="B621" t="str">
            <v>C15</v>
          </cell>
          <cell r="C621" t="str">
            <v>CUADRILLA AA TIPO 3 (1 OFICIAL + 3 AYUDANTE) (Albañileria)</v>
          </cell>
          <cell r="D621" t="str">
            <v>Cuadrilla</v>
          </cell>
          <cell r="E621" t="str">
            <v>HR</v>
          </cell>
          <cell r="F621">
            <v>0.75</v>
          </cell>
          <cell r="G621">
            <v>29568</v>
          </cell>
          <cell r="H621">
            <v>22176</v>
          </cell>
        </row>
        <row r="622">
          <cell r="A622" t="str">
            <v>032.017</v>
          </cell>
          <cell r="B622" t="str">
            <v>E12</v>
          </cell>
          <cell r="C622" t="str">
            <v>EQUIPO DE TRANSPORTE</v>
          </cell>
          <cell r="D622" t="str">
            <v>Equipos</v>
          </cell>
          <cell r="E622" t="str">
            <v>DIA</v>
          </cell>
          <cell r="F622">
            <v>8.0000000000000002E-3</v>
          </cell>
          <cell r="G622">
            <v>131205</v>
          </cell>
          <cell r="H622">
            <v>1050</v>
          </cell>
        </row>
        <row r="623">
          <cell r="A623" t="str">
            <v>032.017</v>
          </cell>
          <cell r="B623" t="str">
            <v>E52</v>
          </cell>
          <cell r="C623" t="str">
            <v>VIBRADOR</v>
          </cell>
          <cell r="D623" t="str">
            <v>Equipos</v>
          </cell>
          <cell r="E623" t="str">
            <v>HR</v>
          </cell>
          <cell r="F623">
            <v>0.25</v>
          </cell>
          <cell r="G623">
            <v>5905</v>
          </cell>
          <cell r="H623">
            <v>1476</v>
          </cell>
        </row>
        <row r="624">
          <cell r="A624" t="str">
            <v>032.017</v>
          </cell>
          <cell r="B624" t="str">
            <v>H2</v>
          </cell>
          <cell r="C624" t="str">
            <v>EQUIPO BASICO (HERRAMIENTA MENOR)</v>
          </cell>
          <cell r="D624" t="str">
            <v>Herramienta</v>
          </cell>
          <cell r="E624" t="str">
            <v>UND</v>
          </cell>
          <cell r="F624">
            <v>0.75</v>
          </cell>
          <cell r="G624">
            <v>2536</v>
          </cell>
          <cell r="H624">
            <v>1902</v>
          </cell>
        </row>
        <row r="625">
          <cell r="A625" t="str">
            <v>032.017</v>
          </cell>
          <cell r="B625" t="str">
            <v>I1565</v>
          </cell>
          <cell r="C625" t="str">
            <v>ACARREO INTERNO</v>
          </cell>
          <cell r="D625" t="str">
            <v>Insumo</v>
          </cell>
          <cell r="E625" t="str">
            <v>UND</v>
          </cell>
          <cell r="F625">
            <v>1.5</v>
          </cell>
          <cell r="G625">
            <v>1327</v>
          </cell>
          <cell r="H625">
            <v>1991</v>
          </cell>
        </row>
        <row r="626">
          <cell r="A626" t="str">
            <v>032.017</v>
          </cell>
          <cell r="B626" t="str">
            <v>I424</v>
          </cell>
          <cell r="C626" t="str">
            <v>PUNTILLA CON CABEZA 1"</v>
          </cell>
          <cell r="D626" t="str">
            <v>Insumo</v>
          </cell>
          <cell r="E626" t="str">
            <v>LB</v>
          </cell>
          <cell r="F626">
            <v>0.1</v>
          </cell>
          <cell r="G626">
            <v>3585</v>
          </cell>
          <cell r="H626">
            <v>359</v>
          </cell>
        </row>
        <row r="627">
          <cell r="A627" t="str">
            <v>032.017</v>
          </cell>
          <cell r="B627" t="str">
            <v>I478</v>
          </cell>
          <cell r="C627" t="str">
            <v>ADITIVO PARA CURAR EL CONCRETO</v>
          </cell>
          <cell r="D627" t="str">
            <v>Insumo</v>
          </cell>
          <cell r="E627" t="str">
            <v>UND</v>
          </cell>
          <cell r="F627">
            <v>0.01</v>
          </cell>
          <cell r="G627">
            <v>34001</v>
          </cell>
          <cell r="H627">
            <v>340</v>
          </cell>
        </row>
        <row r="628">
          <cell r="A628" t="str">
            <v>032.017</v>
          </cell>
          <cell r="B628" t="str">
            <v>I957</v>
          </cell>
          <cell r="C628" t="str">
            <v>LISTON 2 X 4</v>
          </cell>
          <cell r="D628" t="str">
            <v>Insumo</v>
          </cell>
          <cell r="E628" t="str">
            <v>M</v>
          </cell>
          <cell r="F628">
            <v>0.3</v>
          </cell>
          <cell r="G628">
            <v>3244</v>
          </cell>
          <cell r="H628">
            <v>973</v>
          </cell>
        </row>
        <row r="629">
          <cell r="A629" t="str">
            <v>032.017</v>
          </cell>
          <cell r="B629" t="str">
            <v>I988</v>
          </cell>
          <cell r="C629" t="str">
            <v>VARILLON DE SAJO</v>
          </cell>
          <cell r="D629" t="str">
            <v>Insumo</v>
          </cell>
          <cell r="E629" t="str">
            <v>UND</v>
          </cell>
          <cell r="F629">
            <v>1</v>
          </cell>
          <cell r="G629">
            <v>12597</v>
          </cell>
          <cell r="H629">
            <v>12597</v>
          </cell>
        </row>
        <row r="630">
          <cell r="A630" t="str">
            <v>032.017</v>
          </cell>
          <cell r="B630" t="str">
            <v>I989</v>
          </cell>
          <cell r="C630" t="str">
            <v>GUADUA SOBREBASA L= 1.50 MT. 3 USOS</v>
          </cell>
          <cell r="D630" t="str">
            <v>Insumo</v>
          </cell>
          <cell r="E630" t="str">
            <v>UND</v>
          </cell>
          <cell r="F630">
            <v>0.1</v>
          </cell>
          <cell r="G630">
            <v>4642</v>
          </cell>
          <cell r="H630">
            <v>464</v>
          </cell>
        </row>
        <row r="631">
          <cell r="A631" t="str">
            <v>032.017</v>
          </cell>
          <cell r="B631" t="str">
            <v>I990</v>
          </cell>
          <cell r="C631" t="str">
            <v>TABLA 1"X10"X3M</v>
          </cell>
          <cell r="D631" t="str">
            <v>Insumo</v>
          </cell>
          <cell r="E631" t="str">
            <v>UND</v>
          </cell>
          <cell r="F631">
            <v>0.22</v>
          </cell>
          <cell r="G631">
            <v>10606</v>
          </cell>
          <cell r="H631">
            <v>2333</v>
          </cell>
        </row>
        <row r="634">
          <cell r="A634" t="str">
            <v>021.041</v>
          </cell>
          <cell r="B634" t="str">
            <v>-</v>
          </cell>
          <cell r="C634" t="str">
            <v>DEFENSA METALICA VEHICULAR TIPO INVIAS</v>
          </cell>
          <cell r="D634" t="str">
            <v>Actividad</v>
          </cell>
          <cell r="E634" t="str">
            <v>ML</v>
          </cell>
          <cell r="H634">
            <v>392702</v>
          </cell>
        </row>
        <row r="635">
          <cell r="A635" t="str">
            <v>021.041</v>
          </cell>
          <cell r="B635" t="str">
            <v>AB5</v>
          </cell>
          <cell r="C635" t="str">
            <v>CONCRETO 3000 psi - 21 Mpa</v>
          </cell>
          <cell r="D635" t="str">
            <v>Analisis</v>
          </cell>
          <cell r="E635" t="str">
            <v>M3</v>
          </cell>
          <cell r="F635">
            <v>0.05</v>
          </cell>
          <cell r="G635">
            <v>421155</v>
          </cell>
          <cell r="H635">
            <v>21058</v>
          </cell>
        </row>
        <row r="636">
          <cell r="A636" t="str">
            <v>021.041</v>
          </cell>
          <cell r="B636" t="str">
            <v>C22</v>
          </cell>
          <cell r="C636" t="str">
            <v>CUADRILLA AA TIPO 4 (1 OFICIAL + 4 AYUDANTE) (Albañileria)</v>
          </cell>
          <cell r="D636" t="str">
            <v>Cuadrilla</v>
          </cell>
          <cell r="E636" t="str">
            <v>HR</v>
          </cell>
          <cell r="F636">
            <v>2.5</v>
          </cell>
          <cell r="G636">
            <v>35996</v>
          </cell>
          <cell r="H636">
            <v>89990</v>
          </cell>
        </row>
        <row r="637">
          <cell r="A637" t="str">
            <v>021.041</v>
          </cell>
          <cell r="B637" t="str">
            <v>E12</v>
          </cell>
          <cell r="C637" t="str">
            <v>EQUIPO DE TRANSPORTE</v>
          </cell>
          <cell r="D637" t="str">
            <v>Equipos</v>
          </cell>
          <cell r="E637" t="str">
            <v>DIA</v>
          </cell>
          <cell r="F637">
            <v>4.2900000000000001E-2</v>
          </cell>
          <cell r="G637">
            <v>131205</v>
          </cell>
          <cell r="H637">
            <v>5629</v>
          </cell>
        </row>
        <row r="638">
          <cell r="A638" t="str">
            <v>021.041</v>
          </cell>
          <cell r="B638" t="str">
            <v>H2</v>
          </cell>
          <cell r="C638" t="str">
            <v>EQUIPO BASICO (HERRAMIENTA MENOR)</v>
          </cell>
          <cell r="D638" t="str">
            <v>Herramienta</v>
          </cell>
          <cell r="E638" t="str">
            <v>UND</v>
          </cell>
          <cell r="F638">
            <v>0.35</v>
          </cell>
          <cell r="G638">
            <v>2536</v>
          </cell>
          <cell r="H638">
            <v>888</v>
          </cell>
        </row>
        <row r="639">
          <cell r="A639" t="str">
            <v>021.041</v>
          </cell>
          <cell r="B639" t="str">
            <v>I1001</v>
          </cell>
          <cell r="C639" t="str">
            <v>ANTICORROSIVO PREMIUM - TIPO PINTUCO REF. 513 O SIMILAR</v>
          </cell>
          <cell r="D639" t="str">
            <v>Insumo</v>
          </cell>
          <cell r="E639" t="str">
            <v>GAL</v>
          </cell>
          <cell r="F639">
            <v>7.0000000000000007E-2</v>
          </cell>
          <cell r="G639">
            <v>61233</v>
          </cell>
          <cell r="H639">
            <v>4286</v>
          </cell>
        </row>
        <row r="640">
          <cell r="A640" t="str">
            <v>021.041</v>
          </cell>
          <cell r="B640" t="str">
            <v>I1015</v>
          </cell>
          <cell r="C640" t="str">
            <v>PINTURA ACRILICA PARA TRAFICO TIPO PINTUCO (PINTUTRÁFICO) O SIMILAR - COLORES: BLANCO, AMARILLO O NEGRO SEGÚN DISEÑO.</v>
          </cell>
          <cell r="D640" t="str">
            <v>Insumo</v>
          </cell>
          <cell r="E640" t="str">
            <v>GAL</v>
          </cell>
          <cell r="F640">
            <v>7.0000000000000007E-2</v>
          </cell>
          <cell r="G640">
            <v>91659</v>
          </cell>
          <cell r="H640">
            <v>6416</v>
          </cell>
        </row>
        <row r="641">
          <cell r="A641" t="str">
            <v>021.041</v>
          </cell>
          <cell r="B641" t="str">
            <v>I1036</v>
          </cell>
          <cell r="C641" t="str">
            <v>WASH PRIMER</v>
          </cell>
          <cell r="D641" t="str">
            <v>Insumo</v>
          </cell>
          <cell r="E641" t="str">
            <v>GAL</v>
          </cell>
          <cell r="F641">
            <v>0.05</v>
          </cell>
          <cell r="G641">
            <v>157771</v>
          </cell>
          <cell r="H641">
            <v>7889</v>
          </cell>
        </row>
        <row r="642">
          <cell r="A642" t="str">
            <v>021.041</v>
          </cell>
          <cell r="B642" t="str">
            <v>I1565</v>
          </cell>
          <cell r="C642" t="str">
            <v>ACARREO INTERNO</v>
          </cell>
          <cell r="D642" t="str">
            <v>Insumo</v>
          </cell>
          <cell r="E642" t="str">
            <v>UND</v>
          </cell>
          <cell r="F642">
            <v>3.1</v>
          </cell>
          <cell r="G642">
            <v>1327</v>
          </cell>
          <cell r="H642">
            <v>4114</v>
          </cell>
        </row>
        <row r="643">
          <cell r="A643" t="str">
            <v>021.041</v>
          </cell>
          <cell r="B643" t="str">
            <v>I255</v>
          </cell>
          <cell r="C643" t="str">
            <v>DEFENSA DE PROTECCIÓN VIAL TIPO INVIAS</v>
          </cell>
          <cell r="D643" t="str">
            <v>Insumo</v>
          </cell>
          <cell r="E643" t="str">
            <v>ML</v>
          </cell>
          <cell r="F643">
            <v>1</v>
          </cell>
          <cell r="G643">
            <v>252432</v>
          </cell>
          <cell r="H643">
            <v>252432</v>
          </cell>
        </row>
        <row r="646">
          <cell r="A646" t="str">
            <v>008</v>
          </cell>
          <cell r="C646" t="str">
            <v>OBRAS ELÉCTRICAS</v>
          </cell>
          <cell r="D646" t="str">
            <v>Capitulo</v>
          </cell>
        </row>
        <row r="651">
          <cell r="A651" t="str">
            <v>009</v>
          </cell>
          <cell r="C651" t="str">
            <v>CUBIERTA</v>
          </cell>
          <cell r="D651" t="str">
            <v>Capitulo</v>
          </cell>
        </row>
        <row r="654">
          <cell r="A654" t="str">
            <v>005.074</v>
          </cell>
          <cell r="B654" t="str">
            <v>-</v>
          </cell>
          <cell r="C654" t="str">
            <v>SUMINISTRO, TRANSPORTE E INSTALACION PERFILES TUBULARES ACERO ASTM A-572 GRADO 50  (INCLUYE SOLDADURA, ANTICORROSIVO Y ESMALTE)</v>
          </cell>
          <cell r="D654" t="str">
            <v>Actividad</v>
          </cell>
          <cell r="E654" t="str">
            <v>KG</v>
          </cell>
          <cell r="H654">
            <v>14227</v>
          </cell>
        </row>
        <row r="655">
          <cell r="A655" t="str">
            <v>005.074</v>
          </cell>
          <cell r="B655" t="str">
            <v>C18</v>
          </cell>
          <cell r="C655" t="str">
            <v>CUADRILLA DD TIPO 3 (1 OFICIAL + 3 AYUDANTE) (Carpinteria)</v>
          </cell>
          <cell r="D655" t="str">
            <v>Cuadrilla</v>
          </cell>
          <cell r="E655" t="str">
            <v>HR</v>
          </cell>
          <cell r="F655">
            <v>0.09</v>
          </cell>
          <cell r="G655">
            <v>33999</v>
          </cell>
          <cell r="H655">
            <v>3060</v>
          </cell>
        </row>
        <row r="656">
          <cell r="A656" t="str">
            <v>005.074</v>
          </cell>
          <cell r="B656" t="str">
            <v>E1</v>
          </cell>
          <cell r="C656" t="str">
            <v>ANDAMIO METALICO CERTIFICADO, INCLUYE ESCALERILLA CON BARANDAS Y PLATAFORMAS DE TRABAJO</v>
          </cell>
          <cell r="D656" t="str">
            <v>Equipos</v>
          </cell>
          <cell r="E656" t="str">
            <v>UND</v>
          </cell>
          <cell r="F656">
            <v>0.05</v>
          </cell>
          <cell r="G656">
            <v>7257</v>
          </cell>
          <cell r="H656">
            <v>363</v>
          </cell>
        </row>
        <row r="657">
          <cell r="A657" t="str">
            <v>005.074</v>
          </cell>
          <cell r="B657" t="str">
            <v>E12</v>
          </cell>
          <cell r="C657" t="str">
            <v>EQUIPO DE TRANSPORTE</v>
          </cell>
          <cell r="D657" t="str">
            <v>Equipos</v>
          </cell>
          <cell r="E657" t="str">
            <v>DIA</v>
          </cell>
          <cell r="F657">
            <v>1.6999999999999999E-3</v>
          </cell>
          <cell r="G657">
            <v>131205</v>
          </cell>
          <cell r="H657">
            <v>223</v>
          </cell>
        </row>
        <row r="658">
          <cell r="A658" t="str">
            <v>005.074</v>
          </cell>
          <cell r="B658" t="str">
            <v>E59</v>
          </cell>
          <cell r="C658" t="str">
            <v>EQUIPO DE SOLDADURA</v>
          </cell>
          <cell r="D658" t="str">
            <v>Equipos</v>
          </cell>
          <cell r="E658" t="str">
            <v>HR</v>
          </cell>
          <cell r="F658">
            <v>0.01</v>
          </cell>
          <cell r="G658">
            <v>32800</v>
          </cell>
          <cell r="H658">
            <v>328</v>
          </cell>
        </row>
        <row r="659">
          <cell r="A659" t="str">
            <v>005.074</v>
          </cell>
          <cell r="B659" t="str">
            <v>E78</v>
          </cell>
          <cell r="C659" t="str">
            <v>COMPRESOR</v>
          </cell>
          <cell r="D659" t="str">
            <v>Equipos</v>
          </cell>
          <cell r="E659" t="str">
            <v>HR</v>
          </cell>
          <cell r="F659">
            <v>0.01</v>
          </cell>
          <cell r="G659">
            <v>45659</v>
          </cell>
          <cell r="H659">
            <v>457</v>
          </cell>
        </row>
        <row r="660">
          <cell r="A660" t="str">
            <v>005.074</v>
          </cell>
          <cell r="B660" t="str">
            <v>H2</v>
          </cell>
          <cell r="C660" t="str">
            <v>EQUIPO BASICO (HERRAMIENTA MENOR)</v>
          </cell>
          <cell r="D660" t="str">
            <v>Herramienta</v>
          </cell>
          <cell r="E660" t="str">
            <v>UND</v>
          </cell>
          <cell r="F660">
            <v>0.09</v>
          </cell>
          <cell r="G660">
            <v>2536</v>
          </cell>
          <cell r="H660">
            <v>228</v>
          </cell>
        </row>
        <row r="661">
          <cell r="A661" t="str">
            <v>005.074</v>
          </cell>
          <cell r="B661" t="str">
            <v>I1001</v>
          </cell>
          <cell r="C661" t="str">
            <v>ANTICORROSIVO PREMIUM - TIPO PINTUCO REF. 513 O SIMILAR</v>
          </cell>
          <cell r="D661" t="str">
            <v>Insumo</v>
          </cell>
          <cell r="E661" t="str">
            <v>GAL</v>
          </cell>
          <cell r="F661">
            <v>1.4999999999999999E-2</v>
          </cell>
          <cell r="G661">
            <v>61233</v>
          </cell>
          <cell r="H661">
            <v>918</v>
          </cell>
        </row>
        <row r="662">
          <cell r="A662" t="str">
            <v>005.074</v>
          </cell>
          <cell r="B662" t="str">
            <v>I1002</v>
          </cell>
          <cell r="C662" t="str">
            <v>ESMALTE SINTETICO PINTULUX - TIPO PINTUCO REF. SEGÚN COLOR DISEÑO O SIMILAR</v>
          </cell>
          <cell r="D662" t="str">
            <v>Insumo</v>
          </cell>
          <cell r="E662" t="str">
            <v>GAL</v>
          </cell>
          <cell r="F662">
            <v>1.4999999999999999E-2</v>
          </cell>
          <cell r="G662">
            <v>88789</v>
          </cell>
          <cell r="H662">
            <v>1332</v>
          </cell>
        </row>
        <row r="663">
          <cell r="A663" t="str">
            <v>005.074</v>
          </cell>
          <cell r="B663" t="str">
            <v>I1565</v>
          </cell>
          <cell r="C663" t="str">
            <v>ACARREO INTERNO</v>
          </cell>
          <cell r="D663" t="str">
            <v>Insumo</v>
          </cell>
          <cell r="E663" t="str">
            <v>UND</v>
          </cell>
          <cell r="F663">
            <v>0.1</v>
          </cell>
          <cell r="G663">
            <v>1327</v>
          </cell>
          <cell r="H663">
            <v>133</v>
          </cell>
        </row>
        <row r="664">
          <cell r="A664" t="str">
            <v>005.074</v>
          </cell>
          <cell r="B664" t="str">
            <v>I301</v>
          </cell>
          <cell r="C664" t="str">
            <v>TUBERIA ESTRUCTURAL A.S.T.M.  A-572 GRADO 50 - REDONDA, CUADRADA O RECTANGULAR SEGÚN DISEÑO - TIPO COLMENA O SIMILAR</v>
          </cell>
          <cell r="D664" t="str">
            <v>Insumo</v>
          </cell>
          <cell r="E664" t="str">
            <v>KG</v>
          </cell>
          <cell r="F664">
            <v>1</v>
          </cell>
          <cell r="G664">
            <v>3958</v>
          </cell>
          <cell r="H664">
            <v>3958</v>
          </cell>
        </row>
        <row r="665">
          <cell r="A665" t="str">
            <v>005.074</v>
          </cell>
          <cell r="B665" t="str">
            <v>I435</v>
          </cell>
          <cell r="C665" t="str">
            <v>SOLDADURA ELECTRICA TIPO WESTARCO SUPER E- 6013  DE 1/8 O SIMILAR.</v>
          </cell>
          <cell r="D665" t="str">
            <v>Insumo</v>
          </cell>
          <cell r="E665" t="str">
            <v>KG</v>
          </cell>
          <cell r="F665">
            <v>0.3</v>
          </cell>
          <cell r="G665">
            <v>10755</v>
          </cell>
          <cell r="H665">
            <v>3227</v>
          </cell>
        </row>
        <row r="668">
          <cell r="A668" t="str">
            <v>005.075</v>
          </cell>
          <cell r="B668" t="str">
            <v>-</v>
          </cell>
          <cell r="C668" t="str">
            <v>SUMINISTRO, TRANSPORTE E INSTALACION PERFILES IPE A-36  ( Incluye soldadura, anticorrosivo y esmalte + proteccion antifuego e instalacion)</v>
          </cell>
          <cell r="D668" t="str">
            <v>Actividad</v>
          </cell>
          <cell r="E668" t="str">
            <v>KG</v>
          </cell>
          <cell r="H668">
            <v>14271</v>
          </cell>
        </row>
        <row r="669">
          <cell r="A669" t="str">
            <v>005.075</v>
          </cell>
          <cell r="B669" t="str">
            <v>C18</v>
          </cell>
          <cell r="C669" t="str">
            <v>CUADRILLA DD TIPO 3 (1 OFICIAL + 3 AYUDANTE) (Carpinteria)</v>
          </cell>
          <cell r="D669" t="str">
            <v>Cuadrilla</v>
          </cell>
          <cell r="E669" t="str">
            <v>HR</v>
          </cell>
          <cell r="F669">
            <v>0.1</v>
          </cell>
          <cell r="G669">
            <v>33999</v>
          </cell>
          <cell r="H669">
            <v>3400</v>
          </cell>
        </row>
        <row r="670">
          <cell r="A670" t="str">
            <v>005.075</v>
          </cell>
          <cell r="B670" t="str">
            <v>E1</v>
          </cell>
          <cell r="C670" t="str">
            <v>ANDAMIO METALICO CERTIFICADO, INCLUYE ESCALERILLA CON BARANDAS Y PLATAFORMAS DE TRABAJO</v>
          </cell>
          <cell r="D670" t="str">
            <v>Equipos</v>
          </cell>
          <cell r="E670" t="str">
            <v>UND</v>
          </cell>
          <cell r="F670">
            <v>0.05</v>
          </cell>
          <cell r="G670">
            <v>7257</v>
          </cell>
          <cell r="H670">
            <v>363</v>
          </cell>
        </row>
        <row r="671">
          <cell r="A671" t="str">
            <v>005.075</v>
          </cell>
          <cell r="B671" t="str">
            <v>E12</v>
          </cell>
          <cell r="C671" t="str">
            <v>EQUIPO DE TRANSPORTE</v>
          </cell>
          <cell r="D671" t="str">
            <v>Equipos</v>
          </cell>
          <cell r="E671" t="str">
            <v>DIA</v>
          </cell>
          <cell r="F671">
            <v>1.5E-3</v>
          </cell>
          <cell r="G671">
            <v>131205</v>
          </cell>
          <cell r="H671">
            <v>197</v>
          </cell>
        </row>
        <row r="672">
          <cell r="A672" t="str">
            <v>005.075</v>
          </cell>
          <cell r="B672" t="str">
            <v>E59</v>
          </cell>
          <cell r="C672" t="str">
            <v>EQUIPO DE SOLDADURA</v>
          </cell>
          <cell r="D672" t="str">
            <v>Equipos</v>
          </cell>
          <cell r="E672" t="str">
            <v>HR</v>
          </cell>
          <cell r="F672">
            <v>0.01</v>
          </cell>
          <cell r="G672">
            <v>32800</v>
          </cell>
          <cell r="H672">
            <v>328</v>
          </cell>
        </row>
        <row r="673">
          <cell r="A673" t="str">
            <v>005.075</v>
          </cell>
          <cell r="B673" t="str">
            <v>E78</v>
          </cell>
          <cell r="C673" t="str">
            <v>COMPRESOR</v>
          </cell>
          <cell r="D673" t="str">
            <v>Equipos</v>
          </cell>
          <cell r="E673" t="str">
            <v>HR</v>
          </cell>
          <cell r="F673">
            <v>0.01</v>
          </cell>
          <cell r="G673">
            <v>45659</v>
          </cell>
          <cell r="H673">
            <v>457</v>
          </cell>
        </row>
        <row r="674">
          <cell r="A674" t="str">
            <v>005.075</v>
          </cell>
          <cell r="B674" t="str">
            <v>H2</v>
          </cell>
          <cell r="C674" t="str">
            <v>EQUIPO BASICO (HERRAMIENTA MENOR)</v>
          </cell>
          <cell r="D674" t="str">
            <v>Herramienta</v>
          </cell>
          <cell r="E674" t="str">
            <v>UND</v>
          </cell>
          <cell r="F674">
            <v>0.1</v>
          </cell>
          <cell r="G674">
            <v>2536</v>
          </cell>
          <cell r="H674">
            <v>254</v>
          </cell>
        </row>
        <row r="675">
          <cell r="A675" t="str">
            <v>005.075</v>
          </cell>
          <cell r="B675" t="str">
            <v>I1001</v>
          </cell>
          <cell r="C675" t="str">
            <v>ANTICORROSIVO PREMIUM - TIPO PINTUCO REF. 513 O SIMILAR</v>
          </cell>
          <cell r="D675" t="str">
            <v>Insumo</v>
          </cell>
          <cell r="E675" t="str">
            <v>GAL</v>
          </cell>
          <cell r="F675">
            <v>1.4999999999999999E-2</v>
          </cell>
          <cell r="G675">
            <v>61233</v>
          </cell>
          <cell r="H675">
            <v>918</v>
          </cell>
        </row>
        <row r="676">
          <cell r="A676" t="str">
            <v>005.075</v>
          </cell>
          <cell r="B676" t="str">
            <v>I1002</v>
          </cell>
          <cell r="C676" t="str">
            <v>ESMALTE SINTETICO PINTULUX - TIPO PINTUCO REF. SEGÚN COLOR DISEÑO O SIMILAR</v>
          </cell>
          <cell r="D676" t="str">
            <v>Insumo</v>
          </cell>
          <cell r="E676" t="str">
            <v>GAL</v>
          </cell>
          <cell r="F676">
            <v>1.4999999999999999E-2</v>
          </cell>
          <cell r="G676">
            <v>88789</v>
          </cell>
          <cell r="H676">
            <v>1332</v>
          </cell>
        </row>
        <row r="677">
          <cell r="A677" t="str">
            <v>005.075</v>
          </cell>
          <cell r="B677" t="str">
            <v>I1565</v>
          </cell>
          <cell r="C677" t="str">
            <v>ACARREO INTERNO</v>
          </cell>
          <cell r="D677" t="str">
            <v>Insumo</v>
          </cell>
          <cell r="E677" t="str">
            <v>UND</v>
          </cell>
          <cell r="F677">
            <v>0.1</v>
          </cell>
          <cell r="G677">
            <v>1327</v>
          </cell>
          <cell r="H677">
            <v>133</v>
          </cell>
        </row>
        <row r="678">
          <cell r="A678" t="str">
            <v>005.075</v>
          </cell>
          <cell r="B678" t="str">
            <v>I293</v>
          </cell>
          <cell r="C678" t="str">
            <v>PERFIL IPE  A-36</v>
          </cell>
          <cell r="D678" t="str">
            <v>Insumo</v>
          </cell>
          <cell r="E678" t="str">
            <v>KG</v>
          </cell>
          <cell r="F678">
            <v>1</v>
          </cell>
          <cell r="G678">
            <v>3662</v>
          </cell>
          <cell r="H678">
            <v>3662</v>
          </cell>
        </row>
        <row r="679">
          <cell r="A679" t="str">
            <v>005.075</v>
          </cell>
          <cell r="B679" t="str">
            <v>I435</v>
          </cell>
          <cell r="C679" t="str">
            <v>SOLDADURA ELECTRICA TIPO WESTARCO SUPER E- 6013  DE 1/8 O SIMILAR.</v>
          </cell>
          <cell r="D679" t="str">
            <v>Insumo</v>
          </cell>
          <cell r="E679" t="str">
            <v>KG</v>
          </cell>
          <cell r="F679">
            <v>0.3</v>
          </cell>
          <cell r="G679">
            <v>10755</v>
          </cell>
          <cell r="H679">
            <v>3227</v>
          </cell>
        </row>
        <row r="682">
          <cell r="A682" t="str">
            <v>005.078</v>
          </cell>
          <cell r="B682" t="str">
            <v>-</v>
          </cell>
          <cell r="C682" t="str">
            <v>SUMINISTRO, TRANSPORTE E INSTALACION PLATINAS Y ANGULOS DE UNION ACERO A-36  ( Incluye soldadura, anticorrosivo y esmalte + proteccion antifuego e instalacion)</v>
          </cell>
          <cell r="D682" t="str">
            <v>Actividad</v>
          </cell>
          <cell r="E682" t="str">
            <v>KG</v>
          </cell>
          <cell r="H682">
            <v>13907</v>
          </cell>
        </row>
        <row r="683">
          <cell r="A683" t="str">
            <v>005.078</v>
          </cell>
          <cell r="B683" t="str">
            <v>C15</v>
          </cell>
          <cell r="C683" t="str">
            <v>CUADRILLA AA TIPO 3 (1 OFICIAL + 3 AYUDANTE) (Albañileria)</v>
          </cell>
          <cell r="D683" t="str">
            <v>Cuadrilla</v>
          </cell>
          <cell r="E683" t="str">
            <v>HR</v>
          </cell>
          <cell r="F683">
            <v>0.1</v>
          </cell>
          <cell r="G683">
            <v>29568</v>
          </cell>
          <cell r="H683">
            <v>2957</v>
          </cell>
        </row>
        <row r="684">
          <cell r="A684" t="str">
            <v>005.078</v>
          </cell>
          <cell r="B684" t="str">
            <v>E1</v>
          </cell>
          <cell r="C684" t="str">
            <v>ANDAMIO METALICO CERTIFICADO, INCLUYE ESCALERILLA CON BARANDAS Y PLATAFORMAS DE TRABAJO</v>
          </cell>
          <cell r="D684" t="str">
            <v>Equipos</v>
          </cell>
          <cell r="E684" t="str">
            <v>UND</v>
          </cell>
          <cell r="F684">
            <v>0.05</v>
          </cell>
          <cell r="G684">
            <v>7257</v>
          </cell>
          <cell r="H684">
            <v>363</v>
          </cell>
        </row>
        <row r="685">
          <cell r="A685" t="str">
            <v>005.078</v>
          </cell>
          <cell r="B685" t="str">
            <v>E12</v>
          </cell>
          <cell r="C685" t="str">
            <v>EQUIPO DE TRANSPORTE</v>
          </cell>
          <cell r="D685" t="str">
            <v>Equipos</v>
          </cell>
          <cell r="E685" t="str">
            <v>DIA</v>
          </cell>
          <cell r="F685">
            <v>1.5E-3</v>
          </cell>
          <cell r="G685">
            <v>131205</v>
          </cell>
          <cell r="H685">
            <v>197</v>
          </cell>
        </row>
        <row r="686">
          <cell r="A686" t="str">
            <v>005.078</v>
          </cell>
          <cell r="B686" t="str">
            <v>E59</v>
          </cell>
          <cell r="C686" t="str">
            <v>EQUIPO DE SOLDADURA</v>
          </cell>
          <cell r="D686" t="str">
            <v>Equipos</v>
          </cell>
          <cell r="E686" t="str">
            <v>HR</v>
          </cell>
          <cell r="F686">
            <v>0.01</v>
          </cell>
          <cell r="G686">
            <v>32800</v>
          </cell>
          <cell r="H686">
            <v>328</v>
          </cell>
        </row>
        <row r="687">
          <cell r="A687" t="str">
            <v>005.078</v>
          </cell>
          <cell r="B687" t="str">
            <v>E78</v>
          </cell>
          <cell r="C687" t="str">
            <v>COMPRESOR</v>
          </cell>
          <cell r="D687" t="str">
            <v>Equipos</v>
          </cell>
          <cell r="E687" t="str">
            <v>HR</v>
          </cell>
          <cell r="F687">
            <v>0.01</v>
          </cell>
          <cell r="G687">
            <v>45659</v>
          </cell>
          <cell r="H687">
            <v>457</v>
          </cell>
        </row>
        <row r="688">
          <cell r="A688" t="str">
            <v>005.078</v>
          </cell>
          <cell r="B688" t="str">
            <v>H2</v>
          </cell>
          <cell r="C688" t="str">
            <v>EQUIPO BASICO (HERRAMIENTA MENOR)</v>
          </cell>
          <cell r="D688" t="str">
            <v>Herramienta</v>
          </cell>
          <cell r="E688" t="str">
            <v>UND</v>
          </cell>
          <cell r="F688">
            <v>0.1</v>
          </cell>
          <cell r="G688">
            <v>2536</v>
          </cell>
          <cell r="H688">
            <v>254</v>
          </cell>
        </row>
        <row r="689">
          <cell r="A689" t="str">
            <v>005.078</v>
          </cell>
          <cell r="B689" t="str">
            <v>I1001</v>
          </cell>
          <cell r="C689" t="str">
            <v>ANTICORROSIVO PREMIUM - TIPO PINTUCO REF. 513 O SIMILAR</v>
          </cell>
          <cell r="D689" t="str">
            <v>Insumo</v>
          </cell>
          <cell r="E689" t="str">
            <v>GAL</v>
          </cell>
          <cell r="F689">
            <v>1.4999999999999999E-2</v>
          </cell>
          <cell r="G689">
            <v>61233</v>
          </cell>
          <cell r="H689">
            <v>918</v>
          </cell>
        </row>
        <row r="690">
          <cell r="A690" t="str">
            <v>005.078</v>
          </cell>
          <cell r="B690" t="str">
            <v>I1002</v>
          </cell>
          <cell r="C690" t="str">
            <v>ESMALTE SINTETICO PINTULUX - TIPO PINTUCO REF. SEGÚN COLOR DISEÑO O SIMILAR</v>
          </cell>
          <cell r="D690" t="str">
            <v>Insumo</v>
          </cell>
          <cell r="E690" t="str">
            <v>GAL</v>
          </cell>
          <cell r="F690">
            <v>1.4999999999999999E-2</v>
          </cell>
          <cell r="G690">
            <v>88789</v>
          </cell>
          <cell r="H690">
            <v>1332</v>
          </cell>
        </row>
        <row r="691">
          <cell r="A691" t="str">
            <v>005.078</v>
          </cell>
          <cell r="B691" t="str">
            <v>I1565</v>
          </cell>
          <cell r="C691" t="str">
            <v>ACARREO INTERNO</v>
          </cell>
          <cell r="D691" t="str">
            <v>Insumo</v>
          </cell>
          <cell r="E691" t="str">
            <v>UND</v>
          </cell>
          <cell r="F691">
            <v>0.16</v>
          </cell>
          <cell r="G691">
            <v>1327</v>
          </cell>
          <cell r="H691">
            <v>212</v>
          </cell>
        </row>
        <row r="692">
          <cell r="A692" t="str">
            <v>005.078</v>
          </cell>
          <cell r="B692" t="str">
            <v>I295</v>
          </cell>
          <cell r="C692" t="str">
            <v xml:space="preserve">PLATINAS ACERO A-36  </v>
          </cell>
          <cell r="D692" t="str">
            <v>Insumo</v>
          </cell>
          <cell r="E692" t="str">
            <v>KG</v>
          </cell>
          <cell r="F692">
            <v>1</v>
          </cell>
          <cell r="G692">
            <v>3662</v>
          </cell>
          <cell r="H692">
            <v>3662</v>
          </cell>
        </row>
        <row r="693">
          <cell r="A693" t="str">
            <v>005.078</v>
          </cell>
          <cell r="B693" t="str">
            <v>I435</v>
          </cell>
          <cell r="C693" t="str">
            <v>SOLDADURA ELECTRICA TIPO WESTARCO SUPER E- 6013  DE 1/8 O SIMILAR.</v>
          </cell>
          <cell r="D693" t="str">
            <v>Insumo</v>
          </cell>
          <cell r="E693" t="str">
            <v>KG</v>
          </cell>
          <cell r="F693">
            <v>0.3</v>
          </cell>
          <cell r="G693">
            <v>10755</v>
          </cell>
          <cell r="H693">
            <v>3227</v>
          </cell>
        </row>
        <row r="696">
          <cell r="A696" t="str">
            <v>033.146</v>
          </cell>
          <cell r="B696" t="str">
            <v>-</v>
          </cell>
          <cell r="C696" t="str">
            <v>SUMINISTRO, TRANSPORTE E INSTALACION PINTURA EXTERNA DE ALTOS SOLIDOS EPOXICA PARA TUBERIAS METALICAS</v>
          </cell>
          <cell r="D696" t="str">
            <v>Actividad</v>
          </cell>
          <cell r="E696" t="str">
            <v>M2</v>
          </cell>
          <cell r="H696">
            <v>77194</v>
          </cell>
        </row>
        <row r="697">
          <cell r="A697" t="str">
            <v>033.146</v>
          </cell>
          <cell r="B697" t="str">
            <v>C10</v>
          </cell>
          <cell r="C697" t="str">
            <v>CUADRILLA CC TIPO 2 (1 OFICIAL + 2 AYUDANTE) (Pintura)</v>
          </cell>
          <cell r="D697" t="str">
            <v>Cuadrilla</v>
          </cell>
          <cell r="E697" t="str">
            <v>HR</v>
          </cell>
          <cell r="F697">
            <v>1.3</v>
          </cell>
          <cell r="G697">
            <v>26608</v>
          </cell>
          <cell r="H697">
            <v>34590</v>
          </cell>
        </row>
        <row r="698">
          <cell r="A698" t="str">
            <v>033.146</v>
          </cell>
          <cell r="B698" t="str">
            <v>E1</v>
          </cell>
          <cell r="C698" t="str">
            <v>ANDAMIO METALICO CERTIFICADO, INCLUYE ESCALERILLA CON BARANDAS Y PLATAFORMAS DE TRABAJO</v>
          </cell>
          <cell r="D698" t="str">
            <v>Equipos</v>
          </cell>
          <cell r="E698" t="str">
            <v>UND</v>
          </cell>
          <cell r="F698">
            <v>0.3</v>
          </cell>
          <cell r="G698">
            <v>7257</v>
          </cell>
          <cell r="H698">
            <v>2177</v>
          </cell>
        </row>
        <row r="699">
          <cell r="A699" t="str">
            <v>033.146</v>
          </cell>
          <cell r="B699" t="str">
            <v>E12</v>
          </cell>
          <cell r="C699" t="str">
            <v>EQUIPO DE TRANSPORTE</v>
          </cell>
          <cell r="D699" t="str">
            <v>Equipos</v>
          </cell>
          <cell r="E699" t="str">
            <v>DIA</v>
          </cell>
          <cell r="F699">
            <v>2.8999999999999998E-3</v>
          </cell>
          <cell r="G699">
            <v>131205</v>
          </cell>
          <cell r="H699">
            <v>380</v>
          </cell>
        </row>
        <row r="700">
          <cell r="A700" t="str">
            <v>033.146</v>
          </cell>
          <cell r="B700" t="str">
            <v>E91</v>
          </cell>
          <cell r="C700" t="str">
            <v>EQUIPO DE PINTURA DE ALTA PRESION</v>
          </cell>
          <cell r="D700" t="str">
            <v>Equipos</v>
          </cell>
          <cell r="E700" t="str">
            <v>DIA</v>
          </cell>
          <cell r="F700">
            <v>0.25</v>
          </cell>
          <cell r="G700">
            <v>38051</v>
          </cell>
          <cell r="H700">
            <v>9513</v>
          </cell>
        </row>
        <row r="701">
          <cell r="A701" t="str">
            <v>033.146</v>
          </cell>
          <cell r="B701" t="str">
            <v>E92</v>
          </cell>
          <cell r="C701" t="str">
            <v>EQUIPO DE LIMPIEZA MECANICA</v>
          </cell>
          <cell r="D701" t="str">
            <v>Equipos</v>
          </cell>
          <cell r="E701" t="str">
            <v>DIA</v>
          </cell>
          <cell r="F701">
            <v>0.17</v>
          </cell>
          <cell r="G701">
            <v>38051</v>
          </cell>
          <cell r="H701">
            <v>6469</v>
          </cell>
        </row>
        <row r="702">
          <cell r="A702" t="str">
            <v>033.146</v>
          </cell>
          <cell r="B702" t="str">
            <v>H2</v>
          </cell>
          <cell r="C702" t="str">
            <v>EQUIPO BASICO (HERRAMIENTA MENOR)</v>
          </cell>
          <cell r="D702" t="str">
            <v>Herramienta</v>
          </cell>
          <cell r="E702" t="str">
            <v>UND</v>
          </cell>
          <cell r="F702">
            <v>1</v>
          </cell>
          <cell r="G702">
            <v>2536</v>
          </cell>
          <cell r="H702">
            <v>2536</v>
          </cell>
        </row>
        <row r="703">
          <cell r="A703" t="str">
            <v>033.146</v>
          </cell>
          <cell r="B703" t="str">
            <v>I1026</v>
          </cell>
          <cell r="C703" t="str">
            <v>PINTURA EPOXICA</v>
          </cell>
          <cell r="D703" t="str">
            <v>Insumo</v>
          </cell>
          <cell r="E703" t="str">
            <v>GAL</v>
          </cell>
          <cell r="F703">
            <v>7.0000000000000007E-2</v>
          </cell>
          <cell r="G703">
            <v>120061</v>
          </cell>
          <cell r="H703">
            <v>8404</v>
          </cell>
        </row>
        <row r="704">
          <cell r="A704" t="str">
            <v>033.146</v>
          </cell>
          <cell r="B704" t="str">
            <v>I1029</v>
          </cell>
          <cell r="C704" t="str">
            <v>IMPRIMANTE EPOXICO</v>
          </cell>
          <cell r="D704" t="str">
            <v>Insumo</v>
          </cell>
          <cell r="E704" t="str">
            <v>GAL</v>
          </cell>
          <cell r="F704">
            <v>7.0000000000000007E-2</v>
          </cell>
          <cell r="G704">
            <v>120061</v>
          </cell>
          <cell r="H704">
            <v>8404</v>
          </cell>
        </row>
        <row r="705">
          <cell r="A705" t="str">
            <v>033.146</v>
          </cell>
          <cell r="B705" t="str">
            <v>I1030</v>
          </cell>
          <cell r="C705" t="str">
            <v>COLMASOLVENTE EPOXICO AL 12,5%</v>
          </cell>
          <cell r="D705" t="str">
            <v>Insumo</v>
          </cell>
          <cell r="E705" t="str">
            <v>GAL</v>
          </cell>
          <cell r="F705">
            <v>0.04</v>
          </cell>
          <cell r="G705">
            <v>55218</v>
          </cell>
          <cell r="H705">
            <v>2209</v>
          </cell>
        </row>
        <row r="706">
          <cell r="A706" t="str">
            <v>033.146</v>
          </cell>
          <cell r="B706" t="str">
            <v>I1565</v>
          </cell>
          <cell r="C706" t="str">
            <v>ACARREO INTERNO</v>
          </cell>
          <cell r="D706" t="str">
            <v>Insumo</v>
          </cell>
          <cell r="E706" t="str">
            <v>UND</v>
          </cell>
          <cell r="F706">
            <v>1.8927</v>
          </cell>
          <cell r="G706">
            <v>1327</v>
          </cell>
          <cell r="H706">
            <v>2512</v>
          </cell>
        </row>
        <row r="709">
          <cell r="A709" t="str">
            <v>033.171</v>
          </cell>
          <cell r="C709" t="str">
            <v>SUMINISTRO TRANSPORTE E INSTALACION LONA TENSADA TIPO VALMEX FR 700 OPAK O SIMILAR, CON BLACKOUT PROTECCION UV Y TRATAMIENTO DE BAJA CAPILARIDAD (LOW-WICK) (incluye todos los herrajes, sellado y accesorios para la correcta instalacion )</v>
          </cell>
          <cell r="D709" t="str">
            <v>Actividad</v>
          </cell>
          <cell r="E709" t="str">
            <v>M2</v>
          </cell>
          <cell r="H709">
            <v>155386.9</v>
          </cell>
        </row>
        <row r="710">
          <cell r="A710" t="str">
            <v>033.171</v>
          </cell>
          <cell r="B710" t="str">
            <v>M03</v>
          </cell>
          <cell r="C710" t="str">
            <v>EQUIPO BASICO (HERRAMIENTA MENOR)</v>
          </cell>
          <cell r="D710" t="str">
            <v>Herramienta</v>
          </cell>
          <cell r="E710" t="str">
            <v>UND</v>
          </cell>
          <cell r="F710">
            <v>7</v>
          </cell>
          <cell r="G710">
            <v>2536</v>
          </cell>
          <cell r="H710">
            <v>17752</v>
          </cell>
        </row>
        <row r="711">
          <cell r="A711" t="str">
            <v>033.171</v>
          </cell>
          <cell r="B711" t="str">
            <v>O200</v>
          </cell>
          <cell r="C711" t="str">
            <v>LONA TIPO VALMEX 700 CON PROTECCION UV</v>
          </cell>
          <cell r="D711" t="str">
            <v>Insumo</v>
          </cell>
          <cell r="E711" t="str">
            <v>m2</v>
          </cell>
          <cell r="F711">
            <v>1.0029999999999999</v>
          </cell>
          <cell r="G711">
            <v>67800</v>
          </cell>
          <cell r="H711">
            <v>68003.399999999994</v>
          </cell>
        </row>
        <row r="712">
          <cell r="A712" t="str">
            <v>033.171</v>
          </cell>
          <cell r="B712" t="str">
            <v>M01</v>
          </cell>
          <cell r="C712" t="str">
            <v>ANDAMIO METALICO CERTIFICADO, INCLUYE ESCALERILLA CON BARANDAS Y PLATAFORMAS DE TRABAJO</v>
          </cell>
          <cell r="D712" t="str">
            <v>Equipo</v>
          </cell>
          <cell r="E712" t="str">
            <v>dia</v>
          </cell>
          <cell r="F712">
            <v>1.5</v>
          </cell>
          <cell r="G712">
            <v>7257</v>
          </cell>
          <cell r="H712">
            <v>10885.5</v>
          </cell>
        </row>
        <row r="713">
          <cell r="A713" t="str">
            <v>033.171</v>
          </cell>
          <cell r="B713" t="str">
            <v>I37</v>
          </cell>
          <cell r="C713" t="str">
            <v>CUADRILLA AA TIPO 3 (1 OFICIAL + 3 AYUDANTE) (Albañileria)</v>
          </cell>
          <cell r="D713" t="str">
            <v>Mano de Obra</v>
          </cell>
          <cell r="E713" t="str">
            <v>hr</v>
          </cell>
          <cell r="F713">
            <v>1</v>
          </cell>
          <cell r="G713">
            <v>32523</v>
          </cell>
          <cell r="H713">
            <v>32523</v>
          </cell>
        </row>
        <row r="714">
          <cell r="A714" t="str">
            <v>033.171</v>
          </cell>
          <cell r="C714" t="str">
            <v xml:space="preserve">HERRAJES Y ACCESORIOS </v>
          </cell>
          <cell r="D714" t="str">
            <v>Insumo</v>
          </cell>
          <cell r="E714" t="str">
            <v>gl</v>
          </cell>
          <cell r="F714">
            <v>1</v>
          </cell>
          <cell r="G714">
            <v>7000</v>
          </cell>
          <cell r="H714">
            <v>7000</v>
          </cell>
        </row>
        <row r="715">
          <cell r="A715" t="str">
            <v>033.171</v>
          </cell>
          <cell r="B715" t="str">
            <v>M18</v>
          </cell>
          <cell r="C715" t="str">
            <v>EQUIPO DE TRANSPORTE</v>
          </cell>
          <cell r="D715" t="str">
            <v>Equipo</v>
          </cell>
          <cell r="E715" t="str">
            <v>dia</v>
          </cell>
          <cell r="F715">
            <v>0.1</v>
          </cell>
          <cell r="G715">
            <v>131205</v>
          </cell>
          <cell r="H715">
            <v>13120.5</v>
          </cell>
        </row>
        <row r="716">
          <cell r="A716" t="str">
            <v>033.171</v>
          </cell>
          <cell r="B716" t="str">
            <v>I26</v>
          </cell>
          <cell r="C716" t="str">
            <v>ACARREO INTERNO</v>
          </cell>
          <cell r="D716" t="str">
            <v>Mano de Obra</v>
          </cell>
          <cell r="E716" t="str">
            <v>und</v>
          </cell>
          <cell r="F716">
            <v>0.5</v>
          </cell>
          <cell r="G716">
            <v>3897</v>
          </cell>
          <cell r="H716">
            <v>1948.5</v>
          </cell>
        </row>
        <row r="717">
          <cell r="A717" t="str">
            <v>033.171</v>
          </cell>
          <cell r="B717" t="str">
            <v xml:space="preserve">ST </v>
          </cell>
          <cell r="C717" t="str">
            <v xml:space="preserve">TERMO SELLADO </v>
          </cell>
          <cell r="D717" t="str">
            <v>Mano de Obra</v>
          </cell>
          <cell r="E717" t="str">
            <v>ml</v>
          </cell>
          <cell r="F717">
            <v>1</v>
          </cell>
          <cell r="G717">
            <v>4154</v>
          </cell>
          <cell r="H717">
            <v>4154</v>
          </cell>
        </row>
        <row r="720">
          <cell r="A720" t="str">
            <v>027.015</v>
          </cell>
          <cell r="B720" t="str">
            <v>-</v>
          </cell>
          <cell r="C720" t="str">
            <v xml:space="preserve">SUMINISTRO, TRANSPORTE E INSTALACION DADOS EN CONCRETO REFORZADO 3000 PSI </v>
          </cell>
          <cell r="D720" t="str">
            <v>Actividad</v>
          </cell>
          <cell r="E720" t="str">
            <v>M3</v>
          </cell>
          <cell r="H720">
            <v>726075</v>
          </cell>
        </row>
        <row r="721">
          <cell r="A721" t="str">
            <v>027.015</v>
          </cell>
          <cell r="B721" t="str">
            <v>AB5</v>
          </cell>
          <cell r="C721" t="str">
            <v>CONCRETO 3000 psi - 21 Mpa</v>
          </cell>
          <cell r="D721" t="str">
            <v>Analisis</v>
          </cell>
          <cell r="E721" t="str">
            <v>M3</v>
          </cell>
          <cell r="F721">
            <v>1.05</v>
          </cell>
          <cell r="G721">
            <v>421155</v>
          </cell>
          <cell r="H721">
            <v>442213</v>
          </cell>
        </row>
        <row r="722">
          <cell r="A722" t="str">
            <v>027.015</v>
          </cell>
          <cell r="B722" t="str">
            <v>C36</v>
          </cell>
          <cell r="C722" t="str">
            <v>CUADRILLA AA TIPO 6 (1 OFICIAL + 6 AYUDANTE) (Albañileria)</v>
          </cell>
          <cell r="D722" t="str">
            <v>Cuadrilla</v>
          </cell>
          <cell r="E722" t="str">
            <v>HR</v>
          </cell>
          <cell r="F722">
            <v>3.35</v>
          </cell>
          <cell r="G722">
            <v>48852</v>
          </cell>
          <cell r="H722">
            <v>163654</v>
          </cell>
        </row>
        <row r="723">
          <cell r="A723" t="str">
            <v>027.015</v>
          </cell>
          <cell r="B723" t="str">
            <v>E117</v>
          </cell>
          <cell r="C723" t="str">
            <v>CERCHA VIGA METALICA</v>
          </cell>
          <cell r="D723" t="str">
            <v>Equipos</v>
          </cell>
          <cell r="E723" t="str">
            <v>DIA</v>
          </cell>
          <cell r="F723">
            <v>45</v>
          </cell>
          <cell r="G723">
            <v>154</v>
          </cell>
          <cell r="H723">
            <v>6930</v>
          </cell>
        </row>
        <row r="724">
          <cell r="A724" t="str">
            <v>027.015</v>
          </cell>
          <cell r="B724" t="str">
            <v>E12</v>
          </cell>
          <cell r="C724" t="str">
            <v>EQUIPO DE TRANSPORTE</v>
          </cell>
          <cell r="D724" t="str">
            <v>Equipos</v>
          </cell>
          <cell r="E724" t="str">
            <v>DIA</v>
          </cell>
          <cell r="F724">
            <v>7.6999999999999999E-2</v>
          </cell>
          <cell r="G724">
            <v>131205</v>
          </cell>
          <cell r="H724">
            <v>10103</v>
          </cell>
        </row>
        <row r="725">
          <cell r="A725" t="str">
            <v>027.015</v>
          </cell>
          <cell r="B725" t="str">
            <v>E21</v>
          </cell>
          <cell r="C725" t="str">
            <v>VIBRADOR A GASOLINA</v>
          </cell>
          <cell r="D725" t="str">
            <v>Equipos</v>
          </cell>
          <cell r="E725" t="str">
            <v>DIA</v>
          </cell>
          <cell r="F725">
            <v>0.1</v>
          </cell>
          <cell r="G725">
            <v>51948</v>
          </cell>
          <cell r="H725">
            <v>5195</v>
          </cell>
        </row>
        <row r="726">
          <cell r="A726" t="str">
            <v>027.015</v>
          </cell>
          <cell r="B726" t="str">
            <v>E35</v>
          </cell>
          <cell r="C726" t="str">
            <v>TABLERO  1.40 X 0,70</v>
          </cell>
          <cell r="D726" t="str">
            <v>Equipos</v>
          </cell>
          <cell r="E726" t="str">
            <v>DIA</v>
          </cell>
          <cell r="F726">
            <v>45</v>
          </cell>
          <cell r="G726">
            <v>343</v>
          </cell>
          <cell r="H726">
            <v>15435</v>
          </cell>
        </row>
        <row r="727">
          <cell r="A727" t="str">
            <v>027.015</v>
          </cell>
          <cell r="B727" t="str">
            <v>H2</v>
          </cell>
          <cell r="C727" t="str">
            <v>EQUIPO BASICO (HERRAMIENTA MENOR)</v>
          </cell>
          <cell r="D727" t="str">
            <v>Herramienta</v>
          </cell>
          <cell r="E727" t="str">
            <v>UND</v>
          </cell>
          <cell r="F727">
            <v>3.35</v>
          </cell>
          <cell r="G727">
            <v>2536</v>
          </cell>
          <cell r="H727">
            <v>8496</v>
          </cell>
        </row>
        <row r="728">
          <cell r="A728" t="str">
            <v>027.015</v>
          </cell>
          <cell r="B728" t="str">
            <v>I1565</v>
          </cell>
          <cell r="C728" t="str">
            <v>ACARREO INTERNO</v>
          </cell>
          <cell r="D728" t="str">
            <v>Insumo</v>
          </cell>
          <cell r="E728" t="str">
            <v>UND</v>
          </cell>
          <cell r="F728">
            <v>9</v>
          </cell>
          <cell r="G728">
            <v>1327</v>
          </cell>
          <cell r="H728">
            <v>11943</v>
          </cell>
        </row>
        <row r="729">
          <cell r="A729" t="str">
            <v>027.015</v>
          </cell>
          <cell r="B729" t="str">
            <v>I425</v>
          </cell>
          <cell r="C729" t="str">
            <v>PUNTILLA CON CABEZA 2"</v>
          </cell>
          <cell r="D729" t="str">
            <v>Insumo</v>
          </cell>
          <cell r="E729" t="str">
            <v>LB</v>
          </cell>
          <cell r="F729">
            <v>2</v>
          </cell>
          <cell r="G729">
            <v>3585</v>
          </cell>
          <cell r="H729">
            <v>7170</v>
          </cell>
        </row>
        <row r="735">
          <cell r="A735" t="str">
            <v>010</v>
          </cell>
          <cell r="C735" t="str">
            <v>PARQUE BIOSALUDABLE</v>
          </cell>
          <cell r="D735" t="str">
            <v>Capitulo</v>
          </cell>
        </row>
        <row r="738">
          <cell r="A738" t="str">
            <v>033.176</v>
          </cell>
          <cell r="B738" t="str">
            <v>-</v>
          </cell>
          <cell r="C738" t="str">
            <v xml:space="preserve">SUMINISTRO, TRANSPORTE E INSTALACION CONCRETO 3000 PSI    E= 0.10M.  </v>
          </cell>
          <cell r="D738" t="str">
            <v>Actividad</v>
          </cell>
          <cell r="E738" t="str">
            <v>M2</v>
          </cell>
          <cell r="H738">
            <v>88574</v>
          </cell>
        </row>
        <row r="739">
          <cell r="A739" t="str">
            <v>033.176</v>
          </cell>
          <cell r="B739" t="str">
            <v>AB20</v>
          </cell>
          <cell r="C739" t="str">
            <v>MORTERO 1:3</v>
          </cell>
          <cell r="D739" t="str">
            <v>Analisis</v>
          </cell>
          <cell r="E739" t="str">
            <v>M3</v>
          </cell>
          <cell r="F739">
            <v>1.0999999999999999E-2</v>
          </cell>
          <cell r="G739">
            <v>449080</v>
          </cell>
          <cell r="H739">
            <v>4940</v>
          </cell>
        </row>
        <row r="740">
          <cell r="A740" t="str">
            <v>033.176</v>
          </cell>
          <cell r="B740" t="str">
            <v>AB5</v>
          </cell>
          <cell r="C740" t="str">
            <v>CONCRETO 3000 psi - 21 Mpa</v>
          </cell>
          <cell r="D740" t="str">
            <v>Analisis</v>
          </cell>
          <cell r="E740" t="str">
            <v>M3</v>
          </cell>
          <cell r="F740">
            <v>0.1</v>
          </cell>
          <cell r="G740">
            <v>421155</v>
          </cell>
          <cell r="H740">
            <v>42116</v>
          </cell>
        </row>
        <row r="741">
          <cell r="A741" t="str">
            <v>033.176</v>
          </cell>
          <cell r="B741" t="str">
            <v>C15</v>
          </cell>
          <cell r="C741" t="str">
            <v>CUADRILLA AA TIPO 3 (1 OFICIAL + 3 AYUDANTE) (Albañileria)</v>
          </cell>
          <cell r="D741" t="str">
            <v>Cuadrilla</v>
          </cell>
          <cell r="E741" t="str">
            <v>HR</v>
          </cell>
          <cell r="F741">
            <v>1</v>
          </cell>
          <cell r="G741">
            <v>29568</v>
          </cell>
          <cell r="H741">
            <v>29568</v>
          </cell>
        </row>
        <row r="742">
          <cell r="A742" t="str">
            <v>033.176</v>
          </cell>
          <cell r="B742" t="str">
            <v>E104</v>
          </cell>
          <cell r="C742" t="str">
            <v>FORMALETA SARDINEL DESDE 0.20 HASTA 0.60 M. DE ALTURA POR 2.00 M. DE LONGITUD</v>
          </cell>
          <cell r="D742" t="str">
            <v>Equipos</v>
          </cell>
          <cell r="E742" t="str">
            <v>DIA</v>
          </cell>
          <cell r="F742">
            <v>1.5</v>
          </cell>
          <cell r="G742">
            <v>353</v>
          </cell>
          <cell r="H742">
            <v>530</v>
          </cell>
        </row>
        <row r="743">
          <cell r="A743" t="str">
            <v>033.176</v>
          </cell>
          <cell r="B743" t="str">
            <v>E12</v>
          </cell>
          <cell r="C743" t="str">
            <v>EQUIPO DE TRANSPORTE</v>
          </cell>
          <cell r="D743" t="str">
            <v>Equipos</v>
          </cell>
          <cell r="E743" t="str">
            <v>DIA</v>
          </cell>
          <cell r="F743">
            <v>1.4E-2</v>
          </cell>
          <cell r="G743">
            <v>131205</v>
          </cell>
          <cell r="H743">
            <v>1837</v>
          </cell>
        </row>
        <row r="744">
          <cell r="A744" t="str">
            <v>033.176</v>
          </cell>
          <cell r="B744" t="str">
            <v>H2</v>
          </cell>
          <cell r="C744" t="str">
            <v>EQUIPO BASICO (HERRAMIENTA MENOR)</v>
          </cell>
          <cell r="D744" t="str">
            <v>Herramienta</v>
          </cell>
          <cell r="E744" t="str">
            <v>UND</v>
          </cell>
          <cell r="F744">
            <v>0.4</v>
          </cell>
          <cell r="G744">
            <v>2536</v>
          </cell>
          <cell r="H744">
            <v>1014</v>
          </cell>
        </row>
        <row r="745">
          <cell r="A745" t="str">
            <v>033.176</v>
          </cell>
          <cell r="B745" t="str">
            <v>I1565</v>
          </cell>
          <cell r="C745" t="str">
            <v>ACARREO INTERNO</v>
          </cell>
          <cell r="D745" t="str">
            <v>Insumo</v>
          </cell>
          <cell r="E745" t="str">
            <v>UND</v>
          </cell>
          <cell r="F745">
            <v>1.8</v>
          </cell>
          <cell r="G745">
            <v>1327</v>
          </cell>
          <cell r="H745">
            <v>2389</v>
          </cell>
        </row>
        <row r="746">
          <cell r="A746" t="str">
            <v>033.176</v>
          </cell>
          <cell r="B746" t="str">
            <v>I423</v>
          </cell>
          <cell r="C746" t="str">
            <v>POLIETILENO NO. 6</v>
          </cell>
          <cell r="D746" t="str">
            <v>Insumo</v>
          </cell>
          <cell r="E746" t="str">
            <v>M2</v>
          </cell>
          <cell r="F746">
            <v>1</v>
          </cell>
          <cell r="G746">
            <v>3585</v>
          </cell>
          <cell r="H746">
            <v>3585</v>
          </cell>
        </row>
        <row r="747">
          <cell r="A747" t="str">
            <v>033.176</v>
          </cell>
          <cell r="B747" t="str">
            <v>I957</v>
          </cell>
          <cell r="C747" t="str">
            <v>LISTON 2 X 4</v>
          </cell>
          <cell r="D747" t="str">
            <v>Insumo</v>
          </cell>
          <cell r="E747" t="str">
            <v>M</v>
          </cell>
          <cell r="F747">
            <v>0.8</v>
          </cell>
          <cell r="G747">
            <v>3244</v>
          </cell>
          <cell r="H747">
            <v>2595</v>
          </cell>
        </row>
        <row r="750">
          <cell r="A750" t="str">
            <v>033.177</v>
          </cell>
          <cell r="C750" t="str">
            <v>SUMINISTRO, TRANSPORTE E INSTALACION ESTACIONAMIENTO PARA BICICLETAS MODELO KEY TIPO SANTA &amp; COLE O SIMILAR. PARA DOS BICICLETAS, CON CUERPO EN ESPUMA DE POLIURETANO COLOR ROJO, ESTRUCTURA INTERIOR DE PERFILES DE ACERO Y BASE DE FUNDICION DE ALUMINIO PINT</v>
          </cell>
          <cell r="D750" t="str">
            <v>Actividad</v>
          </cell>
          <cell r="E750" t="str">
            <v>und</v>
          </cell>
          <cell r="H750">
            <v>585308.19000000006</v>
          </cell>
        </row>
        <row r="751">
          <cell r="A751" t="str">
            <v>033.177</v>
          </cell>
          <cell r="B751" t="str">
            <v>N32</v>
          </cell>
          <cell r="C751" t="str">
            <v xml:space="preserve">ESTACIONAMIENTO PARA BICICLETAS MODELO KEY TIPO SANTA &amp; COLE O SIMILAR. PARA DOS BICICLETAS, CON CUERPO EN ESPUMA DE POLIURETANO COLOR ROJO, ESTRUCTURA INTERIOR DE PERFILES DE ACERO Y BASE DE FUNDICION DE ALUMINIO PINTADA EN COLOR GRIS, INCLUYE PERNOS DE </v>
          </cell>
          <cell r="D751" t="str">
            <v>Insumo</v>
          </cell>
          <cell r="E751" t="str">
            <v>und</v>
          </cell>
          <cell r="F751">
            <v>1</v>
          </cell>
          <cell r="G751">
            <v>460123.5</v>
          </cell>
          <cell r="H751">
            <v>460124</v>
          </cell>
        </row>
        <row r="752">
          <cell r="A752" t="str">
            <v>033.177</v>
          </cell>
          <cell r="B752" t="str">
            <v>H21</v>
          </cell>
          <cell r="C752" t="str">
            <v>CONCRETO 3000 psi - 21 Mpa</v>
          </cell>
          <cell r="D752" t="str">
            <v>Analisis</v>
          </cell>
          <cell r="E752" t="str">
            <v>m3</v>
          </cell>
          <cell r="F752">
            <v>0.22081063853292088</v>
          </cell>
          <cell r="G752">
            <v>320424</v>
          </cell>
          <cell r="H752">
            <v>70753</v>
          </cell>
        </row>
        <row r="753">
          <cell r="A753" t="str">
            <v>033.177</v>
          </cell>
          <cell r="B753" t="str">
            <v>HM1</v>
          </cell>
          <cell r="C753" t="str">
            <v xml:space="preserve">MORTERO DE RESINA EPOXI CON ARENA DE SILICE, DE ENDURECIMIENTO RAPIDO, PARA RELLENO DE ANCLAJES </v>
          </cell>
          <cell r="D753" t="str">
            <v>Insumo</v>
          </cell>
          <cell r="E753" t="str">
            <v>kg</v>
          </cell>
          <cell r="F753">
            <v>0.2</v>
          </cell>
          <cell r="G753">
            <v>9046.5400000000009</v>
          </cell>
          <cell r="H753">
            <v>1809</v>
          </cell>
        </row>
        <row r="754">
          <cell r="A754" t="str">
            <v>033.177</v>
          </cell>
          <cell r="B754" t="str">
            <v>I03</v>
          </cell>
          <cell r="C754" t="str">
            <v>CUADRILLA AA TIPO 1 (1 OFICIAL + 1 AYUDANTE) (Albañileria)</v>
          </cell>
          <cell r="D754" t="str">
            <v>Mano de Obra</v>
          </cell>
          <cell r="E754" t="str">
            <v>hr</v>
          </cell>
          <cell r="F754">
            <v>1.1299999999999999</v>
          </cell>
          <cell r="G754">
            <v>12682</v>
          </cell>
          <cell r="H754">
            <v>14331</v>
          </cell>
        </row>
        <row r="757">
          <cell r="A757" t="str">
            <v>033.178</v>
          </cell>
          <cell r="C757" t="str">
            <v xml:space="preserve">SUMINISTRO, TRANSPORTE E INSTALACION BICICLETA ESTATICA DE GIMNASIO AL AIRE LIBRE TIPO TEMECA O SIMILAR </v>
          </cell>
          <cell r="D757" t="str">
            <v>Actividad</v>
          </cell>
          <cell r="E757" t="str">
            <v>und</v>
          </cell>
          <cell r="H757">
            <v>2033000.0000000002</v>
          </cell>
        </row>
        <row r="758">
          <cell r="A758" t="str">
            <v>033.178</v>
          </cell>
          <cell r="B758" t="str">
            <v>BE</v>
          </cell>
          <cell r="C758" t="str">
            <v xml:space="preserve">BICICLETA ESTATICA TIPO F-TEC FABRICADA EN TUBERIA ESTRUCTURAL ASTM, CON PINTURA EN CROMATO DE ZINC Y BARNIS PARA INTEMPERIE </v>
          </cell>
          <cell r="D758" t="str">
            <v xml:space="preserve">Insumo </v>
          </cell>
          <cell r="E758" t="str">
            <v>und</v>
          </cell>
          <cell r="F758">
            <v>1</v>
          </cell>
          <cell r="G758">
            <v>1900000</v>
          </cell>
          <cell r="H758">
            <v>2033000.0000000002</v>
          </cell>
        </row>
        <row r="761">
          <cell r="A761" t="str">
            <v>033.179</v>
          </cell>
          <cell r="C761" t="str">
            <v xml:space="preserve">SUMINISTRO, TRANSPORTE E INSTALACION MAQUINA TWISTER CINTURA  </v>
          </cell>
          <cell r="D761" t="str">
            <v>Actividad</v>
          </cell>
          <cell r="E761" t="str">
            <v>und</v>
          </cell>
          <cell r="H761">
            <v>2140000</v>
          </cell>
        </row>
        <row r="762">
          <cell r="A762" t="str">
            <v>033.179</v>
          </cell>
          <cell r="B762" t="str">
            <v>CIN</v>
          </cell>
          <cell r="C762" t="str">
            <v>MAQUINA TWSTER CINTURA EN TUBERIA DE 4" CAL 3.2MM SOLDADA CON CORDONES EN TODO EL PERIMETRO, CON SISTEMA DE SOLDADURA MIG ELECTRODOS E6010 RECUBIERTO E7018</v>
          </cell>
          <cell r="D762" t="str">
            <v>Insumo</v>
          </cell>
          <cell r="E762" t="str">
            <v>und</v>
          </cell>
          <cell r="F762">
            <v>1</v>
          </cell>
          <cell r="G762">
            <v>2000000</v>
          </cell>
          <cell r="H762">
            <v>2140000</v>
          </cell>
        </row>
        <row r="765">
          <cell r="A765" t="str">
            <v>033.180</v>
          </cell>
          <cell r="C765" t="str">
            <v xml:space="preserve">SUMINISTRO, TRANSPORTE E INSTALACION MAQUINA TIPO REMO EN TUBERIA ESTRUCTURAL ASTM </v>
          </cell>
          <cell r="D765" t="str">
            <v>Actividad</v>
          </cell>
          <cell r="E765" t="str">
            <v>und</v>
          </cell>
          <cell r="H765">
            <v>2140000</v>
          </cell>
        </row>
        <row r="766">
          <cell r="A766" t="str">
            <v>033.180</v>
          </cell>
          <cell r="B766" t="str">
            <v>REM</v>
          </cell>
          <cell r="C766" t="str">
            <v>MAQUINA TIPO REMO  EN TUBERIA ESTRUCTURAL ASTM, DIAMETROS EMPLEADOS DE 4",2",1 1/2", 1", 3/4". SOLDADURAS EN Mig ir536, sw 7018, CON TORNILLOS DE IMPACTO ANTIRROBO Y COMPONENES DE APOYO EN CAUCHO VULCANIZADO</v>
          </cell>
          <cell r="D766" t="str">
            <v>Insumo</v>
          </cell>
          <cell r="E766" t="str">
            <v>und</v>
          </cell>
          <cell r="F766">
            <v>1</v>
          </cell>
          <cell r="G766">
            <v>2000000</v>
          </cell>
          <cell r="H766">
            <v>2140000</v>
          </cell>
        </row>
        <row r="769">
          <cell r="A769" t="str">
            <v>033.181</v>
          </cell>
          <cell r="C769" t="str">
            <v xml:space="preserve">SUMINISTRO, TRANSPORTE E INSTALACION MAQUINA TIPO PRENSA EN TUBERIA ESTRUCTURAL ASTM TIPO TEMECA MODELO F9 O SIMILAR </v>
          </cell>
          <cell r="D769" t="str">
            <v>Actividad</v>
          </cell>
          <cell r="E769" t="str">
            <v>und</v>
          </cell>
          <cell r="H769">
            <v>2140000</v>
          </cell>
        </row>
        <row r="770">
          <cell r="A770" t="str">
            <v>033.181</v>
          </cell>
          <cell r="B770" t="str">
            <v xml:space="preserve">PREN </v>
          </cell>
          <cell r="C770" t="str">
            <v>MAQUINA TIPO PENDULO  EN TUBERIA DE 4" CAL 4MM SOLDADA CON CORDONES EN TODO EL PERIMETRO, CON SISTEMA DE SOLDADURA MIG ELECTRODOS E6010 RECUBIERTO E7018</v>
          </cell>
          <cell r="D770" t="str">
            <v>Insumo</v>
          </cell>
          <cell r="E770" t="str">
            <v>und</v>
          </cell>
          <cell r="F770">
            <v>1</v>
          </cell>
          <cell r="G770">
            <v>2000000</v>
          </cell>
          <cell r="H770">
            <v>2140000</v>
          </cell>
        </row>
        <row r="773">
          <cell r="A773" t="str">
            <v>033.182</v>
          </cell>
          <cell r="C773" t="str">
            <v xml:space="preserve">SUMINISTRO, TRANSPORTE E INSTALACION MAQUINA TIPO BARRAS PARALELAS </v>
          </cell>
          <cell r="D773" t="str">
            <v>Actividad</v>
          </cell>
          <cell r="E773" t="str">
            <v>und</v>
          </cell>
          <cell r="H773">
            <v>2140000</v>
          </cell>
        </row>
        <row r="774">
          <cell r="A774" t="str">
            <v>033.182</v>
          </cell>
          <cell r="B774" t="str">
            <v>BARR</v>
          </cell>
          <cell r="C774" t="str">
            <v>MAQUINA TIPO BARRAS PARALELAS EN TUBERIA DE 4" CAL 4MM SOLDADA CON CORDONES EN TODO EL PERIMETRO, CON SISTEMA DE SOLDADURA MIG ELECTRODOS E6010 RECUBIERTO E7018</v>
          </cell>
          <cell r="D774" t="str">
            <v>Insumo</v>
          </cell>
          <cell r="E774" t="str">
            <v>und</v>
          </cell>
          <cell r="F774">
            <v>1</v>
          </cell>
          <cell r="G774">
            <v>2000000</v>
          </cell>
          <cell r="H774">
            <v>2140000</v>
          </cell>
        </row>
        <row r="777">
          <cell r="A777" t="str">
            <v>021.025</v>
          </cell>
          <cell r="B777" t="str">
            <v>-</v>
          </cell>
          <cell r="C777" t="str">
            <v>SUMINISTRO, TRANSPORTE E INSTALACION ARBOL DE GRAN PORTE H=1,50M</v>
          </cell>
          <cell r="D777" t="str">
            <v>Actividad</v>
          </cell>
          <cell r="E777" t="str">
            <v>UND</v>
          </cell>
          <cell r="H777">
            <v>207672</v>
          </cell>
        </row>
        <row r="778">
          <cell r="A778" t="str">
            <v>021.025</v>
          </cell>
          <cell r="B778" t="str">
            <v>C1</v>
          </cell>
          <cell r="C778" t="str">
            <v>CUADRILLA AA TIPO 1 (1 OFICIAL + 1 AYUDANTE) (Albañileria)</v>
          </cell>
          <cell r="D778" t="str">
            <v>Cuadrilla</v>
          </cell>
          <cell r="E778" t="str">
            <v>HR</v>
          </cell>
          <cell r="F778">
            <v>1.7</v>
          </cell>
          <cell r="G778">
            <v>16712</v>
          </cell>
          <cell r="H778">
            <v>28410</v>
          </cell>
        </row>
        <row r="779">
          <cell r="A779" t="str">
            <v>021.025</v>
          </cell>
          <cell r="B779" t="str">
            <v>E12</v>
          </cell>
          <cell r="C779" t="str">
            <v>EQUIPO DE TRANSPORTE</v>
          </cell>
          <cell r="D779" t="str">
            <v>Equipos</v>
          </cell>
          <cell r="E779" t="str">
            <v>DIA</v>
          </cell>
          <cell r="F779">
            <v>0.03</v>
          </cell>
          <cell r="G779">
            <v>131205</v>
          </cell>
          <cell r="H779">
            <v>3936</v>
          </cell>
        </row>
        <row r="780">
          <cell r="A780" t="str">
            <v>021.025</v>
          </cell>
          <cell r="B780" t="str">
            <v>H2</v>
          </cell>
          <cell r="C780" t="str">
            <v>EQUIPO BASICO (HERRAMIENTA MENOR)</v>
          </cell>
          <cell r="D780" t="str">
            <v>Herramienta</v>
          </cell>
          <cell r="E780" t="str">
            <v>UND</v>
          </cell>
          <cell r="F780">
            <v>0.23</v>
          </cell>
          <cell r="G780">
            <v>2536</v>
          </cell>
          <cell r="H780">
            <v>583</v>
          </cell>
        </row>
        <row r="781">
          <cell r="A781" t="str">
            <v>021.025</v>
          </cell>
          <cell r="B781" t="str">
            <v>I1565</v>
          </cell>
          <cell r="C781" t="str">
            <v>ACARREO INTERNO</v>
          </cell>
          <cell r="D781" t="str">
            <v>Insumo</v>
          </cell>
          <cell r="E781" t="str">
            <v>UND</v>
          </cell>
          <cell r="F781">
            <v>1.8</v>
          </cell>
          <cell r="G781">
            <v>1327</v>
          </cell>
          <cell r="H781">
            <v>2389</v>
          </cell>
        </row>
        <row r="782">
          <cell r="A782" t="str">
            <v>021.025</v>
          </cell>
          <cell r="B782" t="str">
            <v>I384</v>
          </cell>
          <cell r="C782" t="str">
            <v>ARBOL DE GRAN PORTE</v>
          </cell>
          <cell r="D782" t="str">
            <v>Insumo</v>
          </cell>
          <cell r="E782" t="str">
            <v>UND</v>
          </cell>
          <cell r="F782">
            <v>1</v>
          </cell>
          <cell r="G782">
            <v>172354</v>
          </cell>
          <cell r="H782">
            <v>172354</v>
          </cell>
        </row>
        <row r="784">
          <cell r="A784" t="str">
            <v>011</v>
          </cell>
          <cell r="C784" t="str">
            <v>MODULO BAÑOS Y CELADOR</v>
          </cell>
          <cell r="D784" t="str">
            <v>Capitulo</v>
          </cell>
        </row>
        <row r="787">
          <cell r="A787" t="str">
            <v>003.013</v>
          </cell>
          <cell r="B787" t="str">
            <v>-</v>
          </cell>
          <cell r="C787" t="str">
            <v>SUMINISTRO, TRANSPORTE E INSTALACION PUNTO DESAGUE PVC   2" Aparatos sanitarios y desagues  (INCLUYE CODO, YEE Y ACCESORIOS)</v>
          </cell>
          <cell r="D787" t="str">
            <v>Actividad</v>
          </cell>
          <cell r="E787" t="str">
            <v>UND</v>
          </cell>
          <cell r="H787">
            <v>74202</v>
          </cell>
        </row>
        <row r="788">
          <cell r="A788" t="str">
            <v>003.013</v>
          </cell>
          <cell r="B788" t="str">
            <v>C9</v>
          </cell>
          <cell r="C788" t="str">
            <v>CUADRILLA BB TIPO 2 (1 OFICIAL + 2 AYUDANTE) (Instalaciones)</v>
          </cell>
          <cell r="D788" t="str">
            <v>Cuadrilla</v>
          </cell>
          <cell r="E788" t="str">
            <v>HR</v>
          </cell>
          <cell r="F788">
            <v>1.35</v>
          </cell>
          <cell r="G788">
            <v>25453</v>
          </cell>
          <cell r="H788">
            <v>34362</v>
          </cell>
        </row>
        <row r="789">
          <cell r="A789" t="str">
            <v>003.013</v>
          </cell>
          <cell r="B789" t="str">
            <v>E12</v>
          </cell>
          <cell r="C789" t="str">
            <v>EQUIPO DE TRANSPORTE</v>
          </cell>
          <cell r="D789" t="str">
            <v>Equipos</v>
          </cell>
          <cell r="E789" t="str">
            <v>DIA</v>
          </cell>
          <cell r="F789">
            <v>5.0000000000000001E-3</v>
          </cell>
          <cell r="G789">
            <v>131205</v>
          </cell>
          <cell r="H789">
            <v>656</v>
          </cell>
        </row>
        <row r="790">
          <cell r="A790" t="str">
            <v>003.013</v>
          </cell>
          <cell r="B790" t="str">
            <v>H2</v>
          </cell>
          <cell r="C790" t="str">
            <v>EQUIPO BASICO (HERRAMIENTA MENOR)</v>
          </cell>
          <cell r="D790" t="str">
            <v>Herramienta</v>
          </cell>
          <cell r="E790" t="str">
            <v>UND</v>
          </cell>
          <cell r="F790">
            <v>0.2</v>
          </cell>
          <cell r="G790">
            <v>2536</v>
          </cell>
          <cell r="H790">
            <v>507</v>
          </cell>
        </row>
        <row r="791">
          <cell r="A791" t="str">
            <v>003.013</v>
          </cell>
          <cell r="B791" t="str">
            <v>I1565</v>
          </cell>
          <cell r="C791" t="str">
            <v>ACARREO INTERNO</v>
          </cell>
          <cell r="D791" t="str">
            <v>Insumo</v>
          </cell>
          <cell r="E791" t="str">
            <v>UND</v>
          </cell>
          <cell r="F791">
            <v>2.4</v>
          </cell>
          <cell r="G791">
            <v>1327</v>
          </cell>
          <cell r="H791">
            <v>3185</v>
          </cell>
        </row>
        <row r="792">
          <cell r="A792" t="str">
            <v>003.013</v>
          </cell>
          <cell r="B792" t="str">
            <v>I574</v>
          </cell>
          <cell r="C792" t="str">
            <v>CODO 90° 1/4 CXC SANITARIO 2''</v>
          </cell>
          <cell r="D792" t="str">
            <v>Insumo</v>
          </cell>
          <cell r="E792" t="str">
            <v>UND</v>
          </cell>
          <cell r="F792">
            <v>1</v>
          </cell>
          <cell r="G792">
            <v>3107</v>
          </cell>
          <cell r="H792">
            <v>3107</v>
          </cell>
        </row>
        <row r="793">
          <cell r="A793" t="str">
            <v>003.013</v>
          </cell>
          <cell r="B793" t="str">
            <v>I614</v>
          </cell>
          <cell r="C793" t="str">
            <v>LIMPIADOR REM PVC 760 GRMS. (1/4)</v>
          </cell>
          <cell r="D793" t="str">
            <v>Insumo</v>
          </cell>
          <cell r="E793" t="str">
            <v>UND</v>
          </cell>
          <cell r="F793">
            <v>0.05</v>
          </cell>
          <cell r="G793">
            <v>45425</v>
          </cell>
          <cell r="H793">
            <v>2271</v>
          </cell>
        </row>
        <row r="794">
          <cell r="A794" t="str">
            <v>003.013</v>
          </cell>
          <cell r="B794" t="str">
            <v>I647</v>
          </cell>
          <cell r="C794" t="str">
            <v>SOLDADURA PVC LIQUIDA 1/4</v>
          </cell>
          <cell r="D794" t="str">
            <v>Insumo</v>
          </cell>
          <cell r="E794" t="str">
            <v>UND</v>
          </cell>
          <cell r="F794">
            <v>0.05</v>
          </cell>
          <cell r="G794">
            <v>94162</v>
          </cell>
          <cell r="H794">
            <v>4708</v>
          </cell>
        </row>
        <row r="795">
          <cell r="A795" t="str">
            <v>003.013</v>
          </cell>
          <cell r="B795" t="str">
            <v>I752</v>
          </cell>
          <cell r="C795" t="str">
            <v xml:space="preserve">TUBO PVC SANITARIO 2'' </v>
          </cell>
          <cell r="D795" t="str">
            <v>Insumo</v>
          </cell>
          <cell r="E795" t="str">
            <v>M</v>
          </cell>
          <cell r="F795">
            <v>1.55</v>
          </cell>
          <cell r="G795">
            <v>11785</v>
          </cell>
          <cell r="H795">
            <v>18267</v>
          </cell>
        </row>
        <row r="796">
          <cell r="A796" t="str">
            <v>003.013</v>
          </cell>
          <cell r="B796" t="str">
            <v>I825</v>
          </cell>
          <cell r="C796" t="str">
            <v xml:space="preserve">YEE SANITARIA 2'' </v>
          </cell>
          <cell r="D796" t="str">
            <v>Insumo</v>
          </cell>
          <cell r="E796" t="str">
            <v>UND</v>
          </cell>
          <cell r="F796">
            <v>1</v>
          </cell>
          <cell r="G796">
            <v>7139</v>
          </cell>
          <cell r="H796">
            <v>7139</v>
          </cell>
        </row>
        <row r="799">
          <cell r="A799" t="str">
            <v>003.015</v>
          </cell>
          <cell r="B799" t="str">
            <v>-</v>
          </cell>
          <cell r="C799" t="str">
            <v>SUMINISTRO, TRANSPORTE E INSTALACION PUNTO DESAGUE PVC   4" Aparatos sanitarios (INCLUYE CODO, YEE Y ACCESORIOS)</v>
          </cell>
          <cell r="D799" t="str">
            <v>Actividad</v>
          </cell>
          <cell r="E799" t="str">
            <v>UND</v>
          </cell>
          <cell r="H799">
            <v>126650</v>
          </cell>
        </row>
        <row r="800">
          <cell r="A800" t="str">
            <v>003.015</v>
          </cell>
          <cell r="B800" t="str">
            <v>C9</v>
          </cell>
          <cell r="C800" t="str">
            <v>CUADRILLA BB TIPO 2 (1 OFICIAL + 2 AYUDANTE) (Instalaciones)</v>
          </cell>
          <cell r="D800" t="str">
            <v>Cuadrilla</v>
          </cell>
          <cell r="E800" t="str">
            <v>HR</v>
          </cell>
          <cell r="F800">
            <v>1.35</v>
          </cell>
          <cell r="G800">
            <v>25453</v>
          </cell>
          <cell r="H800">
            <v>34362</v>
          </cell>
        </row>
        <row r="801">
          <cell r="A801" t="str">
            <v>003.015</v>
          </cell>
          <cell r="B801" t="str">
            <v>E12</v>
          </cell>
          <cell r="C801" t="str">
            <v>EQUIPO DE TRANSPORTE</v>
          </cell>
          <cell r="D801" t="str">
            <v>Equipos</v>
          </cell>
          <cell r="E801" t="str">
            <v>DIA</v>
          </cell>
          <cell r="F801">
            <v>1.2999999999999999E-2</v>
          </cell>
          <cell r="G801">
            <v>131205</v>
          </cell>
          <cell r="H801">
            <v>1706</v>
          </cell>
        </row>
        <row r="802">
          <cell r="A802" t="str">
            <v>003.015</v>
          </cell>
          <cell r="B802" t="str">
            <v>H2</v>
          </cell>
          <cell r="C802" t="str">
            <v>EQUIPO BASICO (HERRAMIENTA MENOR)</v>
          </cell>
          <cell r="D802" t="str">
            <v>Herramienta</v>
          </cell>
          <cell r="E802" t="str">
            <v>UND</v>
          </cell>
          <cell r="F802">
            <v>0.2</v>
          </cell>
          <cell r="G802">
            <v>2536</v>
          </cell>
          <cell r="H802">
            <v>507</v>
          </cell>
        </row>
        <row r="803">
          <cell r="A803" t="str">
            <v>003.015</v>
          </cell>
          <cell r="B803" t="str">
            <v>I1565</v>
          </cell>
          <cell r="C803" t="str">
            <v>ACARREO INTERNO</v>
          </cell>
          <cell r="D803" t="str">
            <v>Insumo</v>
          </cell>
          <cell r="E803" t="str">
            <v>UND</v>
          </cell>
          <cell r="F803">
            <v>2.4</v>
          </cell>
          <cell r="G803">
            <v>1327</v>
          </cell>
          <cell r="H803">
            <v>3185</v>
          </cell>
        </row>
        <row r="804">
          <cell r="A804" t="str">
            <v>003.015</v>
          </cell>
          <cell r="B804" t="str">
            <v>I576</v>
          </cell>
          <cell r="C804" t="str">
            <v>CODO 90° 1/4 CXC SANITARIO 4''</v>
          </cell>
          <cell r="D804" t="str">
            <v>Insumo</v>
          </cell>
          <cell r="E804" t="str">
            <v>UND</v>
          </cell>
          <cell r="F804">
            <v>1</v>
          </cell>
          <cell r="G804">
            <v>12418</v>
          </cell>
          <cell r="H804">
            <v>12418</v>
          </cell>
        </row>
        <row r="805">
          <cell r="A805" t="str">
            <v>003.015</v>
          </cell>
          <cell r="B805" t="str">
            <v>I614</v>
          </cell>
          <cell r="C805" t="str">
            <v>LIMPIADOR REM PVC 760 GRMS. (1/4)</v>
          </cell>
          <cell r="D805" t="str">
            <v>Insumo</v>
          </cell>
          <cell r="E805" t="str">
            <v>UND</v>
          </cell>
          <cell r="F805">
            <v>0.08</v>
          </cell>
          <cell r="G805">
            <v>45425</v>
          </cell>
          <cell r="H805">
            <v>3634</v>
          </cell>
        </row>
        <row r="806">
          <cell r="A806" t="str">
            <v>003.015</v>
          </cell>
          <cell r="B806" t="str">
            <v>I647</v>
          </cell>
          <cell r="C806" t="str">
            <v>SOLDADURA PVC LIQUIDA 1/4</v>
          </cell>
          <cell r="D806" t="str">
            <v>Insumo</v>
          </cell>
          <cell r="E806" t="str">
            <v>UND</v>
          </cell>
          <cell r="F806">
            <v>0.08</v>
          </cell>
          <cell r="G806">
            <v>94162</v>
          </cell>
          <cell r="H806">
            <v>7533</v>
          </cell>
        </row>
        <row r="807">
          <cell r="A807" t="str">
            <v>003.015</v>
          </cell>
          <cell r="B807" t="str">
            <v>I754</v>
          </cell>
          <cell r="C807" t="str">
            <v xml:space="preserve">TUBO PVC SANITARIO 4" </v>
          </cell>
          <cell r="D807" t="str">
            <v>Insumo</v>
          </cell>
          <cell r="E807" t="str">
            <v>M</v>
          </cell>
          <cell r="F807">
            <v>1.55</v>
          </cell>
          <cell r="G807">
            <v>24534</v>
          </cell>
          <cell r="H807">
            <v>38028</v>
          </cell>
        </row>
        <row r="808">
          <cell r="A808" t="str">
            <v>003.015</v>
          </cell>
          <cell r="B808" t="str">
            <v>I827</v>
          </cell>
          <cell r="C808" t="str">
            <v xml:space="preserve">YEE SANITARIA 4'' </v>
          </cell>
          <cell r="D808" t="str">
            <v>Insumo</v>
          </cell>
          <cell r="E808" t="str">
            <v>UND</v>
          </cell>
          <cell r="F808">
            <v>1</v>
          </cell>
          <cell r="G808">
            <v>25277</v>
          </cell>
          <cell r="H808">
            <v>25277</v>
          </cell>
        </row>
        <row r="811">
          <cell r="A811" t="str">
            <v>015.002</v>
          </cell>
          <cell r="B811" t="str">
            <v>-</v>
          </cell>
          <cell r="C811" t="str">
            <v>SUMINISTRO, TRANSPORTE E INSTALACION COMBO Tipo AVANTI Color Blanco Ref. 30336100K Tipo Corona o Similar. (Incluye Sanitario Redondo Avanti con tapa y tanque, lavamanos de pedestal avanti accesorios de conexión e instalación.) más Conjunto Grifería Lavama</v>
          </cell>
          <cell r="D811" t="str">
            <v>Actividad</v>
          </cell>
          <cell r="E811" t="str">
            <v>UND</v>
          </cell>
          <cell r="H811">
            <v>502591</v>
          </cell>
        </row>
        <row r="812">
          <cell r="A812" t="str">
            <v>015.002</v>
          </cell>
          <cell r="B812" t="str">
            <v>C2</v>
          </cell>
          <cell r="C812" t="str">
            <v>CUADRILLA BB TIPO 1 (1 OFICIAL + 1 AYUDANTE) (Instalaciones)</v>
          </cell>
          <cell r="D812" t="str">
            <v>Cuadrilla</v>
          </cell>
          <cell r="E812" t="str">
            <v>HR</v>
          </cell>
          <cell r="F812">
            <v>3.46</v>
          </cell>
          <cell r="G812">
            <v>18383</v>
          </cell>
          <cell r="H812">
            <v>63605</v>
          </cell>
        </row>
        <row r="813">
          <cell r="A813" t="str">
            <v>015.002</v>
          </cell>
          <cell r="B813" t="str">
            <v>E12</v>
          </cell>
          <cell r="C813" t="str">
            <v>EQUIPO DE TRANSPORTE</v>
          </cell>
          <cell r="D813" t="str">
            <v>Equipos</v>
          </cell>
          <cell r="E813" t="str">
            <v>DIA</v>
          </cell>
          <cell r="F813">
            <v>6.2399999999999997E-2</v>
          </cell>
          <cell r="G813">
            <v>131205</v>
          </cell>
          <cell r="H813">
            <v>8187</v>
          </cell>
        </row>
        <row r="814">
          <cell r="A814" t="str">
            <v>015.002</v>
          </cell>
          <cell r="B814" t="str">
            <v>H2</v>
          </cell>
          <cell r="C814" t="str">
            <v>EQUIPO BASICO (HERRAMIENTA MENOR)</v>
          </cell>
          <cell r="D814" t="str">
            <v>Herramienta</v>
          </cell>
          <cell r="E814" t="str">
            <v>UND</v>
          </cell>
          <cell r="F814">
            <v>0.15</v>
          </cell>
          <cell r="G814">
            <v>2536</v>
          </cell>
          <cell r="H814">
            <v>380</v>
          </cell>
        </row>
        <row r="815">
          <cell r="A815" t="str">
            <v>015.002</v>
          </cell>
          <cell r="B815" t="str">
            <v>I1565</v>
          </cell>
          <cell r="C815" t="str">
            <v>ACARREO INTERNO</v>
          </cell>
          <cell r="D815" t="str">
            <v>Insumo</v>
          </cell>
          <cell r="E815" t="str">
            <v>UND</v>
          </cell>
          <cell r="F815">
            <v>4.5</v>
          </cell>
          <cell r="G815">
            <v>1327</v>
          </cell>
          <cell r="H815">
            <v>5972</v>
          </cell>
        </row>
        <row r="816">
          <cell r="A816" t="str">
            <v>015.002</v>
          </cell>
          <cell r="B816" t="str">
            <v>I61</v>
          </cell>
          <cell r="C816" t="str">
            <v>COMBO TIPO AVANTI COLOR BLANCO REF. 30336100K DE CORONA O SIMILAR (INCLUYE SANITARIO AVANTI CON TAPA Y TANQUE, LAVAMANOS DE PEDESTAL AVANTI).</v>
          </cell>
          <cell r="D816" t="str">
            <v>Insumo</v>
          </cell>
          <cell r="E816" t="str">
            <v>UND</v>
          </cell>
          <cell r="F816">
            <v>1</v>
          </cell>
          <cell r="G816">
            <v>342831</v>
          </cell>
          <cell r="H816">
            <v>342831</v>
          </cell>
        </row>
        <row r="817">
          <cell r="A817" t="str">
            <v>015.002</v>
          </cell>
          <cell r="B817" t="str">
            <v>I64</v>
          </cell>
          <cell r="C817" t="str">
            <v>CONJUNTO GRIFERIA LAVAMANOS PRYSMA 4" CROMO TIPO GRIVAL REF. 54130 O SIMILAR (INCLUYE DESAGUE, SIFÓN BOTELLA Y GRAPAS).</v>
          </cell>
          <cell r="D817" t="str">
            <v>Insumo</v>
          </cell>
          <cell r="E817" t="str">
            <v>UND</v>
          </cell>
          <cell r="F817">
            <v>1</v>
          </cell>
          <cell r="G817">
            <v>81616</v>
          </cell>
          <cell r="H817">
            <v>81616</v>
          </cell>
        </row>
        <row r="820">
          <cell r="A820" t="str">
            <v>015.008</v>
          </cell>
          <cell r="B820" t="str">
            <v>-</v>
          </cell>
          <cell r="C820" t="str">
            <v xml:space="preserve">SUMINISTRO, TRANSPORTE E INSTALACION SANITARIO PARA DISCAPACITADO ELONGADO Color Blanco linea Adriática Tipo Corona o Similar de conexión por encima Ref. 21 AA 1318 con válvula antivandálica de descarga con palanca para MINUSVALIDO + escudo antivandálico </v>
          </cell>
          <cell r="D820" t="str">
            <v>Actividad</v>
          </cell>
          <cell r="E820" t="str">
            <v>UND</v>
          </cell>
          <cell r="H820">
            <v>1001017</v>
          </cell>
        </row>
        <row r="821">
          <cell r="A821" t="str">
            <v>015.008</v>
          </cell>
          <cell r="B821" t="str">
            <v>C2</v>
          </cell>
          <cell r="C821" t="str">
            <v>CUADRILLA BB TIPO 1 (1 OFICIAL + 1 AYUDANTE) (Instalaciones)</v>
          </cell>
          <cell r="D821" t="str">
            <v>Cuadrilla</v>
          </cell>
          <cell r="E821" t="str">
            <v>HR</v>
          </cell>
          <cell r="F821">
            <v>2.27</v>
          </cell>
          <cell r="G821">
            <v>18383</v>
          </cell>
          <cell r="H821">
            <v>41729</v>
          </cell>
        </row>
        <row r="822">
          <cell r="A822" t="str">
            <v>015.008</v>
          </cell>
          <cell r="B822" t="str">
            <v>E12</v>
          </cell>
          <cell r="C822" t="str">
            <v>EQUIPO DE TRANSPORTE</v>
          </cell>
          <cell r="D822" t="str">
            <v>Equipos</v>
          </cell>
          <cell r="E822" t="str">
            <v>DIA</v>
          </cell>
          <cell r="F822">
            <v>0.11840000000000001</v>
          </cell>
          <cell r="G822">
            <v>131205</v>
          </cell>
          <cell r="H822">
            <v>15535</v>
          </cell>
        </row>
        <row r="823">
          <cell r="A823" t="str">
            <v>015.008</v>
          </cell>
          <cell r="B823" t="str">
            <v>H2</v>
          </cell>
          <cell r="C823" t="str">
            <v>EQUIPO BASICO (HERRAMIENTA MENOR)</v>
          </cell>
          <cell r="D823" t="str">
            <v>Herramienta</v>
          </cell>
          <cell r="E823" t="str">
            <v>UND</v>
          </cell>
          <cell r="F823">
            <v>0.1</v>
          </cell>
          <cell r="G823">
            <v>2536</v>
          </cell>
          <cell r="H823">
            <v>254</v>
          </cell>
        </row>
        <row r="824">
          <cell r="A824" t="str">
            <v>015.008</v>
          </cell>
          <cell r="B824" t="str">
            <v>I101</v>
          </cell>
          <cell r="C824" t="str">
            <v>VALVULA ANTIVANDALICA PARA SANITARIO ALTA PRESION TIPO DOCOL REF. 4 AA 01051300 O SIMILAR.</v>
          </cell>
          <cell r="D824" t="str">
            <v>Insumo</v>
          </cell>
          <cell r="E824" t="str">
            <v>UND</v>
          </cell>
          <cell r="F824">
            <v>1</v>
          </cell>
          <cell r="G824">
            <v>228079</v>
          </cell>
          <cell r="H824">
            <v>228079</v>
          </cell>
        </row>
        <row r="825">
          <cell r="A825" t="str">
            <v>015.008</v>
          </cell>
          <cell r="B825" t="str">
            <v>I1565</v>
          </cell>
          <cell r="C825" t="str">
            <v>ACARREO INTERNO</v>
          </cell>
          <cell r="D825" t="str">
            <v>Insumo</v>
          </cell>
          <cell r="E825" t="str">
            <v>UND</v>
          </cell>
          <cell r="F825">
            <v>2.6</v>
          </cell>
          <cell r="G825">
            <v>1327</v>
          </cell>
          <cell r="H825">
            <v>3450</v>
          </cell>
        </row>
        <row r="826">
          <cell r="A826" t="str">
            <v>015.008</v>
          </cell>
          <cell r="B826" t="str">
            <v>I53</v>
          </cell>
          <cell r="C826" t="str">
            <v>ACCESORIOS DE CONEXION POR ENCIMA PARA SANITARIO TIPO INSTITUCIONAL ELONGADO TIPO TOTO REF. TCDS O SIMILAR</v>
          </cell>
          <cell r="D826" t="str">
            <v>Insumo</v>
          </cell>
          <cell r="E826" t="str">
            <v>UND</v>
          </cell>
          <cell r="F826">
            <v>1</v>
          </cell>
          <cell r="G826">
            <v>160656</v>
          </cell>
          <cell r="H826">
            <v>160656</v>
          </cell>
        </row>
        <row r="827">
          <cell r="A827" t="str">
            <v>015.008</v>
          </cell>
          <cell r="B827" t="str">
            <v>I56</v>
          </cell>
          <cell r="C827" t="str">
            <v>BOTON ANTIVANDALICO CON PALANCA PARA MINUSVALIDO METÁLICO CROMADO PARA ACCIONAR VÁLVULA DE DESCARGA TIPO DOCOL REF. 4 AA 0184906 O SIMILAR.</v>
          </cell>
          <cell r="D827" t="str">
            <v>Insumo</v>
          </cell>
          <cell r="E827" t="str">
            <v>UND</v>
          </cell>
          <cell r="F827">
            <v>1</v>
          </cell>
          <cell r="G827">
            <v>96596</v>
          </cell>
          <cell r="H827">
            <v>96596</v>
          </cell>
        </row>
        <row r="828">
          <cell r="A828" t="str">
            <v>015.008</v>
          </cell>
          <cell r="B828" t="str">
            <v>I87</v>
          </cell>
          <cell r="C828" t="str">
            <v>MUEBLE ABIERTO PARA TAZA INSTITUCIONAL ELONGADA TIPO TOTO COLOR BLANCO REF. 5 AA SC534 O SIMILAR.</v>
          </cell>
          <cell r="D828" t="str">
            <v>Insumo</v>
          </cell>
          <cell r="E828" t="str">
            <v>UND</v>
          </cell>
          <cell r="F828">
            <v>1</v>
          </cell>
          <cell r="G828">
            <v>83196</v>
          </cell>
          <cell r="H828">
            <v>83196</v>
          </cell>
        </row>
        <row r="829">
          <cell r="A829" t="str">
            <v>015.008</v>
          </cell>
          <cell r="B829" t="str">
            <v>I94</v>
          </cell>
          <cell r="C829" t="str">
            <v>SANITARIO PARA DISCAPACITADO ELONGADO SIN ASIENTO COLOR BLANCO DE CONEXIÓN POR ENCIMA LINEA ADRIATICA DE CORONA REF. 21 AA 1318 O SIMILAR.</v>
          </cell>
          <cell r="D829" t="str">
            <v>Insumo</v>
          </cell>
          <cell r="E829" t="str">
            <v>UND</v>
          </cell>
          <cell r="F829">
            <v>1</v>
          </cell>
          <cell r="G829">
            <v>371522</v>
          </cell>
          <cell r="H829">
            <v>371522</v>
          </cell>
        </row>
        <row r="832">
          <cell r="A832" t="str">
            <v>015.010</v>
          </cell>
          <cell r="B832" t="str">
            <v>-</v>
          </cell>
          <cell r="C832" t="str">
            <v>SUMINISTRO, TRANSPORTE E INSTALACION ORINAL MEDIANO DE COLGAR Línea Santa Fé en porcelana Color Blanco Ref. 00401100-1 Tipo Corona o Similar con válvula antivándalica Tipo Docol Ref. 4 AA 17015106 o Similar y sifón para orinal.</v>
          </cell>
          <cell r="D832" t="str">
            <v>Actividad</v>
          </cell>
          <cell r="E832" t="str">
            <v>UND</v>
          </cell>
          <cell r="H832">
            <v>465247</v>
          </cell>
        </row>
        <row r="833">
          <cell r="A833" t="str">
            <v>015.010</v>
          </cell>
          <cell r="B833" t="str">
            <v>C2</v>
          </cell>
          <cell r="C833" t="str">
            <v>CUADRILLA BB TIPO 1 (1 OFICIAL + 1 AYUDANTE) (Instalaciones)</v>
          </cell>
          <cell r="D833" t="str">
            <v>Cuadrilla</v>
          </cell>
          <cell r="E833" t="str">
            <v>HR</v>
          </cell>
          <cell r="F833">
            <v>2.27</v>
          </cell>
          <cell r="G833">
            <v>18383</v>
          </cell>
          <cell r="H833">
            <v>41729</v>
          </cell>
        </row>
        <row r="834">
          <cell r="A834" t="str">
            <v>015.010</v>
          </cell>
          <cell r="B834" t="str">
            <v>E12</v>
          </cell>
          <cell r="C834" t="str">
            <v>EQUIPO DE TRANSPORTE</v>
          </cell>
          <cell r="D834" t="str">
            <v>Equipos</v>
          </cell>
          <cell r="E834" t="str">
            <v>DIA</v>
          </cell>
          <cell r="F834">
            <v>6.1199999999999997E-2</v>
          </cell>
          <cell r="G834">
            <v>131205</v>
          </cell>
          <cell r="H834">
            <v>8030</v>
          </cell>
        </row>
        <row r="835">
          <cell r="A835" t="str">
            <v>015.010</v>
          </cell>
          <cell r="B835" t="str">
            <v>H2</v>
          </cell>
          <cell r="C835" t="str">
            <v>EQUIPO BASICO (HERRAMIENTA MENOR)</v>
          </cell>
          <cell r="D835" t="str">
            <v>Herramienta</v>
          </cell>
          <cell r="E835" t="str">
            <v>UND</v>
          </cell>
          <cell r="F835">
            <v>0.1</v>
          </cell>
          <cell r="G835">
            <v>2536</v>
          </cell>
          <cell r="H835">
            <v>254</v>
          </cell>
        </row>
        <row r="836">
          <cell r="A836" t="str">
            <v>015.010</v>
          </cell>
          <cell r="B836" t="str">
            <v>I100</v>
          </cell>
          <cell r="C836" t="str">
            <v>VALVULA ANTIVANDALICA  PARA ORINAL</v>
          </cell>
          <cell r="D836" t="str">
            <v>Insumo</v>
          </cell>
          <cell r="E836" t="str">
            <v>UND</v>
          </cell>
          <cell r="F836">
            <v>1</v>
          </cell>
          <cell r="G836">
            <v>148364</v>
          </cell>
          <cell r="H836">
            <v>148364</v>
          </cell>
        </row>
        <row r="837">
          <cell r="A837" t="str">
            <v>015.010</v>
          </cell>
          <cell r="B837" t="str">
            <v>I1565</v>
          </cell>
          <cell r="C837" t="str">
            <v>ACARREO INTERNO</v>
          </cell>
          <cell r="D837" t="str">
            <v>Insumo</v>
          </cell>
          <cell r="E837" t="str">
            <v>UND</v>
          </cell>
          <cell r="F837">
            <v>2.6</v>
          </cell>
          <cell r="G837">
            <v>1327</v>
          </cell>
          <cell r="H837">
            <v>3450</v>
          </cell>
        </row>
        <row r="838">
          <cell r="A838" t="str">
            <v>015.010</v>
          </cell>
          <cell r="B838" t="str">
            <v>I55</v>
          </cell>
          <cell r="C838" t="str">
            <v>ACCESORIOS PARA CONECTAR VÁLVULA ORINAL MEDIANO TIPO DOCOL REF. 4 AA TCDO1 O SIMILAR</v>
          </cell>
          <cell r="D838" t="str">
            <v>Insumo</v>
          </cell>
          <cell r="E838" t="str">
            <v>UND</v>
          </cell>
          <cell r="F838">
            <v>1</v>
          </cell>
          <cell r="G838">
            <v>66557</v>
          </cell>
          <cell r="H838">
            <v>66557</v>
          </cell>
        </row>
        <row r="839">
          <cell r="A839" t="str">
            <v>015.010</v>
          </cell>
          <cell r="B839" t="str">
            <v>I90</v>
          </cell>
          <cell r="C839" t="str">
            <v xml:space="preserve">ORINAL MEDIANO DE COLGAR LÍNEA SANTA FÉ EN PORCELANA COLOR BLANCO TIPO CORONA REF. 00401100-1 O SIMILAR. </v>
          </cell>
          <cell r="D839" t="str">
            <v>Insumo</v>
          </cell>
          <cell r="E839" t="str">
            <v>UND</v>
          </cell>
          <cell r="F839">
            <v>1</v>
          </cell>
          <cell r="G839">
            <v>186118</v>
          </cell>
          <cell r="H839">
            <v>186118</v>
          </cell>
        </row>
        <row r="840">
          <cell r="A840" t="str">
            <v>015.010</v>
          </cell>
          <cell r="B840" t="str">
            <v>I97</v>
          </cell>
          <cell r="C840" t="str">
            <v>SIFON P PARA ORINAL SANTA FÉ TIPO GRIVAL REF.. 93301 O SIMILAR</v>
          </cell>
          <cell r="D840" t="str">
            <v>Insumo</v>
          </cell>
          <cell r="E840" t="str">
            <v>UND</v>
          </cell>
          <cell r="F840">
            <v>1</v>
          </cell>
          <cell r="G840">
            <v>10745</v>
          </cell>
          <cell r="H840">
            <v>10745</v>
          </cell>
        </row>
        <row r="843">
          <cell r="A843" t="str">
            <v>017.045</v>
          </cell>
          <cell r="B843" t="str">
            <v>-</v>
          </cell>
          <cell r="C843" t="str">
            <v>SUMINISTRO, TRANSPORTE E INSTALACION PUERTA METALICA LÁMINA GALVANIZADA CAL. 18 TIPO PANEL CON MARCO SENCILLO ( INCLUYE ANTICORROSIVO + PINTURA ELECTROSTATICA + MARCO LÁMINA GALVANIZADA CAL. 18 CARGADOS EN CONCRETO). INCLUYE EL SUMINISTRO DE TODOS LOS ACC</v>
          </cell>
          <cell r="D843" t="str">
            <v>Actividad</v>
          </cell>
          <cell r="E843" t="str">
            <v>M2</v>
          </cell>
          <cell r="H843">
            <v>471417</v>
          </cell>
        </row>
        <row r="844">
          <cell r="A844" t="str">
            <v>017.045</v>
          </cell>
          <cell r="B844" t="str">
            <v>I218</v>
          </cell>
          <cell r="C844" t="str">
            <v>PUERTA METALICA LÁMINA GALVANIZADA CAL. 18 TIPO PANEL CON MARCO SENCILLO ( INCLUYE ANTICORROSIVO + PINTURA ELECTROSTATICA + LÁMINA GALVANIZADA CAL. 18 CARGADOS EN CONCRETO). INCLUYE EL SUMINISTRO DE TODOS LOS ACCESORIOS REQUERIDOS PARA EL CORRECTO MONTAJE</v>
          </cell>
          <cell r="D844" t="str">
            <v>Insumo</v>
          </cell>
          <cell r="E844" t="str">
            <v>M2</v>
          </cell>
          <cell r="F844">
            <v>1</v>
          </cell>
          <cell r="G844">
            <v>471417</v>
          </cell>
          <cell r="H844">
            <v>471417</v>
          </cell>
        </row>
        <row r="847">
          <cell r="A847" t="str">
            <v>033.175</v>
          </cell>
          <cell r="C847" t="str">
            <v xml:space="preserve">SUMINISTRO, TRANSPORTE E INSTALACION PUERTA CORREDIZA INCLUYE RIEL EN LAMINA DE ACERO A-500 Y TODOS LOS ACCESORIOS NECESARIOS PARA LA CORRECTA INSTALACION </v>
          </cell>
          <cell r="E847" t="str">
            <v>ml</v>
          </cell>
          <cell r="H847">
            <v>1217770.21</v>
          </cell>
        </row>
        <row r="848">
          <cell r="A848" t="str">
            <v>033.175</v>
          </cell>
          <cell r="B848" t="str">
            <v>I44</v>
          </cell>
          <cell r="C848" t="str">
            <v>CUADRILLA AA TIPO 4 (1 OFICIAL + 4 AYUDANTE) (Albañileria)</v>
          </cell>
          <cell r="D848" t="str">
            <v>Mano de Obra</v>
          </cell>
          <cell r="E848" t="str">
            <v>hr</v>
          </cell>
          <cell r="F848">
            <v>1.35</v>
          </cell>
          <cell r="G848">
            <v>27316</v>
          </cell>
          <cell r="H848">
            <v>36877</v>
          </cell>
        </row>
        <row r="849">
          <cell r="A849" t="str">
            <v>033.175</v>
          </cell>
          <cell r="B849" t="str">
            <v>M03</v>
          </cell>
          <cell r="C849" t="str">
            <v>EQUIPO BASICO ( HERRAMIENTA MENOR )</v>
          </cell>
          <cell r="D849" t="str">
            <v>Herramienta</v>
          </cell>
          <cell r="E849" t="str">
            <v>und</v>
          </cell>
          <cell r="F849">
            <v>2.5</v>
          </cell>
          <cell r="G849">
            <v>1933</v>
          </cell>
          <cell r="H849">
            <v>4833</v>
          </cell>
        </row>
        <row r="850">
          <cell r="A850" t="str">
            <v>033.175</v>
          </cell>
          <cell r="B850" t="str">
            <v>O19</v>
          </cell>
          <cell r="C850" t="str">
            <v>SOLDADURA ELECTRICA TIPO WESTARCO SUPER E- 6013  DE 1/8 O SIMILAR.</v>
          </cell>
          <cell r="D850" t="str">
            <v>Insumo</v>
          </cell>
          <cell r="E850" t="str">
            <v>kg</v>
          </cell>
          <cell r="F850">
            <v>0.7</v>
          </cell>
          <cell r="G850">
            <v>8198</v>
          </cell>
          <cell r="H850">
            <v>5739</v>
          </cell>
        </row>
        <row r="851">
          <cell r="A851" t="str">
            <v>033.175</v>
          </cell>
          <cell r="B851" t="str">
            <v>X01</v>
          </cell>
          <cell r="C851" t="str">
            <v>ANTICORROSIVO PREMIUM - TIPO PINTUCO REF. 513 O SIMILAR</v>
          </cell>
          <cell r="D851" t="str">
            <v>Insumo</v>
          </cell>
          <cell r="E851" t="str">
            <v>gal</v>
          </cell>
          <cell r="F851">
            <v>0.35</v>
          </cell>
          <cell r="G851">
            <v>46669</v>
          </cell>
          <cell r="H851">
            <v>16334</v>
          </cell>
        </row>
        <row r="852">
          <cell r="A852" t="str">
            <v>033.175</v>
          </cell>
          <cell r="B852" t="str">
            <v>M28</v>
          </cell>
          <cell r="C852" t="str">
            <v>VOLQUETA  6M3 (CARGUE A MANO) RETIRO INTERNO</v>
          </cell>
          <cell r="D852" t="str">
            <v>Equipo</v>
          </cell>
          <cell r="E852" t="str">
            <v>vje</v>
          </cell>
          <cell r="F852">
            <v>0.05</v>
          </cell>
          <cell r="G852">
            <v>126559</v>
          </cell>
          <cell r="H852">
            <v>6328</v>
          </cell>
        </row>
        <row r="853">
          <cell r="A853" t="str">
            <v>033.175</v>
          </cell>
          <cell r="B853" t="str">
            <v>I26</v>
          </cell>
          <cell r="C853" t="str">
            <v>ACARREO INTERNO</v>
          </cell>
          <cell r="D853" t="str">
            <v>Mano de Obra</v>
          </cell>
          <cell r="E853" t="str">
            <v>und</v>
          </cell>
          <cell r="F853">
            <v>0.5</v>
          </cell>
          <cell r="G853">
            <v>1037</v>
          </cell>
          <cell r="H853">
            <v>519</v>
          </cell>
        </row>
        <row r="854">
          <cell r="A854" t="str">
            <v>033.175</v>
          </cell>
          <cell r="B854" t="str">
            <v>E20B</v>
          </cell>
          <cell r="C854" t="str">
            <v>TUBO HG 3"</v>
          </cell>
          <cell r="D854" t="str">
            <v>Insumo</v>
          </cell>
          <cell r="E854" t="str">
            <v>m</v>
          </cell>
          <cell r="F854">
            <v>17</v>
          </cell>
          <cell r="G854">
            <v>51706</v>
          </cell>
          <cell r="H854">
            <v>879002</v>
          </cell>
        </row>
        <row r="855">
          <cell r="A855" t="str">
            <v>033.175</v>
          </cell>
          <cell r="B855" t="str">
            <v>D28</v>
          </cell>
          <cell r="C855" t="str">
            <v>ANGULO 1 1/4" X 1 1/4" X 1/8"</v>
          </cell>
          <cell r="D855" t="str">
            <v>Insumo</v>
          </cell>
          <cell r="E855" t="str">
            <v>ml</v>
          </cell>
          <cell r="F855">
            <v>2.8</v>
          </cell>
          <cell r="G855">
            <v>6012</v>
          </cell>
          <cell r="H855">
            <v>16834</v>
          </cell>
        </row>
        <row r="856">
          <cell r="A856" t="str">
            <v>033.175</v>
          </cell>
          <cell r="B856" t="str">
            <v>E07</v>
          </cell>
          <cell r="C856" t="str">
            <v>PLATINA 3/4 X 1/8"</v>
          </cell>
          <cell r="D856" t="str">
            <v>Insumo</v>
          </cell>
          <cell r="E856" t="str">
            <v>ml</v>
          </cell>
          <cell r="F856">
            <v>4</v>
          </cell>
          <cell r="G856">
            <v>2100</v>
          </cell>
          <cell r="H856">
            <v>8400</v>
          </cell>
        </row>
        <row r="859">
          <cell r="A859" t="str">
            <v>017.027</v>
          </cell>
          <cell r="B859" t="str">
            <v>-</v>
          </cell>
          <cell r="C859" t="str">
            <v xml:space="preserve">SUMINISTRO, TRANSPORTE E INSTALACION VENTANA CORREDIZA FIJA EN ALUMINIO  ANODIZADO VIDRIO 4 MM (INCLUYE MARCO EN PERFILERIA  PB 3831 O SIMILAR Y VIDRIO CRISTAL DE 4 MM. ). INCLUYE EL SUMINISTRO DE TODOS LOS ACCESORIOS REQUERIDOS PARA EL CORRECTO MONTAJE, </v>
          </cell>
          <cell r="D859" t="str">
            <v>Actividad</v>
          </cell>
          <cell r="E859" t="str">
            <v>M2</v>
          </cell>
          <cell r="H859">
            <v>163237</v>
          </cell>
        </row>
        <row r="860">
          <cell r="A860" t="str">
            <v>017.027</v>
          </cell>
          <cell r="B860" t="str">
            <v>I144</v>
          </cell>
          <cell r="C860" t="str">
            <v xml:space="preserve">VENTANA CORREDIZA EN ALUMINIO  ANODIZADO VIDRIO 4 MM (INCLUYE MARCO EN PERFILERIA  TIPO PB 3831 O SIMILAR Y VIDRIO CRISTAL DE 4 MM. ). INCLUYE EL SUMINISTRO DE TODOS LOS ACCESORIOS REQUERIDOS PARA EL CORRECTO MONTAJE, ASI COMO EL SUMINISTRO E INSTALACIÓN </v>
          </cell>
          <cell r="D860" t="str">
            <v>Insumo</v>
          </cell>
          <cell r="E860" t="str">
            <v>M2</v>
          </cell>
          <cell r="F860">
            <v>1</v>
          </cell>
          <cell r="G860">
            <v>163237</v>
          </cell>
          <cell r="H860">
            <v>163237</v>
          </cell>
        </row>
        <row r="863">
          <cell r="A863" t="str">
            <v>013.001</v>
          </cell>
          <cell r="B863" t="str">
            <v>-</v>
          </cell>
          <cell r="C863" t="str">
            <v>SUMINISTRO, TRANSPORTE E INSTALACION CERAMICA PARED POMPEI TIPO ALFA O SIMILAR. COLOR CORAL O SHELL SEGÚN DISEÑO (INCLUYE BOQUILLA COLOR Y WIN.). INCLUYE MORTERO DE PEGA Y/O NIVELACIÓN.</v>
          </cell>
          <cell r="D863" t="str">
            <v>Actividad</v>
          </cell>
          <cell r="E863" t="str">
            <v>M2</v>
          </cell>
          <cell r="H863">
            <v>65355</v>
          </cell>
        </row>
        <row r="864">
          <cell r="A864" t="str">
            <v>013.001</v>
          </cell>
          <cell r="B864" t="str">
            <v>AB20</v>
          </cell>
          <cell r="C864" t="str">
            <v>MORTERO 1:3</v>
          </cell>
          <cell r="D864" t="str">
            <v>Analisis</v>
          </cell>
          <cell r="E864" t="str">
            <v>M3</v>
          </cell>
          <cell r="F864">
            <v>0.03</v>
          </cell>
          <cell r="G864">
            <v>449080</v>
          </cell>
          <cell r="H864">
            <v>13472</v>
          </cell>
        </row>
        <row r="865">
          <cell r="A865" t="str">
            <v>013.001</v>
          </cell>
          <cell r="B865" t="str">
            <v>C1</v>
          </cell>
          <cell r="C865" t="str">
            <v>CUADRILLA AA TIPO 1 (1 OFICIAL + 1 AYUDANTE) (Albañileria)</v>
          </cell>
          <cell r="D865" t="str">
            <v>Cuadrilla</v>
          </cell>
          <cell r="E865" t="str">
            <v>HR</v>
          </cell>
          <cell r="F865">
            <v>0.66</v>
          </cell>
          <cell r="G865">
            <v>16712</v>
          </cell>
          <cell r="H865">
            <v>11030</v>
          </cell>
        </row>
        <row r="866">
          <cell r="A866" t="str">
            <v>013.001</v>
          </cell>
          <cell r="B866" t="str">
            <v>E12</v>
          </cell>
          <cell r="C866" t="str">
            <v>EQUIPO DE TRANSPORTE</v>
          </cell>
          <cell r="D866" t="str">
            <v>Equipos</v>
          </cell>
          <cell r="E866" t="str">
            <v>DIA</v>
          </cell>
          <cell r="F866">
            <v>5.8999999999999999E-3</v>
          </cell>
          <cell r="G866">
            <v>131205</v>
          </cell>
          <cell r="H866">
            <v>774</v>
          </cell>
        </row>
        <row r="867">
          <cell r="A867" t="str">
            <v>013.001</v>
          </cell>
          <cell r="B867" t="str">
            <v>H2</v>
          </cell>
          <cell r="C867" t="str">
            <v>EQUIPO BASICO (HERRAMIENTA MENOR)</v>
          </cell>
          <cell r="D867" t="str">
            <v>Herramienta</v>
          </cell>
          <cell r="E867" t="str">
            <v>UND</v>
          </cell>
          <cell r="F867">
            <v>0.02</v>
          </cell>
          <cell r="G867">
            <v>2536</v>
          </cell>
          <cell r="H867">
            <v>51</v>
          </cell>
        </row>
        <row r="868">
          <cell r="A868" t="str">
            <v>013.001</v>
          </cell>
          <cell r="B868" t="str">
            <v>I1043</v>
          </cell>
          <cell r="C868" t="str">
            <v>BOQUILLA ALFACOLOR 1-3</v>
          </cell>
          <cell r="D868" t="str">
            <v>Insumo</v>
          </cell>
          <cell r="E868" t="str">
            <v>KG</v>
          </cell>
          <cell r="F868">
            <v>0.25</v>
          </cell>
          <cell r="G868">
            <v>6151</v>
          </cell>
          <cell r="H868">
            <v>1538</v>
          </cell>
        </row>
        <row r="869">
          <cell r="A869" t="str">
            <v>013.001</v>
          </cell>
          <cell r="B869" t="str">
            <v>I1054</v>
          </cell>
          <cell r="C869" t="str">
            <v>CERAMICA PARED POMPEI. TIPO ALFA O SIMILAR. COLOR CORAL O SHELL</v>
          </cell>
          <cell r="D869" t="str">
            <v>Insumo</v>
          </cell>
          <cell r="E869" t="str">
            <v>M2</v>
          </cell>
          <cell r="F869">
            <v>1.03</v>
          </cell>
          <cell r="G869">
            <v>25954</v>
          </cell>
          <cell r="H869">
            <v>26733</v>
          </cell>
        </row>
        <row r="870">
          <cell r="A870" t="str">
            <v>013.001</v>
          </cell>
          <cell r="B870" t="str">
            <v>I1565</v>
          </cell>
          <cell r="C870" t="str">
            <v>ACARREO INTERNO</v>
          </cell>
          <cell r="D870" t="str">
            <v>Insumo</v>
          </cell>
          <cell r="E870" t="str">
            <v>UND</v>
          </cell>
          <cell r="F870">
            <v>0.7</v>
          </cell>
          <cell r="G870">
            <v>1327</v>
          </cell>
          <cell r="H870">
            <v>929</v>
          </cell>
        </row>
        <row r="871">
          <cell r="A871" t="str">
            <v>013.001</v>
          </cell>
          <cell r="B871" t="str">
            <v>I398</v>
          </cell>
          <cell r="C871" t="str">
            <v>ALFALISTO BLANCO O SIMILAR</v>
          </cell>
          <cell r="D871" t="str">
            <v>Insumo</v>
          </cell>
          <cell r="E871" t="str">
            <v>KG</v>
          </cell>
          <cell r="F871">
            <v>4.5</v>
          </cell>
          <cell r="G871">
            <v>2106</v>
          </cell>
          <cell r="H871">
            <v>9477</v>
          </cell>
        </row>
        <row r="872">
          <cell r="A872" t="str">
            <v>013.001</v>
          </cell>
          <cell r="B872" t="str">
            <v>I440</v>
          </cell>
          <cell r="C872" t="str">
            <v>WIN PLASTICO</v>
          </cell>
          <cell r="D872" t="str">
            <v>Insumo</v>
          </cell>
          <cell r="E872" t="str">
            <v>M</v>
          </cell>
          <cell r="F872">
            <v>0.33</v>
          </cell>
          <cell r="G872">
            <v>4016</v>
          </cell>
          <cell r="H872">
            <v>1325</v>
          </cell>
        </row>
        <row r="873">
          <cell r="A873" t="str">
            <v>013.001</v>
          </cell>
          <cell r="B873" t="str">
            <v>I49</v>
          </cell>
          <cell r="C873" t="str">
            <v>AGUA LITRO</v>
          </cell>
          <cell r="D873" t="str">
            <v>Insumo</v>
          </cell>
          <cell r="E873" t="str">
            <v>LT</v>
          </cell>
          <cell r="F873">
            <v>1.08</v>
          </cell>
          <cell r="G873">
            <v>24</v>
          </cell>
          <cell r="H873">
            <v>26</v>
          </cell>
        </row>
        <row r="876">
          <cell r="A876" t="str">
            <v>012.055</v>
          </cell>
          <cell r="B876" t="str">
            <v>-</v>
          </cell>
          <cell r="C876" t="str">
            <v>SUMINISTRO, TRANSPORTE E INSTALACION PORCELANATO ARTICO BLANCO 46,1x46,1  Tipo Corona o Similar. Color Blanco  (Incluye boquilla.)</v>
          </cell>
          <cell r="D876" t="str">
            <v>Actividad</v>
          </cell>
          <cell r="E876" t="str">
            <v>M2</v>
          </cell>
          <cell r="H876">
            <v>88257</v>
          </cell>
        </row>
        <row r="877">
          <cell r="A877" t="str">
            <v>012.055</v>
          </cell>
          <cell r="B877" t="str">
            <v>AB20</v>
          </cell>
          <cell r="C877" t="str">
            <v>MORTERO 1:3</v>
          </cell>
          <cell r="D877" t="str">
            <v>Analisis</v>
          </cell>
          <cell r="E877" t="str">
            <v>M3</v>
          </cell>
          <cell r="F877">
            <v>0.01</v>
          </cell>
          <cell r="G877">
            <v>449080</v>
          </cell>
          <cell r="H877">
            <v>4491</v>
          </cell>
        </row>
        <row r="878">
          <cell r="A878" t="str">
            <v>012.055</v>
          </cell>
          <cell r="B878" t="str">
            <v>C1</v>
          </cell>
          <cell r="C878" t="str">
            <v>CUADRILLA AA TIPO 1 (1 OFICIAL + 1 AYUDANTE) (Albañileria)</v>
          </cell>
          <cell r="D878" t="str">
            <v>Cuadrilla</v>
          </cell>
          <cell r="E878" t="str">
            <v>HR</v>
          </cell>
          <cell r="F878">
            <v>0.66</v>
          </cell>
          <cell r="G878">
            <v>16712</v>
          </cell>
          <cell r="H878">
            <v>11030</v>
          </cell>
        </row>
        <row r="879">
          <cell r="A879" t="str">
            <v>012.055</v>
          </cell>
          <cell r="B879" t="str">
            <v>E12</v>
          </cell>
          <cell r="C879" t="str">
            <v>EQUIPO DE TRANSPORTE</v>
          </cell>
          <cell r="D879" t="str">
            <v>Equipos</v>
          </cell>
          <cell r="E879" t="str">
            <v>DIA</v>
          </cell>
          <cell r="F879">
            <v>1.0999999999999999E-2</v>
          </cell>
          <cell r="G879">
            <v>131205</v>
          </cell>
          <cell r="H879">
            <v>1443</v>
          </cell>
        </row>
        <row r="880">
          <cell r="A880" t="str">
            <v>012.055</v>
          </cell>
          <cell r="B880" t="str">
            <v>H2</v>
          </cell>
          <cell r="C880" t="str">
            <v>EQUIPO BASICO (HERRAMIENTA MENOR)</v>
          </cell>
          <cell r="D880" t="str">
            <v>Herramienta</v>
          </cell>
          <cell r="E880" t="str">
            <v>UND</v>
          </cell>
          <cell r="F880">
            <v>0.02</v>
          </cell>
          <cell r="G880">
            <v>2536</v>
          </cell>
          <cell r="H880">
            <v>51</v>
          </cell>
        </row>
        <row r="881">
          <cell r="A881" t="str">
            <v>012.055</v>
          </cell>
          <cell r="B881" t="str">
            <v>I1043</v>
          </cell>
          <cell r="C881" t="str">
            <v>BOQUILLA ALFACOLOR 1-3</v>
          </cell>
          <cell r="D881" t="str">
            <v>Insumo</v>
          </cell>
          <cell r="E881" t="str">
            <v>KG</v>
          </cell>
          <cell r="F881">
            <v>0.25</v>
          </cell>
          <cell r="G881">
            <v>6151</v>
          </cell>
          <cell r="H881">
            <v>1538</v>
          </cell>
        </row>
        <row r="882">
          <cell r="A882" t="str">
            <v>012.055</v>
          </cell>
          <cell r="B882" t="str">
            <v>I1059</v>
          </cell>
          <cell r="C882" t="str">
            <v xml:space="preserve">PORCELANTO ARTICO BLANCO 46,1X46,1 </v>
          </cell>
          <cell r="D882" t="str">
            <v>Insumo</v>
          </cell>
          <cell r="E882" t="str">
            <v>M2</v>
          </cell>
          <cell r="F882">
            <v>1.03</v>
          </cell>
          <cell r="G882">
            <v>62081</v>
          </cell>
          <cell r="H882">
            <v>63943</v>
          </cell>
        </row>
        <row r="883">
          <cell r="A883" t="str">
            <v>012.055</v>
          </cell>
          <cell r="B883" t="str">
            <v>I1565</v>
          </cell>
          <cell r="C883" t="str">
            <v>ACARREO INTERNO</v>
          </cell>
          <cell r="D883" t="str">
            <v>Insumo</v>
          </cell>
          <cell r="E883" t="str">
            <v>UND</v>
          </cell>
          <cell r="F883">
            <v>0.7</v>
          </cell>
          <cell r="G883">
            <v>1327</v>
          </cell>
          <cell r="H883">
            <v>929</v>
          </cell>
        </row>
        <row r="884">
          <cell r="A884" t="str">
            <v>012.055</v>
          </cell>
          <cell r="B884" t="str">
            <v>I399</v>
          </cell>
          <cell r="C884" t="str">
            <v>ALFALISTO GRIS O SIMILAR.</v>
          </cell>
          <cell r="D884" t="str">
            <v>Insumo</v>
          </cell>
          <cell r="E884" t="str">
            <v>KG</v>
          </cell>
          <cell r="F884">
            <v>3</v>
          </cell>
          <cell r="G884">
            <v>1605</v>
          </cell>
          <cell r="H884">
            <v>4815</v>
          </cell>
        </row>
        <row r="885">
          <cell r="A885" t="str">
            <v>012.055</v>
          </cell>
          <cell r="B885" t="str">
            <v>I49</v>
          </cell>
          <cell r="C885" t="str">
            <v>AGUA LITRO</v>
          </cell>
          <cell r="D885" t="str">
            <v>Insumo</v>
          </cell>
          <cell r="E885" t="str">
            <v>LT</v>
          </cell>
          <cell r="F885">
            <v>0.72</v>
          </cell>
          <cell r="G885">
            <v>24</v>
          </cell>
          <cell r="H885">
            <v>17</v>
          </cell>
        </row>
        <row r="888">
          <cell r="A888" t="str">
            <v>005.086</v>
          </cell>
          <cell r="B888" t="str">
            <v>-</v>
          </cell>
          <cell r="C888" t="str">
            <v>SUMINISTRO TRANSPORTE E INSTALACION MURO EN CONCRETO 21 MPA, NO INCLUYE REFUERZO</v>
          </cell>
          <cell r="D888" t="str">
            <v>Actividad</v>
          </cell>
          <cell r="E888" t="str">
            <v>M3</v>
          </cell>
          <cell r="H888">
            <v>569680</v>
          </cell>
        </row>
        <row r="889">
          <cell r="A889" t="str">
            <v>005.086</v>
          </cell>
          <cell r="B889" t="str">
            <v>AB5</v>
          </cell>
          <cell r="C889" t="str">
            <v>CONCRETO 3000 psi - 21 Mpa</v>
          </cell>
          <cell r="D889" t="str">
            <v>Analisis</v>
          </cell>
          <cell r="E889" t="str">
            <v>M3</v>
          </cell>
          <cell r="F889">
            <v>1.05</v>
          </cell>
          <cell r="G889">
            <v>421155</v>
          </cell>
          <cell r="H889">
            <v>442213</v>
          </cell>
        </row>
        <row r="890">
          <cell r="A890" t="str">
            <v>005.086</v>
          </cell>
          <cell r="B890" t="str">
            <v>C36</v>
          </cell>
          <cell r="C890" t="str">
            <v>CUADRILLA AA TIPO 6 (1 OFICIAL + 6 AYUDANTE) (Albañileria)</v>
          </cell>
          <cell r="D890" t="str">
            <v>Cuadrilla</v>
          </cell>
          <cell r="E890" t="str">
            <v>HR</v>
          </cell>
          <cell r="F890">
            <v>2.5</v>
          </cell>
          <cell r="G890">
            <v>48852</v>
          </cell>
          <cell r="H890">
            <v>122130</v>
          </cell>
        </row>
        <row r="891">
          <cell r="A891" t="str">
            <v>005.086</v>
          </cell>
          <cell r="B891" t="str">
            <v>H2</v>
          </cell>
          <cell r="C891" t="str">
            <v>EQUIPO BASICO (HERRAMIENTA MENOR)</v>
          </cell>
          <cell r="D891" t="str">
            <v>Herramienta</v>
          </cell>
          <cell r="E891" t="str">
            <v>UND</v>
          </cell>
          <cell r="F891">
            <v>2</v>
          </cell>
          <cell r="G891">
            <v>2536</v>
          </cell>
          <cell r="H891">
            <v>5072</v>
          </cell>
        </row>
        <row r="892">
          <cell r="A892" t="str">
            <v>005.086</v>
          </cell>
          <cell r="B892" t="str">
            <v>I1565</v>
          </cell>
          <cell r="C892" t="str">
            <v>ACARREO INTERNO</v>
          </cell>
          <cell r="D892" t="str">
            <v>Insumo</v>
          </cell>
          <cell r="E892" t="str">
            <v>UND</v>
          </cell>
          <cell r="F892">
            <v>0.2</v>
          </cell>
          <cell r="G892">
            <v>1327</v>
          </cell>
          <cell r="H892">
            <v>265</v>
          </cell>
        </row>
        <row r="895">
          <cell r="A895" t="str">
            <v>032.002</v>
          </cell>
          <cell r="B895" t="str">
            <v>-</v>
          </cell>
          <cell r="C895" t="str">
            <v xml:space="preserve">SUMINISTRO, TRANSPORTE E INSTALACION PLACA MACIZA AEREA CONCRETO 3000 PSI  e= 0.10m  </v>
          </cell>
          <cell r="D895" t="str">
            <v>Actividad</v>
          </cell>
          <cell r="E895" t="str">
            <v>M2</v>
          </cell>
          <cell r="H895">
            <v>87739</v>
          </cell>
        </row>
        <row r="896">
          <cell r="A896" t="str">
            <v>032.002</v>
          </cell>
          <cell r="B896" t="str">
            <v>AB5</v>
          </cell>
          <cell r="C896" t="str">
            <v>CONCRETO 3000 psi - 21 Mpa</v>
          </cell>
          <cell r="D896" t="str">
            <v>Analisis</v>
          </cell>
          <cell r="E896" t="str">
            <v>M3</v>
          </cell>
          <cell r="F896">
            <v>0.10299999999999999</v>
          </cell>
          <cell r="G896">
            <v>421155</v>
          </cell>
          <cell r="H896">
            <v>43379</v>
          </cell>
        </row>
        <row r="897">
          <cell r="A897" t="str">
            <v>032.002</v>
          </cell>
          <cell r="B897" t="str">
            <v>C36</v>
          </cell>
          <cell r="C897" t="str">
            <v>CUADRILLA AA TIPO 6 (1 OFICIAL + 6 AYUDANTE) (Albañileria)</v>
          </cell>
          <cell r="D897" t="str">
            <v>Cuadrilla</v>
          </cell>
          <cell r="E897" t="str">
            <v>HR</v>
          </cell>
          <cell r="F897">
            <v>0.5</v>
          </cell>
          <cell r="G897">
            <v>48852</v>
          </cell>
          <cell r="H897">
            <v>24426</v>
          </cell>
        </row>
        <row r="898">
          <cell r="A898" t="str">
            <v>032.002</v>
          </cell>
          <cell r="B898" t="str">
            <v>E108</v>
          </cell>
          <cell r="C898" t="str">
            <v>PARAL LARGO 2.00 A 3.50 M</v>
          </cell>
          <cell r="D898" t="str">
            <v>Equipos</v>
          </cell>
          <cell r="E898" t="str">
            <v>DIA</v>
          </cell>
          <cell r="F898">
            <v>9</v>
          </cell>
          <cell r="G898">
            <v>173</v>
          </cell>
          <cell r="H898">
            <v>1557</v>
          </cell>
        </row>
        <row r="899">
          <cell r="A899" t="str">
            <v>032.002</v>
          </cell>
          <cell r="B899" t="str">
            <v>E12</v>
          </cell>
          <cell r="C899" t="str">
            <v>EQUIPO DE TRANSPORTE</v>
          </cell>
          <cell r="D899" t="str">
            <v>Equipos</v>
          </cell>
          <cell r="E899" t="str">
            <v>DIA</v>
          </cell>
          <cell r="F899">
            <v>8.6E-3</v>
          </cell>
          <cell r="G899">
            <v>131205</v>
          </cell>
          <cell r="H899">
            <v>1128</v>
          </cell>
        </row>
        <row r="900">
          <cell r="A900" t="str">
            <v>032.002</v>
          </cell>
          <cell r="B900" t="str">
            <v>E21</v>
          </cell>
          <cell r="C900" t="str">
            <v>VIBRADOR A GASOLINA</v>
          </cell>
          <cell r="D900" t="str">
            <v>Equipos</v>
          </cell>
          <cell r="E900" t="str">
            <v>DIA</v>
          </cell>
          <cell r="F900">
            <v>7.0000000000000001E-3</v>
          </cell>
          <cell r="G900">
            <v>51948</v>
          </cell>
          <cell r="H900">
            <v>364</v>
          </cell>
        </row>
        <row r="901">
          <cell r="A901" t="str">
            <v>032.002</v>
          </cell>
          <cell r="B901" t="str">
            <v>E35</v>
          </cell>
          <cell r="C901" t="str">
            <v>TABLERO  1.40 X 0,70</v>
          </cell>
          <cell r="D901" t="str">
            <v>Equipos</v>
          </cell>
          <cell r="E901" t="str">
            <v>DIA</v>
          </cell>
          <cell r="F901">
            <v>9</v>
          </cell>
          <cell r="G901">
            <v>343</v>
          </cell>
          <cell r="H901">
            <v>3087</v>
          </cell>
        </row>
        <row r="902">
          <cell r="A902" t="str">
            <v>032.002</v>
          </cell>
          <cell r="B902" t="str">
            <v>E9</v>
          </cell>
          <cell r="C902" t="str">
            <v>PLUMA  GRUA 250KG CON BALDE</v>
          </cell>
          <cell r="D902" t="str">
            <v>Equipos</v>
          </cell>
          <cell r="E902" t="str">
            <v>DIA</v>
          </cell>
          <cell r="F902">
            <v>0.125</v>
          </cell>
          <cell r="G902">
            <v>30440</v>
          </cell>
          <cell r="H902">
            <v>3805</v>
          </cell>
        </row>
        <row r="903">
          <cell r="A903" t="str">
            <v>032.002</v>
          </cell>
          <cell r="B903" t="str">
            <v>E99</v>
          </cell>
          <cell r="C903" t="str">
            <v xml:space="preserve">CERCHA METALICA L=3 M. </v>
          </cell>
          <cell r="D903" t="str">
            <v>Equipos</v>
          </cell>
          <cell r="E903" t="str">
            <v>DIA</v>
          </cell>
          <cell r="F903">
            <v>9</v>
          </cell>
          <cell r="G903">
            <v>154</v>
          </cell>
          <cell r="H903">
            <v>1386</v>
          </cell>
        </row>
        <row r="904">
          <cell r="A904" t="str">
            <v>032.002</v>
          </cell>
          <cell r="B904" t="str">
            <v>H2</v>
          </cell>
          <cell r="C904" t="str">
            <v>EQUIPO BASICO (HERRAMIENTA MENOR)</v>
          </cell>
          <cell r="D904" t="str">
            <v>Herramienta</v>
          </cell>
          <cell r="E904" t="str">
            <v>UND</v>
          </cell>
          <cell r="F904">
            <v>0.5</v>
          </cell>
          <cell r="G904">
            <v>2536</v>
          </cell>
          <cell r="H904">
            <v>1268</v>
          </cell>
        </row>
        <row r="905">
          <cell r="A905" t="str">
            <v>032.002</v>
          </cell>
          <cell r="B905" t="str">
            <v>I1565</v>
          </cell>
          <cell r="C905" t="str">
            <v>ACARREO INTERNO</v>
          </cell>
          <cell r="D905" t="str">
            <v>Insumo</v>
          </cell>
          <cell r="E905" t="str">
            <v>UND</v>
          </cell>
          <cell r="F905">
            <v>1.2</v>
          </cell>
          <cell r="G905">
            <v>1327</v>
          </cell>
          <cell r="H905">
            <v>1592</v>
          </cell>
        </row>
        <row r="906">
          <cell r="A906" t="str">
            <v>032.002</v>
          </cell>
          <cell r="B906" t="str">
            <v>I3</v>
          </cell>
          <cell r="C906" t="str">
            <v>ALAMBRE NEGRO NO. 18</v>
          </cell>
          <cell r="D906" t="str">
            <v>Insumo</v>
          </cell>
          <cell r="E906" t="str">
            <v>KG</v>
          </cell>
          <cell r="F906">
            <v>0.5</v>
          </cell>
          <cell r="G906">
            <v>4323</v>
          </cell>
          <cell r="H906">
            <v>2162</v>
          </cell>
        </row>
        <row r="907">
          <cell r="A907" t="str">
            <v>032.002</v>
          </cell>
          <cell r="B907" t="str">
            <v>I425</v>
          </cell>
          <cell r="C907" t="str">
            <v>PUNTILLA CON CABEZA 2"</v>
          </cell>
          <cell r="D907" t="str">
            <v>Insumo</v>
          </cell>
          <cell r="E907" t="str">
            <v>LB</v>
          </cell>
          <cell r="F907">
            <v>1</v>
          </cell>
          <cell r="G907">
            <v>3585</v>
          </cell>
          <cell r="H907">
            <v>3585</v>
          </cell>
        </row>
        <row r="910">
          <cell r="A910" t="str">
            <v>032.004</v>
          </cell>
          <cell r="B910" t="str">
            <v>-</v>
          </cell>
          <cell r="C910" t="str">
            <v>SUMINISTRO, TRANSPORTE E INSTALACION VIGA AEREA CONCRETO 3000 PSI  .</v>
          </cell>
          <cell r="D910" t="str">
            <v>Actividad</v>
          </cell>
          <cell r="E910" t="str">
            <v>M3</v>
          </cell>
          <cell r="H910">
            <v>905470</v>
          </cell>
        </row>
        <row r="911">
          <cell r="A911" t="str">
            <v>032.004</v>
          </cell>
          <cell r="B911" t="str">
            <v>AB5</v>
          </cell>
          <cell r="C911" t="str">
            <v>CONCRETO 3000 psi - 21 Mpa</v>
          </cell>
          <cell r="D911" t="str">
            <v>Analisis</v>
          </cell>
          <cell r="E911" t="str">
            <v>M3</v>
          </cell>
          <cell r="F911">
            <v>1.05</v>
          </cell>
          <cell r="G911">
            <v>421155</v>
          </cell>
          <cell r="H911">
            <v>442213</v>
          </cell>
        </row>
        <row r="912">
          <cell r="A912" t="str">
            <v>032.004</v>
          </cell>
          <cell r="B912" t="str">
            <v>C36</v>
          </cell>
          <cell r="C912" t="str">
            <v>CUADRILLA AA TIPO 6 (1 OFICIAL + 6 AYUDANTE) (Albañileria)</v>
          </cell>
          <cell r="D912" t="str">
            <v>Cuadrilla</v>
          </cell>
          <cell r="E912" t="str">
            <v>HR</v>
          </cell>
          <cell r="F912">
            <v>4.5999999999999996</v>
          </cell>
          <cell r="G912">
            <v>48852</v>
          </cell>
          <cell r="H912">
            <v>224719</v>
          </cell>
        </row>
        <row r="913">
          <cell r="A913" t="str">
            <v>032.004</v>
          </cell>
          <cell r="B913" t="str">
            <v>E1</v>
          </cell>
          <cell r="C913" t="str">
            <v>ANDAMIO METALICO CERTIFICADO, INCLUYE ESCALERILLA CON BARANDAS Y PLATAFORMAS DE TRABAJO</v>
          </cell>
          <cell r="D913" t="str">
            <v>Equipos</v>
          </cell>
          <cell r="E913" t="str">
            <v>UND</v>
          </cell>
          <cell r="F913">
            <v>3</v>
          </cell>
          <cell r="G913">
            <v>7257</v>
          </cell>
          <cell r="H913">
            <v>21771</v>
          </cell>
        </row>
        <row r="914">
          <cell r="A914" t="str">
            <v>032.004</v>
          </cell>
          <cell r="B914" t="str">
            <v>E110</v>
          </cell>
          <cell r="C914" t="str">
            <v xml:space="preserve">FORMALETA BORDE VIGAS AEREAS INCLUYE PARAL </v>
          </cell>
          <cell r="D914" t="str">
            <v>Equipos</v>
          </cell>
          <cell r="E914" t="str">
            <v>UND</v>
          </cell>
          <cell r="F914">
            <v>6</v>
          </cell>
          <cell r="G914">
            <v>13080</v>
          </cell>
          <cell r="H914">
            <v>78480</v>
          </cell>
        </row>
        <row r="915">
          <cell r="A915" t="str">
            <v>032.004</v>
          </cell>
          <cell r="B915" t="str">
            <v>E12</v>
          </cell>
          <cell r="C915" t="str">
            <v>EQUIPO DE TRANSPORTE</v>
          </cell>
          <cell r="D915" t="str">
            <v>Equipos</v>
          </cell>
          <cell r="E915" t="str">
            <v>DIA</v>
          </cell>
          <cell r="F915">
            <v>9.0800000000000006E-2</v>
          </cell>
          <cell r="G915">
            <v>131205</v>
          </cell>
          <cell r="H915">
            <v>11913</v>
          </cell>
        </row>
        <row r="916">
          <cell r="A916" t="str">
            <v>032.004</v>
          </cell>
          <cell r="B916" t="str">
            <v>E21</v>
          </cell>
          <cell r="C916" t="str">
            <v>VIBRADOR A GASOLINA</v>
          </cell>
          <cell r="D916" t="str">
            <v>Equipos</v>
          </cell>
          <cell r="E916" t="str">
            <v>DIA</v>
          </cell>
          <cell r="F916">
            <v>7.0000000000000007E-2</v>
          </cell>
          <cell r="G916">
            <v>51948</v>
          </cell>
          <cell r="H916">
            <v>3636</v>
          </cell>
        </row>
        <row r="917">
          <cell r="A917" t="str">
            <v>032.004</v>
          </cell>
          <cell r="B917" t="str">
            <v>E9</v>
          </cell>
          <cell r="C917" t="str">
            <v>PLUMA  GRUA 250KG CON BALDE</v>
          </cell>
          <cell r="D917" t="str">
            <v>Equipos</v>
          </cell>
          <cell r="E917" t="str">
            <v>DIA</v>
          </cell>
          <cell r="F917">
            <v>1</v>
          </cell>
          <cell r="G917">
            <v>30440</v>
          </cell>
          <cell r="H917">
            <v>30440</v>
          </cell>
        </row>
        <row r="918">
          <cell r="A918" t="str">
            <v>032.004</v>
          </cell>
          <cell r="B918" t="str">
            <v>H2</v>
          </cell>
          <cell r="C918" t="str">
            <v>EQUIPO BASICO (HERRAMIENTA MENOR)</v>
          </cell>
          <cell r="D918" t="str">
            <v>Herramienta</v>
          </cell>
          <cell r="E918" t="str">
            <v>UND</v>
          </cell>
          <cell r="F918">
            <v>4.5999999999999996</v>
          </cell>
          <cell r="G918">
            <v>2536</v>
          </cell>
          <cell r="H918">
            <v>11666</v>
          </cell>
        </row>
        <row r="919">
          <cell r="A919" t="str">
            <v>032.004</v>
          </cell>
          <cell r="B919" t="str">
            <v>I1565</v>
          </cell>
          <cell r="C919" t="str">
            <v>ACARREO INTERNO</v>
          </cell>
          <cell r="D919" t="str">
            <v>Insumo</v>
          </cell>
          <cell r="E919" t="str">
            <v>UND</v>
          </cell>
          <cell r="F919">
            <v>12</v>
          </cell>
          <cell r="G919">
            <v>1327</v>
          </cell>
          <cell r="H919">
            <v>15924</v>
          </cell>
        </row>
        <row r="920">
          <cell r="A920" t="str">
            <v>032.004</v>
          </cell>
          <cell r="B920" t="str">
            <v>I3</v>
          </cell>
          <cell r="C920" t="str">
            <v>ALAMBRE NEGRO NO. 18</v>
          </cell>
          <cell r="D920" t="str">
            <v>Insumo</v>
          </cell>
          <cell r="E920" t="str">
            <v>KG</v>
          </cell>
          <cell r="F920">
            <v>0.5</v>
          </cell>
          <cell r="G920">
            <v>4323</v>
          </cell>
          <cell r="H920">
            <v>2162</v>
          </cell>
        </row>
        <row r="921">
          <cell r="A921" t="str">
            <v>032.004</v>
          </cell>
          <cell r="B921" t="str">
            <v>I425</v>
          </cell>
          <cell r="C921" t="str">
            <v>PUNTILLA CON CABEZA 2"</v>
          </cell>
          <cell r="D921" t="str">
            <v>Insumo</v>
          </cell>
          <cell r="E921" t="str">
            <v>LB</v>
          </cell>
          <cell r="F921">
            <v>0.8</v>
          </cell>
          <cell r="G921">
            <v>3585</v>
          </cell>
          <cell r="H921">
            <v>2868</v>
          </cell>
        </row>
        <row r="922">
          <cell r="A922" t="str">
            <v>032.004</v>
          </cell>
          <cell r="B922" t="str">
            <v>I441</v>
          </cell>
          <cell r="C922" t="str">
            <v xml:space="preserve">SIKA ANTISOL ROJO </v>
          </cell>
          <cell r="D922" t="str">
            <v>Insumo</v>
          </cell>
          <cell r="E922" t="str">
            <v>KG</v>
          </cell>
          <cell r="F922">
            <v>1.8</v>
          </cell>
          <cell r="G922">
            <v>14890</v>
          </cell>
          <cell r="H922">
            <v>26802</v>
          </cell>
        </row>
        <row r="923">
          <cell r="A923" t="str">
            <v>032.004</v>
          </cell>
          <cell r="B923" t="str">
            <v>I442</v>
          </cell>
          <cell r="C923" t="str">
            <v xml:space="preserve">SIKA SEPAROL </v>
          </cell>
          <cell r="D923" t="str">
            <v>Insumo</v>
          </cell>
          <cell r="E923" t="str">
            <v>KG</v>
          </cell>
          <cell r="F923">
            <v>0.67</v>
          </cell>
          <cell r="G923">
            <v>19302</v>
          </cell>
          <cell r="H923">
            <v>12932</v>
          </cell>
        </row>
        <row r="924">
          <cell r="A924" t="str">
            <v>032.004</v>
          </cell>
          <cell r="B924" t="str">
            <v>I978</v>
          </cell>
          <cell r="C924" t="str">
            <v>TABLA CHAPA EN CEDRO MACHO 30 CM X 2 CM X 3 M.</v>
          </cell>
          <cell r="D924" t="str">
            <v>Insumo</v>
          </cell>
          <cell r="E924" t="str">
            <v>M</v>
          </cell>
          <cell r="F924">
            <v>4</v>
          </cell>
          <cell r="G924">
            <v>4986</v>
          </cell>
          <cell r="H924">
            <v>19944</v>
          </cell>
        </row>
        <row r="927">
          <cell r="A927" t="str">
            <v>005.074</v>
          </cell>
          <cell r="B927" t="str">
            <v>-</v>
          </cell>
          <cell r="C927" t="str">
            <v>SUMINISTRO, TRANSPORTE E INSTALACION PERFILES TUBULARES ACERO ASTM A-572 GRADO 50  (INCLUYE SOLDADURA, ANTICORROSIVO Y ESMALTE)</v>
          </cell>
          <cell r="D927" t="str">
            <v>Actividad</v>
          </cell>
          <cell r="E927" t="str">
            <v>KG</v>
          </cell>
          <cell r="H927">
            <v>14227</v>
          </cell>
        </row>
        <row r="928">
          <cell r="A928" t="str">
            <v>005.074</v>
          </cell>
          <cell r="B928" t="str">
            <v>C18</v>
          </cell>
          <cell r="C928" t="str">
            <v>CUADRILLA DD TIPO 3 (1 OFICIAL + 3 AYUDANTE) (Carpinteria)</v>
          </cell>
          <cell r="D928" t="str">
            <v>Cuadrilla</v>
          </cell>
          <cell r="E928" t="str">
            <v>HR</v>
          </cell>
          <cell r="F928">
            <v>0.09</v>
          </cell>
          <cell r="G928">
            <v>33999</v>
          </cell>
          <cell r="H928">
            <v>3060</v>
          </cell>
        </row>
        <row r="929">
          <cell r="A929" t="str">
            <v>005.074</v>
          </cell>
          <cell r="B929" t="str">
            <v>E1</v>
          </cell>
          <cell r="C929" t="str">
            <v>ANDAMIO METALICO CERTIFICADO, INCLUYE ESCALERILLA CON BARANDAS Y PLATAFORMAS DE TRABAJO</v>
          </cell>
          <cell r="D929" t="str">
            <v>Equipos</v>
          </cell>
          <cell r="E929" t="str">
            <v>UND</v>
          </cell>
          <cell r="F929">
            <v>0.05</v>
          </cell>
          <cell r="G929">
            <v>7257</v>
          </cell>
          <cell r="H929">
            <v>363</v>
          </cell>
        </row>
        <row r="930">
          <cell r="A930" t="str">
            <v>005.074</v>
          </cell>
          <cell r="B930" t="str">
            <v>E12</v>
          </cell>
          <cell r="C930" t="str">
            <v>EQUIPO DE TRANSPORTE</v>
          </cell>
          <cell r="D930" t="str">
            <v>Equipos</v>
          </cell>
          <cell r="E930" t="str">
            <v>DIA</v>
          </cell>
          <cell r="F930">
            <v>1.6999999999999999E-3</v>
          </cell>
          <cell r="G930">
            <v>131205</v>
          </cell>
          <cell r="H930">
            <v>223</v>
          </cell>
        </row>
        <row r="931">
          <cell r="A931" t="str">
            <v>005.074</v>
          </cell>
          <cell r="B931" t="str">
            <v>E59</v>
          </cell>
          <cell r="C931" t="str">
            <v>EQUIPO DE SOLDADURA</v>
          </cell>
          <cell r="D931" t="str">
            <v>Equipos</v>
          </cell>
          <cell r="E931" t="str">
            <v>HR</v>
          </cell>
          <cell r="F931">
            <v>0.01</v>
          </cell>
          <cell r="G931">
            <v>32800</v>
          </cell>
          <cell r="H931">
            <v>328</v>
          </cell>
        </row>
        <row r="932">
          <cell r="A932" t="str">
            <v>005.074</v>
          </cell>
          <cell r="B932" t="str">
            <v>E78</v>
          </cell>
          <cell r="C932" t="str">
            <v>COMPRESOR</v>
          </cell>
          <cell r="D932" t="str">
            <v>Equipos</v>
          </cell>
          <cell r="E932" t="str">
            <v>HR</v>
          </cell>
          <cell r="F932">
            <v>0.01</v>
          </cell>
          <cell r="G932">
            <v>45659</v>
          </cell>
          <cell r="H932">
            <v>457</v>
          </cell>
        </row>
        <row r="933">
          <cell r="A933" t="str">
            <v>005.074</v>
          </cell>
          <cell r="B933" t="str">
            <v>H2</v>
          </cell>
          <cell r="C933" t="str">
            <v>EQUIPO BASICO (HERRAMIENTA MENOR)</v>
          </cell>
          <cell r="D933" t="str">
            <v>Herramienta</v>
          </cell>
          <cell r="E933" t="str">
            <v>UND</v>
          </cell>
          <cell r="F933">
            <v>0.09</v>
          </cell>
          <cell r="G933">
            <v>2536</v>
          </cell>
          <cell r="H933">
            <v>228</v>
          </cell>
        </row>
        <row r="934">
          <cell r="A934" t="str">
            <v>005.074</v>
          </cell>
          <cell r="B934" t="str">
            <v>I1001</v>
          </cell>
          <cell r="C934" t="str">
            <v>ANTICORROSIVO PREMIUM - TIPO PINTUCO REF. 513 O SIMILAR</v>
          </cell>
          <cell r="D934" t="str">
            <v>Insumo</v>
          </cell>
          <cell r="E934" t="str">
            <v>GAL</v>
          </cell>
          <cell r="F934">
            <v>1.4999999999999999E-2</v>
          </cell>
          <cell r="G934">
            <v>61233</v>
          </cell>
          <cell r="H934">
            <v>918</v>
          </cell>
        </row>
        <row r="935">
          <cell r="A935" t="str">
            <v>005.074</v>
          </cell>
          <cell r="B935" t="str">
            <v>I1002</v>
          </cell>
          <cell r="C935" t="str">
            <v>ESMALTE SINTETICO PINTULUX - TIPO PINTUCO REF. SEGÚN COLOR DISEÑO O SIMILAR</v>
          </cell>
          <cell r="D935" t="str">
            <v>Insumo</v>
          </cell>
          <cell r="E935" t="str">
            <v>GAL</v>
          </cell>
          <cell r="F935">
            <v>1.4999999999999999E-2</v>
          </cell>
          <cell r="G935">
            <v>88789</v>
          </cell>
          <cell r="H935">
            <v>1332</v>
          </cell>
        </row>
        <row r="936">
          <cell r="A936" t="str">
            <v>005.074</v>
          </cell>
          <cell r="B936" t="str">
            <v>I1565</v>
          </cell>
          <cell r="C936" t="str">
            <v>ACARREO INTERNO</v>
          </cell>
          <cell r="D936" t="str">
            <v>Insumo</v>
          </cell>
          <cell r="E936" t="str">
            <v>UND</v>
          </cell>
          <cell r="F936">
            <v>0.1</v>
          </cell>
          <cell r="G936">
            <v>1327</v>
          </cell>
          <cell r="H936">
            <v>133</v>
          </cell>
        </row>
        <row r="937">
          <cell r="A937" t="str">
            <v>005.074</v>
          </cell>
          <cell r="B937" t="str">
            <v>I301</v>
          </cell>
          <cell r="C937" t="str">
            <v>TUBERIA ESTRUCTURAL A.S.T.M.  A-572 GRADO 50 - REDONDA, CUADRADA O RECTANGULAR SEGÚN DISEÑO - TIPO COLMENA O SIMILAR</v>
          </cell>
          <cell r="D937" t="str">
            <v>Insumo</v>
          </cell>
          <cell r="E937" t="str">
            <v>KG</v>
          </cell>
          <cell r="F937">
            <v>1</v>
          </cell>
          <cell r="G937">
            <v>3958</v>
          </cell>
          <cell r="H937">
            <v>3958</v>
          </cell>
        </row>
        <row r="938">
          <cell r="A938" t="str">
            <v>005.074</v>
          </cell>
          <cell r="B938" t="str">
            <v>I435</v>
          </cell>
          <cell r="C938" t="str">
            <v>SOLDADURA ELECTRICA TIPO WESTARCO SUPER E- 6013  DE 1/8 O SIMILAR.</v>
          </cell>
          <cell r="D938" t="str">
            <v>Insumo</v>
          </cell>
          <cell r="E938" t="str">
            <v>KG</v>
          </cell>
          <cell r="F938">
            <v>0.3</v>
          </cell>
          <cell r="G938">
            <v>10755</v>
          </cell>
          <cell r="H938">
            <v>3227</v>
          </cell>
        </row>
        <row r="941">
          <cell r="C941" t="str">
            <v>CONECTORES PIERCING ACOMETIDA</v>
          </cell>
        </row>
        <row r="943">
          <cell r="A943" t="str">
            <v>08B.302</v>
          </cell>
          <cell r="B943" t="str">
            <v>-</v>
          </cell>
          <cell r="C943" t="str">
            <v>SUMINISTRO, TRANSPORTE E INSTALACION DE AFLORAMIENTO TUBERIA METALICA 1 1/2"</v>
          </cell>
          <cell r="D943" t="str">
            <v>Actividad</v>
          </cell>
          <cell r="E943" t="str">
            <v>UND</v>
          </cell>
          <cell r="H943">
            <v>98923</v>
          </cell>
        </row>
        <row r="944">
          <cell r="A944" t="str">
            <v>08B.302</v>
          </cell>
          <cell r="B944" t="str">
            <v>C13</v>
          </cell>
          <cell r="C944" t="str">
            <v>CUADRILLA FF TIPO 2 (1 OFICIAL + 2 AYUDANTE) (Electricas)</v>
          </cell>
          <cell r="D944" t="str">
            <v>Cuadrilla</v>
          </cell>
          <cell r="E944" t="str">
            <v>HR</v>
          </cell>
          <cell r="F944">
            <v>0.18</v>
          </cell>
          <cell r="G944">
            <v>33348</v>
          </cell>
          <cell r="H944">
            <v>6003</v>
          </cell>
        </row>
        <row r="945">
          <cell r="A945" t="str">
            <v>08B.302</v>
          </cell>
          <cell r="B945" t="str">
            <v>E12</v>
          </cell>
          <cell r="C945" t="str">
            <v>EQUIPO DE TRANSPORTE</v>
          </cell>
          <cell r="D945" t="str">
            <v>Equipos</v>
          </cell>
          <cell r="E945" t="str">
            <v>DIA</v>
          </cell>
          <cell r="F945">
            <v>4.7000000000000002E-3</v>
          </cell>
          <cell r="G945">
            <v>131205</v>
          </cell>
          <cell r="H945">
            <v>617</v>
          </cell>
        </row>
        <row r="946">
          <cell r="A946" t="str">
            <v>08B.302</v>
          </cell>
          <cell r="B946" t="str">
            <v>H2</v>
          </cell>
          <cell r="C946" t="str">
            <v>EQUIPO BASICO (HERRAMIENTA MENOR)</v>
          </cell>
          <cell r="D946" t="str">
            <v>Herramienta</v>
          </cell>
          <cell r="E946" t="str">
            <v>UND</v>
          </cell>
          <cell r="F946">
            <v>0.1</v>
          </cell>
          <cell r="G946">
            <v>2536</v>
          </cell>
          <cell r="H946">
            <v>254</v>
          </cell>
        </row>
        <row r="947">
          <cell r="A947" t="str">
            <v>08B.302</v>
          </cell>
          <cell r="B947" t="str">
            <v>I1132</v>
          </cell>
          <cell r="C947" t="str">
            <v xml:space="preserve">ACCESORIOS TUBERIA IMC Ó RIDGID 1_1/2" (UNION Y  CURVA ) </v>
          </cell>
          <cell r="D947" t="str">
            <v>Insumo</v>
          </cell>
          <cell r="E947" t="str">
            <v>UND</v>
          </cell>
          <cell r="F947">
            <v>1</v>
          </cell>
          <cell r="G947">
            <v>21220</v>
          </cell>
          <cell r="H947">
            <v>21220</v>
          </cell>
        </row>
        <row r="948">
          <cell r="A948" t="str">
            <v>08B.302</v>
          </cell>
          <cell r="B948" t="str">
            <v>I1202</v>
          </cell>
          <cell r="C948" t="str">
            <v xml:space="preserve">CABLE DE COBRE Nº 10 THWN </v>
          </cell>
          <cell r="D948" t="str">
            <v>Insumo</v>
          </cell>
          <cell r="E948" t="str">
            <v>M</v>
          </cell>
          <cell r="F948">
            <v>3.5</v>
          </cell>
          <cell r="G948">
            <v>4577</v>
          </cell>
          <cell r="H948">
            <v>16020</v>
          </cell>
        </row>
        <row r="949">
          <cell r="A949" t="str">
            <v>08B.302</v>
          </cell>
          <cell r="B949" t="str">
            <v>I1462</v>
          </cell>
          <cell r="C949" t="str">
            <v xml:space="preserve">TUBO CONDUIT IMC 1 1/2" </v>
          </cell>
          <cell r="D949" t="str">
            <v>Insumo</v>
          </cell>
          <cell r="E949" t="str">
            <v>M</v>
          </cell>
          <cell r="F949">
            <v>1</v>
          </cell>
          <cell r="G949">
            <v>33389</v>
          </cell>
          <cell r="H949">
            <v>33389</v>
          </cell>
        </row>
        <row r="950">
          <cell r="A950" t="str">
            <v>08B.302</v>
          </cell>
          <cell r="B950" t="str">
            <v>I1493</v>
          </cell>
          <cell r="C950" t="str">
            <v xml:space="preserve">CAPACETE ROSCADO EN ALUMINIO PARA TUBERIA IMC GALVANIZADA DE 1 1/2" </v>
          </cell>
          <cell r="D950" t="str">
            <v>Insumo</v>
          </cell>
          <cell r="E950" t="str">
            <v>UND</v>
          </cell>
          <cell r="F950">
            <v>1</v>
          </cell>
          <cell r="G950">
            <v>6884</v>
          </cell>
          <cell r="H950">
            <v>6884</v>
          </cell>
        </row>
        <row r="951">
          <cell r="A951" t="str">
            <v>08B.302</v>
          </cell>
          <cell r="B951" t="str">
            <v>I1565</v>
          </cell>
          <cell r="C951" t="str">
            <v>ACARREO INTERNO</v>
          </cell>
          <cell r="D951" t="str">
            <v>Insumo</v>
          </cell>
          <cell r="E951" t="str">
            <v>UND</v>
          </cell>
          <cell r="F951">
            <v>0.5</v>
          </cell>
          <cell r="G951">
            <v>1327</v>
          </cell>
          <cell r="H951">
            <v>664</v>
          </cell>
        </row>
        <row r="952">
          <cell r="A952" t="str">
            <v>08B.302</v>
          </cell>
          <cell r="B952" t="str">
            <v>I1694</v>
          </cell>
          <cell r="C952" t="str">
            <v>CINTA BAND - IT, 5/8"</v>
          </cell>
          <cell r="D952" t="str">
            <v>Insumo</v>
          </cell>
          <cell r="E952" t="str">
            <v>ML</v>
          </cell>
          <cell r="F952">
            <v>3</v>
          </cell>
          <cell r="G952">
            <v>4624</v>
          </cell>
          <cell r="H952">
            <v>13872</v>
          </cell>
        </row>
        <row r="954">
          <cell r="A954" t="str">
            <v>08B.052</v>
          </cell>
          <cell r="B954" t="str">
            <v>-</v>
          </cell>
          <cell r="C954" t="str">
            <v xml:space="preserve">SUMINISTRO E INSTALACION DE TUBERIA CONDUIT IMC ó RIDGID 1_1/2". </v>
          </cell>
          <cell r="D954" t="str">
            <v>Actividad</v>
          </cell>
          <cell r="E954" t="str">
            <v>ML</v>
          </cell>
          <cell r="H954">
            <v>74108</v>
          </cell>
        </row>
        <row r="955">
          <cell r="A955" t="str">
            <v>08B.052</v>
          </cell>
          <cell r="B955" t="str">
            <v>C13</v>
          </cell>
          <cell r="C955" t="str">
            <v>CUADRILLA FF TIPO 2 (1 OFICIAL + 2 AYUDANTE) (Electricas)</v>
          </cell>
          <cell r="D955" t="str">
            <v>Cuadrilla</v>
          </cell>
          <cell r="E955" t="str">
            <v>HR</v>
          </cell>
          <cell r="F955">
            <v>0.3</v>
          </cell>
          <cell r="G955">
            <v>33348</v>
          </cell>
          <cell r="H955">
            <v>10004</v>
          </cell>
        </row>
        <row r="956">
          <cell r="A956" t="str">
            <v>08B.052</v>
          </cell>
          <cell r="B956" t="str">
            <v>E12</v>
          </cell>
          <cell r="C956" t="str">
            <v>EQUIPO DE TRANSPORTE</v>
          </cell>
          <cell r="D956" t="str">
            <v>Equipos</v>
          </cell>
          <cell r="E956" t="str">
            <v>DIA</v>
          </cell>
          <cell r="F956">
            <v>9.1000000000000004E-3</v>
          </cell>
          <cell r="G956">
            <v>131205</v>
          </cell>
          <cell r="H956">
            <v>1194</v>
          </cell>
        </row>
        <row r="957">
          <cell r="A957" t="str">
            <v>08B.052</v>
          </cell>
          <cell r="B957" t="str">
            <v>H2</v>
          </cell>
          <cell r="C957" t="str">
            <v>EQUIPO BASICO (HERRAMIENTA MENOR)</v>
          </cell>
          <cell r="D957" t="str">
            <v>Herramienta</v>
          </cell>
          <cell r="E957" t="str">
            <v>UND</v>
          </cell>
          <cell r="F957">
            <v>0.2</v>
          </cell>
          <cell r="G957">
            <v>2536</v>
          </cell>
          <cell r="H957">
            <v>507</v>
          </cell>
        </row>
        <row r="958">
          <cell r="A958" t="str">
            <v>08B.052</v>
          </cell>
          <cell r="B958" t="str">
            <v>I1119</v>
          </cell>
          <cell r="C958" t="str">
            <v>ACCESORIOS FIJACION TUBERIA IMC Ó RIDGID 1_1/2" (ABRAZADERA, PERNOS)</v>
          </cell>
          <cell r="D958" t="str">
            <v>Insumo</v>
          </cell>
          <cell r="E958" t="str">
            <v>UND</v>
          </cell>
          <cell r="F958">
            <v>1</v>
          </cell>
          <cell r="G958">
            <v>7170</v>
          </cell>
          <cell r="H958">
            <v>7170</v>
          </cell>
        </row>
        <row r="959">
          <cell r="A959" t="str">
            <v>08B.052</v>
          </cell>
          <cell r="B959" t="str">
            <v>I1132</v>
          </cell>
          <cell r="C959" t="str">
            <v xml:space="preserve">ACCESORIOS TUBERIA IMC Ó RIDGID 1_1/2" (UNION Y  CURVA ) </v>
          </cell>
          <cell r="D959" t="str">
            <v>Insumo</v>
          </cell>
          <cell r="E959" t="str">
            <v>UND</v>
          </cell>
          <cell r="F959">
            <v>1</v>
          </cell>
          <cell r="G959">
            <v>21220</v>
          </cell>
          <cell r="H959">
            <v>21220</v>
          </cell>
        </row>
        <row r="960">
          <cell r="A960" t="str">
            <v>08B.052</v>
          </cell>
          <cell r="B960" t="str">
            <v>I1462</v>
          </cell>
          <cell r="C960" t="str">
            <v xml:space="preserve">TUBO CONDUIT IMC 1 1/2" </v>
          </cell>
          <cell r="D960" t="str">
            <v>Insumo</v>
          </cell>
          <cell r="E960" t="str">
            <v>M</v>
          </cell>
          <cell r="F960">
            <v>1</v>
          </cell>
          <cell r="G960">
            <v>33389</v>
          </cell>
          <cell r="H960">
            <v>33389</v>
          </cell>
        </row>
        <row r="961">
          <cell r="A961" t="str">
            <v>08B.052</v>
          </cell>
          <cell r="B961" t="str">
            <v>I1565</v>
          </cell>
          <cell r="C961" t="str">
            <v>ACARREO INTERNO</v>
          </cell>
          <cell r="D961" t="str">
            <v>Insumo</v>
          </cell>
          <cell r="E961" t="str">
            <v>UND</v>
          </cell>
          <cell r="F961">
            <v>0.47</v>
          </cell>
          <cell r="G961">
            <v>1327</v>
          </cell>
          <cell r="H961">
            <v>624</v>
          </cell>
        </row>
        <row r="963">
          <cell r="A963" t="str">
            <v>08B.005</v>
          </cell>
          <cell r="B963" t="str">
            <v>-</v>
          </cell>
          <cell r="C963" t="str">
            <v>SUMINISTRO, TRANSPORTE E INSTALACION ACOMETIDA 3F4H Cu THHN/THWN EN CABLE 3X2AWG + 2AWG (N). NO INCLUYE CONDULINADO.</v>
          </cell>
          <cell r="D963" t="str">
            <v>Actividad</v>
          </cell>
          <cell r="E963" t="str">
            <v>ML</v>
          </cell>
          <cell r="H963">
            <v>61350</v>
          </cell>
        </row>
        <row r="964">
          <cell r="A964" t="str">
            <v>08B.005</v>
          </cell>
          <cell r="B964" t="str">
            <v>C13</v>
          </cell>
          <cell r="C964" t="str">
            <v>CUADRILLA FF TIPO 2 (1 OFICIAL + 2 AYUDANTE) (Electricas)</v>
          </cell>
          <cell r="D964" t="str">
            <v>Cuadrilla</v>
          </cell>
          <cell r="E964" t="str">
            <v>HR</v>
          </cell>
          <cell r="F964">
            <v>0.16</v>
          </cell>
          <cell r="G964">
            <v>33348</v>
          </cell>
          <cell r="H964">
            <v>5336</v>
          </cell>
        </row>
        <row r="965">
          <cell r="A965" t="str">
            <v>08B.005</v>
          </cell>
          <cell r="B965" t="str">
            <v>E12</v>
          </cell>
          <cell r="C965" t="str">
            <v>EQUIPO DE TRANSPORTE</v>
          </cell>
          <cell r="D965" t="str">
            <v>Equipos</v>
          </cell>
          <cell r="E965" t="str">
            <v>DIA</v>
          </cell>
          <cell r="F965">
            <v>8.0000000000000002E-3</v>
          </cell>
          <cell r="G965">
            <v>131205</v>
          </cell>
          <cell r="H965">
            <v>1050</v>
          </cell>
        </row>
        <row r="966">
          <cell r="A966" t="str">
            <v>08B.005</v>
          </cell>
          <cell r="B966" t="str">
            <v>H2</v>
          </cell>
          <cell r="C966" t="str">
            <v>EQUIPO BASICO (HERRAMIENTA MENOR)</v>
          </cell>
          <cell r="D966" t="str">
            <v>Herramienta</v>
          </cell>
          <cell r="E966" t="str">
            <v>UND</v>
          </cell>
          <cell r="F966">
            <v>0.1</v>
          </cell>
          <cell r="G966">
            <v>2536</v>
          </cell>
          <cell r="H966">
            <v>254</v>
          </cell>
        </row>
        <row r="967">
          <cell r="A967" t="str">
            <v>08B.005</v>
          </cell>
          <cell r="B967" t="str">
            <v>I1190</v>
          </cell>
          <cell r="C967" t="str">
            <v xml:space="preserve">CABLE DE COBRE Nº 2 THHN AWG NEGRO </v>
          </cell>
          <cell r="D967" t="str">
            <v>Insumo</v>
          </cell>
          <cell r="E967" t="str">
            <v>M</v>
          </cell>
          <cell r="F967">
            <v>4.03</v>
          </cell>
          <cell r="G967">
            <v>13477</v>
          </cell>
          <cell r="H967">
            <v>54312</v>
          </cell>
        </row>
        <row r="968">
          <cell r="A968" t="str">
            <v>08B.005</v>
          </cell>
          <cell r="B968" t="str">
            <v>I1565</v>
          </cell>
          <cell r="C968" t="str">
            <v>ACARREO INTERNO</v>
          </cell>
          <cell r="D968" t="str">
            <v>Insumo</v>
          </cell>
          <cell r="E968" t="str">
            <v>UND</v>
          </cell>
          <cell r="F968">
            <v>0.3</v>
          </cell>
          <cell r="G968">
            <v>1327</v>
          </cell>
          <cell r="H968">
            <v>398</v>
          </cell>
        </row>
        <row r="970">
          <cell r="A970" t="str">
            <v>33.185</v>
          </cell>
          <cell r="B970" t="str">
            <v>-</v>
          </cell>
          <cell r="C970" t="str">
            <v>SUMINISTRO, TRANSPORTE E INSTALACION ACOMETIDA 3F5H Cu THHN/THWN EN CABLE 3X2AWG + 2AWG (N) + 2AWG (T) AWG. NO INCLUYE CONDULINADO.</v>
          </cell>
          <cell r="D970" t="str">
            <v>Actividad</v>
          </cell>
          <cell r="E970" t="str">
            <v>ML</v>
          </cell>
          <cell r="H970">
            <v>75690</v>
          </cell>
        </row>
        <row r="971">
          <cell r="A971" t="str">
            <v>08B.016</v>
          </cell>
          <cell r="B971" t="str">
            <v>C13</v>
          </cell>
          <cell r="C971" t="str">
            <v>CUADRILLA FF TIPO 2 (1 OFICIAL + 2 AYUDANTE) (Electricas)</v>
          </cell>
          <cell r="D971" t="str">
            <v>Cuadrilla</v>
          </cell>
          <cell r="E971" t="str">
            <v>HR</v>
          </cell>
          <cell r="F971">
            <v>0.18</v>
          </cell>
          <cell r="G971">
            <v>33348</v>
          </cell>
          <cell r="H971">
            <v>6003</v>
          </cell>
        </row>
        <row r="972">
          <cell r="A972" t="str">
            <v>08B.016</v>
          </cell>
          <cell r="B972" t="str">
            <v>E12</v>
          </cell>
          <cell r="C972" t="str">
            <v>EQUIPO DE TRANSPORTE</v>
          </cell>
          <cell r="D972" t="str">
            <v>Equipos</v>
          </cell>
          <cell r="E972" t="str">
            <v>DIA</v>
          </cell>
          <cell r="F972">
            <v>9.4999999999999998E-3</v>
          </cell>
          <cell r="G972">
            <v>131205</v>
          </cell>
          <cell r="H972">
            <v>1246</v>
          </cell>
        </row>
        <row r="973">
          <cell r="A973" t="str">
            <v>08B.016</v>
          </cell>
          <cell r="B973" t="str">
            <v>H2</v>
          </cell>
          <cell r="C973" t="str">
            <v>EQUIPO BASICO (HERRAMIENTA MENOR)</v>
          </cell>
          <cell r="D973" t="str">
            <v>Herramienta</v>
          </cell>
          <cell r="E973" t="str">
            <v>UND</v>
          </cell>
          <cell r="F973">
            <v>0.1</v>
          </cell>
          <cell r="G973">
            <v>2536</v>
          </cell>
          <cell r="H973">
            <v>254</v>
          </cell>
        </row>
        <row r="974">
          <cell r="A974" t="str">
            <v>08B.016</v>
          </cell>
          <cell r="B974" t="str">
            <v>I1190</v>
          </cell>
          <cell r="C974" t="str">
            <v xml:space="preserve">CABLE DE COBRE Nº 2 THHN AWG NEGRO </v>
          </cell>
          <cell r="D974" t="str">
            <v>Insumo</v>
          </cell>
          <cell r="E974" t="str">
            <v>M</v>
          </cell>
          <cell r="F974">
            <v>5.03</v>
          </cell>
          <cell r="G974">
            <v>13477</v>
          </cell>
          <cell r="H974">
            <v>67789</v>
          </cell>
        </row>
        <row r="975">
          <cell r="A975" t="str">
            <v>08B.016</v>
          </cell>
          <cell r="B975" t="str">
            <v>I1565</v>
          </cell>
          <cell r="C975" t="str">
            <v>ACARREO INTERNO</v>
          </cell>
          <cell r="D975" t="str">
            <v>Insumo</v>
          </cell>
          <cell r="E975" t="str">
            <v>UND</v>
          </cell>
          <cell r="F975">
            <v>0.3</v>
          </cell>
          <cell r="G975">
            <v>1327</v>
          </cell>
          <cell r="H975">
            <v>398</v>
          </cell>
        </row>
        <row r="977">
          <cell r="A977" t="str">
            <v>33.186</v>
          </cell>
          <cell r="B977" t="str">
            <v>-</v>
          </cell>
          <cell r="C977" t="str">
            <v>SUMINISTRO E INSTALACION MEDIDOR 3F-N-100A, CABLE 2AWG, INCLUYE CAJA HERMETICA PARA MEDIDOR</v>
          </cell>
          <cell r="D977" t="str">
            <v>Actividad</v>
          </cell>
          <cell r="E977" t="str">
            <v>UND</v>
          </cell>
          <cell r="H977">
            <v>619173</v>
          </cell>
        </row>
        <row r="978">
          <cell r="A978" t="str">
            <v>08B.269</v>
          </cell>
          <cell r="B978" t="str">
            <v>C6</v>
          </cell>
          <cell r="C978" t="str">
            <v>CUADRILLA FF TIPO 1 (1 OFICIAL + 1 AYUDANTE) (ELECTRICAS)</v>
          </cell>
          <cell r="D978" t="str">
            <v>Cuadrilla</v>
          </cell>
          <cell r="E978" t="str">
            <v>HR</v>
          </cell>
          <cell r="F978">
            <v>4</v>
          </cell>
          <cell r="G978">
            <v>23707</v>
          </cell>
          <cell r="H978">
            <v>94828</v>
          </cell>
        </row>
        <row r="979">
          <cell r="A979" t="str">
            <v>08B.269</v>
          </cell>
          <cell r="B979" t="str">
            <v>E12</v>
          </cell>
          <cell r="C979" t="str">
            <v>EQUIPO DE TRANSPORTE</v>
          </cell>
          <cell r="D979" t="str">
            <v>Equipos</v>
          </cell>
          <cell r="E979" t="str">
            <v>DIA</v>
          </cell>
          <cell r="F979">
            <v>0.125</v>
          </cell>
          <cell r="G979">
            <v>131205</v>
          </cell>
          <cell r="H979">
            <v>16401</v>
          </cell>
        </row>
        <row r="980">
          <cell r="A980" t="str">
            <v>08B.269</v>
          </cell>
          <cell r="B980" t="str">
            <v>H2</v>
          </cell>
          <cell r="C980" t="str">
            <v>EQUIPO BASICO (HERRAMIENTA MENOR)</v>
          </cell>
          <cell r="D980" t="str">
            <v>Herramienta</v>
          </cell>
          <cell r="E980" t="str">
            <v>UND</v>
          </cell>
          <cell r="F980">
            <v>2</v>
          </cell>
          <cell r="G980">
            <v>2536</v>
          </cell>
          <cell r="H980">
            <v>5072</v>
          </cell>
        </row>
        <row r="981">
          <cell r="A981" t="str">
            <v>08B.269</v>
          </cell>
          <cell r="B981" t="str">
            <v>I1691</v>
          </cell>
          <cell r="C981" t="str">
            <v>MEDIDOR TRIFASICO TETRAFILAR 208/120V 100A</v>
          </cell>
          <cell r="D981" t="str">
            <v>Insumo</v>
          </cell>
          <cell r="E981" t="str">
            <v>UND</v>
          </cell>
          <cell r="F981">
            <v>1</v>
          </cell>
          <cell r="G981">
            <v>339400</v>
          </cell>
          <cell r="H981">
            <v>339400</v>
          </cell>
        </row>
        <row r="982">
          <cell r="A982" t="str">
            <v>08B.269</v>
          </cell>
          <cell r="B982" t="str">
            <v>I1692</v>
          </cell>
          <cell r="C982" t="str">
            <v>CAJA HERMETICA TIPO INTERPERIE PARA MEDIDOR DE ENERGIA</v>
          </cell>
          <cell r="D982" t="str">
            <v>Insumo</v>
          </cell>
          <cell r="E982" t="str">
            <v>UND</v>
          </cell>
          <cell r="F982">
            <v>1</v>
          </cell>
          <cell r="G982">
            <v>141540</v>
          </cell>
          <cell r="H982">
            <v>141540</v>
          </cell>
        </row>
        <row r="983">
          <cell r="A983" t="str">
            <v>08B.269</v>
          </cell>
          <cell r="B983" t="str">
            <v>I1693</v>
          </cell>
          <cell r="C983" t="str">
            <v>TERMINAL EMT 2"</v>
          </cell>
          <cell r="D983" t="str">
            <v>Insumo</v>
          </cell>
          <cell r="E983" t="str">
            <v>UND</v>
          </cell>
          <cell r="F983">
            <v>2</v>
          </cell>
          <cell r="G983">
            <v>5221</v>
          </cell>
          <cell r="H983">
            <v>10442</v>
          </cell>
        </row>
        <row r="984">
          <cell r="A984" t="str">
            <v>08B.269</v>
          </cell>
          <cell r="B984" t="str">
            <v>I1694</v>
          </cell>
          <cell r="C984" t="str">
            <v>CINTA BAND - IT, 5/8"</v>
          </cell>
          <cell r="D984" t="str">
            <v>Insumo</v>
          </cell>
          <cell r="E984" t="str">
            <v>ML</v>
          </cell>
          <cell r="F984">
            <v>2</v>
          </cell>
          <cell r="G984">
            <v>4624</v>
          </cell>
          <cell r="H984">
            <v>9248</v>
          </cell>
        </row>
        <row r="985">
          <cell r="A985" t="str">
            <v>08B.269</v>
          </cell>
          <cell r="B985" t="str">
            <v>I1695</v>
          </cell>
          <cell r="C985" t="str">
            <v>GRAPA BAND - IT 5/8"</v>
          </cell>
          <cell r="D985" t="str">
            <v>Insumo</v>
          </cell>
          <cell r="E985" t="str">
            <v>UND</v>
          </cell>
          <cell r="F985">
            <v>2</v>
          </cell>
          <cell r="G985">
            <v>1121</v>
          </cell>
          <cell r="H985">
            <v>2242</v>
          </cell>
        </row>
        <row r="987">
          <cell r="A987" t="str">
            <v>33.187</v>
          </cell>
          <cell r="B987" t="str">
            <v>-</v>
          </cell>
          <cell r="C987" t="str">
            <v xml:space="preserve">SUMINISTRO, TRANSPORTE E INSTALACION SISTEMA DE PUESTA A TIERRA GENERAL CON UNA VARILA DE COBRE 5/8X2,4M, CABLE No.1/0AWG (SPAT-1V). </v>
          </cell>
          <cell r="D987" t="str">
            <v>Actividad</v>
          </cell>
          <cell r="E987" t="str">
            <v>GB</v>
          </cell>
          <cell r="H987">
            <v>803856</v>
          </cell>
        </row>
        <row r="988">
          <cell r="A988" t="str">
            <v>26A.094</v>
          </cell>
          <cell r="B988" t="str">
            <v>C35</v>
          </cell>
          <cell r="C988" t="str">
            <v>CUADRILLA GG TIPO 5 (1 OFICIAL + 5 AYUDANTE) (Alumbrado Publico)</v>
          </cell>
          <cell r="D988" t="str">
            <v>Cuadrilla</v>
          </cell>
          <cell r="E988" t="str">
            <v>HR</v>
          </cell>
          <cell r="F988">
            <v>2</v>
          </cell>
          <cell r="G988">
            <v>87719</v>
          </cell>
          <cell r="H988">
            <v>175438</v>
          </cell>
        </row>
        <row r="989">
          <cell r="A989" t="str">
            <v>26A.094</v>
          </cell>
          <cell r="B989" t="str">
            <v>E12</v>
          </cell>
          <cell r="C989" t="str">
            <v>EQUIPO DE TRANSPORTE</v>
          </cell>
          <cell r="D989" t="str">
            <v>Equipos</v>
          </cell>
          <cell r="E989" t="str">
            <v>DIA</v>
          </cell>
          <cell r="F989">
            <v>8.2100000000000006E-2</v>
          </cell>
          <cell r="G989">
            <v>131205</v>
          </cell>
          <cell r="H989">
            <v>10772</v>
          </cell>
        </row>
        <row r="990">
          <cell r="A990" t="str">
            <v>26A.094</v>
          </cell>
          <cell r="B990" t="str">
            <v>H2</v>
          </cell>
          <cell r="C990" t="str">
            <v>EQUIPO BASICO (HERRAMIENTA MENOR)</v>
          </cell>
          <cell r="D990" t="str">
            <v>Herramienta</v>
          </cell>
          <cell r="E990" t="str">
            <v>UND</v>
          </cell>
          <cell r="F990">
            <v>1</v>
          </cell>
          <cell r="G990">
            <v>2536</v>
          </cell>
          <cell r="H990">
            <v>2536</v>
          </cell>
        </row>
        <row r="991">
          <cell r="A991" t="str">
            <v>26A.094</v>
          </cell>
          <cell r="B991" t="str">
            <v>I1171</v>
          </cell>
          <cell r="C991" t="str">
            <v>BORNA TERMINAL PONCHAR MARCA 3M Ó PANDUIT BARRIL LARGO PARA CABLE NO.2AWG</v>
          </cell>
          <cell r="D991" t="str">
            <v>Insumo</v>
          </cell>
          <cell r="E991" t="str">
            <v>UND</v>
          </cell>
          <cell r="F991">
            <v>1</v>
          </cell>
          <cell r="G991">
            <v>3826</v>
          </cell>
          <cell r="H991">
            <v>3826</v>
          </cell>
        </row>
        <row r="992">
          <cell r="A992" t="str">
            <v>26A.094</v>
          </cell>
          <cell r="B992" t="str">
            <v>I1178</v>
          </cell>
          <cell r="C992" t="str">
            <v>CABLE DE COBRE DESNUDO Nº 1/0  AWG</v>
          </cell>
          <cell r="D992" t="str">
            <v>Insumo</v>
          </cell>
          <cell r="E992" t="str">
            <v>M</v>
          </cell>
          <cell r="F992">
            <v>5</v>
          </cell>
          <cell r="G992">
            <v>21839</v>
          </cell>
          <cell r="H992">
            <v>109195</v>
          </cell>
        </row>
        <row r="993">
          <cell r="A993" t="str">
            <v>26A.094</v>
          </cell>
          <cell r="B993" t="str">
            <v>I1381</v>
          </cell>
          <cell r="C993" t="str">
            <v>SOLDADURA EXOTERMICA TIPO CADWELD  DE 115 GRAMOS O SIMILAR</v>
          </cell>
          <cell r="D993" t="str">
            <v>Insumo</v>
          </cell>
          <cell r="E993" t="str">
            <v>UND</v>
          </cell>
          <cell r="F993">
            <v>1</v>
          </cell>
          <cell r="G993">
            <v>16887</v>
          </cell>
          <cell r="H993">
            <v>16887</v>
          </cell>
        </row>
        <row r="994">
          <cell r="A994" t="str">
            <v>26A.094</v>
          </cell>
          <cell r="B994" t="str">
            <v>I1382</v>
          </cell>
          <cell r="C994" t="str">
            <v>SUELO ARTIFICIAL CEMENTO CONDUCTOR CELEC</v>
          </cell>
          <cell r="D994" t="str">
            <v>Insumo</v>
          </cell>
          <cell r="E994" t="str">
            <v>KG</v>
          </cell>
          <cell r="F994">
            <v>40</v>
          </cell>
          <cell r="G994">
            <v>8319</v>
          </cell>
          <cell r="H994">
            <v>332760</v>
          </cell>
        </row>
        <row r="995">
          <cell r="A995" t="str">
            <v>26A.094</v>
          </cell>
          <cell r="B995" t="str">
            <v>I1484</v>
          </cell>
          <cell r="C995" t="str">
            <v>VARILLA COPPERWELD DE  5/8 X 2,40</v>
          </cell>
          <cell r="D995" t="str">
            <v>Insumo</v>
          </cell>
          <cell r="E995" t="str">
            <v>UND</v>
          </cell>
          <cell r="F995">
            <v>1</v>
          </cell>
          <cell r="G995">
            <v>140632</v>
          </cell>
          <cell r="H995">
            <v>140632</v>
          </cell>
        </row>
        <row r="996">
          <cell r="A996" t="str">
            <v>26A.094</v>
          </cell>
          <cell r="B996" t="str">
            <v>I1565</v>
          </cell>
          <cell r="C996" t="str">
            <v>ACARREO INTERNO</v>
          </cell>
          <cell r="D996" t="str">
            <v>Insumo</v>
          </cell>
          <cell r="E996" t="str">
            <v>UND</v>
          </cell>
          <cell r="F996">
            <v>8.9</v>
          </cell>
          <cell r="G996">
            <v>1327</v>
          </cell>
          <cell r="H996">
            <v>11810</v>
          </cell>
        </row>
        <row r="998">
          <cell r="A998" t="str">
            <v>024.100</v>
          </cell>
          <cell r="B998" t="str">
            <v>-</v>
          </cell>
          <cell r="C998" t="str">
            <v xml:space="preserve">SUMINISTRO, TRANSPORTE E INSTALACION CAJA DE INSPECCIÓN TIPO II (0,80X0,80 M) EN CONCRETO CLASE II                                                                                                                      </v>
          </cell>
          <cell r="D998" t="str">
            <v>Actividad</v>
          </cell>
          <cell r="E998" t="str">
            <v>ML</v>
          </cell>
          <cell r="H998">
            <v>456990</v>
          </cell>
        </row>
        <row r="999">
          <cell r="A999" t="str">
            <v>024.100</v>
          </cell>
          <cell r="B999" t="str">
            <v>C37</v>
          </cell>
          <cell r="C999" t="str">
            <v>CUADRILLA BB TIPO 6 (1 OFICIAL + 6 AYUDANTE) (Instalaciones)</v>
          </cell>
          <cell r="D999" t="str">
            <v>Cuadrilla</v>
          </cell>
          <cell r="E999" t="str">
            <v>HR</v>
          </cell>
          <cell r="F999">
            <v>3</v>
          </cell>
          <cell r="G999">
            <v>53733</v>
          </cell>
          <cell r="H999">
            <v>161199</v>
          </cell>
        </row>
        <row r="1000">
          <cell r="A1000" t="str">
            <v>024.100</v>
          </cell>
          <cell r="B1000" t="str">
            <v>E112</v>
          </cell>
          <cell r="C1000" t="str">
            <v>FORMALETA METALICA PARA CAMARA CIRCULAR</v>
          </cell>
          <cell r="D1000" t="str">
            <v>Equipos</v>
          </cell>
          <cell r="E1000" t="str">
            <v>UND</v>
          </cell>
          <cell r="F1000">
            <v>0.9</v>
          </cell>
          <cell r="G1000">
            <v>1311</v>
          </cell>
          <cell r="H1000">
            <v>1180</v>
          </cell>
        </row>
        <row r="1001">
          <cell r="A1001" t="str">
            <v>024.100</v>
          </cell>
          <cell r="B1001" t="str">
            <v>E12</v>
          </cell>
          <cell r="C1001" t="str">
            <v>EQUIPO DE TRANSPORTE</v>
          </cell>
          <cell r="D1001" t="str">
            <v>Equipos</v>
          </cell>
          <cell r="E1001" t="str">
            <v>DIA</v>
          </cell>
          <cell r="F1001">
            <v>6.2899999999999998E-2</v>
          </cell>
          <cell r="G1001">
            <v>131205</v>
          </cell>
          <cell r="H1001">
            <v>8253</v>
          </cell>
        </row>
        <row r="1002">
          <cell r="A1002" t="str">
            <v>024.100</v>
          </cell>
          <cell r="B1002" t="str">
            <v>H2</v>
          </cell>
          <cell r="C1002" t="str">
            <v>EQUIPO BASICO (HERRAMIENTA MENOR)</v>
          </cell>
          <cell r="D1002" t="str">
            <v>Herramienta</v>
          </cell>
          <cell r="E1002" t="str">
            <v>UND</v>
          </cell>
          <cell r="F1002">
            <v>0.35</v>
          </cell>
          <cell r="G1002">
            <v>2536</v>
          </cell>
          <cell r="H1002">
            <v>888</v>
          </cell>
        </row>
        <row r="1003">
          <cell r="A1003" t="str">
            <v>024.100</v>
          </cell>
          <cell r="B1003" t="str">
            <v>I1565</v>
          </cell>
          <cell r="C1003" t="str">
            <v>ACARREO INTERNO</v>
          </cell>
          <cell r="D1003" t="str">
            <v>Insumo</v>
          </cell>
          <cell r="E1003" t="str">
            <v>UND</v>
          </cell>
          <cell r="F1003">
            <v>9.9</v>
          </cell>
          <cell r="G1003">
            <v>1327</v>
          </cell>
          <cell r="H1003">
            <v>13137</v>
          </cell>
        </row>
        <row r="1004">
          <cell r="A1004" t="str">
            <v>024.100</v>
          </cell>
          <cell r="B1004" t="str">
            <v>I22</v>
          </cell>
          <cell r="C1004" t="str">
            <v>ESCALONES EN 3/8 DE FY 420 MPA</v>
          </cell>
          <cell r="D1004" t="str">
            <v>Insumo</v>
          </cell>
          <cell r="E1004" t="str">
            <v>UND</v>
          </cell>
          <cell r="F1004">
            <v>1.2</v>
          </cell>
          <cell r="G1004">
            <v>2782</v>
          </cell>
          <cell r="H1004">
            <v>3338</v>
          </cell>
        </row>
        <row r="1005">
          <cell r="A1005" t="str">
            <v>024.100</v>
          </cell>
          <cell r="B1005" t="str">
            <v>I274</v>
          </cell>
          <cell r="C1005" t="str">
            <v>CEMENTO GRIS</v>
          </cell>
          <cell r="D1005" t="str">
            <v>Insumo</v>
          </cell>
          <cell r="E1005" t="str">
            <v>KG</v>
          </cell>
          <cell r="F1005">
            <v>275</v>
          </cell>
          <cell r="G1005">
            <v>719</v>
          </cell>
          <cell r="H1005">
            <v>197725</v>
          </cell>
        </row>
        <row r="1006">
          <cell r="A1006" t="str">
            <v>024.100</v>
          </cell>
          <cell r="B1006" t="str">
            <v>I32</v>
          </cell>
          <cell r="C1006" t="str">
            <v>ARENA LAVADA DE RIO</v>
          </cell>
          <cell r="D1006" t="str">
            <v>Insumo</v>
          </cell>
          <cell r="E1006" t="str">
            <v>M3</v>
          </cell>
          <cell r="F1006">
            <v>0.18</v>
          </cell>
          <cell r="G1006">
            <v>93238</v>
          </cell>
          <cell r="H1006">
            <v>16783</v>
          </cell>
        </row>
        <row r="1007">
          <cell r="A1007" t="str">
            <v>024.100</v>
          </cell>
          <cell r="B1007" t="str">
            <v>I34</v>
          </cell>
          <cell r="C1007" t="str">
            <v>GRAVILLA COMUN DE RIO</v>
          </cell>
          <cell r="D1007" t="str">
            <v>Insumo</v>
          </cell>
          <cell r="E1007" t="str">
            <v>M3</v>
          </cell>
          <cell r="F1007">
            <v>0.57999999999999996</v>
          </cell>
          <cell r="G1007">
            <v>93238</v>
          </cell>
          <cell r="H1007">
            <v>54078</v>
          </cell>
        </row>
        <row r="1008">
          <cell r="A1008" t="str">
            <v>024.100</v>
          </cell>
          <cell r="B1008" t="str">
            <v>I45</v>
          </cell>
          <cell r="C1008" t="str">
            <v>AGUA M3</v>
          </cell>
          <cell r="D1008" t="str">
            <v>Insumo</v>
          </cell>
          <cell r="E1008" t="str">
            <v>M3</v>
          </cell>
          <cell r="F1008">
            <v>0.2</v>
          </cell>
          <cell r="G1008">
            <v>2044</v>
          </cell>
          <cell r="H1008">
            <v>409</v>
          </cell>
        </row>
        <row r="1010">
          <cell r="A1010" t="str">
            <v>33.188</v>
          </cell>
          <cell r="B1010" t="str">
            <v>-</v>
          </cell>
          <cell r="C1010" t="str">
            <v xml:space="preserve">SUMINISTRO, TRANSPORTE E INSTALACION TAPA P/CAJA DE INSPECCIÓN TIPO II (0,8X0,8X0,1 M) CONCRETO CLASE II                                       </v>
          </cell>
          <cell r="D1010" t="str">
            <v>Actividad</v>
          </cell>
          <cell r="E1010" t="str">
            <v>UND</v>
          </cell>
          <cell r="H1010">
            <v>97181</v>
          </cell>
        </row>
        <row r="1011">
          <cell r="A1011" t="str">
            <v>024.106</v>
          </cell>
          <cell r="B1011" t="str">
            <v>C37</v>
          </cell>
          <cell r="C1011" t="str">
            <v>CUADRILLA BB TIPO 6 (1 OFICIAL + 6 AYUDANTE) (Instalaciones)</v>
          </cell>
          <cell r="D1011" t="str">
            <v>Cuadrilla</v>
          </cell>
          <cell r="E1011" t="str">
            <v>HR</v>
          </cell>
          <cell r="F1011">
            <v>0.6</v>
          </cell>
          <cell r="G1011">
            <v>53733</v>
          </cell>
          <cell r="H1011">
            <v>32240</v>
          </cell>
        </row>
        <row r="1012">
          <cell r="A1012" t="str">
            <v>024.106</v>
          </cell>
          <cell r="B1012" t="str">
            <v>E112</v>
          </cell>
          <cell r="C1012" t="str">
            <v>FORMALETA METALICA PARA CAMARA CIRCULAR</v>
          </cell>
          <cell r="D1012" t="str">
            <v>Equipos</v>
          </cell>
          <cell r="E1012" t="str">
            <v>UND</v>
          </cell>
          <cell r="F1012">
            <v>0.9</v>
          </cell>
          <cell r="G1012">
            <v>1311</v>
          </cell>
          <cell r="H1012">
            <v>1180</v>
          </cell>
        </row>
        <row r="1013">
          <cell r="A1013" t="str">
            <v>024.106</v>
          </cell>
          <cell r="B1013" t="str">
            <v>E12</v>
          </cell>
          <cell r="C1013" t="str">
            <v>EQUIPO DE TRANSPORTE</v>
          </cell>
          <cell r="D1013" t="str">
            <v>Equipos</v>
          </cell>
          <cell r="E1013" t="str">
            <v>DIA</v>
          </cell>
          <cell r="F1013">
            <v>1.21E-2</v>
          </cell>
          <cell r="G1013">
            <v>131205</v>
          </cell>
          <cell r="H1013">
            <v>1588</v>
          </cell>
        </row>
        <row r="1014">
          <cell r="A1014" t="str">
            <v>024.106</v>
          </cell>
          <cell r="B1014" t="str">
            <v>H2</v>
          </cell>
          <cell r="C1014" t="str">
            <v>EQUIPO BASICO (HERRAMIENTA MENOR)</v>
          </cell>
          <cell r="D1014" t="str">
            <v>Herramienta</v>
          </cell>
          <cell r="E1014" t="str">
            <v>UND</v>
          </cell>
          <cell r="F1014">
            <v>0.35</v>
          </cell>
          <cell r="G1014">
            <v>2536</v>
          </cell>
          <cell r="H1014">
            <v>888</v>
          </cell>
        </row>
        <row r="1015">
          <cell r="A1015" t="str">
            <v>024.106</v>
          </cell>
          <cell r="B1015" t="str">
            <v>I1565</v>
          </cell>
          <cell r="C1015" t="str">
            <v>ACARREO INTERNO</v>
          </cell>
          <cell r="D1015" t="str">
            <v>Insumo</v>
          </cell>
          <cell r="E1015" t="str">
            <v>UND</v>
          </cell>
          <cell r="F1015">
            <v>9.9</v>
          </cell>
          <cell r="G1015">
            <v>1327</v>
          </cell>
          <cell r="H1015">
            <v>13137</v>
          </cell>
        </row>
        <row r="1016">
          <cell r="A1016" t="str">
            <v>024.106</v>
          </cell>
          <cell r="B1016" t="str">
            <v>I20</v>
          </cell>
          <cell r="C1016" t="str">
            <v>BARRAS CORRUGADAS W60X6M D: 3/8"</v>
          </cell>
          <cell r="D1016" t="str">
            <v>Insumo</v>
          </cell>
          <cell r="E1016" t="str">
            <v>UND</v>
          </cell>
          <cell r="F1016">
            <v>9.08</v>
          </cell>
          <cell r="G1016">
            <v>2782</v>
          </cell>
          <cell r="H1016">
            <v>25261</v>
          </cell>
        </row>
        <row r="1017">
          <cell r="A1017" t="str">
            <v>024.106</v>
          </cell>
          <cell r="B1017" t="str">
            <v>I274</v>
          </cell>
          <cell r="C1017" t="str">
            <v>CEMENTO GRIS</v>
          </cell>
          <cell r="D1017" t="str">
            <v>Insumo</v>
          </cell>
          <cell r="E1017" t="str">
            <v>KG</v>
          </cell>
          <cell r="F1017">
            <v>24</v>
          </cell>
          <cell r="G1017">
            <v>719</v>
          </cell>
          <cell r="H1017">
            <v>17256</v>
          </cell>
        </row>
        <row r="1018">
          <cell r="A1018" t="str">
            <v>024.106</v>
          </cell>
          <cell r="B1018" t="str">
            <v>I32</v>
          </cell>
          <cell r="C1018" t="str">
            <v>ARENA LAVADA DE RIO</v>
          </cell>
          <cell r="D1018" t="str">
            <v>Insumo</v>
          </cell>
          <cell r="E1018" t="str">
            <v>M3</v>
          </cell>
          <cell r="F1018">
            <v>1.4999999999999999E-2</v>
          </cell>
          <cell r="G1018">
            <v>93238</v>
          </cell>
          <cell r="H1018">
            <v>1399</v>
          </cell>
        </row>
        <row r="1019">
          <cell r="A1019" t="str">
            <v>024.106</v>
          </cell>
          <cell r="B1019" t="str">
            <v>I34</v>
          </cell>
          <cell r="C1019" t="str">
            <v>GRAVILLA COMUN DE RIO</v>
          </cell>
          <cell r="D1019" t="str">
            <v>Insumo</v>
          </cell>
          <cell r="E1019" t="str">
            <v>M3</v>
          </cell>
          <cell r="F1019">
            <v>4.1000000000000002E-2</v>
          </cell>
          <cell r="G1019">
            <v>93238</v>
          </cell>
          <cell r="H1019">
            <v>3823</v>
          </cell>
        </row>
        <row r="1020">
          <cell r="A1020" t="str">
            <v>024.106</v>
          </cell>
          <cell r="B1020" t="str">
            <v>I45</v>
          </cell>
          <cell r="C1020" t="str">
            <v>AGUA M3</v>
          </cell>
          <cell r="D1020" t="str">
            <v>Insumo</v>
          </cell>
          <cell r="E1020" t="str">
            <v>M3</v>
          </cell>
          <cell r="F1020">
            <v>0.2</v>
          </cell>
          <cell r="G1020">
            <v>2044</v>
          </cell>
          <cell r="H1020">
            <v>409</v>
          </cell>
        </row>
        <row r="1022">
          <cell r="A1022" t="str">
            <v>002.001</v>
          </cell>
          <cell r="B1022" t="str">
            <v>-</v>
          </cell>
          <cell r="C1022" t="str">
            <v>EXCAVACIÓN EN ZANJA - MATERIAL COMÚN - 0.0 A 2.0 M</v>
          </cell>
          <cell r="D1022" t="str">
            <v>Actividad</v>
          </cell>
          <cell r="E1022" t="str">
            <v>M3</v>
          </cell>
          <cell r="H1022">
            <v>23703</v>
          </cell>
        </row>
        <row r="1023">
          <cell r="A1023" t="str">
            <v>002.001</v>
          </cell>
          <cell r="B1023" t="str">
            <v>C22</v>
          </cell>
          <cell r="C1023" t="str">
            <v>CUADRILLA AA TIPO 4 (1 OFICIAL + 4 AYUDANTE) (Albañileria)</v>
          </cell>
          <cell r="D1023" t="str">
            <v>Cuadrilla</v>
          </cell>
          <cell r="E1023" t="str">
            <v>HR</v>
          </cell>
          <cell r="F1023">
            <v>0.6</v>
          </cell>
          <cell r="G1023">
            <v>35996</v>
          </cell>
          <cell r="H1023">
            <v>21598</v>
          </cell>
        </row>
        <row r="1024">
          <cell r="A1024" t="str">
            <v>002.001</v>
          </cell>
          <cell r="B1024" t="str">
            <v>E36</v>
          </cell>
          <cell r="C1024" t="str">
            <v>EQUIPO MANEJO DE AGUAS DIFERENTE A AGUAS RESIDUALES</v>
          </cell>
          <cell r="D1024" t="str">
            <v>Equipos</v>
          </cell>
          <cell r="E1024" t="str">
            <v>DIA</v>
          </cell>
          <cell r="F1024">
            <v>3.3000000000000002E-2</v>
          </cell>
          <cell r="G1024">
            <v>48431</v>
          </cell>
          <cell r="H1024">
            <v>1598</v>
          </cell>
        </row>
        <row r="1025">
          <cell r="A1025" t="str">
            <v>002.001</v>
          </cell>
          <cell r="B1025" t="str">
            <v>H2</v>
          </cell>
          <cell r="C1025" t="str">
            <v>EQUIPO BASICO (HERRAMIENTA MENOR)</v>
          </cell>
          <cell r="D1025" t="str">
            <v>Herramienta</v>
          </cell>
          <cell r="E1025" t="str">
            <v>UND</v>
          </cell>
          <cell r="F1025">
            <v>0.2</v>
          </cell>
          <cell r="G1025">
            <v>2536</v>
          </cell>
          <cell r="H1025">
            <v>507</v>
          </cell>
        </row>
        <row r="1027">
          <cell r="A1027" t="str">
            <v>33.189</v>
          </cell>
          <cell r="B1027" t="str">
            <v>-</v>
          </cell>
          <cell r="C1027" t="str">
            <v xml:space="preserve"> SUMINISTRO E INSTALACION DE TUBERIA CONDUIT PVC 1_1/2". </v>
          </cell>
          <cell r="D1027" t="str">
            <v>Actividad</v>
          </cell>
          <cell r="E1027" t="str">
            <v>ML</v>
          </cell>
          <cell r="H1027">
            <v>7596</v>
          </cell>
        </row>
        <row r="1028">
          <cell r="A1028" t="str">
            <v>08B.040</v>
          </cell>
          <cell r="B1028" t="str">
            <v>C13</v>
          </cell>
          <cell r="C1028" t="str">
            <v>CUADRILLA FF TIPO 2 (1 OFICIAL + 2 AYUDANTE) (Electricas)</v>
          </cell>
          <cell r="D1028" t="str">
            <v>Cuadrilla</v>
          </cell>
          <cell r="E1028" t="str">
            <v>HR</v>
          </cell>
          <cell r="F1028">
            <v>0.1</v>
          </cell>
          <cell r="G1028">
            <v>33348</v>
          </cell>
          <cell r="H1028">
            <v>3335</v>
          </cell>
        </row>
        <row r="1029">
          <cell r="A1029" t="str">
            <v>08B.040</v>
          </cell>
          <cell r="B1029" t="str">
            <v>E12</v>
          </cell>
          <cell r="C1029" t="str">
            <v>EQUIPO DE TRANSPORTE</v>
          </cell>
          <cell r="D1029" t="str">
            <v>Equipos</v>
          </cell>
          <cell r="E1029" t="str">
            <v>DIA</v>
          </cell>
          <cell r="F1029">
            <v>5.0000000000000001E-4</v>
          </cell>
          <cell r="G1029">
            <v>131205</v>
          </cell>
          <cell r="H1029">
            <v>66</v>
          </cell>
        </row>
        <row r="1030">
          <cell r="A1030" t="str">
            <v>08B.040</v>
          </cell>
          <cell r="B1030" t="str">
            <v>H2</v>
          </cell>
          <cell r="C1030" t="str">
            <v>EQUIPO BASICO (HERRAMIENTA MENOR)</v>
          </cell>
          <cell r="D1030" t="str">
            <v>Herramienta</v>
          </cell>
          <cell r="E1030" t="str">
            <v>UND</v>
          </cell>
          <cell r="F1030">
            <v>0.2</v>
          </cell>
          <cell r="G1030">
            <v>2536</v>
          </cell>
          <cell r="H1030">
            <v>507</v>
          </cell>
        </row>
        <row r="1031">
          <cell r="A1031" t="str">
            <v>08B.040</v>
          </cell>
          <cell r="B1031" t="str">
            <v>I1469</v>
          </cell>
          <cell r="C1031" t="str">
            <v>TUBO CONDUIT PVC 1 1/2"</v>
          </cell>
          <cell r="D1031" t="str">
            <v>Insumo</v>
          </cell>
          <cell r="E1031" t="str">
            <v>M</v>
          </cell>
          <cell r="F1031">
            <v>1.03</v>
          </cell>
          <cell r="G1031">
            <v>3336</v>
          </cell>
          <cell r="H1031">
            <v>3436</v>
          </cell>
        </row>
        <row r="1032">
          <cell r="A1032" t="str">
            <v>08B.040</v>
          </cell>
          <cell r="B1032" t="str">
            <v>I1565</v>
          </cell>
          <cell r="C1032" t="str">
            <v>ACARREO INTERNO</v>
          </cell>
          <cell r="D1032" t="str">
            <v>Insumo</v>
          </cell>
          <cell r="E1032" t="str">
            <v>UND</v>
          </cell>
          <cell r="F1032">
            <v>0.19</v>
          </cell>
          <cell r="G1032">
            <v>1327</v>
          </cell>
          <cell r="H1032">
            <v>252</v>
          </cell>
        </row>
        <row r="1034">
          <cell r="A1034" t="str">
            <v>002.049</v>
          </cell>
          <cell r="B1034" t="str">
            <v>-</v>
          </cell>
          <cell r="C1034" t="str">
            <v>RELLENO EN MATERIAL SELECCIONADO PROVENIENTE DE LA EXCAVACION (APISONADO)</v>
          </cell>
          <cell r="D1034" t="str">
            <v>Actividad</v>
          </cell>
          <cell r="E1034" t="str">
            <v>M3</v>
          </cell>
          <cell r="H1034">
            <v>23558</v>
          </cell>
        </row>
        <row r="1035">
          <cell r="A1035" t="str">
            <v>002.049</v>
          </cell>
          <cell r="B1035" t="str">
            <v>C15</v>
          </cell>
          <cell r="C1035" t="str">
            <v>CUADRILLA AA TIPO 3 (1 OFICIAL + 3 AYUDANTE) (Albañileria)</v>
          </cell>
          <cell r="D1035" t="str">
            <v>Cuadrilla</v>
          </cell>
          <cell r="E1035" t="str">
            <v>HR</v>
          </cell>
          <cell r="F1035">
            <v>0.7</v>
          </cell>
          <cell r="G1035">
            <v>29568</v>
          </cell>
          <cell r="H1035">
            <v>20698</v>
          </cell>
        </row>
        <row r="1036">
          <cell r="A1036" t="str">
            <v>002.049</v>
          </cell>
          <cell r="B1036" t="str">
            <v>H2</v>
          </cell>
          <cell r="C1036" t="str">
            <v>EQUIPO BASICO (HERRAMIENTA MENOR)</v>
          </cell>
          <cell r="D1036" t="str">
            <v>Herramienta</v>
          </cell>
          <cell r="E1036" t="str">
            <v>UND</v>
          </cell>
          <cell r="F1036">
            <v>0.5</v>
          </cell>
          <cell r="G1036">
            <v>2536</v>
          </cell>
          <cell r="H1036">
            <v>1268</v>
          </cell>
        </row>
        <row r="1037">
          <cell r="A1037" t="str">
            <v>002.049</v>
          </cell>
          <cell r="B1037" t="str">
            <v>I1565</v>
          </cell>
          <cell r="C1037" t="str">
            <v>ACARREO INTERNO</v>
          </cell>
          <cell r="D1037" t="str">
            <v>Insumo</v>
          </cell>
          <cell r="E1037" t="str">
            <v>UND</v>
          </cell>
          <cell r="F1037">
            <v>1.2</v>
          </cell>
          <cell r="G1037">
            <v>1327</v>
          </cell>
          <cell r="H1037">
            <v>1592</v>
          </cell>
        </row>
        <row r="1039">
          <cell r="A1039" t="str">
            <v>08B.102</v>
          </cell>
          <cell r="B1039" t="str">
            <v>-</v>
          </cell>
          <cell r="C1039" t="str">
            <v>SUMINISTRO E INSTALACION DE TABLERO DE 18 CIRCUITOS 3F5H, CON PUERTA Y ESPACIO PARA TOTALIZADOR, BARRAJE PARA 200A BARRA NEUTRO Y BARRA TIERRA  Calidad Legrand, Siemens, SqareD o superior de marca reconocida y homologada por el CIDET</v>
          </cell>
          <cell r="D1039" t="str">
            <v>Actividad</v>
          </cell>
          <cell r="E1039" t="str">
            <v>UND</v>
          </cell>
          <cell r="H1039">
            <v>587025</v>
          </cell>
        </row>
        <row r="1040">
          <cell r="A1040" t="str">
            <v>08B.102</v>
          </cell>
          <cell r="B1040" t="str">
            <v>C13</v>
          </cell>
          <cell r="C1040" t="str">
            <v>CUADRILLA FF TIPO 2 (1 OFICIAL + 2 AYUDANTE) (Electricas)</v>
          </cell>
          <cell r="D1040" t="str">
            <v>Cuadrilla</v>
          </cell>
          <cell r="E1040" t="str">
            <v>HR</v>
          </cell>
          <cell r="F1040">
            <v>4</v>
          </cell>
          <cell r="G1040">
            <v>33348</v>
          </cell>
          <cell r="H1040">
            <v>133392</v>
          </cell>
        </row>
        <row r="1041">
          <cell r="A1041" t="str">
            <v>08B.102</v>
          </cell>
          <cell r="B1041" t="str">
            <v>E12</v>
          </cell>
          <cell r="C1041" t="str">
            <v>EQUIPO DE TRANSPORTE</v>
          </cell>
          <cell r="D1041" t="str">
            <v>Equipos</v>
          </cell>
          <cell r="E1041" t="str">
            <v>DIA</v>
          </cell>
          <cell r="F1041">
            <v>6.4100000000000004E-2</v>
          </cell>
          <cell r="G1041">
            <v>131205</v>
          </cell>
          <cell r="H1041">
            <v>8410</v>
          </cell>
        </row>
        <row r="1042">
          <cell r="A1042" t="str">
            <v>08B.102</v>
          </cell>
          <cell r="B1042" t="str">
            <v>H2</v>
          </cell>
          <cell r="C1042" t="str">
            <v>EQUIPO BASICO (HERRAMIENTA MENOR)</v>
          </cell>
          <cell r="D1042" t="str">
            <v>Herramienta</v>
          </cell>
          <cell r="E1042" t="str">
            <v>UND</v>
          </cell>
          <cell r="F1042">
            <v>0.5</v>
          </cell>
          <cell r="G1042">
            <v>2536</v>
          </cell>
          <cell r="H1042">
            <v>1268</v>
          </cell>
        </row>
        <row r="1043">
          <cell r="A1043" t="str">
            <v>08B.102</v>
          </cell>
          <cell r="B1043" t="str">
            <v>I1394</v>
          </cell>
          <cell r="C1043" t="str">
            <v>TABLERO DE 18 CIRCUITOS 3F5H, CON PUERTA Y ESPACIO PARA TOTALIZADOR, BARRAJE , BARRA NEUTRO Y BARRA TIERRA  CALIDAD LEGRAND, SIEMENS, SQARED O SUPERIOR DE MARCA RECONOCIDA Y HOMOLOGADA POR EL CIDET</v>
          </cell>
          <cell r="D1043" t="str">
            <v>Insumo</v>
          </cell>
          <cell r="E1043" t="str">
            <v>UND</v>
          </cell>
          <cell r="F1043">
            <v>1</v>
          </cell>
          <cell r="G1043">
            <v>435595</v>
          </cell>
          <cell r="H1043">
            <v>435595</v>
          </cell>
        </row>
        <row r="1044">
          <cell r="A1044" t="str">
            <v>08B.102</v>
          </cell>
          <cell r="B1044" t="str">
            <v>I1565</v>
          </cell>
          <cell r="C1044" t="str">
            <v>ACARREO INTERNO</v>
          </cell>
          <cell r="D1044" t="str">
            <v>Insumo</v>
          </cell>
          <cell r="E1044" t="str">
            <v>UND</v>
          </cell>
          <cell r="F1044">
            <v>6.3</v>
          </cell>
          <cell r="G1044">
            <v>1327</v>
          </cell>
          <cell r="H1044">
            <v>8360</v>
          </cell>
        </row>
        <row r="1046">
          <cell r="A1046" t="str">
            <v>33.190</v>
          </cell>
          <cell r="B1046" t="str">
            <v>-</v>
          </cell>
          <cell r="C1046" t="str">
            <v>SUMINISTRO E INSTALACION DE BREAKER 3X70 A</v>
          </cell>
          <cell r="D1046" t="str">
            <v>Actividad</v>
          </cell>
          <cell r="E1046" t="str">
            <v>UND</v>
          </cell>
          <cell r="H1046">
            <v>180289</v>
          </cell>
        </row>
        <row r="1047">
          <cell r="A1047" t="str">
            <v>08B.326</v>
          </cell>
          <cell r="B1047" t="str">
            <v>C6</v>
          </cell>
          <cell r="C1047" t="str">
            <v>CUADRILLA FF TIPO 1 (1 OFICIAL + 1 AYUDANTE) (ELECTRICAS)</v>
          </cell>
          <cell r="D1047" t="str">
            <v>Cuadrilla</v>
          </cell>
          <cell r="E1047" t="str">
            <v>HR</v>
          </cell>
          <cell r="F1047">
            <v>1</v>
          </cell>
          <cell r="G1047">
            <v>23707</v>
          </cell>
          <cell r="H1047">
            <v>23707</v>
          </cell>
        </row>
        <row r="1048">
          <cell r="A1048" t="str">
            <v>08B.326</v>
          </cell>
          <cell r="B1048" t="str">
            <v>E12</v>
          </cell>
          <cell r="C1048" t="str">
            <v>EQUIPO DE TRANSPORTE</v>
          </cell>
          <cell r="D1048" t="str">
            <v>Equipos</v>
          </cell>
          <cell r="E1048" t="str">
            <v>DIA</v>
          </cell>
          <cell r="F1048">
            <v>0.05</v>
          </cell>
          <cell r="G1048">
            <v>131205</v>
          </cell>
          <cell r="H1048">
            <v>6560</v>
          </cell>
        </row>
        <row r="1049">
          <cell r="A1049" t="str">
            <v>08B.326</v>
          </cell>
          <cell r="B1049" t="str">
            <v>H2</v>
          </cell>
          <cell r="C1049" t="str">
            <v>EQUIPO BASICO (HERRAMIENTA MENOR)</v>
          </cell>
          <cell r="D1049" t="str">
            <v>Herramienta</v>
          </cell>
          <cell r="E1049" t="str">
            <v>UND</v>
          </cell>
          <cell r="F1049">
            <v>2</v>
          </cell>
          <cell r="G1049">
            <v>2536</v>
          </cell>
          <cell r="H1049">
            <v>5072</v>
          </cell>
        </row>
        <row r="1050">
          <cell r="A1050" t="str">
            <v>08B.326</v>
          </cell>
          <cell r="B1050" t="str">
            <v>I2049</v>
          </cell>
          <cell r="C1050" t="str">
            <v>SUMINISTRO DE PROTECCION  3X70 A; 10 KA, INCRUSTAR</v>
          </cell>
          <cell r="D1050" t="str">
            <v>Insumo</v>
          </cell>
          <cell r="E1050" t="str">
            <v>UND</v>
          </cell>
          <cell r="F1050">
            <v>1</v>
          </cell>
          <cell r="G1050">
            <v>144950</v>
          </cell>
          <cell r="H1050">
            <v>144950</v>
          </cell>
        </row>
        <row r="1052">
          <cell r="A1052" t="str">
            <v>08B.128</v>
          </cell>
          <cell r="B1052" t="str">
            <v>-</v>
          </cell>
          <cell r="C1052" t="str">
            <v>SUMINISTRO E INSTALACION DE INTERRUPTOR ENCHUFABLE 2X30A. Calidad Legrand, Siemens, SqareD o superior de marca reconocida y homologada por el CIDET</v>
          </cell>
          <cell r="D1052" t="str">
            <v>Actividad</v>
          </cell>
          <cell r="E1052" t="str">
            <v>UND</v>
          </cell>
          <cell r="H1052">
            <v>25266</v>
          </cell>
        </row>
        <row r="1053">
          <cell r="A1053" t="str">
            <v>08B.128</v>
          </cell>
          <cell r="B1053" t="str">
            <v>C13</v>
          </cell>
          <cell r="C1053" t="str">
            <v>CUADRILLA FF TIPO 2 (1 OFICIAL + 2 AYUDANTE) (Electricas)</v>
          </cell>
          <cell r="D1053" t="str">
            <v>Cuadrilla</v>
          </cell>
          <cell r="E1053" t="str">
            <v>HR</v>
          </cell>
          <cell r="F1053">
            <v>0.1</v>
          </cell>
          <cell r="G1053">
            <v>33348</v>
          </cell>
          <cell r="H1053">
            <v>3335</v>
          </cell>
        </row>
        <row r="1054">
          <cell r="A1054" t="str">
            <v>08B.128</v>
          </cell>
          <cell r="B1054" t="str">
            <v>E12</v>
          </cell>
          <cell r="C1054" t="str">
            <v>EQUIPO DE TRANSPORTE</v>
          </cell>
          <cell r="D1054" t="str">
            <v>Equipos</v>
          </cell>
          <cell r="E1054" t="str">
            <v>DIA</v>
          </cell>
          <cell r="F1054">
            <v>3.0999999999999999E-3</v>
          </cell>
          <cell r="G1054">
            <v>131205</v>
          </cell>
          <cell r="H1054">
            <v>407</v>
          </cell>
        </row>
        <row r="1055">
          <cell r="A1055" t="str">
            <v>08B.128</v>
          </cell>
          <cell r="B1055" t="str">
            <v>H2</v>
          </cell>
          <cell r="C1055" t="str">
            <v>EQUIPO BASICO (HERRAMIENTA MENOR)</v>
          </cell>
          <cell r="D1055" t="str">
            <v>Herramienta</v>
          </cell>
          <cell r="E1055" t="str">
            <v>UND</v>
          </cell>
          <cell r="F1055">
            <v>0.1</v>
          </cell>
          <cell r="G1055">
            <v>2536</v>
          </cell>
          <cell r="H1055">
            <v>254</v>
          </cell>
        </row>
        <row r="1056">
          <cell r="A1056" t="str">
            <v>08B.128</v>
          </cell>
          <cell r="B1056" t="str">
            <v>I1298</v>
          </cell>
          <cell r="C1056" t="str">
            <v>INTERRUPTOR ENCHUFABLE DE 2 X 30A - 240V - 10KA</v>
          </cell>
          <cell r="D1056" t="str">
            <v>Insumo</v>
          </cell>
          <cell r="E1056" t="str">
            <v>UND</v>
          </cell>
          <cell r="F1056">
            <v>1</v>
          </cell>
          <cell r="G1056">
            <v>21071</v>
          </cell>
          <cell r="H1056">
            <v>21071</v>
          </cell>
        </row>
        <row r="1057">
          <cell r="A1057" t="str">
            <v>08B.128</v>
          </cell>
          <cell r="B1057" t="str">
            <v>I1565</v>
          </cell>
          <cell r="C1057" t="str">
            <v>ACARREO INTERNO</v>
          </cell>
          <cell r="D1057" t="str">
            <v>Insumo</v>
          </cell>
          <cell r="E1057" t="str">
            <v>UND</v>
          </cell>
          <cell r="F1057">
            <v>0.15</v>
          </cell>
          <cell r="G1057">
            <v>1327</v>
          </cell>
          <cell r="H1057">
            <v>199</v>
          </cell>
        </row>
        <row r="1059">
          <cell r="A1059" t="str">
            <v>08B.116</v>
          </cell>
          <cell r="B1059" t="str">
            <v>-</v>
          </cell>
          <cell r="C1059" t="str">
            <v>SUMINISTRO E INSTALACION DE INTERRUPTOR ENCHUFABLE 1X20A. Calidad Legrand, Siemens, SqareD o superior de marca reconocida y homologada por el CIDET</v>
          </cell>
          <cell r="D1059" t="str">
            <v>Actividad</v>
          </cell>
          <cell r="E1059" t="str">
            <v>UND</v>
          </cell>
          <cell r="H1059">
            <v>12034</v>
          </cell>
        </row>
        <row r="1060">
          <cell r="A1060" t="str">
            <v>08B.116</v>
          </cell>
          <cell r="B1060" t="str">
            <v>C13</v>
          </cell>
          <cell r="C1060" t="str">
            <v>CUADRILLA FF TIPO 2 (1 OFICIAL + 2 AYUDANTE) (Electricas)</v>
          </cell>
          <cell r="D1060" t="str">
            <v>Cuadrilla</v>
          </cell>
          <cell r="E1060" t="str">
            <v>HR</v>
          </cell>
          <cell r="F1060">
            <v>0.1</v>
          </cell>
          <cell r="G1060">
            <v>33348</v>
          </cell>
          <cell r="H1060">
            <v>3335</v>
          </cell>
        </row>
        <row r="1061">
          <cell r="A1061" t="str">
            <v>08B.116</v>
          </cell>
          <cell r="B1061" t="str">
            <v>E12</v>
          </cell>
          <cell r="C1061" t="str">
            <v>EQUIPO DE TRANSPORTE</v>
          </cell>
          <cell r="D1061" t="str">
            <v>Equipos</v>
          </cell>
          <cell r="E1061" t="str">
            <v>DIA</v>
          </cell>
          <cell r="F1061">
            <v>1.1999999999999999E-3</v>
          </cell>
          <cell r="G1061">
            <v>131205</v>
          </cell>
          <cell r="H1061">
            <v>157</v>
          </cell>
        </row>
        <row r="1062">
          <cell r="A1062" t="str">
            <v>08B.116</v>
          </cell>
          <cell r="B1062" t="str">
            <v>H2</v>
          </cell>
          <cell r="C1062" t="str">
            <v>EQUIPO BASICO (HERRAMIENTA MENOR)</v>
          </cell>
          <cell r="D1062" t="str">
            <v>Herramienta</v>
          </cell>
          <cell r="E1062" t="str">
            <v>UND</v>
          </cell>
          <cell r="F1062">
            <v>0.2</v>
          </cell>
          <cell r="G1062">
            <v>2536</v>
          </cell>
          <cell r="H1062">
            <v>507</v>
          </cell>
        </row>
        <row r="1063">
          <cell r="A1063" t="str">
            <v>08B.116</v>
          </cell>
          <cell r="B1063" t="str">
            <v>I1292</v>
          </cell>
          <cell r="C1063" t="str">
            <v>INTERRUPTOR ENCHUFABLE DE 1  X  20A - 240V - 10KA</v>
          </cell>
          <cell r="D1063" t="str">
            <v>Insumo</v>
          </cell>
          <cell r="E1063" t="str">
            <v>UND</v>
          </cell>
          <cell r="F1063">
            <v>1</v>
          </cell>
          <cell r="G1063">
            <v>7836</v>
          </cell>
          <cell r="H1063">
            <v>7836</v>
          </cell>
        </row>
        <row r="1064">
          <cell r="A1064" t="str">
            <v>08B.116</v>
          </cell>
          <cell r="B1064" t="str">
            <v>I1565</v>
          </cell>
          <cell r="C1064" t="str">
            <v>ACARREO INTERNO</v>
          </cell>
          <cell r="D1064" t="str">
            <v>Insumo</v>
          </cell>
          <cell r="E1064" t="str">
            <v>UND</v>
          </cell>
          <cell r="F1064">
            <v>0.15</v>
          </cell>
          <cell r="G1064">
            <v>1327</v>
          </cell>
          <cell r="H1064">
            <v>199</v>
          </cell>
        </row>
        <row r="1066">
          <cell r="C1066" t="str">
            <v>MASTIL DE 16 METROS CON CANASTA Y ESCALERILLA</v>
          </cell>
        </row>
        <row r="1067">
          <cell r="C1067" t="str">
            <v>CIMENTACION MASTIL</v>
          </cell>
        </row>
        <row r="1069">
          <cell r="A1069" t="str">
            <v>33.191</v>
          </cell>
          <cell r="B1069" t="str">
            <v>-</v>
          </cell>
          <cell r="C1069" t="str">
            <v>SUMINISTRO, TRANSPORTE E INSTALACION SISTEMA DE CAPTACION DE DESCARGAS ATMOSFERICAS</v>
          </cell>
          <cell r="D1069" t="str">
            <v>Actividad</v>
          </cell>
          <cell r="E1069" t="str">
            <v>UND</v>
          </cell>
          <cell r="H1069">
            <v>1154592</v>
          </cell>
        </row>
        <row r="1070">
          <cell r="A1070" t="str">
            <v>26A.105</v>
          </cell>
          <cell r="B1070" t="str">
            <v>C35</v>
          </cell>
          <cell r="C1070" t="str">
            <v>CUADRILLA GG TIPO 5 (1 OFICIAL + 5 AYUDANTE) (Alumbrado Publico)</v>
          </cell>
          <cell r="D1070" t="str">
            <v>Cuadrilla</v>
          </cell>
          <cell r="E1070" t="str">
            <v>HR</v>
          </cell>
          <cell r="F1070">
            <v>6.7</v>
          </cell>
          <cell r="G1070">
            <v>87719</v>
          </cell>
          <cell r="H1070">
            <v>587717</v>
          </cell>
        </row>
        <row r="1071">
          <cell r="A1071" t="str">
            <v>26A.105</v>
          </cell>
          <cell r="B1071" t="str">
            <v>E12</v>
          </cell>
          <cell r="C1071" t="str">
            <v>EQUIPO DE TRANSPORTE</v>
          </cell>
          <cell r="D1071" t="str">
            <v>Equipos</v>
          </cell>
          <cell r="E1071" t="str">
            <v>DIA</v>
          </cell>
          <cell r="F1071">
            <v>0.1221</v>
          </cell>
          <cell r="G1071">
            <v>131205</v>
          </cell>
          <cell r="H1071">
            <v>16020</v>
          </cell>
        </row>
        <row r="1072">
          <cell r="A1072" t="str">
            <v>26A.105</v>
          </cell>
          <cell r="B1072" t="str">
            <v>H2</v>
          </cell>
          <cell r="C1072" t="str">
            <v>EQUIPO BASICO (HERRAMIENTA MENOR)</v>
          </cell>
          <cell r="D1072" t="str">
            <v>Herramienta</v>
          </cell>
          <cell r="E1072" t="str">
            <v>UND</v>
          </cell>
          <cell r="F1072">
            <v>6</v>
          </cell>
          <cell r="G1072">
            <v>2536</v>
          </cell>
          <cell r="H1072">
            <v>15216</v>
          </cell>
        </row>
        <row r="1073">
          <cell r="A1073" t="str">
            <v>26A.105</v>
          </cell>
          <cell r="B1073" t="str">
            <v>I1381</v>
          </cell>
          <cell r="C1073" t="str">
            <v>SOLDADURA EXOTERMICA TIPO CADWELD  DE 115 GRAMOS O SIMILAR</v>
          </cell>
          <cell r="D1073" t="str">
            <v>Insumo</v>
          </cell>
          <cell r="E1073" t="str">
            <v>UND</v>
          </cell>
          <cell r="F1073">
            <v>4</v>
          </cell>
          <cell r="G1073">
            <v>16887</v>
          </cell>
          <cell r="H1073">
            <v>67548</v>
          </cell>
        </row>
        <row r="1074">
          <cell r="A1074" t="str">
            <v>26A.105</v>
          </cell>
          <cell r="B1074" t="str">
            <v>I1512</v>
          </cell>
          <cell r="C1074" t="str">
            <v>PUNTA DE CAPTACION TIPO FRANKLIN</v>
          </cell>
          <cell r="D1074" t="str">
            <v>Insumo</v>
          </cell>
          <cell r="E1074" t="str">
            <v>UND</v>
          </cell>
          <cell r="F1074">
            <v>2</v>
          </cell>
          <cell r="G1074">
            <v>81607</v>
          </cell>
          <cell r="H1074">
            <v>163214</v>
          </cell>
        </row>
        <row r="1075">
          <cell r="A1075" t="str">
            <v>26A.105</v>
          </cell>
          <cell r="B1075" t="str">
            <v>I1513</v>
          </cell>
          <cell r="C1075" t="str">
            <v>CABLE DE ALUMINIO DESNUDO CALIBRE 1/0 AWG AAAC</v>
          </cell>
          <cell r="D1075" t="str">
            <v>Insumo</v>
          </cell>
          <cell r="E1075" t="str">
            <v>M</v>
          </cell>
          <cell r="F1075">
            <v>40</v>
          </cell>
          <cell r="G1075">
            <v>5439</v>
          </cell>
          <cell r="H1075">
            <v>217560</v>
          </cell>
        </row>
        <row r="1076">
          <cell r="A1076" t="str">
            <v>26A.105</v>
          </cell>
          <cell r="B1076" t="str">
            <v>I1565</v>
          </cell>
          <cell r="C1076" t="str">
            <v>ACARREO INTERNO</v>
          </cell>
          <cell r="D1076" t="str">
            <v>Insumo</v>
          </cell>
          <cell r="E1076" t="str">
            <v>UND</v>
          </cell>
          <cell r="F1076">
            <v>65.8</v>
          </cell>
          <cell r="G1076">
            <v>1327</v>
          </cell>
          <cell r="H1076">
            <v>87317</v>
          </cell>
        </row>
        <row r="1078">
          <cell r="C1078" t="str">
            <v>PROYECTOR LED DE 500W</v>
          </cell>
        </row>
        <row r="1079">
          <cell r="C1079" t="str">
            <v xml:space="preserve"> 3 CONDUCTORES  No 10</v>
          </cell>
        </row>
        <row r="1080">
          <cell r="C1080" t="str">
            <v>3 CONDUCTORES No8 AWG THW</v>
          </cell>
        </row>
        <row r="1082">
          <cell r="A1082" t="str">
            <v>08B.038</v>
          </cell>
          <cell r="B1082" t="str">
            <v>-</v>
          </cell>
          <cell r="C1082" t="str">
            <v xml:space="preserve"> SUMINISTRO E INSTALACION DE TUBERIA CONDUIT PVC 3/4". EMBEBIDA EN PLACA O MURO</v>
          </cell>
          <cell r="D1082" t="str">
            <v>Actividad</v>
          </cell>
          <cell r="E1082" t="str">
            <v>ML</v>
          </cell>
          <cell r="H1082">
            <v>5324</v>
          </cell>
        </row>
        <row r="1083">
          <cell r="A1083" t="str">
            <v>08B.038</v>
          </cell>
          <cell r="B1083" t="str">
            <v>C13</v>
          </cell>
          <cell r="C1083" t="str">
            <v>CUADRILLA FF TIPO 2 (1 OFICIAL + 2 AYUDANTE) (Electricas)</v>
          </cell>
          <cell r="D1083" t="str">
            <v>Cuadrilla</v>
          </cell>
          <cell r="E1083" t="str">
            <v>HR</v>
          </cell>
          <cell r="F1083">
            <v>0.1</v>
          </cell>
          <cell r="G1083">
            <v>33348</v>
          </cell>
          <cell r="H1083">
            <v>3335</v>
          </cell>
        </row>
        <row r="1084">
          <cell r="A1084" t="str">
            <v>08B.038</v>
          </cell>
          <cell r="B1084" t="str">
            <v>E12</v>
          </cell>
          <cell r="C1084" t="str">
            <v>EQUIPO DE TRANSPORTE</v>
          </cell>
          <cell r="D1084" t="str">
            <v>Equipos</v>
          </cell>
          <cell r="E1084" t="str">
            <v>DIA</v>
          </cell>
          <cell r="F1084">
            <v>2.0000000000000001E-4</v>
          </cell>
          <cell r="G1084">
            <v>131205</v>
          </cell>
          <cell r="H1084">
            <v>26</v>
          </cell>
        </row>
        <row r="1085">
          <cell r="A1085" t="str">
            <v>08B.038</v>
          </cell>
          <cell r="B1085" t="str">
            <v>H2</v>
          </cell>
          <cell r="C1085" t="str">
            <v>EQUIPO BASICO (HERRAMIENTA MENOR)</v>
          </cell>
          <cell r="D1085" t="str">
            <v>Herramienta</v>
          </cell>
          <cell r="E1085" t="str">
            <v>UND</v>
          </cell>
          <cell r="F1085">
            <v>0.2</v>
          </cell>
          <cell r="G1085">
            <v>2536</v>
          </cell>
          <cell r="H1085">
            <v>507</v>
          </cell>
        </row>
        <row r="1086">
          <cell r="A1086" t="str">
            <v>08B.038</v>
          </cell>
          <cell r="B1086" t="str">
            <v>I1473</v>
          </cell>
          <cell r="C1086" t="str">
            <v>TUBO CONDUIT PVC 3/4"</v>
          </cell>
          <cell r="D1086" t="str">
            <v>Insumo</v>
          </cell>
          <cell r="E1086" t="str">
            <v>M</v>
          </cell>
          <cell r="F1086">
            <v>1.03</v>
          </cell>
          <cell r="G1086">
            <v>1220</v>
          </cell>
          <cell r="H1086">
            <v>1257</v>
          </cell>
        </row>
        <row r="1087">
          <cell r="A1087" t="str">
            <v>08B.038</v>
          </cell>
          <cell r="B1087" t="str">
            <v>I1565</v>
          </cell>
          <cell r="C1087" t="str">
            <v>ACARREO INTERNO</v>
          </cell>
          <cell r="D1087" t="str">
            <v>Insumo</v>
          </cell>
          <cell r="E1087" t="str">
            <v>UND</v>
          </cell>
          <cell r="F1087">
            <v>0.15</v>
          </cell>
          <cell r="G1087">
            <v>1327</v>
          </cell>
          <cell r="H1087">
            <v>199</v>
          </cell>
        </row>
        <row r="1089">
          <cell r="C1089" t="str">
            <v xml:space="preserve"> 3 CONDUCTORES  No 4</v>
          </cell>
        </row>
        <row r="1090">
          <cell r="C1090" t="str">
            <v>3 CONDUCTORES No6 AWG THW</v>
          </cell>
        </row>
        <row r="1092">
          <cell r="A1092" t="str">
            <v>33.192</v>
          </cell>
          <cell r="B1092" t="str">
            <v>-</v>
          </cell>
          <cell r="C1092" t="str">
            <v xml:space="preserve"> SUMINISTRO E INSTALACION DE TUBERIA CONDUIT PVC 1". </v>
          </cell>
          <cell r="D1092" t="str">
            <v>Actividad</v>
          </cell>
          <cell r="E1092" t="str">
            <v>ML</v>
          </cell>
          <cell r="H1092">
            <v>6543</v>
          </cell>
        </row>
        <row r="1093">
          <cell r="A1093" t="str">
            <v>08B.039</v>
          </cell>
          <cell r="B1093" t="str">
            <v>C13</v>
          </cell>
          <cell r="C1093" t="str">
            <v>CUADRILLA FF TIPO 2 (1 OFICIAL + 2 AYUDANTE) (Electricas)</v>
          </cell>
          <cell r="D1093" t="str">
            <v>Cuadrilla</v>
          </cell>
          <cell r="E1093" t="str">
            <v>HR</v>
          </cell>
          <cell r="F1093">
            <v>0.12</v>
          </cell>
          <cell r="G1093">
            <v>33348</v>
          </cell>
          <cell r="H1093">
            <v>4002</v>
          </cell>
        </row>
        <row r="1094">
          <cell r="A1094" t="str">
            <v>08B.039</v>
          </cell>
          <cell r="B1094" t="str">
            <v>E12</v>
          </cell>
          <cell r="C1094" t="str">
            <v>EQUIPO DE TRANSPORTE</v>
          </cell>
          <cell r="D1094" t="str">
            <v>Equipos</v>
          </cell>
          <cell r="E1094" t="str">
            <v>DIA</v>
          </cell>
          <cell r="F1094">
            <v>2.9999999999999997E-4</v>
          </cell>
          <cell r="G1094">
            <v>131205</v>
          </cell>
          <cell r="H1094">
            <v>39</v>
          </cell>
        </row>
        <row r="1095">
          <cell r="A1095" t="str">
            <v>08B.039</v>
          </cell>
          <cell r="B1095" t="str">
            <v>H2</v>
          </cell>
          <cell r="C1095" t="str">
            <v>EQUIPO BASICO (HERRAMIENTA MENOR)</v>
          </cell>
          <cell r="D1095" t="str">
            <v>Herramienta</v>
          </cell>
          <cell r="E1095" t="str">
            <v>UND</v>
          </cell>
          <cell r="F1095">
            <v>0.2</v>
          </cell>
          <cell r="G1095">
            <v>2536</v>
          </cell>
          <cell r="H1095">
            <v>507</v>
          </cell>
        </row>
        <row r="1096">
          <cell r="A1096" t="str">
            <v>08B.039</v>
          </cell>
          <cell r="B1096" t="str">
            <v>I1470</v>
          </cell>
          <cell r="C1096" t="str">
            <v>TUBO CONDUIT PVC 1"</v>
          </cell>
          <cell r="D1096" t="str">
            <v>Insumo</v>
          </cell>
          <cell r="E1096" t="str">
            <v>M</v>
          </cell>
          <cell r="F1096">
            <v>1.03</v>
          </cell>
          <cell r="G1096">
            <v>1692</v>
          </cell>
          <cell r="H1096">
            <v>1743</v>
          </cell>
        </row>
        <row r="1097">
          <cell r="A1097" t="str">
            <v>08B.039</v>
          </cell>
          <cell r="B1097" t="str">
            <v>I1565</v>
          </cell>
          <cell r="C1097" t="str">
            <v>ACARREO INTERNO</v>
          </cell>
          <cell r="D1097" t="str">
            <v>Insumo</v>
          </cell>
          <cell r="E1097" t="str">
            <v>UND</v>
          </cell>
          <cell r="F1097">
            <v>0.19</v>
          </cell>
          <cell r="G1097">
            <v>1327</v>
          </cell>
          <cell r="H1097">
            <v>252</v>
          </cell>
        </row>
        <row r="1099">
          <cell r="C1099" t="str">
            <v>POSTE PARA LUMINARIA TIPO FAROL DE 6M</v>
          </cell>
        </row>
        <row r="1100">
          <cell r="C1100" t="str">
            <v>CIMENTACION POSTE LUMINARIA FAORL</v>
          </cell>
        </row>
        <row r="1101">
          <cell r="C1101" t="str">
            <v>LUMINARIA TIPO FAROL 50 W</v>
          </cell>
        </row>
        <row r="1102">
          <cell r="C1102" t="str">
            <v>CAMARA DE INSPECCION DE 30X30</v>
          </cell>
        </row>
        <row r="1103">
          <cell r="C1103" t="str">
            <v>CONECTORES PARA CAMARAS DE INSPECCION LUMINARIAS TIPO FAORL POR 3</v>
          </cell>
        </row>
        <row r="1105">
          <cell r="A1105" t="str">
            <v>08B.318</v>
          </cell>
          <cell r="B1105" t="str">
            <v>-</v>
          </cell>
          <cell r="C1105" t="str">
            <v>SUMINISTRO, TRANSPORTE E INSTALACION REFLECTOR DE 50W IP66 LED CUADRADO-CERRADO - ESTRIBOS - COMPLETO:  CHASIS, BOMBILLA, ARRANCADOR, FOTOCELDA, COFRE METÁLICO DE SEGURIDAD, ETC. ACCESORIOS DE FIJACION E INSTALACION; INCLUYE ACCESORIOS DE SUJECIÓN. INSTAL</v>
          </cell>
          <cell r="D1105" t="str">
            <v>Actividad</v>
          </cell>
          <cell r="E1105" t="str">
            <v>UND</v>
          </cell>
          <cell r="H1105">
            <v>441973</v>
          </cell>
        </row>
        <row r="1106">
          <cell r="A1106" t="str">
            <v>08B.318</v>
          </cell>
          <cell r="B1106" t="str">
            <v>I1975</v>
          </cell>
          <cell r="C1106" t="str">
            <v>SUMINISTRO, TRANSPORTE E INSTALACION REFLECTOR DE 50W IP66 LED CUADRADO-CERRADO - ESTRIBOS - COMPLETO:  CHASIS, BOMBILLA, ARRANCADOR, FOTOCELDA, COFRE METÁLICO DE SEGURIDAD, ETC. ACCESORIOS DE FIJACION E INSTALACION; INCLUYE ACCESORIOS DE SUJECIÓN. INSTAL</v>
          </cell>
          <cell r="D1106" t="str">
            <v>Insumo</v>
          </cell>
          <cell r="E1106" t="str">
            <v>UND</v>
          </cell>
          <cell r="F1106">
            <v>1</v>
          </cell>
          <cell r="G1106">
            <v>441973</v>
          </cell>
          <cell r="H1106">
            <v>441973</v>
          </cell>
        </row>
        <row r="1108">
          <cell r="A1108" t="str">
            <v>08B.174</v>
          </cell>
          <cell r="B1108" t="str">
            <v>-</v>
          </cell>
          <cell r="C1108" t="str">
            <v xml:space="preserve">SUMINISTRO, TRANSPORTE E INSTALACION SALIDA ILUMINACION EN TUBERIA CONDUIT IMC 3/4", ALAMBRE No 12 AWG </v>
          </cell>
          <cell r="D1108" t="str">
            <v>Actividad</v>
          </cell>
          <cell r="E1108" t="str">
            <v>UND</v>
          </cell>
          <cell r="H1108">
            <v>138466</v>
          </cell>
        </row>
        <row r="1109">
          <cell r="A1109" t="str">
            <v>08B.174</v>
          </cell>
          <cell r="B1109" t="str">
            <v>C13</v>
          </cell>
          <cell r="C1109" t="str">
            <v>CUADRILLA FF TIPO 2 (1 OFICIAL + 2 AYUDANTE) (Electricas)</v>
          </cell>
          <cell r="D1109" t="str">
            <v>Cuadrilla</v>
          </cell>
          <cell r="E1109" t="str">
            <v>HR</v>
          </cell>
          <cell r="F1109">
            <v>1</v>
          </cell>
          <cell r="G1109">
            <v>33348</v>
          </cell>
          <cell r="H1109">
            <v>33348</v>
          </cell>
        </row>
        <row r="1110">
          <cell r="A1110" t="str">
            <v>08B.174</v>
          </cell>
          <cell r="B1110" t="str">
            <v>E12</v>
          </cell>
          <cell r="C1110" t="str">
            <v>EQUIPO DE TRANSPORTE</v>
          </cell>
          <cell r="D1110" t="str">
            <v>Equipos</v>
          </cell>
          <cell r="E1110" t="str">
            <v>DIA</v>
          </cell>
          <cell r="F1110">
            <v>1.46E-2</v>
          </cell>
          <cell r="G1110">
            <v>131205</v>
          </cell>
          <cell r="H1110">
            <v>1916</v>
          </cell>
        </row>
        <row r="1111">
          <cell r="A1111" t="str">
            <v>08B.174</v>
          </cell>
          <cell r="B1111" t="str">
            <v>H2</v>
          </cell>
          <cell r="C1111" t="str">
            <v>EQUIPO BASICO (HERRAMIENTA MENOR)</v>
          </cell>
          <cell r="D1111" t="str">
            <v>Herramienta</v>
          </cell>
          <cell r="E1111" t="str">
            <v>UND</v>
          </cell>
          <cell r="F1111">
            <v>0.5</v>
          </cell>
          <cell r="G1111">
            <v>2536</v>
          </cell>
          <cell r="H1111">
            <v>1268</v>
          </cell>
        </row>
        <row r="1112">
          <cell r="A1112" t="str">
            <v>08B.174</v>
          </cell>
          <cell r="B1112" t="str">
            <v>I1122</v>
          </cell>
          <cell r="C1112" t="str">
            <v>ACCESORIOS FIJACION TUBERIA IMC Ó RIDGID 3/4" (ABRAZADERA, PERNOS)</v>
          </cell>
          <cell r="D1112" t="str">
            <v>Insumo</v>
          </cell>
          <cell r="E1112" t="str">
            <v>UND</v>
          </cell>
          <cell r="F1112">
            <v>2</v>
          </cell>
          <cell r="G1112">
            <v>3585</v>
          </cell>
          <cell r="H1112">
            <v>7170</v>
          </cell>
        </row>
        <row r="1113">
          <cell r="A1113" t="str">
            <v>08B.174</v>
          </cell>
          <cell r="B1113" t="str">
            <v>I1135</v>
          </cell>
          <cell r="C1113" t="str">
            <v>ACCESORIOS TUBERIA IMC Ó RIDGID 3/4" (UNION Y  CURVA)</v>
          </cell>
          <cell r="D1113" t="str">
            <v>Insumo</v>
          </cell>
          <cell r="E1113" t="str">
            <v>UND</v>
          </cell>
          <cell r="F1113">
            <v>2</v>
          </cell>
          <cell r="G1113">
            <v>8378</v>
          </cell>
          <cell r="H1113">
            <v>16756</v>
          </cell>
        </row>
        <row r="1114">
          <cell r="A1114" t="str">
            <v>08B.174</v>
          </cell>
          <cell r="B1114" t="str">
            <v>I1142</v>
          </cell>
          <cell r="C1114" t="str">
            <v>ALAMBRE COBRE DESNUDO Nº 12 AWG</v>
          </cell>
          <cell r="D1114" t="str">
            <v>Insumo</v>
          </cell>
          <cell r="E1114" t="str">
            <v>M</v>
          </cell>
          <cell r="F1114">
            <v>3</v>
          </cell>
          <cell r="G1114">
            <v>1215</v>
          </cell>
          <cell r="H1114">
            <v>3645</v>
          </cell>
        </row>
        <row r="1115">
          <cell r="A1115" t="str">
            <v>08B.174</v>
          </cell>
          <cell r="B1115" t="str">
            <v>I1145</v>
          </cell>
          <cell r="C1115" t="str">
            <v>ALAMBRE COBRE Nº 12 THHN  AWG</v>
          </cell>
          <cell r="D1115" t="str">
            <v>Insumo</v>
          </cell>
          <cell r="E1115" t="str">
            <v>M</v>
          </cell>
          <cell r="F1115">
            <v>6</v>
          </cell>
          <cell r="G1115">
            <v>1265</v>
          </cell>
          <cell r="H1115">
            <v>7590</v>
          </cell>
        </row>
        <row r="1116">
          <cell r="A1116" t="str">
            <v>08B.174</v>
          </cell>
          <cell r="B1116" t="str">
            <v>I1186</v>
          </cell>
          <cell r="C1116" t="str">
            <v>CABLE DE COBRE ENCAUCHETADO 3 X 16 THHN</v>
          </cell>
          <cell r="D1116" t="str">
            <v>Insumo</v>
          </cell>
          <cell r="E1116" t="str">
            <v>M</v>
          </cell>
          <cell r="F1116">
            <v>1</v>
          </cell>
          <cell r="G1116">
            <v>3597</v>
          </cell>
          <cell r="H1116">
            <v>3597</v>
          </cell>
        </row>
        <row r="1117">
          <cell r="A1117" t="str">
            <v>08B.174</v>
          </cell>
          <cell r="B1117" t="str">
            <v>I1227</v>
          </cell>
          <cell r="C1117" t="str">
            <v>CONDULETA EN T Ó L 3/4" NPT</v>
          </cell>
          <cell r="D1117" t="str">
            <v>Insumo</v>
          </cell>
          <cell r="E1117" t="str">
            <v>UND</v>
          </cell>
          <cell r="F1117">
            <v>1</v>
          </cell>
          <cell r="G1117">
            <v>11336</v>
          </cell>
          <cell r="H1117">
            <v>11336</v>
          </cell>
        </row>
        <row r="1118">
          <cell r="A1118" t="str">
            <v>08B.174</v>
          </cell>
          <cell r="B1118" t="str">
            <v>I1375</v>
          </cell>
          <cell r="C1118" t="str">
            <v>PRENSA ESTOPA ALUMINIO 3/4" NPT</v>
          </cell>
          <cell r="D1118" t="str">
            <v>Insumo</v>
          </cell>
          <cell r="E1118" t="str">
            <v>UND</v>
          </cell>
          <cell r="F1118">
            <v>1</v>
          </cell>
          <cell r="G1118">
            <v>6453</v>
          </cell>
          <cell r="H1118">
            <v>6453</v>
          </cell>
        </row>
        <row r="1119">
          <cell r="A1119" t="str">
            <v>08B.174</v>
          </cell>
          <cell r="B1119" t="str">
            <v>I1467</v>
          </cell>
          <cell r="C1119" t="str">
            <v>TUBO CONDUIT IMC 3/4"</v>
          </cell>
          <cell r="D1119" t="str">
            <v>Insumo</v>
          </cell>
          <cell r="E1119" t="str">
            <v>M</v>
          </cell>
          <cell r="F1119">
            <v>3</v>
          </cell>
          <cell r="G1119">
            <v>14200</v>
          </cell>
          <cell r="H1119">
            <v>42600</v>
          </cell>
        </row>
        <row r="1120">
          <cell r="A1120" t="str">
            <v>08B.174</v>
          </cell>
          <cell r="B1120" t="str">
            <v>I1565</v>
          </cell>
          <cell r="C1120" t="str">
            <v>ACARREO INTERNO</v>
          </cell>
          <cell r="D1120" t="str">
            <v>Insumo</v>
          </cell>
          <cell r="E1120" t="str">
            <v>UND</v>
          </cell>
          <cell r="F1120">
            <v>2.1</v>
          </cell>
          <cell r="G1120">
            <v>1327</v>
          </cell>
          <cell r="H1120">
            <v>2787</v>
          </cell>
        </row>
        <row r="1122">
          <cell r="A1122" t="str">
            <v>08B.050</v>
          </cell>
          <cell r="B1122" t="str">
            <v>-</v>
          </cell>
          <cell r="C1122" t="str">
            <v xml:space="preserve">SUMINISTRO E INSTALACION DE TUBERIA CONDUIT IMC ó RIDGID 3/4". </v>
          </cell>
          <cell r="D1122" t="str">
            <v>Actividad</v>
          </cell>
          <cell r="E1122" t="str">
            <v>ML</v>
          </cell>
          <cell r="H1122">
            <v>34237</v>
          </cell>
        </row>
        <row r="1123">
          <cell r="A1123" t="str">
            <v>08B.050</v>
          </cell>
          <cell r="B1123" t="str">
            <v>C13</v>
          </cell>
          <cell r="C1123" t="str">
            <v>CUADRILLA FF TIPO 2 (1 OFICIAL + 2 AYUDANTE) (Electricas)</v>
          </cell>
          <cell r="D1123" t="str">
            <v>Cuadrilla</v>
          </cell>
          <cell r="E1123" t="str">
            <v>HR</v>
          </cell>
          <cell r="F1123">
            <v>0.2</v>
          </cell>
          <cell r="G1123">
            <v>33348</v>
          </cell>
          <cell r="H1123">
            <v>6670</v>
          </cell>
        </row>
        <row r="1124">
          <cell r="A1124" t="str">
            <v>08B.050</v>
          </cell>
          <cell r="B1124" t="str">
            <v>E12</v>
          </cell>
          <cell r="C1124" t="str">
            <v>EQUIPO DE TRANSPORTE</v>
          </cell>
          <cell r="D1124" t="str">
            <v>Equipos</v>
          </cell>
          <cell r="E1124" t="str">
            <v>DIA</v>
          </cell>
          <cell r="F1124">
            <v>3.8E-3</v>
          </cell>
          <cell r="G1124">
            <v>131205</v>
          </cell>
          <cell r="H1124">
            <v>499</v>
          </cell>
        </row>
        <row r="1125">
          <cell r="A1125" t="str">
            <v>08B.050</v>
          </cell>
          <cell r="B1125" t="str">
            <v>H2</v>
          </cell>
          <cell r="C1125" t="str">
            <v>EQUIPO BASICO (HERRAMIENTA MENOR)</v>
          </cell>
          <cell r="D1125" t="str">
            <v>Herramienta</v>
          </cell>
          <cell r="E1125" t="str">
            <v>UND</v>
          </cell>
          <cell r="F1125">
            <v>0.2</v>
          </cell>
          <cell r="G1125">
            <v>2536</v>
          </cell>
          <cell r="H1125">
            <v>507</v>
          </cell>
        </row>
        <row r="1126">
          <cell r="A1126" t="str">
            <v>08B.050</v>
          </cell>
          <cell r="B1126" t="str">
            <v>I1122</v>
          </cell>
          <cell r="C1126" t="str">
            <v>ACCESORIOS FIJACION TUBERIA IMC Ó RIDGID 3/4" (ABRAZADERA, PERNOS)</v>
          </cell>
          <cell r="D1126" t="str">
            <v>Insumo</v>
          </cell>
          <cell r="E1126" t="str">
            <v>UND</v>
          </cell>
          <cell r="F1126">
            <v>1</v>
          </cell>
          <cell r="G1126">
            <v>3585</v>
          </cell>
          <cell r="H1126">
            <v>3585</v>
          </cell>
        </row>
        <row r="1127">
          <cell r="A1127" t="str">
            <v>08B.050</v>
          </cell>
          <cell r="B1127" t="str">
            <v>I1135</v>
          </cell>
          <cell r="C1127" t="str">
            <v>ACCESORIOS TUBERIA IMC Ó RIDGID 3/4" (UNION Y  CURVA)</v>
          </cell>
          <cell r="D1127" t="str">
            <v>Insumo</v>
          </cell>
          <cell r="E1127" t="str">
            <v>UND</v>
          </cell>
          <cell r="F1127">
            <v>1</v>
          </cell>
          <cell r="G1127">
            <v>8378</v>
          </cell>
          <cell r="H1127">
            <v>8378</v>
          </cell>
        </row>
        <row r="1128">
          <cell r="A1128" t="str">
            <v>08B.050</v>
          </cell>
          <cell r="B1128" t="str">
            <v>I1467</v>
          </cell>
          <cell r="C1128" t="str">
            <v>TUBO CONDUIT IMC 3/4"</v>
          </cell>
          <cell r="D1128" t="str">
            <v>Insumo</v>
          </cell>
          <cell r="E1128" t="str">
            <v>M</v>
          </cell>
          <cell r="F1128">
            <v>1</v>
          </cell>
          <cell r="G1128">
            <v>14200</v>
          </cell>
          <cell r="H1128">
            <v>14200</v>
          </cell>
        </row>
        <row r="1129">
          <cell r="A1129" t="str">
            <v>08B.050</v>
          </cell>
          <cell r="B1129" t="str">
            <v>I1565</v>
          </cell>
          <cell r="C1129" t="str">
            <v>ACARREO INTERNO</v>
          </cell>
          <cell r="D1129" t="str">
            <v>Insumo</v>
          </cell>
          <cell r="E1129" t="str">
            <v>UND</v>
          </cell>
          <cell r="F1129">
            <v>0.3</v>
          </cell>
          <cell r="G1129">
            <v>1327</v>
          </cell>
          <cell r="H1129">
            <v>398</v>
          </cell>
        </row>
        <row r="1131">
          <cell r="C1131" t="str">
            <v xml:space="preserve"> 3 CONDUCTORES  No 12</v>
          </cell>
        </row>
        <row r="1133">
          <cell r="A1133" t="str">
            <v>33.193</v>
          </cell>
          <cell r="B1133" t="str">
            <v>-</v>
          </cell>
          <cell r="C1133" t="str">
            <v>SUMINISTRO, TRANSPORTE E INSTALACION APLIQUE TORTUGA APTO PARA USO A LA INTEMPERIE. BOMBILLO AHORRADOR 12W E27.</v>
          </cell>
          <cell r="D1133" t="str">
            <v>Actividad</v>
          </cell>
          <cell r="E1133" t="str">
            <v>UND</v>
          </cell>
          <cell r="H1133">
            <v>65633</v>
          </cell>
        </row>
        <row r="1134">
          <cell r="A1134" t="str">
            <v>08B.241</v>
          </cell>
          <cell r="B1134" t="str">
            <v>C13</v>
          </cell>
          <cell r="C1134" t="str">
            <v>CUADRILLA FF TIPO 2 (1 OFICIAL + 2 AYUDANTE) (Electricas)</v>
          </cell>
          <cell r="D1134" t="str">
            <v>Cuadrilla</v>
          </cell>
          <cell r="E1134" t="str">
            <v>HR</v>
          </cell>
          <cell r="F1134">
            <v>0.4</v>
          </cell>
          <cell r="G1134">
            <v>33348</v>
          </cell>
          <cell r="H1134">
            <v>13339</v>
          </cell>
        </row>
        <row r="1135">
          <cell r="A1135" t="str">
            <v>08B.241</v>
          </cell>
          <cell r="B1135" t="str">
            <v>E12</v>
          </cell>
          <cell r="C1135" t="str">
            <v>EQUIPO DE TRANSPORTE</v>
          </cell>
          <cell r="D1135" t="str">
            <v>Equipos</v>
          </cell>
          <cell r="E1135" t="str">
            <v>DIA</v>
          </cell>
          <cell r="F1135">
            <v>9.7999999999999997E-3</v>
          </cell>
          <cell r="G1135">
            <v>131205</v>
          </cell>
          <cell r="H1135">
            <v>1286</v>
          </cell>
        </row>
        <row r="1136">
          <cell r="A1136" t="str">
            <v>08B.241</v>
          </cell>
          <cell r="B1136" t="str">
            <v>H2</v>
          </cell>
          <cell r="C1136" t="str">
            <v>EQUIPO BASICO (HERRAMIENTA MENOR)</v>
          </cell>
          <cell r="D1136" t="str">
            <v>Herramienta</v>
          </cell>
          <cell r="E1136" t="str">
            <v>UND</v>
          </cell>
          <cell r="F1136">
            <v>0.5</v>
          </cell>
          <cell r="G1136">
            <v>2536</v>
          </cell>
          <cell r="H1136">
            <v>1268</v>
          </cell>
        </row>
        <row r="1137">
          <cell r="A1137" t="str">
            <v>08B.241</v>
          </cell>
          <cell r="B1137" t="str">
            <v>I1110</v>
          </cell>
          <cell r="C1137" t="str">
            <v>ACCESORIOS DE FIJACION</v>
          </cell>
          <cell r="D1137" t="str">
            <v>Insumo</v>
          </cell>
          <cell r="E1137" t="str">
            <v>UND</v>
          </cell>
          <cell r="F1137">
            <v>1</v>
          </cell>
          <cell r="G1137">
            <v>1792</v>
          </cell>
          <cell r="H1137">
            <v>1792</v>
          </cell>
        </row>
        <row r="1138">
          <cell r="A1138" t="str">
            <v>08B.241</v>
          </cell>
          <cell r="B1138" t="str">
            <v>I1147</v>
          </cell>
          <cell r="C1138" t="str">
            <v>APLIQUE TORTUGA APTO PARA USO A LA INTEMPERIE. BOMBILLO AHORRADOR 12W E27.</v>
          </cell>
          <cell r="D1138" t="str">
            <v>Insumo</v>
          </cell>
          <cell r="E1138" t="str">
            <v>UND</v>
          </cell>
          <cell r="F1138">
            <v>1</v>
          </cell>
          <cell r="G1138">
            <v>46900</v>
          </cell>
          <cell r="H1138">
            <v>46900</v>
          </cell>
        </row>
        <row r="1139">
          <cell r="A1139" t="str">
            <v>08B.241</v>
          </cell>
          <cell r="B1139" t="str">
            <v>I1565</v>
          </cell>
          <cell r="C1139" t="str">
            <v>ACARREO INTERNO</v>
          </cell>
          <cell r="D1139" t="str">
            <v>Insumo</v>
          </cell>
          <cell r="E1139" t="str">
            <v>UND</v>
          </cell>
          <cell r="F1139">
            <v>0.79</v>
          </cell>
          <cell r="G1139">
            <v>1327</v>
          </cell>
          <cell r="H1139">
            <v>1048</v>
          </cell>
        </row>
        <row r="1141">
          <cell r="A1141" t="str">
            <v>08B.172</v>
          </cell>
          <cell r="B1141" t="str">
            <v>-</v>
          </cell>
          <cell r="C1141" t="str">
            <v xml:space="preserve">SUMINISTRO, TRANSPORTE E INSTALACION SALIDA ILUMINACION EN TUBERIA CONDUIT PVC 3/4", ALAMBRE No 12 AWG </v>
          </cell>
          <cell r="D1141" t="str">
            <v>Actividad</v>
          </cell>
          <cell r="E1141" t="str">
            <v>UND</v>
          </cell>
          <cell r="H1141">
            <v>83838</v>
          </cell>
        </row>
        <row r="1142">
          <cell r="A1142" t="str">
            <v>08B.172</v>
          </cell>
          <cell r="B1142" t="str">
            <v>C13</v>
          </cell>
          <cell r="C1142" t="str">
            <v>CUADRILLA FF TIPO 2 (1 OFICIAL + 2 AYUDANTE) (Electricas)</v>
          </cell>
          <cell r="D1142" t="str">
            <v>Cuadrilla</v>
          </cell>
          <cell r="E1142" t="str">
            <v>HR</v>
          </cell>
          <cell r="F1142">
            <v>1.5</v>
          </cell>
          <cell r="G1142">
            <v>33348</v>
          </cell>
          <cell r="H1142">
            <v>50022</v>
          </cell>
        </row>
        <row r="1143">
          <cell r="A1143" t="str">
            <v>08B.172</v>
          </cell>
          <cell r="B1143" t="str">
            <v>E12</v>
          </cell>
          <cell r="C1143" t="str">
            <v>EQUIPO DE TRANSPORTE</v>
          </cell>
          <cell r="D1143" t="str">
            <v>Equipos</v>
          </cell>
          <cell r="E1143" t="str">
            <v>DIA</v>
          </cell>
          <cell r="F1143">
            <v>4.1000000000000003E-3</v>
          </cell>
          <cell r="G1143">
            <v>131205</v>
          </cell>
          <cell r="H1143">
            <v>538</v>
          </cell>
        </row>
        <row r="1144">
          <cell r="A1144" t="str">
            <v>08B.172</v>
          </cell>
          <cell r="B1144" t="str">
            <v>H2</v>
          </cell>
          <cell r="C1144" t="str">
            <v>EQUIPO BASICO (HERRAMIENTA MENOR)</v>
          </cell>
          <cell r="D1144" t="str">
            <v>Herramienta</v>
          </cell>
          <cell r="E1144" t="str">
            <v>UND</v>
          </cell>
          <cell r="F1144">
            <v>0.5</v>
          </cell>
          <cell r="G1144">
            <v>2536</v>
          </cell>
          <cell r="H1144">
            <v>1268</v>
          </cell>
        </row>
        <row r="1145">
          <cell r="A1145" t="str">
            <v>08B.172</v>
          </cell>
          <cell r="B1145" t="str">
            <v>I1110</v>
          </cell>
          <cell r="C1145" t="str">
            <v>ACCESORIOS DE FIJACION</v>
          </cell>
          <cell r="D1145" t="str">
            <v>Insumo</v>
          </cell>
          <cell r="E1145" t="str">
            <v>UND</v>
          </cell>
          <cell r="F1145">
            <v>5</v>
          </cell>
          <cell r="G1145">
            <v>1792</v>
          </cell>
          <cell r="H1145">
            <v>8960</v>
          </cell>
        </row>
        <row r="1146">
          <cell r="A1146" t="str">
            <v>08B.172</v>
          </cell>
          <cell r="B1146" t="str">
            <v>I1137</v>
          </cell>
          <cell r="C1146" t="str">
            <v>ADAPTADOR TERMINAL PVC 3/4"</v>
          </cell>
          <cell r="D1146" t="str">
            <v>Insumo</v>
          </cell>
          <cell r="E1146" t="str">
            <v>UND</v>
          </cell>
          <cell r="F1146">
            <v>2</v>
          </cell>
          <cell r="G1146">
            <v>245</v>
          </cell>
          <cell r="H1146">
            <v>490</v>
          </cell>
        </row>
        <row r="1147">
          <cell r="A1147" t="str">
            <v>08B.172</v>
          </cell>
          <cell r="B1147" t="str">
            <v>I1142</v>
          </cell>
          <cell r="C1147" t="str">
            <v>ALAMBRE COBRE DESNUDO Nº 12 AWG</v>
          </cell>
          <cell r="D1147" t="str">
            <v>Insumo</v>
          </cell>
          <cell r="E1147" t="str">
            <v>M</v>
          </cell>
          <cell r="F1147">
            <v>3</v>
          </cell>
          <cell r="G1147">
            <v>1215</v>
          </cell>
          <cell r="H1147">
            <v>3645</v>
          </cell>
        </row>
        <row r="1148">
          <cell r="A1148" t="str">
            <v>08B.172</v>
          </cell>
          <cell r="B1148" t="str">
            <v>I1145</v>
          </cell>
          <cell r="C1148" t="str">
            <v>ALAMBRE COBRE Nº 12 THHN  AWG</v>
          </cell>
          <cell r="D1148" t="str">
            <v>Insumo</v>
          </cell>
          <cell r="E1148" t="str">
            <v>M</v>
          </cell>
          <cell r="F1148">
            <v>6</v>
          </cell>
          <cell r="G1148">
            <v>1265</v>
          </cell>
          <cell r="H1148">
            <v>7590</v>
          </cell>
        </row>
        <row r="1149">
          <cell r="A1149" t="str">
            <v>08B.172</v>
          </cell>
          <cell r="B1149" t="str">
            <v>I1207</v>
          </cell>
          <cell r="C1149" t="str">
            <v>CAJA OCTOGONAL GALVANIZADA (CAJA EMP GALV.OCTAGONAL 4")</v>
          </cell>
          <cell r="D1149" t="str">
            <v>Insumo</v>
          </cell>
          <cell r="E1149" t="str">
            <v>UND</v>
          </cell>
          <cell r="F1149">
            <v>1</v>
          </cell>
          <cell r="G1149">
            <v>1871</v>
          </cell>
          <cell r="H1149">
            <v>1871</v>
          </cell>
        </row>
        <row r="1150">
          <cell r="A1150" t="str">
            <v>08B.172</v>
          </cell>
          <cell r="B1150" t="str">
            <v>I1409</v>
          </cell>
          <cell r="C1150" t="str">
            <v>TAPA CIEGA CON IMPACTO GALVANIZADA CUADRADA 4X4"</v>
          </cell>
          <cell r="D1150" t="str">
            <v>Insumo</v>
          </cell>
          <cell r="E1150" t="str">
            <v>UND</v>
          </cell>
          <cell r="F1150">
            <v>1</v>
          </cell>
          <cell r="G1150">
            <v>848</v>
          </cell>
          <cell r="H1150">
            <v>848</v>
          </cell>
        </row>
        <row r="1151">
          <cell r="A1151" t="str">
            <v>08B.172</v>
          </cell>
          <cell r="B1151" t="str">
            <v>I1473</v>
          </cell>
          <cell r="C1151" t="str">
            <v>TUBO CONDUIT PVC 3/4"</v>
          </cell>
          <cell r="D1151" t="str">
            <v>Insumo</v>
          </cell>
          <cell r="E1151" t="str">
            <v>M</v>
          </cell>
          <cell r="F1151">
            <v>3</v>
          </cell>
          <cell r="G1151">
            <v>1220</v>
          </cell>
          <cell r="H1151">
            <v>3660</v>
          </cell>
        </row>
        <row r="1152">
          <cell r="A1152" t="str">
            <v>08B.172</v>
          </cell>
          <cell r="B1152" t="str">
            <v>I1489</v>
          </cell>
          <cell r="C1152" t="str">
            <v>CINTA AISLANTE 3M</v>
          </cell>
          <cell r="D1152" t="str">
            <v>Insumo</v>
          </cell>
          <cell r="E1152" t="str">
            <v>ROLLO</v>
          </cell>
          <cell r="F1152">
            <v>0.2</v>
          </cell>
          <cell r="G1152">
            <v>4158</v>
          </cell>
          <cell r="H1152">
            <v>832</v>
          </cell>
        </row>
        <row r="1153">
          <cell r="A1153" t="str">
            <v>08B.172</v>
          </cell>
          <cell r="B1153" t="str">
            <v>I1565</v>
          </cell>
          <cell r="C1153" t="str">
            <v>ACARREO INTERNO</v>
          </cell>
          <cell r="D1153" t="str">
            <v>Insumo</v>
          </cell>
          <cell r="E1153" t="str">
            <v>UND</v>
          </cell>
          <cell r="F1153">
            <v>3.1</v>
          </cell>
          <cell r="G1153">
            <v>1327</v>
          </cell>
          <cell r="H1153">
            <v>4114</v>
          </cell>
        </row>
        <row r="1155">
          <cell r="A1155" t="str">
            <v>33.194</v>
          </cell>
          <cell r="B1155" t="str">
            <v>-</v>
          </cell>
          <cell r="C1155" t="str">
            <v>SUMINISTRO, TRANSPORTE E INSTALACION SUMINISTRO E INSTALACIÓN DE LUMINARIA DE EMPOTRAR TIPO BALA PANEL LED REDONDO, 6W BLANCO OPAL . INCLUYE DRIVER SC</v>
          </cell>
          <cell r="D1155" t="str">
            <v>Actividad</v>
          </cell>
          <cell r="E1155" t="str">
            <v>UND</v>
          </cell>
          <cell r="H1155">
            <v>68085</v>
          </cell>
        </row>
        <row r="1156">
          <cell r="A1156" t="str">
            <v>08B.247</v>
          </cell>
          <cell r="B1156" t="str">
            <v>C13</v>
          </cell>
          <cell r="C1156" t="str">
            <v>CUADRILLA FF TIPO 2 (1 OFICIAL + 2 AYUDANTE) (Electricas)</v>
          </cell>
          <cell r="D1156" t="str">
            <v>Cuadrilla</v>
          </cell>
          <cell r="E1156" t="str">
            <v>HR</v>
          </cell>
          <cell r="F1156">
            <v>0.6</v>
          </cell>
          <cell r="G1156">
            <v>33348</v>
          </cell>
          <cell r="H1156">
            <v>20009</v>
          </cell>
        </row>
        <row r="1157">
          <cell r="A1157" t="str">
            <v>08B.247</v>
          </cell>
          <cell r="B1157" t="str">
            <v>E12</v>
          </cell>
          <cell r="C1157" t="str">
            <v>EQUIPO DE TRANSPORTE</v>
          </cell>
          <cell r="D1157" t="str">
            <v>Equipos</v>
          </cell>
          <cell r="E1157" t="str">
            <v>DIA</v>
          </cell>
          <cell r="F1157">
            <v>2.86E-2</v>
          </cell>
          <cell r="G1157">
            <v>131205</v>
          </cell>
          <cell r="H1157">
            <v>3752</v>
          </cell>
        </row>
        <row r="1158">
          <cell r="A1158" t="str">
            <v>08B.247</v>
          </cell>
          <cell r="B1158" t="str">
            <v>H2</v>
          </cell>
          <cell r="C1158" t="str">
            <v>EQUIPO BASICO (HERRAMIENTA MENOR)</v>
          </cell>
          <cell r="D1158" t="str">
            <v>Herramienta</v>
          </cell>
          <cell r="E1158" t="str">
            <v>UND</v>
          </cell>
          <cell r="F1158">
            <v>0.5</v>
          </cell>
          <cell r="G1158">
            <v>2536</v>
          </cell>
          <cell r="H1158">
            <v>1268</v>
          </cell>
        </row>
        <row r="1159">
          <cell r="A1159" t="str">
            <v>08B.247</v>
          </cell>
          <cell r="B1159" t="str">
            <v>I1110</v>
          </cell>
          <cell r="C1159" t="str">
            <v>ACCESORIOS DE FIJACION</v>
          </cell>
          <cell r="D1159" t="str">
            <v>Insumo</v>
          </cell>
          <cell r="E1159" t="str">
            <v>UND</v>
          </cell>
          <cell r="F1159">
            <v>0.5</v>
          </cell>
          <cell r="G1159">
            <v>1792</v>
          </cell>
          <cell r="H1159">
            <v>896</v>
          </cell>
        </row>
        <row r="1160">
          <cell r="A1160" t="str">
            <v>08B.247</v>
          </cell>
          <cell r="B1160" t="str">
            <v>I1495</v>
          </cell>
          <cell r="C1160" t="str">
            <v>BALA PANEL LED REDONDO, 6W BLANCO OPAL . INCLUYE DRIVER SC</v>
          </cell>
          <cell r="D1160" t="str">
            <v>Insumo</v>
          </cell>
          <cell r="E1160" t="str">
            <v>UND</v>
          </cell>
          <cell r="F1160">
            <v>1</v>
          </cell>
          <cell r="G1160">
            <v>40568</v>
          </cell>
          <cell r="H1160">
            <v>40568</v>
          </cell>
        </row>
        <row r="1161">
          <cell r="A1161" t="str">
            <v>08B.247</v>
          </cell>
          <cell r="B1161" t="str">
            <v>I1565</v>
          </cell>
          <cell r="C1161" t="str">
            <v>ACARREO INTERNO</v>
          </cell>
          <cell r="D1161" t="str">
            <v>Insumo</v>
          </cell>
          <cell r="E1161" t="str">
            <v>UND</v>
          </cell>
          <cell r="F1161">
            <v>1.2</v>
          </cell>
          <cell r="G1161">
            <v>1327</v>
          </cell>
          <cell r="H1161">
            <v>1592</v>
          </cell>
        </row>
        <row r="1163">
          <cell r="A1163" t="str">
            <v>08B.175</v>
          </cell>
          <cell r="B1163" t="str">
            <v>-</v>
          </cell>
          <cell r="C1163" t="str">
            <v xml:space="preserve">SUMINISTRO, TRANSPORTE E INSTALACION SALIDA TOMACORRIENTE NORMAL DOBLE PT EN TUBERIA CONDUIT PVC 3/4", ALAMBRE No 12 AWG </v>
          </cell>
          <cell r="D1163" t="str">
            <v>Actividad</v>
          </cell>
          <cell r="E1163" t="str">
            <v>UND</v>
          </cell>
          <cell r="H1163">
            <v>91721</v>
          </cell>
        </row>
        <row r="1164">
          <cell r="A1164" t="str">
            <v>08B.175</v>
          </cell>
          <cell r="B1164" t="str">
            <v>C13</v>
          </cell>
          <cell r="C1164" t="str">
            <v>CUADRILLA FF TIPO 2 (1 OFICIAL + 2 AYUDANTE) (Electricas)</v>
          </cell>
          <cell r="D1164" t="str">
            <v>Cuadrilla</v>
          </cell>
          <cell r="E1164" t="str">
            <v>HR</v>
          </cell>
          <cell r="F1164">
            <v>1.5</v>
          </cell>
          <cell r="G1164">
            <v>33348</v>
          </cell>
          <cell r="H1164">
            <v>50022</v>
          </cell>
        </row>
        <row r="1165">
          <cell r="A1165" t="str">
            <v>08B.175</v>
          </cell>
          <cell r="B1165" t="str">
            <v>E12</v>
          </cell>
          <cell r="C1165" t="str">
            <v>EQUIPO DE TRANSPORTE</v>
          </cell>
          <cell r="D1165" t="str">
            <v>Equipos</v>
          </cell>
          <cell r="E1165" t="str">
            <v>DIA</v>
          </cell>
          <cell r="F1165">
            <v>5.1999999999999998E-3</v>
          </cell>
          <cell r="G1165">
            <v>131205</v>
          </cell>
          <cell r="H1165">
            <v>682</v>
          </cell>
        </row>
        <row r="1166">
          <cell r="A1166" t="str">
            <v>08B.175</v>
          </cell>
          <cell r="B1166" t="str">
            <v>H2</v>
          </cell>
          <cell r="C1166" t="str">
            <v>EQUIPO BASICO (HERRAMIENTA MENOR)</v>
          </cell>
          <cell r="D1166" t="str">
            <v>Herramienta</v>
          </cell>
          <cell r="E1166" t="str">
            <v>UND</v>
          </cell>
          <cell r="F1166">
            <v>0.5</v>
          </cell>
          <cell r="G1166">
            <v>2536</v>
          </cell>
          <cell r="H1166">
            <v>1268</v>
          </cell>
        </row>
        <row r="1167">
          <cell r="A1167" t="str">
            <v>08B.175</v>
          </cell>
          <cell r="B1167" t="str">
            <v>I1110</v>
          </cell>
          <cell r="C1167" t="str">
            <v>ACCESORIOS DE FIJACION</v>
          </cell>
          <cell r="D1167" t="str">
            <v>Insumo</v>
          </cell>
          <cell r="E1167" t="str">
            <v>UND</v>
          </cell>
          <cell r="F1167">
            <v>3</v>
          </cell>
          <cell r="G1167">
            <v>1792</v>
          </cell>
          <cell r="H1167">
            <v>5376</v>
          </cell>
        </row>
        <row r="1168">
          <cell r="A1168" t="str">
            <v>08B.175</v>
          </cell>
          <cell r="B1168" t="str">
            <v>I1137</v>
          </cell>
          <cell r="C1168" t="str">
            <v>ADAPTADOR TERMINAL PVC 3/4"</v>
          </cell>
          <cell r="D1168" t="str">
            <v>Insumo</v>
          </cell>
          <cell r="E1168" t="str">
            <v>UND</v>
          </cell>
          <cell r="F1168">
            <v>2</v>
          </cell>
          <cell r="G1168">
            <v>245</v>
          </cell>
          <cell r="H1168">
            <v>490</v>
          </cell>
        </row>
        <row r="1169">
          <cell r="A1169" t="str">
            <v>08B.175</v>
          </cell>
          <cell r="B1169" t="str">
            <v>I1142</v>
          </cell>
          <cell r="C1169" t="str">
            <v>ALAMBRE COBRE DESNUDO Nº 12 AWG</v>
          </cell>
          <cell r="D1169" t="str">
            <v>Insumo</v>
          </cell>
          <cell r="E1169" t="str">
            <v>M</v>
          </cell>
          <cell r="F1169">
            <v>3</v>
          </cell>
          <cell r="G1169">
            <v>1215</v>
          </cell>
          <cell r="H1169">
            <v>3645</v>
          </cell>
        </row>
        <row r="1170">
          <cell r="A1170" t="str">
            <v>08B.175</v>
          </cell>
          <cell r="B1170" t="str">
            <v>I1145</v>
          </cell>
          <cell r="C1170" t="str">
            <v>ALAMBRE COBRE Nº 12 THHN  AWG</v>
          </cell>
          <cell r="D1170" t="str">
            <v>Insumo</v>
          </cell>
          <cell r="E1170" t="str">
            <v>M</v>
          </cell>
          <cell r="F1170">
            <v>6</v>
          </cell>
          <cell r="G1170">
            <v>1265</v>
          </cell>
          <cell r="H1170">
            <v>7590</v>
          </cell>
        </row>
        <row r="1171">
          <cell r="A1171" t="str">
            <v>08B.175</v>
          </cell>
          <cell r="B1171" t="str">
            <v>I1205</v>
          </cell>
          <cell r="C1171" t="str">
            <v xml:space="preserve">CAJA METALICA GALVANIZADA (REF: 2400) </v>
          </cell>
          <cell r="D1171" t="str">
            <v>Insumo</v>
          </cell>
          <cell r="E1171" t="str">
            <v>UND</v>
          </cell>
          <cell r="F1171">
            <v>1</v>
          </cell>
          <cell r="G1171">
            <v>2436</v>
          </cell>
          <cell r="H1171">
            <v>2436</v>
          </cell>
        </row>
        <row r="1172">
          <cell r="A1172" t="str">
            <v>08B.175</v>
          </cell>
          <cell r="B1172" t="str">
            <v>I1409</v>
          </cell>
          <cell r="C1172" t="str">
            <v>TAPA CIEGA CON IMPACTO GALVANIZADA CUADRADA 4X4"</v>
          </cell>
          <cell r="D1172" t="str">
            <v>Insumo</v>
          </cell>
          <cell r="E1172" t="str">
            <v>UND</v>
          </cell>
          <cell r="F1172">
            <v>1</v>
          </cell>
          <cell r="G1172">
            <v>848</v>
          </cell>
          <cell r="H1172">
            <v>848</v>
          </cell>
        </row>
        <row r="1173">
          <cell r="A1173" t="str">
            <v>08B.175</v>
          </cell>
          <cell r="B1173" t="str">
            <v>I1431</v>
          </cell>
          <cell r="C1173" t="str">
            <v xml:space="preserve">TOMA CORRIENTE DOBLE CON POLO A TIERRA  NEMA 5-15-R; </v>
          </cell>
          <cell r="D1173" t="str">
            <v>Insumo</v>
          </cell>
          <cell r="E1173" t="str">
            <v>UND</v>
          </cell>
          <cell r="F1173">
            <v>1</v>
          </cell>
          <cell r="G1173">
            <v>10758</v>
          </cell>
          <cell r="H1173">
            <v>10758</v>
          </cell>
        </row>
        <row r="1174">
          <cell r="A1174" t="str">
            <v>08B.175</v>
          </cell>
          <cell r="B1174" t="str">
            <v>I1473</v>
          </cell>
          <cell r="C1174" t="str">
            <v>TUBO CONDUIT PVC 3/4"</v>
          </cell>
          <cell r="D1174" t="str">
            <v>Insumo</v>
          </cell>
          <cell r="E1174" t="str">
            <v>M</v>
          </cell>
          <cell r="F1174">
            <v>3</v>
          </cell>
          <cell r="G1174">
            <v>1220</v>
          </cell>
          <cell r="H1174">
            <v>3660</v>
          </cell>
        </row>
        <row r="1175">
          <cell r="A1175" t="str">
            <v>08B.175</v>
          </cell>
          <cell r="B1175" t="str">
            <v>I1489</v>
          </cell>
          <cell r="C1175" t="str">
            <v>CINTA AISLANTE 3M</v>
          </cell>
          <cell r="D1175" t="str">
            <v>Insumo</v>
          </cell>
          <cell r="E1175" t="str">
            <v>ROLLO</v>
          </cell>
          <cell r="F1175">
            <v>0.2</v>
          </cell>
          <cell r="G1175">
            <v>4158</v>
          </cell>
          <cell r="H1175">
            <v>832</v>
          </cell>
        </row>
        <row r="1176">
          <cell r="A1176" t="str">
            <v>08B.175</v>
          </cell>
          <cell r="B1176" t="str">
            <v>I1565</v>
          </cell>
          <cell r="C1176" t="str">
            <v>ACARREO INTERNO</v>
          </cell>
          <cell r="D1176" t="str">
            <v>Insumo</v>
          </cell>
          <cell r="E1176" t="str">
            <v>UND</v>
          </cell>
          <cell r="F1176">
            <v>3.1</v>
          </cell>
          <cell r="G1176">
            <v>1327</v>
          </cell>
          <cell r="H1176">
            <v>4114</v>
          </cell>
        </row>
        <row r="1178">
          <cell r="A1178" t="str">
            <v>08B.196</v>
          </cell>
          <cell r="B1178" t="str">
            <v>-</v>
          </cell>
          <cell r="C1178" t="str">
            <v xml:space="preserve">SUMINISTRO, TRANSPORTE E INSTALACION SALIDA INTERRUPTOR SENCILLO EN TUBERIA CONDUIT PVC 3/4", ALAMBRE No 12 AWG. </v>
          </cell>
          <cell r="D1178" t="str">
            <v>Actividad</v>
          </cell>
          <cell r="E1178" t="str">
            <v>UND</v>
          </cell>
          <cell r="H1178">
            <v>92571</v>
          </cell>
        </row>
        <row r="1179">
          <cell r="A1179" t="str">
            <v>08B.196</v>
          </cell>
          <cell r="B1179" t="str">
            <v>C13</v>
          </cell>
          <cell r="C1179" t="str">
            <v>CUADRILLA FF TIPO 2 (1 OFICIAL + 2 AYUDANTE) (Electricas)</v>
          </cell>
          <cell r="D1179" t="str">
            <v>Cuadrilla</v>
          </cell>
          <cell r="E1179" t="str">
            <v>HR</v>
          </cell>
          <cell r="F1179">
            <v>1.5</v>
          </cell>
          <cell r="G1179">
            <v>33348</v>
          </cell>
          <cell r="H1179">
            <v>50022</v>
          </cell>
        </row>
        <row r="1180">
          <cell r="A1180" t="str">
            <v>08B.196</v>
          </cell>
          <cell r="B1180" t="str">
            <v>E12</v>
          </cell>
          <cell r="C1180" t="str">
            <v>EQUIPO DE TRANSPORTE</v>
          </cell>
          <cell r="D1180" t="str">
            <v>Equipos</v>
          </cell>
          <cell r="E1180" t="str">
            <v>DIA</v>
          </cell>
          <cell r="F1180">
            <v>5.4999999999999997E-3</v>
          </cell>
          <cell r="G1180">
            <v>131205</v>
          </cell>
          <cell r="H1180">
            <v>722</v>
          </cell>
        </row>
        <row r="1181">
          <cell r="A1181" t="str">
            <v>08B.196</v>
          </cell>
          <cell r="B1181" t="str">
            <v>H2</v>
          </cell>
          <cell r="C1181" t="str">
            <v>EQUIPO BASICO (HERRAMIENTA MENOR)</v>
          </cell>
          <cell r="D1181" t="str">
            <v>Herramienta</v>
          </cell>
          <cell r="E1181" t="str">
            <v>UND</v>
          </cell>
          <cell r="F1181">
            <v>0.1</v>
          </cell>
          <cell r="G1181">
            <v>2536</v>
          </cell>
          <cell r="H1181">
            <v>254</v>
          </cell>
        </row>
        <row r="1182">
          <cell r="A1182" t="str">
            <v>08B.196</v>
          </cell>
          <cell r="B1182" t="str">
            <v>I1110</v>
          </cell>
          <cell r="C1182" t="str">
            <v>ACCESORIOS DE FIJACION</v>
          </cell>
          <cell r="D1182" t="str">
            <v>Insumo</v>
          </cell>
          <cell r="E1182" t="str">
            <v>UND</v>
          </cell>
          <cell r="F1182">
            <v>3</v>
          </cell>
          <cell r="G1182">
            <v>1792</v>
          </cell>
          <cell r="H1182">
            <v>5376</v>
          </cell>
        </row>
        <row r="1183">
          <cell r="A1183" t="str">
            <v>08B.196</v>
          </cell>
          <cell r="B1183" t="str">
            <v>I1137</v>
          </cell>
          <cell r="C1183" t="str">
            <v>ADAPTADOR TERMINAL PVC 3/4"</v>
          </cell>
          <cell r="D1183" t="str">
            <v>Insumo</v>
          </cell>
          <cell r="E1183" t="str">
            <v>UND</v>
          </cell>
          <cell r="F1183">
            <v>2</v>
          </cell>
          <cell r="G1183">
            <v>245</v>
          </cell>
          <cell r="H1183">
            <v>490</v>
          </cell>
        </row>
        <row r="1184">
          <cell r="A1184" t="str">
            <v>08B.196</v>
          </cell>
          <cell r="B1184" t="str">
            <v>I1142</v>
          </cell>
          <cell r="C1184" t="str">
            <v>ALAMBRE COBRE DESNUDO Nº 12 AWG</v>
          </cell>
          <cell r="D1184" t="str">
            <v>Insumo</v>
          </cell>
          <cell r="E1184" t="str">
            <v>M</v>
          </cell>
          <cell r="F1184">
            <v>5</v>
          </cell>
          <cell r="G1184">
            <v>1215</v>
          </cell>
          <cell r="H1184">
            <v>6075</v>
          </cell>
        </row>
        <row r="1185">
          <cell r="A1185" t="str">
            <v>08B.196</v>
          </cell>
          <cell r="B1185" t="str">
            <v>I1145</v>
          </cell>
          <cell r="C1185" t="str">
            <v>ALAMBRE COBRE Nº 12 THHN  AWG</v>
          </cell>
          <cell r="D1185" t="str">
            <v>Insumo</v>
          </cell>
          <cell r="E1185" t="str">
            <v>M</v>
          </cell>
          <cell r="F1185">
            <v>10</v>
          </cell>
          <cell r="G1185">
            <v>1265</v>
          </cell>
          <cell r="H1185">
            <v>12650</v>
          </cell>
        </row>
        <row r="1186">
          <cell r="A1186" t="str">
            <v>08B.196</v>
          </cell>
          <cell r="B1186" t="str">
            <v>I1206</v>
          </cell>
          <cell r="C1186" t="str">
            <v xml:space="preserve">CAJA METALICA GALVANIZADA (REF: 5800) </v>
          </cell>
          <cell r="D1186" t="str">
            <v>Insumo</v>
          </cell>
          <cell r="E1186" t="str">
            <v>UND</v>
          </cell>
          <cell r="F1186">
            <v>1</v>
          </cell>
          <cell r="G1186">
            <v>1871</v>
          </cell>
          <cell r="H1186">
            <v>1871</v>
          </cell>
        </row>
        <row r="1187">
          <cell r="A1187" t="str">
            <v>08B.196</v>
          </cell>
          <cell r="B1187" t="str">
            <v>I1333</v>
          </cell>
          <cell r="C1187" t="str">
            <v xml:space="preserve">INTERRUPTOR SENCILLO </v>
          </cell>
          <cell r="D1187" t="str">
            <v>Insumo</v>
          </cell>
          <cell r="E1187" t="str">
            <v>HR</v>
          </cell>
          <cell r="F1187">
            <v>1</v>
          </cell>
          <cell r="G1187">
            <v>4065</v>
          </cell>
          <cell r="H1187">
            <v>4065</v>
          </cell>
        </row>
        <row r="1188">
          <cell r="A1188" t="str">
            <v>08B.196</v>
          </cell>
          <cell r="B1188" t="str">
            <v>I1473</v>
          </cell>
          <cell r="C1188" t="str">
            <v>TUBO CONDUIT PVC 3/4"</v>
          </cell>
          <cell r="D1188" t="str">
            <v>Insumo</v>
          </cell>
          <cell r="E1188" t="str">
            <v>M</v>
          </cell>
          <cell r="F1188">
            <v>5</v>
          </cell>
          <cell r="G1188">
            <v>1220</v>
          </cell>
          <cell r="H1188">
            <v>6100</v>
          </cell>
        </row>
        <row r="1189">
          <cell r="A1189" t="str">
            <v>08B.196</v>
          </cell>
          <cell r="B1189" t="str">
            <v>I1489</v>
          </cell>
          <cell r="C1189" t="str">
            <v>CINTA AISLANTE 3M</v>
          </cell>
          <cell r="D1189" t="str">
            <v>Insumo</v>
          </cell>
          <cell r="E1189" t="str">
            <v>ROLLO</v>
          </cell>
          <cell r="F1189">
            <v>0.2</v>
          </cell>
          <cell r="G1189">
            <v>4158</v>
          </cell>
          <cell r="H1189">
            <v>832</v>
          </cell>
        </row>
        <row r="1190">
          <cell r="A1190" t="str">
            <v>08B.196</v>
          </cell>
          <cell r="B1190" t="str">
            <v>I1565</v>
          </cell>
          <cell r="C1190" t="str">
            <v>ACARREO INTERNO</v>
          </cell>
          <cell r="D1190" t="str">
            <v>Insumo</v>
          </cell>
          <cell r="E1190" t="str">
            <v>UND</v>
          </cell>
          <cell r="F1190">
            <v>3.1</v>
          </cell>
          <cell r="G1190">
            <v>1327</v>
          </cell>
          <cell r="H1190">
            <v>4114</v>
          </cell>
        </row>
        <row r="1192">
          <cell r="C1192" t="str">
            <v>RETIRO DE POSTES DE 8 METROS DE CONCRETO</v>
          </cell>
        </row>
        <row r="1193">
          <cell r="C1193" t="str">
            <v>RETIRO REFLECTORES METAL HALIDE</v>
          </cell>
        </row>
        <row r="1194">
          <cell r="C1194" t="str">
            <v xml:space="preserve">RETIRO CABLE REFLECTORES No8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 val="Hoja1"/>
    </sheetNames>
    <sheetDataSet>
      <sheetData sheetId="0"/>
      <sheetData sheetId="1"/>
      <sheetData sheetId="2"/>
      <sheetData sheetId="3"/>
      <sheetData sheetId="4">
        <row r="2">
          <cell r="B2" t="str">
            <v>MANIZALES</v>
          </cell>
        </row>
      </sheetData>
      <sheetData sheetId="5"/>
      <sheetData sheetId="6"/>
      <sheetData sheetId="7"/>
      <sheetData sheetId="8"/>
      <sheetData sheetId="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Programacion"/>
      <sheetName val="Programacion (2)"/>
      <sheetName val="AIU"/>
      <sheetName val="Hoja2"/>
      <sheetName val="Hoja1"/>
    </sheetNames>
    <sheetDataSet>
      <sheetData sheetId="0">
        <row r="161">
          <cell r="G161">
            <v>214741589.25642857</v>
          </cell>
        </row>
      </sheetData>
      <sheetData sheetId="1"/>
      <sheetData sheetId="2"/>
      <sheetData sheetId="3"/>
      <sheetData sheetId="4"/>
      <sheetData sheetId="5"/>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9 JUNIO"/>
      <sheetName val="Hoja1"/>
    </sheetNames>
    <sheetDataSet>
      <sheetData sheetId="0" refreshError="1"/>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cpred"/>
      <sheetName val="planilla"/>
      <sheetName val="Hoja1"/>
    </sheetNames>
    <sheetDataSet>
      <sheetData sheetId="0"/>
      <sheetData sheetId="1"/>
      <sheetData sheetId="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Memorias de cantidades"/>
      <sheetName val="Insumos"/>
      <sheetName val="Producción concreto"/>
      <sheetName val="Analisis AU"/>
      <sheetName val="Analisis Mano de Obra"/>
      <sheetName val="Analisis Factor Prestacional"/>
      <sheetName val="ÍTEM 1,0"/>
      <sheetName val="ÍTEM 2,0"/>
      <sheetName val="ÍTEM 3,0"/>
      <sheetName val="ÍTEM 4,0"/>
      <sheetName val="ÍTEM 5,0"/>
      <sheetName val="ÍTEM 6,0"/>
      <sheetName val="ÍTEM 7,0"/>
      <sheetName val="ÍTEM 8,0"/>
      <sheetName val="ÍTEM 9,0"/>
      <sheetName val="ÍTEM 10,0"/>
      <sheetName val="ÍTEM 11,0"/>
      <sheetName val="ÍTEM 12,0"/>
      <sheetName val="ÍTEM 13,0"/>
      <sheetName val="ÍTEM 14,0"/>
      <sheetName val="ÍTEM 15,0"/>
      <sheetName val="ÍTEM 16,0"/>
      <sheetName val="ÍTEM 17,0"/>
      <sheetName val="ÍTEM 18,0"/>
      <sheetName val="ÍTEM 19,0"/>
      <sheetName val="ÍTEM 20,0"/>
      <sheetName val="ÍTEM 21,0"/>
      <sheetName val="ÍTEM 22,0"/>
      <sheetName val="ÍTEM 23,0"/>
      <sheetName val="ÍTEM 24,0"/>
      <sheetName val="ÍTEM 25,0"/>
      <sheetName val="ÍTEM 26,0"/>
      <sheetName val="ÍTEM 27,0"/>
      <sheetName val="ÍTEM 28,0"/>
      <sheetName val="ÍTEM 29,0"/>
      <sheetName val="ÍTEM 30,0"/>
      <sheetName val="ÍTEM 31,0"/>
    </sheetNames>
    <sheetDataSet>
      <sheetData sheetId="0"/>
      <sheetData sheetId="1"/>
      <sheetData sheetId="2"/>
      <sheetData sheetId="3"/>
      <sheetData sheetId="4"/>
      <sheetData sheetId="5"/>
      <sheetData sheetId="6"/>
      <sheetData sheetId="7"/>
      <sheetData sheetId="8">
        <row r="7">
          <cell r="F7">
            <v>503.44299999999998</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506">
          <cell r="C506" t="str">
            <v>EQUIPO BASICO ( HERRAMIENTA MENOR )</v>
          </cell>
        </row>
      </sheetData>
      <sheetData sheetId="4">
        <row r="11">
          <cell r="B11" t="str">
            <v>MALLA ELECTROSOLDADA M-084  Q-2  4 MM  15 X 15 CM.</v>
          </cell>
        </row>
      </sheetData>
      <sheetData sheetId="5"/>
      <sheetData sheetId="6"/>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sheetData sheetId="4">
        <row r="320">
          <cell r="B320" t="str">
            <v>TEJA ONDULADA FIBROCEMENTO PERFIL 7 0,92x1,52M</v>
          </cell>
        </row>
        <row r="511">
          <cell r="B511" t="str">
            <v>BISAGRAS ALUMINIO 3"</v>
          </cell>
        </row>
        <row r="1118">
          <cell r="B1118" t="str">
            <v xml:space="preserve">PUERTA ENTAMBORADA EN MADEFONDO - TIPO PIZANO ARQUITECTÓNICA O SIMILAR. ANCHO: 0,76 A 1,10 M. ALTO: 1,80 A 2,40 M. HOJA LISA CON 4 RANURAS HORIZONTALES PINTADAS Y CON MARQUETE EN CANTO DECORATIVO. ACABADO: SEGÚN PINTA SELECCIONADA DE CARTA COLORES MADECOR. </v>
          </cell>
        </row>
        <row r="1156">
          <cell r="B1156" t="str">
            <v>LACA PINTULACA - TIPO PINTUCO O SIMILAR</v>
          </cell>
          <cell r="D1156" t="str">
            <v>GALÓN</v>
          </cell>
        </row>
        <row r="1166">
          <cell r="B1166" t="str">
            <v>TINTILLA SELLADORA - TIPO MINWAX O SIMILAR.</v>
          </cell>
          <cell r="D1166" t="str">
            <v>GALÓN</v>
          </cell>
        </row>
        <row r="1610">
          <cell r="B1610" t="str">
            <v xml:space="preserve">TUBO CONDUIT GALVANIZADA EMT 3/4" </v>
          </cell>
        </row>
      </sheetData>
      <sheetData sheetId="5"/>
      <sheetData sheetId="6"/>
      <sheetData sheetId="7"/>
      <sheetData sheetId="8"/>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CADENA DE VALOR"/>
      <sheetName val="Presupuesto "/>
      <sheetName val="APU"/>
      <sheetName val="Análisis AU"/>
      <sheetName val="Factor prestacional"/>
      <sheetName val="Materiales"/>
      <sheetName val="Equipos"/>
      <sheetName val="Cant. Acabados"/>
      <sheetName val="Cant. Carp Metálica"/>
      <sheetName val="Cant. Baños,enchapes y cielo"/>
      <sheetName val="Cant. Eléctricas"/>
      <sheetName val="Cant. Hidrosanitarias"/>
      <sheetName val="Subanálisis"/>
      <sheetName val="Análisis M.O"/>
    </sheetNames>
    <sheetDataSet>
      <sheetData sheetId="0"/>
      <sheetData sheetId="1"/>
      <sheetData sheetId="2"/>
      <sheetData sheetId="3">
        <row r="671">
          <cell r="B671" t="str">
            <v>TRANSPORTE</v>
          </cell>
        </row>
      </sheetData>
      <sheetData sheetId="4"/>
      <sheetData sheetId="5"/>
      <sheetData sheetId="6">
        <row r="1">
          <cell r="A1" t="str">
            <v xml:space="preserve">GOBERNACIÓN DE CALDAS
MATERIALES 
</v>
          </cell>
        </row>
      </sheetData>
      <sheetData sheetId="7"/>
      <sheetData sheetId="8"/>
      <sheetData sheetId="9"/>
      <sheetData sheetId="10"/>
      <sheetData sheetId="11"/>
      <sheetData sheetId="12"/>
      <sheetData sheetId="13"/>
      <sheetData sheetId="14">
        <row r="22">
          <cell r="B22" t="str">
            <v>Maestro de obra</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809">
          <cell r="C2809" t="str">
            <v>TORNILLO AUTOPERFORANTE  EST.  7/16 "</v>
          </cell>
        </row>
        <row r="17153">
          <cell r="C17153" t="str">
            <v>ANALISIS BASICOS</v>
          </cell>
        </row>
        <row r="17155">
          <cell r="B17155" t="str">
            <v>H18</v>
          </cell>
          <cell r="C17155" t="str">
            <v>CONCRETO 1500 psi - 10.5 Mpa</v>
          </cell>
          <cell r="G17155" t="str">
            <v>m3</v>
          </cell>
          <cell r="J17155">
            <v>397151</v>
          </cell>
        </row>
        <row r="17156">
          <cell r="B17156" t="str">
            <v>B19</v>
          </cell>
          <cell r="C17156" t="str">
            <v>AGUA LITRO</v>
          </cell>
          <cell r="F17156" t="str">
            <v>Insumo</v>
          </cell>
          <cell r="G17156" t="str">
            <v>lt</v>
          </cell>
          <cell r="H17156">
            <v>160</v>
          </cell>
          <cell r="I17156">
            <v>29</v>
          </cell>
          <cell r="J17156">
            <v>4640</v>
          </cell>
        </row>
        <row r="17157">
          <cell r="B17157" t="str">
            <v>H01</v>
          </cell>
          <cell r="C17157" t="str">
            <v>CEMENTO GRIS</v>
          </cell>
          <cell r="F17157" t="str">
            <v>Insumo</v>
          </cell>
          <cell r="G17157" t="str">
            <v>kg</v>
          </cell>
          <cell r="H17157">
            <v>210</v>
          </cell>
          <cell r="I17157">
            <v>856</v>
          </cell>
          <cell r="J17157">
            <v>179760</v>
          </cell>
        </row>
        <row r="17158">
          <cell r="B17158" t="str">
            <v>I51</v>
          </cell>
          <cell r="C17158" t="str">
            <v>CUADRILLA AA TIPO 5 (1 OFICIAL + 5 AYUDANTE) (Albañileria)</v>
          </cell>
          <cell r="F17158" t="str">
            <v>Mano de Obra</v>
          </cell>
          <cell r="G17158" t="str">
            <v>hr</v>
          </cell>
          <cell r="H17158">
            <v>0.79</v>
          </cell>
          <cell r="I17158">
            <v>58813</v>
          </cell>
          <cell r="J17158">
            <v>46462</v>
          </cell>
        </row>
        <row r="17159">
          <cell r="B17159" t="str">
            <v>M09</v>
          </cell>
          <cell r="C17159" t="str">
            <v>MEZCLADORA A GASOLINA 1 SACO</v>
          </cell>
          <cell r="F17159" t="str">
            <v>Equipo</v>
          </cell>
          <cell r="G17159" t="str">
            <v>dia</v>
          </cell>
          <cell r="H17159">
            <v>0.2</v>
          </cell>
          <cell r="I17159">
            <v>41331</v>
          </cell>
          <cell r="J17159">
            <v>8266</v>
          </cell>
        </row>
        <row r="17160">
          <cell r="B17160" t="str">
            <v>B01</v>
          </cell>
          <cell r="C17160" t="str">
            <v xml:space="preserve">ARENA DE PEÑA </v>
          </cell>
          <cell r="F17160" t="str">
            <v>Insumo</v>
          </cell>
          <cell r="G17160" t="str">
            <v>m3</v>
          </cell>
          <cell r="H17160">
            <v>0.5</v>
          </cell>
          <cell r="I17160">
            <v>77979</v>
          </cell>
          <cell r="J17160">
            <v>38990</v>
          </cell>
        </row>
        <row r="17161">
          <cell r="B17161" t="str">
            <v>B02</v>
          </cell>
          <cell r="C17161" t="str">
            <v>GRAVILLA COMUN DE RIO</v>
          </cell>
          <cell r="F17161" t="str">
            <v>Insumo</v>
          </cell>
          <cell r="G17161" t="str">
            <v>m3</v>
          </cell>
          <cell r="H17161">
            <v>1</v>
          </cell>
          <cell r="I17161">
            <v>111398</v>
          </cell>
          <cell r="J17161">
            <v>111398</v>
          </cell>
        </row>
        <row r="17162">
          <cell r="B17162" t="str">
            <v>G1</v>
          </cell>
          <cell r="C17162" t="str">
            <v>ACPM</v>
          </cell>
          <cell r="F17162" t="str">
            <v>Insumo</v>
          </cell>
          <cell r="G17162" t="str">
            <v>gal</v>
          </cell>
          <cell r="H17162">
            <v>0.5</v>
          </cell>
          <cell r="I17162">
            <v>15270</v>
          </cell>
          <cell r="J17162">
            <v>7635</v>
          </cell>
        </row>
        <row r="17164">
          <cell r="B17164" t="str">
            <v>H19</v>
          </cell>
          <cell r="C17164" t="str">
            <v>CONCRETO 2000 psi - 14 Mpa</v>
          </cell>
          <cell r="G17164" t="str">
            <v>m3</v>
          </cell>
          <cell r="J17164">
            <v>409167</v>
          </cell>
        </row>
        <row r="17165">
          <cell r="B17165" t="str">
            <v>B19</v>
          </cell>
          <cell r="C17165" t="str">
            <v>AGUA LITRO</v>
          </cell>
          <cell r="F17165" t="str">
            <v>Insumo</v>
          </cell>
          <cell r="G17165" t="str">
            <v>lt</v>
          </cell>
          <cell r="H17165">
            <v>130</v>
          </cell>
          <cell r="I17165">
            <v>29</v>
          </cell>
          <cell r="J17165">
            <v>3770</v>
          </cell>
        </row>
        <row r="17166">
          <cell r="B17166" t="str">
            <v>H01</v>
          </cell>
          <cell r="C17166" t="str">
            <v>CEMENTO GRIS</v>
          </cell>
          <cell r="F17166" t="str">
            <v>Insumo</v>
          </cell>
          <cell r="G17166" t="str">
            <v>kg</v>
          </cell>
          <cell r="H17166">
            <v>230</v>
          </cell>
          <cell r="I17166">
            <v>856</v>
          </cell>
          <cell r="J17166">
            <v>196880</v>
          </cell>
        </row>
        <row r="17167">
          <cell r="B17167" t="str">
            <v>I51</v>
          </cell>
          <cell r="C17167" t="str">
            <v>CUADRILLA AA TIPO 5 (1 OFICIAL + 5 AYUDANTE) (Albañileria)</v>
          </cell>
          <cell r="F17167" t="str">
            <v>Mano de Obra</v>
          </cell>
          <cell r="G17167" t="str">
            <v>hr</v>
          </cell>
          <cell r="H17167">
            <v>0.79</v>
          </cell>
          <cell r="I17167">
            <v>58813</v>
          </cell>
          <cell r="J17167">
            <v>46462</v>
          </cell>
        </row>
        <row r="17168">
          <cell r="B17168" t="str">
            <v>M09</v>
          </cell>
          <cell r="C17168" t="str">
            <v>MEZCLADORA A GASOLINA 1 SACO</v>
          </cell>
          <cell r="F17168" t="str">
            <v>Equipo</v>
          </cell>
          <cell r="G17168" t="str">
            <v>dia</v>
          </cell>
          <cell r="H17168">
            <v>0.2</v>
          </cell>
          <cell r="I17168">
            <v>41331</v>
          </cell>
          <cell r="J17168">
            <v>8266</v>
          </cell>
        </row>
        <row r="17169">
          <cell r="B17169" t="str">
            <v>B01</v>
          </cell>
          <cell r="C17169" t="str">
            <v xml:space="preserve">ARENA DE PEÑA </v>
          </cell>
          <cell r="F17169" t="str">
            <v>Insumo</v>
          </cell>
          <cell r="G17169" t="str">
            <v>m3</v>
          </cell>
          <cell r="H17169">
            <v>0.56000000000000005</v>
          </cell>
          <cell r="I17169">
            <v>77979</v>
          </cell>
          <cell r="J17169">
            <v>43668</v>
          </cell>
        </row>
        <row r="17170">
          <cell r="B17170" t="str">
            <v>B02</v>
          </cell>
          <cell r="C17170" t="str">
            <v>GRAVILLA COMUN DE RIO</v>
          </cell>
          <cell r="F17170" t="str">
            <v>Insumo</v>
          </cell>
          <cell r="G17170" t="str">
            <v>m3</v>
          </cell>
          <cell r="H17170">
            <v>0.92</v>
          </cell>
          <cell r="I17170">
            <v>111398</v>
          </cell>
          <cell r="J17170">
            <v>102486</v>
          </cell>
        </row>
        <row r="17171">
          <cell r="B17171" t="str">
            <v>G1</v>
          </cell>
          <cell r="C17171" t="str">
            <v>ACPM</v>
          </cell>
          <cell r="F17171" t="str">
            <v>Insumo</v>
          </cell>
          <cell r="G17171" t="str">
            <v>gal</v>
          </cell>
          <cell r="H17171">
            <v>0.5</v>
          </cell>
          <cell r="I17171">
            <v>15270</v>
          </cell>
          <cell r="J17171">
            <v>7635</v>
          </cell>
        </row>
        <row r="17173">
          <cell r="B17173" t="str">
            <v>H20</v>
          </cell>
          <cell r="C17173" t="str">
            <v>CONCRETO 2500 psi - 17.5 Mpa</v>
          </cell>
          <cell r="G17173" t="str">
            <v>m3</v>
          </cell>
          <cell r="J17173">
            <v>459865</v>
          </cell>
        </row>
        <row r="17174">
          <cell r="B17174" t="str">
            <v>B19</v>
          </cell>
          <cell r="C17174" t="str">
            <v>AGUA LITRO</v>
          </cell>
          <cell r="F17174" t="str">
            <v>Insumo</v>
          </cell>
          <cell r="G17174" t="str">
            <v>lt</v>
          </cell>
          <cell r="H17174">
            <v>150</v>
          </cell>
          <cell r="I17174">
            <v>29</v>
          </cell>
          <cell r="J17174">
            <v>4350</v>
          </cell>
        </row>
        <row r="17175">
          <cell r="B17175" t="str">
            <v>H01</v>
          </cell>
          <cell r="C17175" t="str">
            <v>CEMENTO GRIS</v>
          </cell>
          <cell r="F17175" t="str">
            <v>Insumo</v>
          </cell>
          <cell r="G17175" t="str">
            <v>kg</v>
          </cell>
          <cell r="H17175">
            <v>300</v>
          </cell>
          <cell r="I17175">
            <v>856</v>
          </cell>
          <cell r="J17175">
            <v>256800</v>
          </cell>
        </row>
        <row r="17176">
          <cell r="B17176" t="str">
            <v>I51</v>
          </cell>
          <cell r="C17176" t="str">
            <v>CUADRILLA AA TIPO 5 (1 OFICIAL + 5 AYUDANTE) (Albañileria)</v>
          </cell>
          <cell r="F17176" t="str">
            <v>Mano de Obra</v>
          </cell>
          <cell r="G17176" t="str">
            <v>hr</v>
          </cell>
          <cell r="H17176">
            <v>0.79</v>
          </cell>
          <cell r="I17176">
            <v>58813</v>
          </cell>
          <cell r="J17176">
            <v>46462</v>
          </cell>
        </row>
        <row r="17177">
          <cell r="B17177" t="str">
            <v>M09</v>
          </cell>
          <cell r="C17177" t="str">
            <v>MEZCLADORA A GASOLINA 1 SACO</v>
          </cell>
          <cell r="F17177" t="str">
            <v>Equipo</v>
          </cell>
          <cell r="G17177" t="str">
            <v>dia</v>
          </cell>
          <cell r="H17177">
            <v>0.2</v>
          </cell>
          <cell r="I17177">
            <v>41331</v>
          </cell>
          <cell r="J17177">
            <v>8266</v>
          </cell>
        </row>
        <row r="17178">
          <cell r="B17178" t="str">
            <v>B01</v>
          </cell>
          <cell r="C17178" t="str">
            <v xml:space="preserve">ARENA DE PEÑA </v>
          </cell>
          <cell r="F17178" t="str">
            <v>Insumo</v>
          </cell>
          <cell r="G17178" t="str">
            <v>m3</v>
          </cell>
          <cell r="H17178">
            <v>0.72</v>
          </cell>
          <cell r="I17178">
            <v>77979</v>
          </cell>
          <cell r="J17178">
            <v>56145</v>
          </cell>
        </row>
        <row r="17179">
          <cell r="B17179" t="str">
            <v>B02</v>
          </cell>
          <cell r="C17179" t="str">
            <v>GRAVILLA COMUN DE RIO</v>
          </cell>
          <cell r="F17179" t="str">
            <v>Insumo</v>
          </cell>
          <cell r="G17179" t="str">
            <v>m3</v>
          </cell>
          <cell r="H17179">
            <v>0.72</v>
          </cell>
          <cell r="I17179">
            <v>111398</v>
          </cell>
          <cell r="J17179">
            <v>80207</v>
          </cell>
        </row>
        <row r="17180">
          <cell r="B17180" t="str">
            <v>G1</v>
          </cell>
          <cell r="C17180" t="str">
            <v>ACPM</v>
          </cell>
          <cell r="F17180" t="str">
            <v>Insumo</v>
          </cell>
          <cell r="G17180" t="str">
            <v>gal</v>
          </cell>
          <cell r="H17180">
            <v>0.5</v>
          </cell>
          <cell r="I17180">
            <v>15270</v>
          </cell>
          <cell r="J17180">
            <v>7635</v>
          </cell>
        </row>
        <row r="17182">
          <cell r="B17182" t="str">
            <v>H21</v>
          </cell>
          <cell r="C17182" t="str">
            <v>CONCRETO 3000 psi - 21 Mpa</v>
          </cell>
          <cell r="G17182" t="str">
            <v>m3</v>
          </cell>
          <cell r="J17182">
            <v>508591</v>
          </cell>
        </row>
        <row r="17183">
          <cell r="B17183" t="str">
            <v>B19</v>
          </cell>
          <cell r="C17183" t="str">
            <v>AGUA LITRO</v>
          </cell>
          <cell r="F17183" t="str">
            <v>Insumo</v>
          </cell>
          <cell r="G17183" t="str">
            <v>lt</v>
          </cell>
          <cell r="H17183">
            <v>170</v>
          </cell>
          <cell r="I17183">
            <v>29</v>
          </cell>
          <cell r="J17183">
            <v>4930</v>
          </cell>
        </row>
        <row r="17184">
          <cell r="B17184" t="str">
            <v>H01</v>
          </cell>
          <cell r="C17184" t="str">
            <v>CEMENTO GRIS</v>
          </cell>
          <cell r="F17184" t="str">
            <v>Insumo</v>
          </cell>
          <cell r="G17184" t="str">
            <v>kg</v>
          </cell>
          <cell r="H17184">
            <v>350</v>
          </cell>
          <cell r="I17184">
            <v>856</v>
          </cell>
          <cell r="J17184">
            <v>299600</v>
          </cell>
        </row>
        <row r="17185">
          <cell r="B17185" t="str">
            <v>I51</v>
          </cell>
          <cell r="C17185" t="str">
            <v>CUADRILLA AA TIPO 5 (1 OFICIAL + 5 AYUDANTE) (Albañileria)</v>
          </cell>
          <cell r="F17185" t="str">
            <v>Mano de Obra</v>
          </cell>
          <cell r="G17185" t="str">
            <v>hr</v>
          </cell>
          <cell r="H17185">
            <v>0.79</v>
          </cell>
          <cell r="I17185">
            <v>58813</v>
          </cell>
          <cell r="J17185">
            <v>46462</v>
          </cell>
        </row>
        <row r="17186">
          <cell r="B17186" t="str">
            <v>M09</v>
          </cell>
          <cell r="C17186" t="str">
            <v>MEZCLADORA A GASOLINA 1 SACO</v>
          </cell>
          <cell r="F17186" t="str">
            <v>Equipo</v>
          </cell>
          <cell r="G17186" t="str">
            <v>dia</v>
          </cell>
          <cell r="H17186">
            <v>0.2</v>
          </cell>
          <cell r="I17186">
            <v>41331</v>
          </cell>
          <cell r="J17186">
            <v>8266</v>
          </cell>
        </row>
        <row r="17187">
          <cell r="B17187" t="str">
            <v>B01</v>
          </cell>
          <cell r="C17187" t="str">
            <v xml:space="preserve">ARENA DE PEÑA </v>
          </cell>
          <cell r="F17187" t="str">
            <v>Insumo</v>
          </cell>
          <cell r="G17187" t="str">
            <v>m3</v>
          </cell>
          <cell r="H17187">
            <v>0.56000000000000005</v>
          </cell>
          <cell r="I17187">
            <v>77979</v>
          </cell>
          <cell r="J17187">
            <v>43668</v>
          </cell>
        </row>
        <row r="17188">
          <cell r="B17188" t="str">
            <v>B02</v>
          </cell>
          <cell r="C17188" t="str">
            <v>GRAVILLA COMUN DE RIO</v>
          </cell>
          <cell r="F17188" t="str">
            <v>Insumo</v>
          </cell>
          <cell r="G17188" t="str">
            <v>m3</v>
          </cell>
          <cell r="H17188">
            <v>0.88</v>
          </cell>
          <cell r="I17188">
            <v>111398</v>
          </cell>
          <cell r="J17188">
            <v>98030</v>
          </cell>
        </row>
        <row r="17189">
          <cell r="B17189" t="str">
            <v>G1</v>
          </cell>
          <cell r="C17189" t="str">
            <v>ACPM</v>
          </cell>
          <cell r="F17189" t="str">
            <v>Insumo</v>
          </cell>
          <cell r="G17189" t="str">
            <v>gal</v>
          </cell>
          <cell r="H17189">
            <v>0.5</v>
          </cell>
          <cell r="I17189">
            <v>15270</v>
          </cell>
          <cell r="J17189">
            <v>7635</v>
          </cell>
        </row>
        <row r="17191">
          <cell r="B17191" t="str">
            <v>H22</v>
          </cell>
          <cell r="C17191" t="str">
            <v>CONCRETO 3500 psi - 24.5 Mpa</v>
          </cell>
          <cell r="G17191" t="str">
            <v>m3</v>
          </cell>
          <cell r="J17191">
            <v>553986</v>
          </cell>
        </row>
        <row r="17192">
          <cell r="B17192" t="str">
            <v>B19</v>
          </cell>
          <cell r="C17192" t="str">
            <v>AGUA LITRO</v>
          </cell>
          <cell r="F17192" t="str">
            <v>Insumo</v>
          </cell>
          <cell r="G17192" t="str">
            <v>lt</v>
          </cell>
          <cell r="H17192">
            <v>180</v>
          </cell>
          <cell r="I17192">
            <v>29</v>
          </cell>
          <cell r="J17192">
            <v>5220</v>
          </cell>
        </row>
        <row r="17193">
          <cell r="B17193" t="str">
            <v>H01</v>
          </cell>
          <cell r="C17193" t="str">
            <v>CEMENTO GRIS</v>
          </cell>
          <cell r="F17193" t="str">
            <v>Insumo</v>
          </cell>
          <cell r="G17193" t="str">
            <v>kg</v>
          </cell>
          <cell r="H17193">
            <v>420</v>
          </cell>
          <cell r="I17193">
            <v>856</v>
          </cell>
          <cell r="J17193">
            <v>359520</v>
          </cell>
        </row>
        <row r="17194">
          <cell r="B17194" t="str">
            <v>I51</v>
          </cell>
          <cell r="C17194" t="str">
            <v>CUADRILLA AA TIPO 5 (1 OFICIAL + 5 AYUDANTE) (Albañileria)</v>
          </cell>
          <cell r="F17194" t="str">
            <v>Mano de Obra</v>
          </cell>
          <cell r="G17194" t="str">
            <v>hr</v>
          </cell>
          <cell r="H17194">
            <v>0.79</v>
          </cell>
          <cell r="I17194">
            <v>58813</v>
          </cell>
          <cell r="J17194">
            <v>46462</v>
          </cell>
        </row>
        <row r="17195">
          <cell r="B17195" t="str">
            <v>M09</v>
          </cell>
          <cell r="C17195" t="str">
            <v>MEZCLADORA A GASOLINA 1 SACO</v>
          </cell>
          <cell r="F17195" t="str">
            <v>Equipo</v>
          </cell>
          <cell r="G17195" t="str">
            <v>dia</v>
          </cell>
          <cell r="H17195">
            <v>0.2</v>
          </cell>
          <cell r="I17195">
            <v>41331</v>
          </cell>
          <cell r="J17195">
            <v>8266</v>
          </cell>
        </row>
        <row r="17196">
          <cell r="B17196" t="str">
            <v>B01</v>
          </cell>
          <cell r="C17196" t="str">
            <v xml:space="preserve">ARENA DE PEÑA </v>
          </cell>
          <cell r="F17196" t="str">
            <v>Insumo</v>
          </cell>
          <cell r="G17196" t="str">
            <v>m3</v>
          </cell>
          <cell r="H17196">
            <v>0.67</v>
          </cell>
          <cell r="I17196">
            <v>77979</v>
          </cell>
          <cell r="J17196">
            <v>52246</v>
          </cell>
        </row>
        <row r="17197">
          <cell r="B17197" t="str">
            <v>B02</v>
          </cell>
          <cell r="C17197" t="str">
            <v>GRAVILLA COMUN DE RIO</v>
          </cell>
          <cell r="F17197" t="str">
            <v>Insumo</v>
          </cell>
          <cell r="G17197" t="str">
            <v>m3</v>
          </cell>
          <cell r="H17197">
            <v>0.67</v>
          </cell>
          <cell r="I17197">
            <v>111398</v>
          </cell>
          <cell r="J17197">
            <v>74637</v>
          </cell>
        </row>
        <row r="17198">
          <cell r="B17198" t="str">
            <v>G1</v>
          </cell>
          <cell r="C17198" t="str">
            <v>ACPM</v>
          </cell>
          <cell r="F17198" t="str">
            <v>Insumo</v>
          </cell>
          <cell r="G17198" t="str">
            <v>gal</v>
          </cell>
          <cell r="H17198">
            <v>0.5</v>
          </cell>
          <cell r="I17198">
            <v>15270</v>
          </cell>
          <cell r="J17198">
            <v>7635</v>
          </cell>
        </row>
        <row r="17200">
          <cell r="B17200" t="str">
            <v>H23</v>
          </cell>
          <cell r="C17200" t="str">
            <v>CONCRETO 4000 psi - 28 Mpa</v>
          </cell>
          <cell r="G17200" t="str">
            <v>m3</v>
          </cell>
          <cell r="J17200">
            <v>570798</v>
          </cell>
        </row>
        <row r="17201">
          <cell r="B17201" t="str">
            <v>B19</v>
          </cell>
          <cell r="C17201" t="str">
            <v>AGUA LITRO</v>
          </cell>
          <cell r="F17201" t="str">
            <v>Insumo</v>
          </cell>
          <cell r="G17201" t="str">
            <v>lt</v>
          </cell>
          <cell r="H17201">
            <v>170</v>
          </cell>
          <cell r="I17201">
            <v>29</v>
          </cell>
          <cell r="J17201">
            <v>4930</v>
          </cell>
        </row>
        <row r="17202">
          <cell r="B17202" t="str">
            <v>H01</v>
          </cell>
          <cell r="C17202" t="str">
            <v>CEMENTO GRIS</v>
          </cell>
          <cell r="F17202" t="str">
            <v>Insumo</v>
          </cell>
          <cell r="G17202" t="str">
            <v>kg</v>
          </cell>
          <cell r="H17202">
            <v>450</v>
          </cell>
          <cell r="I17202">
            <v>856</v>
          </cell>
          <cell r="J17202">
            <v>385200</v>
          </cell>
        </row>
        <row r="17203">
          <cell r="B17203" t="str">
            <v>I51</v>
          </cell>
          <cell r="C17203" t="str">
            <v>CUADRILLA AA TIPO 5 (1 OFICIAL + 5 AYUDANTE) (Albañileria)</v>
          </cell>
          <cell r="F17203" t="str">
            <v>Mano de Obra</v>
          </cell>
          <cell r="G17203" t="str">
            <v>hr</v>
          </cell>
          <cell r="H17203">
            <v>0.79</v>
          </cell>
          <cell r="I17203">
            <v>58813</v>
          </cell>
          <cell r="J17203">
            <v>46462</v>
          </cell>
        </row>
        <row r="17204">
          <cell r="B17204" t="str">
            <v>M09</v>
          </cell>
          <cell r="C17204" t="str">
            <v>MEZCLADORA A GASOLINA 1 SACO</v>
          </cell>
          <cell r="F17204" t="str">
            <v>Equipo</v>
          </cell>
          <cell r="G17204" t="str">
            <v>dia</v>
          </cell>
          <cell r="H17204">
            <v>0.2</v>
          </cell>
          <cell r="I17204">
            <v>41331</v>
          </cell>
          <cell r="J17204">
            <v>8266</v>
          </cell>
        </row>
        <row r="17205">
          <cell r="B17205" t="str">
            <v>B01</v>
          </cell>
          <cell r="C17205" t="str">
            <v xml:space="preserve">ARENA DE PEÑA </v>
          </cell>
          <cell r="F17205" t="str">
            <v>Insumo</v>
          </cell>
          <cell r="G17205" t="str">
            <v>m3</v>
          </cell>
          <cell r="H17205">
            <v>0.56000000000000005</v>
          </cell>
          <cell r="I17205">
            <v>77979</v>
          </cell>
          <cell r="J17205">
            <v>43668</v>
          </cell>
        </row>
        <row r="17206">
          <cell r="B17206" t="str">
            <v>B02</v>
          </cell>
          <cell r="C17206" t="str">
            <v>GRAVILLA COMUN DE RIO</v>
          </cell>
          <cell r="F17206" t="str">
            <v>Insumo</v>
          </cell>
          <cell r="G17206" t="str">
            <v>m3</v>
          </cell>
          <cell r="H17206">
            <v>0.67</v>
          </cell>
          <cell r="I17206">
            <v>111398</v>
          </cell>
          <cell r="J17206">
            <v>74637</v>
          </cell>
        </row>
        <row r="17207">
          <cell r="B17207" t="str">
            <v>G1</v>
          </cell>
          <cell r="C17207" t="str">
            <v>ACPM</v>
          </cell>
          <cell r="F17207" t="str">
            <v>Insumo</v>
          </cell>
          <cell r="G17207" t="str">
            <v>gal</v>
          </cell>
          <cell r="H17207">
            <v>0.5</v>
          </cell>
          <cell r="I17207">
            <v>15270</v>
          </cell>
          <cell r="J17207">
            <v>7635</v>
          </cell>
        </row>
        <row r="17209">
          <cell r="B17209" t="str">
            <v>H34</v>
          </cell>
          <cell r="C17209" t="str">
            <v>CONCRETO 5000 psi - 35 Mpa</v>
          </cell>
          <cell r="G17209" t="str">
            <v>m3</v>
          </cell>
          <cell r="J17209">
            <v>656688</v>
          </cell>
        </row>
        <row r="17210">
          <cell r="B17210" t="str">
            <v>B19</v>
          </cell>
          <cell r="C17210" t="str">
            <v>AGUA LITRO</v>
          </cell>
          <cell r="F17210" t="str">
            <v>Insumo</v>
          </cell>
          <cell r="G17210" t="str">
            <v>lt</v>
          </cell>
          <cell r="H17210">
            <v>180</v>
          </cell>
          <cell r="I17210">
            <v>29</v>
          </cell>
          <cell r="J17210">
            <v>5220</v>
          </cell>
        </row>
        <row r="17211">
          <cell r="B17211" t="str">
            <v>H01</v>
          </cell>
          <cell r="C17211" t="str">
            <v>CEMENTO GRIS</v>
          </cell>
          <cell r="F17211" t="str">
            <v>Insumo</v>
          </cell>
          <cell r="G17211" t="str">
            <v>kg</v>
          </cell>
          <cell r="H17211">
            <v>550</v>
          </cell>
          <cell r="I17211">
            <v>856</v>
          </cell>
          <cell r="J17211">
            <v>470800</v>
          </cell>
        </row>
        <row r="17212">
          <cell r="B17212" t="str">
            <v>I51</v>
          </cell>
          <cell r="C17212" t="str">
            <v>CUADRILLA AA TIPO 5 (1 OFICIAL + 5 AYUDANTE) (Albañileria)</v>
          </cell>
          <cell r="F17212" t="str">
            <v>Mano de Obra</v>
          </cell>
          <cell r="G17212" t="str">
            <v>hr</v>
          </cell>
          <cell r="H17212">
            <v>0.79</v>
          </cell>
          <cell r="I17212">
            <v>58813</v>
          </cell>
          <cell r="J17212">
            <v>46462</v>
          </cell>
        </row>
        <row r="17213">
          <cell r="B17213" t="str">
            <v>M09</v>
          </cell>
          <cell r="C17213" t="str">
            <v>MEZCLADORA A GASOLINA 1 SACO</v>
          </cell>
          <cell r="F17213" t="str">
            <v>Equipo</v>
          </cell>
          <cell r="G17213" t="str">
            <v>dia</v>
          </cell>
          <cell r="H17213">
            <v>0.2</v>
          </cell>
          <cell r="I17213">
            <v>41331</v>
          </cell>
          <cell r="J17213">
            <v>8266</v>
          </cell>
        </row>
        <row r="17214">
          <cell r="B17214" t="str">
            <v>B01</v>
          </cell>
          <cell r="C17214" t="str">
            <v xml:space="preserve">ARENA DE PEÑA </v>
          </cell>
          <cell r="F17214" t="str">
            <v>Insumo</v>
          </cell>
          <cell r="G17214" t="str">
            <v>m3</v>
          </cell>
          <cell r="H17214">
            <v>0.56000000000000005</v>
          </cell>
          <cell r="I17214">
            <v>77979</v>
          </cell>
          <cell r="J17214">
            <v>43668</v>
          </cell>
        </row>
        <row r="17215">
          <cell r="B17215" t="str">
            <v>B02</v>
          </cell>
          <cell r="C17215" t="str">
            <v>GRAVILLA COMUN DE RIO</v>
          </cell>
          <cell r="F17215" t="str">
            <v>Insumo</v>
          </cell>
          <cell r="G17215" t="str">
            <v>m3</v>
          </cell>
          <cell r="H17215">
            <v>0.67</v>
          </cell>
          <cell r="I17215">
            <v>111398</v>
          </cell>
          <cell r="J17215">
            <v>74637</v>
          </cell>
        </row>
        <row r="17216">
          <cell r="B17216" t="str">
            <v>G1</v>
          </cell>
          <cell r="C17216" t="str">
            <v>ACPM</v>
          </cell>
          <cell r="F17216" t="str">
            <v>Insumo</v>
          </cell>
          <cell r="G17216" t="str">
            <v>gal</v>
          </cell>
          <cell r="H17216">
            <v>0.5</v>
          </cell>
          <cell r="I17216">
            <v>15270</v>
          </cell>
          <cell r="J17216">
            <v>7635</v>
          </cell>
        </row>
        <row r="17219">
          <cell r="B17219" t="str">
            <v>H24</v>
          </cell>
          <cell r="C17219" t="str">
            <v>CONCRETO 1500 psi - 10.5 Mpa Impermeabilizado</v>
          </cell>
          <cell r="G17219" t="str">
            <v>m3</v>
          </cell>
          <cell r="J17219">
            <v>418368</v>
          </cell>
        </row>
        <row r="17220">
          <cell r="B17220" t="str">
            <v>B19</v>
          </cell>
          <cell r="C17220" t="str">
            <v>AGUA LITRO</v>
          </cell>
          <cell r="F17220" t="str">
            <v>Insumo</v>
          </cell>
          <cell r="G17220" t="str">
            <v>lt</v>
          </cell>
          <cell r="H17220">
            <v>160</v>
          </cell>
          <cell r="I17220">
            <v>29</v>
          </cell>
          <cell r="J17220">
            <v>4640</v>
          </cell>
        </row>
        <row r="17221">
          <cell r="B17221" t="str">
            <v>H01</v>
          </cell>
          <cell r="C17221" t="str">
            <v>CEMENTO GRIS</v>
          </cell>
          <cell r="F17221" t="str">
            <v>Insumo</v>
          </cell>
          <cell r="G17221" t="str">
            <v>kg</v>
          </cell>
          <cell r="H17221">
            <v>210</v>
          </cell>
          <cell r="I17221">
            <v>856</v>
          </cell>
          <cell r="J17221">
            <v>179760</v>
          </cell>
        </row>
        <row r="17222">
          <cell r="B17222" t="str">
            <v>I51</v>
          </cell>
          <cell r="C17222" t="str">
            <v>CUADRILLA AA TIPO 5 (1 OFICIAL + 5 AYUDANTE) (Albañileria)</v>
          </cell>
          <cell r="F17222" t="str">
            <v>Mano de Obra</v>
          </cell>
          <cell r="G17222" t="str">
            <v>hr</v>
          </cell>
          <cell r="H17222">
            <v>0.79</v>
          </cell>
          <cell r="I17222">
            <v>58813</v>
          </cell>
          <cell r="J17222">
            <v>46462</v>
          </cell>
        </row>
        <row r="17223">
          <cell r="B17223" t="str">
            <v>M09</v>
          </cell>
          <cell r="C17223" t="str">
            <v>MEZCLADORA A GASOLINA 1 SACO</v>
          </cell>
          <cell r="F17223" t="str">
            <v>Equipo</v>
          </cell>
          <cell r="G17223" t="str">
            <v>dia</v>
          </cell>
          <cell r="H17223">
            <v>0.2</v>
          </cell>
          <cell r="I17223">
            <v>41331</v>
          </cell>
          <cell r="J17223">
            <v>8266</v>
          </cell>
        </row>
        <row r="17224">
          <cell r="B17224" t="str">
            <v>B01</v>
          </cell>
          <cell r="C17224" t="str">
            <v xml:space="preserve">ARENA DE PEÑA </v>
          </cell>
          <cell r="F17224" t="str">
            <v>Insumo</v>
          </cell>
          <cell r="G17224" t="str">
            <v>m3</v>
          </cell>
          <cell r="H17224">
            <v>0.5</v>
          </cell>
          <cell r="I17224">
            <v>77979</v>
          </cell>
          <cell r="J17224">
            <v>38990</v>
          </cell>
        </row>
        <row r="17225">
          <cell r="B17225" t="str">
            <v>B02</v>
          </cell>
          <cell r="C17225" t="str">
            <v>GRAVILLA COMUN DE RIO</v>
          </cell>
          <cell r="F17225" t="str">
            <v>Insumo</v>
          </cell>
          <cell r="G17225" t="str">
            <v>m3</v>
          </cell>
          <cell r="H17225">
            <v>1</v>
          </cell>
          <cell r="I17225">
            <v>111398</v>
          </cell>
          <cell r="J17225">
            <v>111398</v>
          </cell>
        </row>
        <row r="17226">
          <cell r="B17226" t="str">
            <v>O16</v>
          </cell>
          <cell r="C17226" t="str">
            <v>SIKA-1 IMPERMEABILIZANTE INTEGRAL MORTEROS O SIMILAR.</v>
          </cell>
          <cell r="F17226" t="str">
            <v>Insumo</v>
          </cell>
          <cell r="G17226" t="str">
            <v>kg</v>
          </cell>
          <cell r="H17226">
            <v>1.75</v>
          </cell>
          <cell r="I17226">
            <v>12124</v>
          </cell>
          <cell r="J17226">
            <v>21217</v>
          </cell>
        </row>
        <row r="17227">
          <cell r="B17227" t="str">
            <v>G1</v>
          </cell>
          <cell r="C17227" t="str">
            <v>ACPM</v>
          </cell>
          <cell r="F17227" t="str">
            <v>Insumo</v>
          </cell>
          <cell r="G17227" t="str">
            <v>gal</v>
          </cell>
          <cell r="H17227">
            <v>0.5</v>
          </cell>
          <cell r="I17227">
            <v>15270</v>
          </cell>
          <cell r="J17227">
            <v>7635</v>
          </cell>
        </row>
        <row r="17229">
          <cell r="B17229" t="str">
            <v>H25</v>
          </cell>
          <cell r="C17229" t="str">
            <v>CONCRETO 2000 psi - 14 Mpa Impermeabilizado</v>
          </cell>
          <cell r="G17229" t="str">
            <v>m3</v>
          </cell>
          <cell r="J17229">
            <v>430384</v>
          </cell>
        </row>
        <row r="17230">
          <cell r="B17230" t="str">
            <v>B19</v>
          </cell>
          <cell r="C17230" t="str">
            <v>AGUA LITRO</v>
          </cell>
          <cell r="F17230" t="str">
            <v>Insumo</v>
          </cell>
          <cell r="G17230" t="str">
            <v>lt</v>
          </cell>
          <cell r="H17230">
            <v>130</v>
          </cell>
          <cell r="I17230">
            <v>29</v>
          </cell>
          <cell r="J17230">
            <v>3770</v>
          </cell>
        </row>
        <row r="17231">
          <cell r="B17231" t="str">
            <v>H01</v>
          </cell>
          <cell r="C17231" t="str">
            <v>CEMENTO GRIS</v>
          </cell>
          <cell r="F17231" t="str">
            <v>Insumo</v>
          </cell>
          <cell r="G17231" t="str">
            <v>kg</v>
          </cell>
          <cell r="H17231">
            <v>230</v>
          </cell>
          <cell r="I17231">
            <v>856</v>
          </cell>
          <cell r="J17231">
            <v>196880</v>
          </cell>
        </row>
        <row r="17232">
          <cell r="B17232" t="str">
            <v>I51</v>
          </cell>
          <cell r="C17232" t="str">
            <v>CUADRILLA AA TIPO 5 (1 OFICIAL + 5 AYUDANTE) (Albañileria)</v>
          </cell>
          <cell r="F17232" t="str">
            <v>Mano de Obra</v>
          </cell>
          <cell r="G17232" t="str">
            <v>hr</v>
          </cell>
          <cell r="H17232">
            <v>0.79</v>
          </cell>
          <cell r="I17232">
            <v>58813</v>
          </cell>
          <cell r="J17232">
            <v>46462</v>
          </cell>
        </row>
        <row r="17233">
          <cell r="B17233" t="str">
            <v>M09</v>
          </cell>
          <cell r="C17233" t="str">
            <v>MEZCLADORA A GASOLINA 1 SACO</v>
          </cell>
          <cell r="F17233" t="str">
            <v>Equipo</v>
          </cell>
          <cell r="G17233" t="str">
            <v>dia</v>
          </cell>
          <cell r="H17233">
            <v>0.2</v>
          </cell>
          <cell r="I17233">
            <v>41331</v>
          </cell>
          <cell r="J17233">
            <v>8266</v>
          </cell>
        </row>
        <row r="17234">
          <cell r="B17234" t="str">
            <v>B01</v>
          </cell>
          <cell r="C17234" t="str">
            <v xml:space="preserve">ARENA DE PEÑA </v>
          </cell>
          <cell r="F17234" t="str">
            <v>Insumo</v>
          </cell>
          <cell r="G17234" t="str">
            <v>m3</v>
          </cell>
          <cell r="H17234">
            <v>0.56000000000000005</v>
          </cell>
          <cell r="I17234">
            <v>77979</v>
          </cell>
          <cell r="J17234">
            <v>43668</v>
          </cell>
        </row>
        <row r="17235">
          <cell r="B17235" t="str">
            <v>B02</v>
          </cell>
          <cell r="C17235" t="str">
            <v>GRAVILLA COMUN DE RIO</v>
          </cell>
          <cell r="F17235" t="str">
            <v>Insumo</v>
          </cell>
          <cell r="G17235" t="str">
            <v>m3</v>
          </cell>
          <cell r="H17235">
            <v>0.92</v>
          </cell>
          <cell r="I17235">
            <v>111398</v>
          </cell>
          <cell r="J17235">
            <v>102486</v>
          </cell>
        </row>
        <row r="17236">
          <cell r="B17236" t="str">
            <v>O16</v>
          </cell>
          <cell r="C17236" t="str">
            <v>SIKA-1 IMPERMEABILIZANTE INTEGRAL MORTEROS O SIMILAR.</v>
          </cell>
          <cell r="F17236" t="str">
            <v>Insumo</v>
          </cell>
          <cell r="G17236" t="str">
            <v>kg</v>
          </cell>
          <cell r="H17236">
            <v>1.75</v>
          </cell>
          <cell r="I17236">
            <v>12124</v>
          </cell>
          <cell r="J17236">
            <v>21217</v>
          </cell>
        </row>
        <row r="17237">
          <cell r="B17237" t="str">
            <v>G1</v>
          </cell>
          <cell r="C17237" t="str">
            <v>ACPM</v>
          </cell>
          <cell r="F17237" t="str">
            <v>Insumo</v>
          </cell>
          <cell r="G17237" t="str">
            <v>gal</v>
          </cell>
          <cell r="H17237">
            <v>0.5</v>
          </cell>
          <cell r="I17237">
            <v>15270</v>
          </cell>
          <cell r="J17237">
            <v>7635</v>
          </cell>
        </row>
        <row r="17239">
          <cell r="B17239" t="str">
            <v>H26</v>
          </cell>
          <cell r="C17239" t="str">
            <v>CONCRETO 2500 psi - 17.5 Mpa Impermeabilizado</v>
          </cell>
          <cell r="G17239" t="str">
            <v>m3</v>
          </cell>
          <cell r="J17239">
            <v>481082</v>
          </cell>
        </row>
        <row r="17240">
          <cell r="B17240" t="str">
            <v>B19</v>
          </cell>
          <cell r="C17240" t="str">
            <v>AGUA LITRO</v>
          </cell>
          <cell r="F17240" t="str">
            <v>Insumo</v>
          </cell>
          <cell r="G17240" t="str">
            <v>lt</v>
          </cell>
          <cell r="H17240">
            <v>150</v>
          </cell>
          <cell r="I17240">
            <v>29</v>
          </cell>
          <cell r="J17240">
            <v>4350</v>
          </cell>
        </row>
        <row r="17241">
          <cell r="B17241" t="str">
            <v>H01</v>
          </cell>
          <cell r="C17241" t="str">
            <v>CEMENTO GRIS</v>
          </cell>
          <cell r="F17241" t="str">
            <v>Insumo</v>
          </cell>
          <cell r="G17241" t="str">
            <v>kg</v>
          </cell>
          <cell r="H17241">
            <v>300</v>
          </cell>
          <cell r="I17241">
            <v>856</v>
          </cell>
          <cell r="J17241">
            <v>256800</v>
          </cell>
        </row>
        <row r="17242">
          <cell r="B17242" t="str">
            <v>I51</v>
          </cell>
          <cell r="C17242" t="str">
            <v>CUADRILLA AA TIPO 5 (1 OFICIAL + 5 AYUDANTE) (Albañileria)</v>
          </cell>
          <cell r="F17242" t="str">
            <v>Mano de Obra</v>
          </cell>
          <cell r="G17242" t="str">
            <v>hr</v>
          </cell>
          <cell r="H17242">
            <v>0.79</v>
          </cell>
          <cell r="I17242">
            <v>58813</v>
          </cell>
          <cell r="J17242">
            <v>46462</v>
          </cell>
        </row>
        <row r="17243">
          <cell r="B17243" t="str">
            <v>M09</v>
          </cell>
          <cell r="C17243" t="str">
            <v>MEZCLADORA A GASOLINA 1 SACO</v>
          </cell>
          <cell r="F17243" t="str">
            <v>Equipo</v>
          </cell>
          <cell r="G17243" t="str">
            <v>dia</v>
          </cell>
          <cell r="H17243">
            <v>0.2</v>
          </cell>
          <cell r="I17243">
            <v>41331</v>
          </cell>
          <cell r="J17243">
            <v>8266</v>
          </cell>
        </row>
        <row r="17244">
          <cell r="B17244" t="str">
            <v>B01</v>
          </cell>
          <cell r="C17244" t="str">
            <v xml:space="preserve">ARENA DE PEÑA </v>
          </cell>
          <cell r="F17244" t="str">
            <v>Insumo</v>
          </cell>
          <cell r="G17244" t="str">
            <v>m3</v>
          </cell>
          <cell r="H17244">
            <v>0.72</v>
          </cell>
          <cell r="I17244">
            <v>77979</v>
          </cell>
          <cell r="J17244">
            <v>56145</v>
          </cell>
        </row>
        <row r="17245">
          <cell r="B17245" t="str">
            <v>B02</v>
          </cell>
          <cell r="C17245" t="str">
            <v>GRAVILLA COMUN DE RIO</v>
          </cell>
          <cell r="F17245" t="str">
            <v>Insumo</v>
          </cell>
          <cell r="G17245" t="str">
            <v>m3</v>
          </cell>
          <cell r="H17245">
            <v>0.72</v>
          </cell>
          <cell r="I17245">
            <v>111398</v>
          </cell>
          <cell r="J17245">
            <v>80207</v>
          </cell>
        </row>
        <row r="17246">
          <cell r="B17246" t="str">
            <v>O16</v>
          </cell>
          <cell r="C17246" t="str">
            <v>SIKA-1 IMPERMEABILIZANTE INTEGRAL MORTEROS O SIMILAR.</v>
          </cell>
          <cell r="F17246" t="str">
            <v>Insumo</v>
          </cell>
          <cell r="G17246" t="str">
            <v>kg</v>
          </cell>
          <cell r="H17246">
            <v>1.75</v>
          </cell>
          <cell r="I17246">
            <v>12124</v>
          </cell>
          <cell r="J17246">
            <v>21217</v>
          </cell>
        </row>
        <row r="17247">
          <cell r="B17247" t="str">
            <v>G1</v>
          </cell>
          <cell r="C17247" t="str">
            <v>ACPM</v>
          </cell>
          <cell r="F17247" t="str">
            <v>Insumo</v>
          </cell>
          <cell r="G17247" t="str">
            <v>gal</v>
          </cell>
          <cell r="H17247">
            <v>0.5</v>
          </cell>
          <cell r="I17247">
            <v>15270</v>
          </cell>
          <cell r="J17247">
            <v>7635</v>
          </cell>
        </row>
        <row r="17249">
          <cell r="B17249" t="str">
            <v>H27</v>
          </cell>
          <cell r="C17249" t="str">
            <v>CONCRETO 3000 psi - 21 Mpa Impermeabilizado</v>
          </cell>
          <cell r="G17249" t="str">
            <v>m3</v>
          </cell>
          <cell r="J17249">
            <v>529808</v>
          </cell>
        </row>
        <row r="17250">
          <cell r="B17250" t="str">
            <v>B19</v>
          </cell>
          <cell r="C17250" t="str">
            <v>AGUA LITRO</v>
          </cell>
          <cell r="F17250" t="str">
            <v>Insumo</v>
          </cell>
          <cell r="G17250" t="str">
            <v>lt</v>
          </cell>
          <cell r="H17250">
            <v>170</v>
          </cell>
          <cell r="I17250">
            <v>29</v>
          </cell>
          <cell r="J17250">
            <v>4930</v>
          </cell>
        </row>
        <row r="17251">
          <cell r="B17251" t="str">
            <v>H01</v>
          </cell>
          <cell r="C17251" t="str">
            <v>CEMENTO GRIS</v>
          </cell>
          <cell r="F17251" t="str">
            <v>Insumo</v>
          </cell>
          <cell r="G17251" t="str">
            <v>kg</v>
          </cell>
          <cell r="H17251">
            <v>350</v>
          </cell>
          <cell r="I17251">
            <v>856</v>
          </cell>
          <cell r="J17251">
            <v>299600</v>
          </cell>
        </row>
        <row r="17252">
          <cell r="B17252" t="str">
            <v>I51</v>
          </cell>
          <cell r="C17252" t="str">
            <v>CUADRILLA AA TIPO 5 (1 OFICIAL + 5 AYUDANTE) (Albañileria)</v>
          </cell>
          <cell r="F17252" t="str">
            <v>Mano de Obra</v>
          </cell>
          <cell r="G17252" t="str">
            <v>hr</v>
          </cell>
          <cell r="H17252">
            <v>0.79</v>
          </cell>
          <cell r="I17252">
            <v>58813</v>
          </cell>
          <cell r="J17252">
            <v>46462</v>
          </cell>
        </row>
        <row r="17253">
          <cell r="B17253" t="str">
            <v>M09</v>
          </cell>
          <cell r="C17253" t="str">
            <v>MEZCLADORA A GASOLINA 1 SACO</v>
          </cell>
          <cell r="F17253" t="str">
            <v>Equipo</v>
          </cell>
          <cell r="G17253" t="str">
            <v>dia</v>
          </cell>
          <cell r="H17253">
            <v>0.2</v>
          </cell>
          <cell r="I17253">
            <v>41331</v>
          </cell>
          <cell r="J17253">
            <v>8266</v>
          </cell>
        </row>
        <row r="17254">
          <cell r="B17254" t="str">
            <v>B01</v>
          </cell>
          <cell r="C17254" t="str">
            <v xml:space="preserve">ARENA DE PEÑA </v>
          </cell>
          <cell r="F17254" t="str">
            <v>Insumo</v>
          </cell>
          <cell r="G17254" t="str">
            <v>m3</v>
          </cell>
          <cell r="H17254">
            <v>0.56000000000000005</v>
          </cell>
          <cell r="I17254">
            <v>77979</v>
          </cell>
          <cell r="J17254">
            <v>43668</v>
          </cell>
        </row>
        <row r="17255">
          <cell r="B17255" t="str">
            <v>B02</v>
          </cell>
          <cell r="C17255" t="str">
            <v>GRAVILLA COMUN DE RIO</v>
          </cell>
          <cell r="F17255" t="str">
            <v>Insumo</v>
          </cell>
          <cell r="G17255" t="str">
            <v>m3</v>
          </cell>
          <cell r="H17255">
            <v>0.88</v>
          </cell>
          <cell r="I17255">
            <v>111398</v>
          </cell>
          <cell r="J17255">
            <v>98030</v>
          </cell>
        </row>
        <row r="17256">
          <cell r="B17256" t="str">
            <v>O16</v>
          </cell>
          <cell r="C17256" t="str">
            <v>SIKA-1 IMPERMEABILIZANTE INTEGRAL MORTEROS O SIMILAR.</v>
          </cell>
          <cell r="F17256" t="str">
            <v>Insumo</v>
          </cell>
          <cell r="G17256" t="str">
            <v>kg</v>
          </cell>
          <cell r="H17256">
            <v>1.75</v>
          </cell>
          <cell r="I17256">
            <v>12124</v>
          </cell>
          <cell r="J17256">
            <v>21217</v>
          </cell>
        </row>
        <row r="17257">
          <cell r="B17257" t="str">
            <v>G1</v>
          </cell>
          <cell r="C17257" t="str">
            <v>ACPM</v>
          </cell>
          <cell r="F17257" t="str">
            <v>Insumo</v>
          </cell>
          <cell r="G17257" t="str">
            <v>gal</v>
          </cell>
          <cell r="H17257">
            <v>0.5</v>
          </cell>
          <cell r="I17257">
            <v>15270</v>
          </cell>
          <cell r="J17257">
            <v>7635</v>
          </cell>
        </row>
        <row r="17259">
          <cell r="B17259" t="str">
            <v>H28</v>
          </cell>
          <cell r="C17259" t="str">
            <v>CONCRETO 3500 psi - 24.5 Mpa Impermeabilizado</v>
          </cell>
          <cell r="G17259" t="str">
            <v>m3</v>
          </cell>
          <cell r="J17259">
            <v>575203</v>
          </cell>
        </row>
        <row r="17260">
          <cell r="B17260" t="str">
            <v>B19</v>
          </cell>
          <cell r="C17260" t="str">
            <v>AGUA LITRO</v>
          </cell>
          <cell r="F17260" t="str">
            <v>Insumo</v>
          </cell>
          <cell r="G17260" t="str">
            <v>lt</v>
          </cell>
          <cell r="H17260">
            <v>180</v>
          </cell>
          <cell r="I17260">
            <v>29</v>
          </cell>
          <cell r="J17260">
            <v>5220</v>
          </cell>
        </row>
        <row r="17261">
          <cell r="B17261" t="str">
            <v>H01</v>
          </cell>
          <cell r="C17261" t="str">
            <v>CEMENTO GRIS</v>
          </cell>
          <cell r="F17261" t="str">
            <v>Insumo</v>
          </cell>
          <cell r="G17261" t="str">
            <v>kg</v>
          </cell>
          <cell r="H17261">
            <v>420</v>
          </cell>
          <cell r="I17261">
            <v>856</v>
          </cell>
          <cell r="J17261">
            <v>359520</v>
          </cell>
        </row>
        <row r="17262">
          <cell r="B17262" t="str">
            <v>I51</v>
          </cell>
          <cell r="C17262" t="str">
            <v>CUADRILLA AA TIPO 5 (1 OFICIAL + 5 AYUDANTE) (Albañileria)</v>
          </cell>
          <cell r="F17262" t="str">
            <v>Mano de Obra</v>
          </cell>
          <cell r="G17262" t="str">
            <v>hr</v>
          </cell>
          <cell r="H17262">
            <v>0.79</v>
          </cell>
          <cell r="I17262">
            <v>58813</v>
          </cell>
          <cell r="J17262">
            <v>46462</v>
          </cell>
        </row>
        <row r="17263">
          <cell r="B17263" t="str">
            <v>M09</v>
          </cell>
          <cell r="C17263" t="str">
            <v>MEZCLADORA A GASOLINA 1 SACO</v>
          </cell>
          <cell r="F17263" t="str">
            <v>Equipo</v>
          </cell>
          <cell r="G17263" t="str">
            <v>dia</v>
          </cell>
          <cell r="H17263">
            <v>0.2</v>
          </cell>
          <cell r="I17263">
            <v>41331</v>
          </cell>
          <cell r="J17263">
            <v>8266</v>
          </cell>
        </row>
        <row r="17264">
          <cell r="B17264" t="str">
            <v>B01</v>
          </cell>
          <cell r="C17264" t="str">
            <v xml:space="preserve">ARENA DE PEÑA </v>
          </cell>
          <cell r="F17264" t="str">
            <v>Insumo</v>
          </cell>
          <cell r="G17264" t="str">
            <v>m3</v>
          </cell>
          <cell r="H17264">
            <v>0.67</v>
          </cell>
          <cell r="I17264">
            <v>77979</v>
          </cell>
          <cell r="J17264">
            <v>52246</v>
          </cell>
        </row>
        <row r="17265">
          <cell r="B17265" t="str">
            <v>B02</v>
          </cell>
          <cell r="C17265" t="str">
            <v>GRAVILLA COMUN DE RIO</v>
          </cell>
          <cell r="F17265" t="str">
            <v>Insumo</v>
          </cell>
          <cell r="G17265" t="str">
            <v>m3</v>
          </cell>
          <cell r="H17265">
            <v>0.67</v>
          </cell>
          <cell r="I17265">
            <v>111398</v>
          </cell>
          <cell r="J17265">
            <v>74637</v>
          </cell>
        </row>
        <row r="17266">
          <cell r="B17266" t="str">
            <v>O16</v>
          </cell>
          <cell r="C17266" t="str">
            <v>SIKA-1 IMPERMEABILIZANTE INTEGRAL MORTEROS O SIMILAR.</v>
          </cell>
          <cell r="F17266" t="str">
            <v>Insumo</v>
          </cell>
          <cell r="G17266" t="str">
            <v>kg</v>
          </cell>
          <cell r="H17266">
            <v>1.75</v>
          </cell>
          <cell r="I17266">
            <v>12124</v>
          </cell>
          <cell r="J17266">
            <v>21217</v>
          </cell>
        </row>
        <row r="17267">
          <cell r="B17267" t="str">
            <v>G1</v>
          </cell>
          <cell r="C17267" t="str">
            <v>ACPM</v>
          </cell>
          <cell r="F17267" t="str">
            <v>Insumo</v>
          </cell>
          <cell r="G17267" t="str">
            <v>gal</v>
          </cell>
          <cell r="H17267">
            <v>0.5</v>
          </cell>
          <cell r="I17267">
            <v>15270</v>
          </cell>
          <cell r="J17267">
            <v>7635</v>
          </cell>
        </row>
        <row r="17269">
          <cell r="B17269" t="str">
            <v>H29</v>
          </cell>
          <cell r="C17269" t="str">
            <v>CONCRETO 4000 psi - 28 Mpa Impermeabilizado</v>
          </cell>
          <cell r="G17269" t="str">
            <v>m3</v>
          </cell>
          <cell r="J17269">
            <v>592015</v>
          </cell>
        </row>
        <row r="17270">
          <cell r="B17270" t="str">
            <v>B19</v>
          </cell>
          <cell r="C17270" t="str">
            <v>AGUA LITRO</v>
          </cell>
          <cell r="F17270" t="str">
            <v>Insumo</v>
          </cell>
          <cell r="G17270" t="str">
            <v>lt</v>
          </cell>
          <cell r="H17270">
            <v>170</v>
          </cell>
          <cell r="I17270">
            <v>29</v>
          </cell>
          <cell r="J17270">
            <v>4930</v>
          </cell>
        </row>
        <row r="17271">
          <cell r="B17271" t="str">
            <v>H01</v>
          </cell>
          <cell r="C17271" t="str">
            <v>CEMENTO GRIS</v>
          </cell>
          <cell r="F17271" t="str">
            <v>Insumo</v>
          </cell>
          <cell r="G17271" t="str">
            <v>kg</v>
          </cell>
          <cell r="H17271">
            <v>450</v>
          </cell>
          <cell r="I17271">
            <v>856</v>
          </cell>
          <cell r="J17271">
            <v>385200</v>
          </cell>
        </row>
        <row r="17272">
          <cell r="B17272" t="str">
            <v>I51</v>
          </cell>
          <cell r="C17272" t="str">
            <v>CUADRILLA AA TIPO 5 (1 OFICIAL + 5 AYUDANTE) (Albañileria)</v>
          </cell>
          <cell r="F17272" t="str">
            <v>Mano de Obra</v>
          </cell>
          <cell r="G17272" t="str">
            <v>hr</v>
          </cell>
          <cell r="H17272">
            <v>0.79</v>
          </cell>
          <cell r="I17272">
            <v>58813</v>
          </cell>
          <cell r="J17272">
            <v>46462</v>
          </cell>
        </row>
        <row r="17273">
          <cell r="B17273" t="str">
            <v>M09</v>
          </cell>
          <cell r="C17273" t="str">
            <v>MEZCLADORA A GASOLINA 1 SACO</v>
          </cell>
          <cell r="F17273" t="str">
            <v>Equipo</v>
          </cell>
          <cell r="G17273" t="str">
            <v>dia</v>
          </cell>
          <cell r="H17273">
            <v>0.2</v>
          </cell>
          <cell r="I17273">
            <v>41331</v>
          </cell>
          <cell r="J17273">
            <v>8266</v>
          </cell>
        </row>
        <row r="17274">
          <cell r="B17274" t="str">
            <v>B01</v>
          </cell>
          <cell r="C17274" t="str">
            <v xml:space="preserve">ARENA DE PEÑA </v>
          </cell>
          <cell r="F17274" t="str">
            <v>Insumo</v>
          </cell>
          <cell r="G17274" t="str">
            <v>m3</v>
          </cell>
          <cell r="H17274">
            <v>0.56000000000000005</v>
          </cell>
          <cell r="I17274">
            <v>77979</v>
          </cell>
          <cell r="J17274">
            <v>43668</v>
          </cell>
        </row>
        <row r="17275">
          <cell r="B17275" t="str">
            <v>B02</v>
          </cell>
          <cell r="C17275" t="str">
            <v>GRAVILLA COMUN DE RIO</v>
          </cell>
          <cell r="F17275" t="str">
            <v>Insumo</v>
          </cell>
          <cell r="G17275" t="str">
            <v>m3</v>
          </cell>
          <cell r="H17275">
            <v>0.67</v>
          </cell>
          <cell r="I17275">
            <v>111398</v>
          </cell>
          <cell r="J17275">
            <v>74637</v>
          </cell>
        </row>
        <row r="17276">
          <cell r="B17276" t="str">
            <v>O16</v>
          </cell>
          <cell r="C17276" t="str">
            <v>SIKA-1 IMPERMEABILIZANTE INTEGRAL MORTEROS O SIMILAR.</v>
          </cell>
          <cell r="F17276" t="str">
            <v>Insumo</v>
          </cell>
          <cell r="G17276" t="str">
            <v>kg</v>
          </cell>
          <cell r="H17276">
            <v>1.75</v>
          </cell>
          <cell r="I17276">
            <v>12124</v>
          </cell>
          <cell r="J17276">
            <v>21217</v>
          </cell>
        </row>
        <row r="17277">
          <cell r="B17277" t="str">
            <v>G1</v>
          </cell>
          <cell r="C17277" t="str">
            <v>ACPM</v>
          </cell>
          <cell r="F17277" t="str">
            <v>Insumo</v>
          </cell>
          <cell r="G17277" t="str">
            <v>gal</v>
          </cell>
          <cell r="H17277">
            <v>0.5</v>
          </cell>
          <cell r="I17277">
            <v>15270</v>
          </cell>
          <cell r="J17277">
            <v>7635</v>
          </cell>
        </row>
        <row r="17279">
          <cell r="B17279" t="str">
            <v>H33</v>
          </cell>
          <cell r="C17279" t="str">
            <v>CONCRETO 5000 psi - 35 Mpa Impermeabilizado</v>
          </cell>
          <cell r="G17279" t="str">
            <v>m3</v>
          </cell>
          <cell r="J17279">
            <v>677905</v>
          </cell>
        </row>
        <row r="17280">
          <cell r="B17280" t="str">
            <v>B19</v>
          </cell>
          <cell r="C17280" t="str">
            <v>AGUA LITRO</v>
          </cell>
          <cell r="F17280" t="str">
            <v>Insumo</v>
          </cell>
          <cell r="G17280" t="str">
            <v>lt</v>
          </cell>
          <cell r="H17280">
            <v>180</v>
          </cell>
          <cell r="I17280">
            <v>29</v>
          </cell>
          <cell r="J17280">
            <v>5220</v>
          </cell>
        </row>
        <row r="17281">
          <cell r="B17281" t="str">
            <v>H01</v>
          </cell>
          <cell r="C17281" t="str">
            <v>CEMENTO GRIS</v>
          </cell>
          <cell r="F17281" t="str">
            <v>Insumo</v>
          </cell>
          <cell r="G17281" t="str">
            <v>kg</v>
          </cell>
          <cell r="H17281">
            <v>550</v>
          </cell>
          <cell r="I17281">
            <v>856</v>
          </cell>
          <cell r="J17281">
            <v>470800</v>
          </cell>
        </row>
        <row r="17282">
          <cell r="B17282" t="str">
            <v>I51</v>
          </cell>
          <cell r="C17282" t="str">
            <v>CUADRILLA AA TIPO 5 (1 OFICIAL + 5 AYUDANTE) (Albañileria)</v>
          </cell>
          <cell r="F17282" t="str">
            <v>Mano de Obra</v>
          </cell>
          <cell r="G17282" t="str">
            <v>hr</v>
          </cell>
          <cell r="H17282">
            <v>0.79</v>
          </cell>
          <cell r="I17282">
            <v>58813</v>
          </cell>
          <cell r="J17282">
            <v>46462</v>
          </cell>
        </row>
        <row r="17283">
          <cell r="B17283" t="str">
            <v>M09</v>
          </cell>
          <cell r="C17283" t="str">
            <v>MEZCLADORA A GASOLINA 1 SACO</v>
          </cell>
          <cell r="F17283" t="str">
            <v>Equipo</v>
          </cell>
          <cell r="G17283" t="str">
            <v>dia</v>
          </cell>
          <cell r="H17283">
            <v>0.2</v>
          </cell>
          <cell r="I17283">
            <v>41331</v>
          </cell>
          <cell r="J17283">
            <v>8266</v>
          </cell>
        </row>
        <row r="17284">
          <cell r="B17284" t="str">
            <v>B01</v>
          </cell>
          <cell r="C17284" t="str">
            <v xml:space="preserve">ARENA DE PEÑA </v>
          </cell>
          <cell r="F17284" t="str">
            <v>Insumo</v>
          </cell>
          <cell r="G17284" t="str">
            <v>m3</v>
          </cell>
          <cell r="H17284">
            <v>0.56000000000000005</v>
          </cell>
          <cell r="I17284">
            <v>77979</v>
          </cell>
          <cell r="J17284">
            <v>43668</v>
          </cell>
        </row>
        <row r="17285">
          <cell r="B17285" t="str">
            <v>B02</v>
          </cell>
          <cell r="C17285" t="str">
            <v>GRAVILLA COMUN DE RIO</v>
          </cell>
          <cell r="F17285" t="str">
            <v>Insumo</v>
          </cell>
          <cell r="G17285" t="str">
            <v>m3</v>
          </cell>
          <cell r="H17285">
            <v>0.67</v>
          </cell>
          <cell r="I17285">
            <v>111398</v>
          </cell>
          <cell r="J17285">
            <v>74637</v>
          </cell>
        </row>
        <row r="17286">
          <cell r="B17286" t="str">
            <v>O16</v>
          </cell>
          <cell r="C17286" t="str">
            <v>SIKA-1 IMPERMEABILIZANTE INTEGRAL MORTEROS O SIMILAR.</v>
          </cell>
          <cell r="F17286" t="str">
            <v>Insumo</v>
          </cell>
          <cell r="G17286" t="str">
            <v>kg</v>
          </cell>
          <cell r="H17286">
            <v>1.75</v>
          </cell>
          <cell r="I17286">
            <v>12124</v>
          </cell>
          <cell r="J17286">
            <v>21217</v>
          </cell>
        </row>
        <row r="17287">
          <cell r="B17287" t="str">
            <v>G1</v>
          </cell>
          <cell r="C17287" t="str">
            <v>ACPM</v>
          </cell>
          <cell r="F17287" t="str">
            <v>Insumo</v>
          </cell>
          <cell r="G17287" t="str">
            <v>gal</v>
          </cell>
          <cell r="H17287">
            <v>0.5</v>
          </cell>
          <cell r="I17287">
            <v>15270</v>
          </cell>
          <cell r="J17287">
            <v>7635</v>
          </cell>
        </row>
        <row r="17289">
          <cell r="B17289" t="str">
            <v>H31</v>
          </cell>
          <cell r="C17289" t="str">
            <v>CONCRETO MR 42 kg/cm2</v>
          </cell>
          <cell r="G17289" t="str">
            <v>m3</v>
          </cell>
          <cell r="J17289">
            <v>524116</v>
          </cell>
        </row>
        <row r="17290">
          <cell r="B17290" t="str">
            <v>B19</v>
          </cell>
          <cell r="C17290" t="str">
            <v>AGUA LITRO</v>
          </cell>
          <cell r="F17290" t="str">
            <v>Insumo</v>
          </cell>
          <cell r="G17290" t="str">
            <v>lt</v>
          </cell>
          <cell r="H17290">
            <v>170</v>
          </cell>
          <cell r="I17290">
            <v>29</v>
          </cell>
          <cell r="J17290">
            <v>4930</v>
          </cell>
        </row>
        <row r="17291">
          <cell r="B17291" t="str">
            <v>H01</v>
          </cell>
          <cell r="C17291" t="str">
            <v>CEMENTO GRIS</v>
          </cell>
          <cell r="F17291" t="str">
            <v>Insumo</v>
          </cell>
          <cell r="G17291" t="str">
            <v>kg</v>
          </cell>
          <cell r="H17291">
            <v>390</v>
          </cell>
          <cell r="I17291">
            <v>856</v>
          </cell>
          <cell r="J17291">
            <v>333840</v>
          </cell>
        </row>
        <row r="17292">
          <cell r="B17292" t="str">
            <v>I51</v>
          </cell>
          <cell r="C17292" t="str">
            <v>CUADRILLA AA TIPO 5 (1 OFICIAL + 5 AYUDANTE) (Albañileria)</v>
          </cell>
          <cell r="F17292" t="str">
            <v>Mano de Obra</v>
          </cell>
          <cell r="G17292" t="str">
            <v>hr</v>
          </cell>
          <cell r="H17292">
            <v>0.79</v>
          </cell>
          <cell r="I17292">
            <v>58813</v>
          </cell>
          <cell r="J17292">
            <v>46462</v>
          </cell>
        </row>
        <row r="17293">
          <cell r="B17293" t="str">
            <v>M09</v>
          </cell>
          <cell r="C17293" t="str">
            <v>MEZCLADORA A GASOLINA 1 SACO</v>
          </cell>
          <cell r="F17293" t="str">
            <v>Equipo</v>
          </cell>
          <cell r="G17293" t="str">
            <v>dia</v>
          </cell>
          <cell r="H17293">
            <v>0.2</v>
          </cell>
          <cell r="I17293">
            <v>41331</v>
          </cell>
          <cell r="J17293">
            <v>8266</v>
          </cell>
        </row>
        <row r="17294">
          <cell r="B17294" t="str">
            <v>B01</v>
          </cell>
          <cell r="C17294" t="str">
            <v xml:space="preserve">ARENA DE PEÑA </v>
          </cell>
          <cell r="F17294" t="str">
            <v>Insumo</v>
          </cell>
          <cell r="G17294" t="str">
            <v>m3</v>
          </cell>
          <cell r="H17294">
            <v>0.42</v>
          </cell>
          <cell r="I17294">
            <v>77979</v>
          </cell>
          <cell r="J17294">
            <v>32751</v>
          </cell>
        </row>
        <row r="17295">
          <cell r="B17295" t="str">
            <v>B02</v>
          </cell>
          <cell r="C17295" t="str">
            <v>GRAVILLA COMUN DE RIO</v>
          </cell>
          <cell r="F17295" t="str">
            <v>Insumo</v>
          </cell>
          <cell r="G17295" t="str">
            <v>m3</v>
          </cell>
          <cell r="H17295">
            <v>0.81</v>
          </cell>
          <cell r="I17295">
            <v>111398</v>
          </cell>
          <cell r="J17295">
            <v>90232</v>
          </cell>
        </row>
        <row r="17296">
          <cell r="B17296" t="str">
            <v>G1</v>
          </cell>
          <cell r="C17296" t="str">
            <v>ACPM</v>
          </cell>
          <cell r="F17296" t="str">
            <v>Insumo</v>
          </cell>
          <cell r="G17296" t="str">
            <v>gal</v>
          </cell>
          <cell r="H17296">
            <v>0.5</v>
          </cell>
          <cell r="I17296">
            <v>15270</v>
          </cell>
          <cell r="J17296">
            <v>7635</v>
          </cell>
        </row>
        <row r="17298">
          <cell r="B17298" t="str">
            <v>H32</v>
          </cell>
          <cell r="C17298" t="str">
            <v>CONCRETO MR 45 kg/cm2</v>
          </cell>
          <cell r="G17298" t="str">
            <v>m3</v>
          </cell>
          <cell r="J17298">
            <v>537630</v>
          </cell>
        </row>
        <row r="17299">
          <cell r="B17299" t="str">
            <v>B19</v>
          </cell>
          <cell r="C17299" t="str">
            <v>AGUA LITRO</v>
          </cell>
          <cell r="F17299" t="str">
            <v>Insumo</v>
          </cell>
          <cell r="G17299" t="str">
            <v>lt</v>
          </cell>
          <cell r="H17299">
            <v>170</v>
          </cell>
          <cell r="I17299">
            <v>29</v>
          </cell>
          <cell r="J17299">
            <v>4930</v>
          </cell>
        </row>
        <row r="17300">
          <cell r="B17300" t="str">
            <v>H01</v>
          </cell>
          <cell r="C17300" t="str">
            <v>CEMENTO GRIS</v>
          </cell>
          <cell r="F17300" t="str">
            <v>Insumo</v>
          </cell>
          <cell r="G17300" t="str">
            <v>kg</v>
          </cell>
          <cell r="H17300">
            <v>408</v>
          </cell>
          <cell r="I17300">
            <v>856</v>
          </cell>
          <cell r="J17300">
            <v>349248</v>
          </cell>
        </row>
        <row r="17301">
          <cell r="B17301" t="str">
            <v>I51</v>
          </cell>
          <cell r="C17301" t="str">
            <v>CUADRILLA AA TIPO 5 (1 OFICIAL + 5 AYUDANTE) (Albañileria)</v>
          </cell>
          <cell r="F17301" t="str">
            <v>Mano de Obra</v>
          </cell>
          <cell r="G17301" t="str">
            <v>hr</v>
          </cell>
          <cell r="H17301">
            <v>0.79</v>
          </cell>
          <cell r="I17301">
            <v>58813</v>
          </cell>
          <cell r="J17301">
            <v>46462</v>
          </cell>
        </row>
        <row r="17302">
          <cell r="B17302" t="str">
            <v>M09</v>
          </cell>
          <cell r="C17302" t="str">
            <v>MEZCLADORA A GASOLINA 1 SACO</v>
          </cell>
          <cell r="F17302" t="str">
            <v>Equipo</v>
          </cell>
          <cell r="G17302" t="str">
            <v>dia</v>
          </cell>
          <cell r="H17302">
            <v>0.2</v>
          </cell>
          <cell r="I17302">
            <v>41331</v>
          </cell>
          <cell r="J17302">
            <v>8266</v>
          </cell>
        </row>
        <row r="17303">
          <cell r="B17303" t="str">
            <v>B01</v>
          </cell>
          <cell r="C17303" t="str">
            <v xml:space="preserve">ARENA DE PEÑA </v>
          </cell>
          <cell r="F17303" t="str">
            <v>Insumo</v>
          </cell>
          <cell r="G17303" t="str">
            <v>m3</v>
          </cell>
          <cell r="H17303">
            <v>0.41</v>
          </cell>
          <cell r="I17303">
            <v>77979</v>
          </cell>
          <cell r="J17303">
            <v>31971</v>
          </cell>
        </row>
        <row r="17304">
          <cell r="B17304" t="str">
            <v>B02</v>
          </cell>
          <cell r="C17304" t="str">
            <v>GRAVILLA COMUN DE RIO</v>
          </cell>
          <cell r="F17304" t="str">
            <v>Insumo</v>
          </cell>
          <cell r="G17304" t="str">
            <v>m3</v>
          </cell>
          <cell r="H17304">
            <v>0.8</v>
          </cell>
          <cell r="I17304">
            <v>111398</v>
          </cell>
          <cell r="J17304">
            <v>89118</v>
          </cell>
        </row>
        <row r="17305">
          <cell r="B17305" t="str">
            <v>G1</v>
          </cell>
          <cell r="C17305" t="str">
            <v>ACPM</v>
          </cell>
          <cell r="F17305" t="str">
            <v>Insumo</v>
          </cell>
          <cell r="G17305" t="str">
            <v>gal</v>
          </cell>
          <cell r="H17305">
            <v>0.5</v>
          </cell>
          <cell r="I17305">
            <v>15270</v>
          </cell>
          <cell r="J17305">
            <v>7635</v>
          </cell>
        </row>
        <row r="17307">
          <cell r="B17307" t="str">
            <v>H35</v>
          </cell>
          <cell r="C17307" t="str">
            <v>MORTERO 1:2</v>
          </cell>
          <cell r="G17307" t="str">
            <v>m3</v>
          </cell>
          <cell r="J17307">
            <v>665848</v>
          </cell>
        </row>
        <row r="17308">
          <cell r="B17308" t="str">
            <v>B19</v>
          </cell>
          <cell r="C17308" t="str">
            <v>AGUA LITRO</v>
          </cell>
          <cell r="F17308" t="str">
            <v>Insumo</v>
          </cell>
          <cell r="G17308" t="str">
            <v>lt</v>
          </cell>
          <cell r="H17308">
            <v>190</v>
          </cell>
          <cell r="I17308">
            <v>29</v>
          </cell>
          <cell r="J17308">
            <v>5510</v>
          </cell>
        </row>
        <row r="17309">
          <cell r="B17309" t="str">
            <v>H01</v>
          </cell>
          <cell r="C17309" t="str">
            <v>CEMENTO GRIS</v>
          </cell>
          <cell r="F17309" t="str">
            <v>Insumo</v>
          </cell>
          <cell r="G17309" t="str">
            <v>kg</v>
          </cell>
          <cell r="H17309">
            <v>610</v>
          </cell>
          <cell r="I17309">
            <v>856</v>
          </cell>
          <cell r="J17309">
            <v>522160</v>
          </cell>
        </row>
        <row r="17310">
          <cell r="B17310" t="str">
            <v>M03</v>
          </cell>
          <cell r="C17310" t="str">
            <v>EQUIPO BASICO ( HERRAMIENTA MENOR )</v>
          </cell>
          <cell r="F17310" t="str">
            <v>Herramienta</v>
          </cell>
          <cell r="G17310" t="str">
            <v>und</v>
          </cell>
          <cell r="H17310">
            <v>0.05</v>
          </cell>
          <cell r="I17310">
            <v>3501</v>
          </cell>
          <cell r="J17310">
            <v>175</v>
          </cell>
        </row>
        <row r="17311">
          <cell r="B17311" t="str">
            <v>I51</v>
          </cell>
          <cell r="C17311" t="str">
            <v>CUADRILLA AA TIPO 5 (1 OFICIAL + 5 AYUDANTE) (Albañileria)</v>
          </cell>
          <cell r="F17311" t="str">
            <v>Mano de Obra</v>
          </cell>
          <cell r="G17311" t="str">
            <v>hr</v>
          </cell>
          <cell r="H17311">
            <v>0.79</v>
          </cell>
          <cell r="I17311">
            <v>58813</v>
          </cell>
          <cell r="J17311">
            <v>46462</v>
          </cell>
        </row>
        <row r="17312">
          <cell r="B17312" t="str">
            <v>M09</v>
          </cell>
          <cell r="C17312" t="str">
            <v>MEZCLADORA A GASOLINA 1 SACO</v>
          </cell>
          <cell r="F17312" t="str">
            <v>Equipo</v>
          </cell>
          <cell r="G17312" t="str">
            <v>dia</v>
          </cell>
          <cell r="H17312">
            <v>0.2</v>
          </cell>
          <cell r="I17312">
            <v>41331</v>
          </cell>
          <cell r="J17312">
            <v>8266</v>
          </cell>
        </row>
        <row r="17313">
          <cell r="B17313" t="str">
            <v>B01</v>
          </cell>
          <cell r="C17313" t="str">
            <v xml:space="preserve">ARENA DE PEÑA </v>
          </cell>
          <cell r="F17313" t="str">
            <v>Insumo</v>
          </cell>
          <cell r="G17313" t="str">
            <v>m3</v>
          </cell>
          <cell r="H17313">
            <v>0.97</v>
          </cell>
          <cell r="I17313">
            <v>77979</v>
          </cell>
          <cell r="J17313">
            <v>75640</v>
          </cell>
        </row>
        <row r="17314">
          <cell r="B17314" t="str">
            <v>G1</v>
          </cell>
          <cell r="C17314" t="str">
            <v>ACPM</v>
          </cell>
          <cell r="F17314" t="str">
            <v>Insumo</v>
          </cell>
          <cell r="G17314" t="str">
            <v>gal</v>
          </cell>
          <cell r="H17314">
            <v>0.5</v>
          </cell>
          <cell r="I17314">
            <v>15270</v>
          </cell>
          <cell r="J17314">
            <v>7635</v>
          </cell>
        </row>
        <row r="17316">
          <cell r="B17316" t="str">
            <v>H36</v>
          </cell>
          <cell r="C17316" t="str">
            <v>SUMINISTRO, TRANSPORTE E INSTALACION DE MORTERO 1:3</v>
          </cell>
          <cell r="G17316" t="str">
            <v>m3</v>
          </cell>
          <cell r="J17316">
            <v>541669</v>
          </cell>
        </row>
        <row r="17317">
          <cell r="B17317" t="str">
            <v>B19</v>
          </cell>
          <cell r="C17317" t="str">
            <v>AGUA LITRO</v>
          </cell>
          <cell r="F17317" t="str">
            <v>Insumo</v>
          </cell>
          <cell r="G17317" t="str">
            <v>lt</v>
          </cell>
          <cell r="H17317">
            <v>190</v>
          </cell>
          <cell r="I17317">
            <v>29</v>
          </cell>
          <cell r="J17317">
            <v>5510</v>
          </cell>
        </row>
        <row r="17318">
          <cell r="B17318" t="str">
            <v>H01</v>
          </cell>
          <cell r="C17318" t="str">
            <v>CEMENTO GRIS</v>
          </cell>
          <cell r="F17318" t="str">
            <v>Insumo</v>
          </cell>
          <cell r="G17318" t="str">
            <v>kg</v>
          </cell>
          <cell r="H17318">
            <v>454</v>
          </cell>
          <cell r="I17318">
            <v>856</v>
          </cell>
          <cell r="J17318">
            <v>388624</v>
          </cell>
        </row>
        <row r="17319">
          <cell r="B17319" t="str">
            <v>M03</v>
          </cell>
          <cell r="C17319" t="str">
            <v>EQUIPO BASICO ( HERRAMIENTA MENOR )</v>
          </cell>
          <cell r="F17319" t="str">
            <v>Herramienta</v>
          </cell>
          <cell r="G17319" t="str">
            <v>und</v>
          </cell>
          <cell r="H17319">
            <v>0.05</v>
          </cell>
          <cell r="I17319">
            <v>3501</v>
          </cell>
          <cell r="J17319">
            <v>175</v>
          </cell>
        </row>
        <row r="17320">
          <cell r="B17320" t="str">
            <v>I51</v>
          </cell>
          <cell r="C17320" t="str">
            <v>CUADRILLA AA TIPO 5 (1 OFICIAL + 5 AYUDANTE) (Albañileria)</v>
          </cell>
          <cell r="F17320" t="str">
            <v>Mano de Obra</v>
          </cell>
          <cell r="G17320" t="str">
            <v>hr</v>
          </cell>
          <cell r="H17320">
            <v>0.79</v>
          </cell>
          <cell r="I17320">
            <v>58813</v>
          </cell>
          <cell r="J17320">
            <v>46462</v>
          </cell>
        </row>
        <row r="17321">
          <cell r="B17321" t="str">
            <v>M09</v>
          </cell>
          <cell r="C17321" t="str">
            <v>MEZCLADORA A GASOLINA 1 SACO</v>
          </cell>
          <cell r="F17321" t="str">
            <v>Equipo</v>
          </cell>
          <cell r="G17321" t="str">
            <v>dia</v>
          </cell>
          <cell r="H17321">
            <v>0.2</v>
          </cell>
          <cell r="I17321">
            <v>41331</v>
          </cell>
          <cell r="J17321">
            <v>8266</v>
          </cell>
        </row>
        <row r="17322">
          <cell r="B17322" t="str">
            <v>B01</v>
          </cell>
          <cell r="C17322" t="str">
            <v xml:space="preserve">ARENA DE PEÑA </v>
          </cell>
          <cell r="F17322" t="str">
            <v>Insumo</v>
          </cell>
          <cell r="G17322" t="str">
            <v>m3</v>
          </cell>
          <cell r="H17322">
            <v>1.0900000000000001</v>
          </cell>
          <cell r="I17322">
            <v>77979</v>
          </cell>
          <cell r="J17322">
            <v>84997</v>
          </cell>
        </row>
        <row r="17323">
          <cell r="B17323" t="str">
            <v>G1</v>
          </cell>
          <cell r="C17323" t="str">
            <v>ACPM</v>
          </cell>
          <cell r="F17323" t="str">
            <v>Insumo</v>
          </cell>
          <cell r="G17323" t="str">
            <v>gal</v>
          </cell>
          <cell r="H17323">
            <v>0.5</v>
          </cell>
          <cell r="I17323">
            <v>15270</v>
          </cell>
          <cell r="J17323">
            <v>7635</v>
          </cell>
        </row>
        <row r="17325">
          <cell r="B17325" t="str">
            <v>H37</v>
          </cell>
          <cell r="C17325" t="str">
            <v>MORTERO 1:4</v>
          </cell>
          <cell r="G17325" t="str">
            <v>m3</v>
          </cell>
          <cell r="J17325">
            <v>470088</v>
          </cell>
        </row>
        <row r="17326">
          <cell r="B17326" t="str">
            <v>B19</v>
          </cell>
          <cell r="C17326" t="str">
            <v>AGUA LITRO</v>
          </cell>
          <cell r="F17326" t="str">
            <v>Insumo</v>
          </cell>
          <cell r="G17326" t="str">
            <v>lt</v>
          </cell>
          <cell r="H17326">
            <v>190</v>
          </cell>
          <cell r="I17326">
            <v>29</v>
          </cell>
          <cell r="J17326">
            <v>5510</v>
          </cell>
        </row>
        <row r="17327">
          <cell r="B17327" t="str">
            <v>H01</v>
          </cell>
          <cell r="C17327" t="str">
            <v>CEMENTO GRIS</v>
          </cell>
          <cell r="F17327" t="str">
            <v>Insumo</v>
          </cell>
          <cell r="G17327" t="str">
            <v>kg</v>
          </cell>
          <cell r="H17327">
            <v>364</v>
          </cell>
          <cell r="I17327">
            <v>856</v>
          </cell>
          <cell r="J17327">
            <v>311584</v>
          </cell>
        </row>
        <row r="17328">
          <cell r="B17328" t="str">
            <v>M03</v>
          </cell>
          <cell r="C17328" t="str">
            <v>EQUIPO BASICO ( HERRAMIENTA MENOR )</v>
          </cell>
          <cell r="F17328" t="str">
            <v>Herramienta</v>
          </cell>
          <cell r="G17328" t="str">
            <v>und</v>
          </cell>
          <cell r="H17328">
            <v>0.05</v>
          </cell>
          <cell r="I17328">
            <v>3501</v>
          </cell>
          <cell r="J17328">
            <v>175</v>
          </cell>
        </row>
        <row r="17329">
          <cell r="B17329" t="str">
            <v>I51</v>
          </cell>
          <cell r="C17329" t="str">
            <v>CUADRILLA AA TIPO 5 (1 OFICIAL + 5 AYUDANTE) (Albañileria)</v>
          </cell>
          <cell r="F17329" t="str">
            <v>Mano de Obra</v>
          </cell>
          <cell r="G17329" t="str">
            <v>hr</v>
          </cell>
          <cell r="H17329">
            <v>0.79</v>
          </cell>
          <cell r="I17329">
            <v>58813</v>
          </cell>
          <cell r="J17329">
            <v>46462</v>
          </cell>
        </row>
        <row r="17330">
          <cell r="B17330" t="str">
            <v>M09</v>
          </cell>
          <cell r="C17330" t="str">
            <v>MEZCLADORA A GASOLINA 1 SACO</v>
          </cell>
          <cell r="F17330" t="str">
            <v>Equipo</v>
          </cell>
          <cell r="G17330" t="str">
            <v>dia</v>
          </cell>
          <cell r="H17330">
            <v>0.2</v>
          </cell>
          <cell r="I17330">
            <v>41331</v>
          </cell>
          <cell r="J17330">
            <v>8266</v>
          </cell>
        </row>
        <row r="17331">
          <cell r="B17331" t="str">
            <v>B01</v>
          </cell>
          <cell r="C17331" t="str">
            <v xml:space="preserve">ARENA DE PEÑA </v>
          </cell>
          <cell r="F17331" t="str">
            <v>Insumo</v>
          </cell>
          <cell r="G17331" t="str">
            <v>m3</v>
          </cell>
          <cell r="H17331">
            <v>1.1599999999999999</v>
          </cell>
          <cell r="I17331">
            <v>77979</v>
          </cell>
          <cell r="J17331">
            <v>90456</v>
          </cell>
        </row>
        <row r="17332">
          <cell r="B17332" t="str">
            <v>G1</v>
          </cell>
          <cell r="C17332" t="str">
            <v>ACPM</v>
          </cell>
          <cell r="F17332" t="str">
            <v>Insumo</v>
          </cell>
          <cell r="G17332" t="str">
            <v>gal</v>
          </cell>
          <cell r="H17332">
            <v>0.5</v>
          </cell>
          <cell r="I17332">
            <v>15270</v>
          </cell>
          <cell r="J17332">
            <v>7635</v>
          </cell>
        </row>
        <row r="17334">
          <cell r="B17334" t="str">
            <v>H38</v>
          </cell>
          <cell r="C17334" t="str">
            <v>MORTERO 1:5</v>
          </cell>
          <cell r="G17334" t="str">
            <v>m3</v>
          </cell>
          <cell r="J17334">
            <v>419265</v>
          </cell>
        </row>
        <row r="17335">
          <cell r="B17335" t="str">
            <v>B19</v>
          </cell>
          <cell r="C17335" t="str">
            <v>AGUA LITRO</v>
          </cell>
          <cell r="F17335" t="str">
            <v>Insumo</v>
          </cell>
          <cell r="G17335" t="str">
            <v>lt</v>
          </cell>
          <cell r="H17335">
            <v>160</v>
          </cell>
          <cell r="I17335">
            <v>29</v>
          </cell>
          <cell r="J17335">
            <v>4640</v>
          </cell>
        </row>
        <row r="17336">
          <cell r="B17336" t="str">
            <v>H01</v>
          </cell>
          <cell r="C17336" t="str">
            <v>CEMENTO GRIS</v>
          </cell>
          <cell r="F17336" t="str">
            <v>Insumo</v>
          </cell>
          <cell r="G17336" t="str">
            <v>kg</v>
          </cell>
          <cell r="H17336">
            <v>302</v>
          </cell>
          <cell r="I17336">
            <v>856</v>
          </cell>
          <cell r="J17336">
            <v>258512</v>
          </cell>
        </row>
        <row r="17337">
          <cell r="B17337" t="str">
            <v>M03</v>
          </cell>
          <cell r="C17337" t="str">
            <v>EQUIPO BASICO ( HERRAMIENTA MENOR )</v>
          </cell>
          <cell r="F17337" t="str">
            <v>Herramienta</v>
          </cell>
          <cell r="G17337" t="str">
            <v>und</v>
          </cell>
          <cell r="H17337">
            <v>0.05</v>
          </cell>
          <cell r="I17337">
            <v>3501</v>
          </cell>
          <cell r="J17337">
            <v>175</v>
          </cell>
        </row>
        <row r="17338">
          <cell r="B17338" t="str">
            <v>I51</v>
          </cell>
          <cell r="C17338" t="str">
            <v>CUADRILLA AA TIPO 5 (1 OFICIAL + 5 AYUDANTE) (Albañileria)</v>
          </cell>
          <cell r="F17338" t="str">
            <v>Mano de Obra</v>
          </cell>
          <cell r="G17338" t="str">
            <v>hr</v>
          </cell>
          <cell r="H17338">
            <v>0.79</v>
          </cell>
          <cell r="I17338">
            <v>58813</v>
          </cell>
          <cell r="J17338">
            <v>46462</v>
          </cell>
        </row>
        <row r="17339">
          <cell r="B17339" t="str">
            <v>M09</v>
          </cell>
          <cell r="C17339" t="str">
            <v>MEZCLADORA A GASOLINA 1 SACO</v>
          </cell>
          <cell r="F17339" t="str">
            <v>Equipo</v>
          </cell>
          <cell r="G17339" t="str">
            <v>dia</v>
          </cell>
          <cell r="H17339">
            <v>0.2</v>
          </cell>
          <cell r="I17339">
            <v>41331</v>
          </cell>
          <cell r="J17339">
            <v>8266</v>
          </cell>
        </row>
        <row r="17340">
          <cell r="B17340" t="str">
            <v>B01</v>
          </cell>
          <cell r="C17340" t="str">
            <v xml:space="preserve">ARENA DE PEÑA </v>
          </cell>
          <cell r="F17340" t="str">
            <v>Insumo</v>
          </cell>
          <cell r="G17340" t="str">
            <v>m3</v>
          </cell>
          <cell r="H17340">
            <v>1.2</v>
          </cell>
          <cell r="I17340">
            <v>77979</v>
          </cell>
          <cell r="J17340">
            <v>93575</v>
          </cell>
        </row>
        <row r="17341">
          <cell r="B17341" t="str">
            <v>G1</v>
          </cell>
          <cell r="C17341" t="str">
            <v>ACPM</v>
          </cell>
          <cell r="F17341" t="str">
            <v>Insumo</v>
          </cell>
          <cell r="G17341" t="str">
            <v>gal</v>
          </cell>
          <cell r="H17341">
            <v>0.5</v>
          </cell>
          <cell r="I17341">
            <v>15270</v>
          </cell>
          <cell r="J17341">
            <v>7635</v>
          </cell>
        </row>
        <row r="17343">
          <cell r="B17343" t="str">
            <v>H39</v>
          </cell>
          <cell r="C17343" t="str">
            <v>CONCRETO MR 41 kg/cm2</v>
          </cell>
          <cell r="G17343" t="str">
            <v>m3</v>
          </cell>
          <cell r="J17343">
            <v>515556</v>
          </cell>
        </row>
        <row r="17344">
          <cell r="B17344" t="str">
            <v>B19</v>
          </cell>
          <cell r="C17344" t="str">
            <v>AGUA LITRO</v>
          </cell>
          <cell r="F17344" t="str">
            <v>Insumo</v>
          </cell>
          <cell r="G17344" t="str">
            <v>lt</v>
          </cell>
          <cell r="H17344">
            <v>170</v>
          </cell>
          <cell r="I17344">
            <v>29</v>
          </cell>
          <cell r="J17344">
            <v>4930</v>
          </cell>
        </row>
        <row r="17345">
          <cell r="B17345" t="str">
            <v>H01</v>
          </cell>
          <cell r="C17345" t="str">
            <v>CEMENTO GRIS</v>
          </cell>
          <cell r="F17345" t="str">
            <v>Insumo</v>
          </cell>
          <cell r="G17345" t="str">
            <v>kg</v>
          </cell>
          <cell r="H17345">
            <v>380</v>
          </cell>
          <cell r="I17345">
            <v>856</v>
          </cell>
          <cell r="J17345">
            <v>325280</v>
          </cell>
        </row>
        <row r="17346">
          <cell r="B17346" t="str">
            <v>I51</v>
          </cell>
          <cell r="C17346" t="str">
            <v>CUADRILLA AA TIPO 5 (1 OFICIAL + 5 AYUDANTE) (Albañileria)</v>
          </cell>
          <cell r="F17346" t="str">
            <v>Mano de Obra</v>
          </cell>
          <cell r="G17346" t="str">
            <v>hr</v>
          </cell>
          <cell r="H17346">
            <v>0.79</v>
          </cell>
          <cell r="I17346">
            <v>58813</v>
          </cell>
          <cell r="J17346">
            <v>46462</v>
          </cell>
        </row>
        <row r="17347">
          <cell r="B17347" t="str">
            <v>M09</v>
          </cell>
          <cell r="C17347" t="str">
            <v>MEZCLADORA A GASOLINA 1 SACO</v>
          </cell>
          <cell r="F17347" t="str">
            <v>Equipo</v>
          </cell>
          <cell r="G17347" t="str">
            <v>dia</v>
          </cell>
          <cell r="H17347">
            <v>0.2</v>
          </cell>
          <cell r="I17347">
            <v>41331</v>
          </cell>
          <cell r="J17347">
            <v>8266</v>
          </cell>
        </row>
        <row r="17348">
          <cell r="B17348" t="str">
            <v>B01</v>
          </cell>
          <cell r="C17348" t="str">
            <v xml:space="preserve">ARENA DE PEÑA </v>
          </cell>
          <cell r="F17348" t="str">
            <v>Insumo</v>
          </cell>
          <cell r="G17348" t="str">
            <v>m3</v>
          </cell>
          <cell r="H17348">
            <v>0.42</v>
          </cell>
          <cell r="I17348">
            <v>77979</v>
          </cell>
          <cell r="J17348">
            <v>32751</v>
          </cell>
        </row>
        <row r="17349">
          <cell r="B17349" t="str">
            <v>B02</v>
          </cell>
          <cell r="C17349" t="str">
            <v>GRAVILLA COMUN DE RIO</v>
          </cell>
          <cell r="F17349" t="str">
            <v>Insumo</v>
          </cell>
          <cell r="G17349" t="str">
            <v>m3</v>
          </cell>
          <cell r="H17349">
            <v>0.81</v>
          </cell>
          <cell r="I17349">
            <v>111398</v>
          </cell>
          <cell r="J17349">
            <v>90232</v>
          </cell>
        </row>
        <row r="17350">
          <cell r="B17350" t="str">
            <v>G1</v>
          </cell>
          <cell r="C17350" t="str">
            <v>ACPM</v>
          </cell>
          <cell r="F17350" t="str">
            <v>Insumo</v>
          </cell>
          <cell r="G17350" t="str">
            <v>gal</v>
          </cell>
          <cell r="H17350">
            <v>0.5</v>
          </cell>
          <cell r="I17350">
            <v>15270</v>
          </cell>
          <cell r="J17350">
            <v>7635</v>
          </cell>
        </row>
        <row r="17352">
          <cell r="B17352" t="str">
            <v>A13</v>
          </cell>
          <cell r="C17352" t="str">
            <v>ACERO 60.000 PSI (Incluye alambre negro y figuración )</v>
          </cell>
          <cell r="G17352" t="str">
            <v>kg</v>
          </cell>
          <cell r="J17352">
            <v>8559</v>
          </cell>
        </row>
        <row r="17353">
          <cell r="B17353" t="str">
            <v>M03</v>
          </cell>
          <cell r="C17353" t="str">
            <v>EQUIPO BASICO ( HERRAMIENTA MENOR )</v>
          </cell>
          <cell r="F17353" t="str">
            <v>Herramienta</v>
          </cell>
          <cell r="G17353" t="str">
            <v>und</v>
          </cell>
          <cell r="H17353">
            <v>0.03</v>
          </cell>
          <cell r="I17353">
            <v>3501</v>
          </cell>
          <cell r="J17353">
            <v>105</v>
          </cell>
        </row>
        <row r="17354">
          <cell r="B17354" t="str">
            <v>I51</v>
          </cell>
          <cell r="C17354" t="str">
            <v>CUADRILLA AA TIPO 5 (1 OFICIAL + 5 AYUDANTE) (Albañileria)</v>
          </cell>
          <cell r="F17354" t="str">
            <v>Mano de Obra</v>
          </cell>
          <cell r="G17354" t="str">
            <v>hr</v>
          </cell>
          <cell r="H17354">
            <v>0.02</v>
          </cell>
          <cell r="I17354">
            <v>58813</v>
          </cell>
          <cell r="J17354">
            <v>1176</v>
          </cell>
        </row>
        <row r="17355">
          <cell r="B17355" t="str">
            <v>A01</v>
          </cell>
          <cell r="C17355" t="str">
            <v>ACERO 60.000 PSI</v>
          </cell>
          <cell r="F17355" t="str">
            <v>Insumo</v>
          </cell>
          <cell r="G17355" t="str">
            <v>kg</v>
          </cell>
          <cell r="H17355">
            <v>1.17</v>
          </cell>
          <cell r="I17355">
            <v>5735</v>
          </cell>
          <cell r="J17355">
            <v>6710</v>
          </cell>
        </row>
        <row r="17356">
          <cell r="B17356" t="str">
            <v>A11</v>
          </cell>
          <cell r="C17356" t="str">
            <v>ALAMBRE NEGRO NO. 18</v>
          </cell>
          <cell r="F17356" t="str">
            <v>Insumo</v>
          </cell>
          <cell r="G17356" t="str">
            <v>kg</v>
          </cell>
          <cell r="H17356">
            <v>0.03</v>
          </cell>
          <cell r="I17356">
            <v>5167</v>
          </cell>
          <cell r="J17356">
            <v>155</v>
          </cell>
        </row>
        <row r="17357">
          <cell r="B17357" t="str">
            <v>I26</v>
          </cell>
          <cell r="C17357" t="str">
            <v>ACARREO INTERNO</v>
          </cell>
          <cell r="F17357" t="str">
            <v>Mano de Obra</v>
          </cell>
          <cell r="G17357" t="str">
            <v>und</v>
          </cell>
          <cell r="H17357">
            <v>0.2</v>
          </cell>
          <cell r="I17357">
            <v>1584</v>
          </cell>
          <cell r="J17357">
            <v>317</v>
          </cell>
        </row>
        <row r="17358">
          <cell r="B17358" t="str">
            <v>M18</v>
          </cell>
          <cell r="C17358" t="str">
            <v>EQUIPO DE TRANSPORTE</v>
          </cell>
          <cell r="F17358" t="str">
            <v>Equipo</v>
          </cell>
          <cell r="G17358" t="str">
            <v>dia</v>
          </cell>
          <cell r="H17358">
            <v>6.1060610606106062E-4</v>
          </cell>
          <cell r="I17358">
            <v>156761</v>
          </cell>
          <cell r="J17358">
            <v>96</v>
          </cell>
        </row>
        <row r="17361">
          <cell r="C17361" t="str">
            <v>SUMINISTRO, TRANSPORTE E INSTALACION EXCAVACIÓN EN ZANJA - CONGLOMERADO DURO (ROCA FRAGMENTADA DIAM &gt;50 CM) - CON EXPLOSIVOS - 0.0 A 2.0 M</v>
          </cell>
          <cell r="G17361" t="str">
            <v>m3</v>
          </cell>
          <cell r="J17361">
            <v>260926</v>
          </cell>
        </row>
        <row r="17362">
          <cell r="B17362" t="str">
            <v>M03</v>
          </cell>
          <cell r="C17362" t="str">
            <v>EQUIPO BASICO ( HERRAMIENTA MENOR )</v>
          </cell>
          <cell r="F17362" t="str">
            <v>Herramienta</v>
          </cell>
          <cell r="G17362" t="str">
            <v>und</v>
          </cell>
          <cell r="H17362">
            <v>0.2</v>
          </cell>
          <cell r="I17362">
            <v>3501</v>
          </cell>
          <cell r="J17362">
            <v>700</v>
          </cell>
        </row>
        <row r="17363">
          <cell r="B17363" t="str">
            <v>M37</v>
          </cell>
          <cell r="C17363" t="str">
            <v>MOTOBOMBA DE 2" A GASOLINA</v>
          </cell>
          <cell r="F17363" t="str">
            <v>Equipo</v>
          </cell>
          <cell r="G17363" t="str">
            <v>dia</v>
          </cell>
          <cell r="H17363">
            <v>3.3000000000000002E-2</v>
          </cell>
          <cell r="I17363">
            <v>57865</v>
          </cell>
          <cell r="J17363">
            <v>1910</v>
          </cell>
        </row>
        <row r="17364">
          <cell r="B17364" t="str">
            <v>I44</v>
          </cell>
          <cell r="C17364" t="str">
            <v>CUADRILLA AA TIPO 4 (1 OFICIAL + 4 AYUDANTE) (Albañileria)</v>
          </cell>
          <cell r="F17364" t="str">
            <v>Mano de Obra</v>
          </cell>
          <cell r="G17364" t="str">
            <v>hr</v>
          </cell>
          <cell r="H17364">
            <v>1.8</v>
          </cell>
          <cell r="I17364">
            <v>49902</v>
          </cell>
          <cell r="J17364">
            <v>89824</v>
          </cell>
        </row>
        <row r="17365">
          <cell r="B17365" t="str">
            <v>M38</v>
          </cell>
          <cell r="C17365" t="str">
            <v>EXPLOSIVOS (INCLUYE PERFORACIÓN, ESTOPINES, CORDON DETONANTE, MECHA LENTA Y DINAMITA)</v>
          </cell>
          <cell r="F17365" t="str">
            <v>Equipo</v>
          </cell>
          <cell r="G17365" t="str">
            <v>tiro</v>
          </cell>
          <cell r="H17365">
            <v>4</v>
          </cell>
          <cell r="I17365">
            <v>41331</v>
          </cell>
          <cell r="J17365">
            <v>165324</v>
          </cell>
        </row>
        <row r="17367">
          <cell r="B17367" t="str">
            <v>I26</v>
          </cell>
          <cell r="C17367" t="str">
            <v>ACARREO INTERNO</v>
          </cell>
          <cell r="F17367" t="str">
            <v>Mano de Obra</v>
          </cell>
          <cell r="G17367" t="str">
            <v>und</v>
          </cell>
          <cell r="H17367">
            <v>2</v>
          </cell>
          <cell r="I17367">
            <v>1584</v>
          </cell>
          <cell r="J17367">
            <v>3168</v>
          </cell>
        </row>
        <row r="17369">
          <cell r="C17369" t="str">
            <v xml:space="preserve">SUMINISTRO, TRANSPORTE E INSTALACION EXCAVACIÓN EN ZANJA - CONGLOMERADO DURO (ROCA FRAGMENTADA DIAM &gt;50 CM) - CON EXPLOSIVOS - 2.01 A 4.0 MT                                         </v>
          </cell>
          <cell r="G17369" t="str">
            <v>m3</v>
          </cell>
          <cell r="J17369">
            <v>270168</v>
          </cell>
        </row>
        <row r="17370">
          <cell r="B17370" t="str">
            <v>M03</v>
          </cell>
          <cell r="C17370" t="str">
            <v>EQUIPO BASICO ( HERRAMIENTA MENOR )</v>
          </cell>
          <cell r="F17370" t="str">
            <v>Herramienta</v>
          </cell>
          <cell r="G17370" t="str">
            <v>und</v>
          </cell>
          <cell r="H17370">
            <v>0.2</v>
          </cell>
          <cell r="I17370">
            <v>3501</v>
          </cell>
          <cell r="J17370">
            <v>700</v>
          </cell>
        </row>
        <row r="17371">
          <cell r="B17371" t="str">
            <v>M37</v>
          </cell>
          <cell r="C17371" t="str">
            <v>MOTOBOMBA DE 2" A GASOLINA</v>
          </cell>
          <cell r="F17371" t="str">
            <v>Equipo</v>
          </cell>
          <cell r="G17371" t="str">
            <v>dia</v>
          </cell>
          <cell r="H17371">
            <v>7.4999999999999997E-2</v>
          </cell>
          <cell r="I17371">
            <v>57865</v>
          </cell>
          <cell r="J17371">
            <v>4340</v>
          </cell>
        </row>
        <row r="17372">
          <cell r="B17372" t="str">
            <v>I44</v>
          </cell>
          <cell r="C17372" t="str">
            <v>CUADRILLA AA TIPO 4 (1 OFICIAL + 4 AYUDANTE) (Albañileria)</v>
          </cell>
          <cell r="F17372" t="str">
            <v>Mano de Obra</v>
          </cell>
          <cell r="G17372" t="str">
            <v>hr</v>
          </cell>
          <cell r="H17372">
            <v>2</v>
          </cell>
          <cell r="I17372">
            <v>49902</v>
          </cell>
          <cell r="J17372">
            <v>99804</v>
          </cell>
        </row>
        <row r="17373">
          <cell r="B17373" t="str">
            <v>M38</v>
          </cell>
          <cell r="C17373" t="str">
            <v>EXPLOSIVOS (INCLUYE PERFORACIÓN, ESTOPINES, CORDON DETONANTE, MECHA LENTA Y DINAMITA)</v>
          </cell>
          <cell r="F17373" t="str">
            <v>Equipo</v>
          </cell>
          <cell r="G17373" t="str">
            <v>tiro</v>
          </cell>
          <cell r="H17373">
            <v>4</v>
          </cell>
          <cell r="I17373">
            <v>41331</v>
          </cell>
          <cell r="J17373">
            <v>165324</v>
          </cell>
        </row>
        <row r="17375">
          <cell r="B17375" t="str">
            <v>I26</v>
          </cell>
          <cell r="C17375" t="str">
            <v>ACARREO INTERNO</v>
          </cell>
          <cell r="F17375" t="str">
            <v>Mano de Obra</v>
          </cell>
          <cell r="G17375" t="str">
            <v>und</v>
          </cell>
          <cell r="H17375">
            <v>2.1</v>
          </cell>
          <cell r="I17375">
            <v>1584</v>
          </cell>
          <cell r="J17375">
            <v>3326</v>
          </cell>
        </row>
        <row r="17378">
          <cell r="C17378" t="str">
            <v xml:space="preserve">SUMINISTRO, TRANSPORTE E INSTALACION EXCAVACIÓN EN ZANJA - CONGLOMERADO DURO (ROCA FRAGMENTADA DIAM &gt;50 CM) - CON EXPLOSIVOS - 4.01 A 6.0 M                                      </v>
          </cell>
          <cell r="G17378" t="str">
            <v>m3</v>
          </cell>
          <cell r="J17378">
            <v>326000</v>
          </cell>
        </row>
        <row r="17379">
          <cell r="B17379" t="str">
            <v>M03</v>
          </cell>
          <cell r="C17379" t="str">
            <v>EQUIPO BASICO ( HERRAMIENTA MENOR )</v>
          </cell>
          <cell r="F17379" t="str">
            <v>Herramienta</v>
          </cell>
          <cell r="G17379" t="str">
            <v>und</v>
          </cell>
          <cell r="H17379">
            <v>0.2</v>
          </cell>
          <cell r="I17379">
            <v>3501</v>
          </cell>
          <cell r="J17379">
            <v>700</v>
          </cell>
        </row>
        <row r="17380">
          <cell r="B17380" t="str">
            <v>M37</v>
          </cell>
          <cell r="C17380" t="str">
            <v>MOTOBOMBA DE 2" A GASOLINA</v>
          </cell>
          <cell r="F17380" t="str">
            <v>Equipo</v>
          </cell>
          <cell r="G17380" t="str">
            <v>dia</v>
          </cell>
          <cell r="H17380">
            <v>0.12</v>
          </cell>
          <cell r="I17380">
            <v>57865</v>
          </cell>
          <cell r="J17380">
            <v>6944</v>
          </cell>
        </row>
        <row r="17381">
          <cell r="B17381" t="str">
            <v>I44</v>
          </cell>
          <cell r="C17381" t="str">
            <v>CUADRILLA AA TIPO 4 (1 OFICIAL + 4 AYUDANTE) (Albañileria)</v>
          </cell>
          <cell r="F17381" t="str">
            <v>Mano de Obra</v>
          </cell>
          <cell r="G17381" t="str">
            <v>hr</v>
          </cell>
          <cell r="H17381">
            <v>3</v>
          </cell>
          <cell r="I17381">
            <v>49902</v>
          </cell>
          <cell r="J17381">
            <v>149706</v>
          </cell>
        </row>
        <row r="17382">
          <cell r="B17382" t="str">
            <v>M38</v>
          </cell>
          <cell r="C17382" t="str">
            <v>EXPLOSIVOS (INCLUYE PERFORACIÓN, ESTOPINES, CORDON DETONANTE, MECHA LENTA Y DINAMITA)</v>
          </cell>
          <cell r="F17382" t="str">
            <v>Equipo</v>
          </cell>
          <cell r="G17382" t="str">
            <v>tiro</v>
          </cell>
          <cell r="H17382">
            <v>4</v>
          </cell>
          <cell r="I17382">
            <v>41331</v>
          </cell>
          <cell r="J17382">
            <v>165324</v>
          </cell>
        </row>
        <row r="17384">
          <cell r="B17384" t="str">
            <v>I26</v>
          </cell>
          <cell r="C17384" t="str">
            <v>ACARREO INTERNO</v>
          </cell>
          <cell r="F17384" t="str">
            <v>Mano de Obra</v>
          </cell>
          <cell r="G17384" t="str">
            <v>und</v>
          </cell>
          <cell r="H17384">
            <v>2.1</v>
          </cell>
          <cell r="I17384">
            <v>1584</v>
          </cell>
          <cell r="J17384">
            <v>3326</v>
          </cell>
        </row>
        <row r="17386">
          <cell r="D17386">
            <v>0</v>
          </cell>
          <cell r="E17386">
            <v>0</v>
          </cell>
        </row>
      </sheetData>
      <sheetData sheetId="4">
        <row r="56">
          <cell r="B56" t="str">
            <v>AFIRMADO NORMA INVIAS</v>
          </cell>
        </row>
      </sheetData>
      <sheetData sheetId="5">
        <row r="4">
          <cell r="D4">
            <v>140606</v>
          </cell>
        </row>
        <row r="51">
          <cell r="A51" t="str">
            <v>CODIGO</v>
          </cell>
          <cell r="B51" t="str">
            <v>PERSONAL O CUADRILLA</v>
          </cell>
          <cell r="D51" t="str">
            <v>TIPO</v>
          </cell>
          <cell r="E51" t="str">
            <v>UNIDAD</v>
          </cell>
          <cell r="F51" t="str">
            <v>VALOR TOTAL</v>
          </cell>
        </row>
        <row r="52">
          <cell r="A52" t="str">
            <v>I65</v>
          </cell>
          <cell r="B52" t="str">
            <v>OFICIAL AA (Albañileria)</v>
          </cell>
          <cell r="E52" t="str">
            <v>hr</v>
          </cell>
          <cell r="F52">
            <v>14258</v>
          </cell>
        </row>
        <row r="53">
          <cell r="A53" t="str">
            <v>I66</v>
          </cell>
          <cell r="B53" t="str">
            <v>OFICIAL BB (Instalaciones)</v>
          </cell>
          <cell r="E53" t="str">
            <v>hr</v>
          </cell>
          <cell r="F53">
            <v>15684</v>
          </cell>
        </row>
        <row r="54">
          <cell r="A54" t="str">
            <v>I67</v>
          </cell>
          <cell r="B54" t="str">
            <v>OFICIAL CC (Pintura)</v>
          </cell>
          <cell r="E54" t="str">
            <v>hr</v>
          </cell>
          <cell r="F54">
            <v>16397</v>
          </cell>
        </row>
        <row r="55">
          <cell r="A55" t="str">
            <v>I68</v>
          </cell>
          <cell r="B55" t="str">
            <v>OFICIAL DD (Carpinteria)</v>
          </cell>
          <cell r="E55" t="str">
            <v>hr</v>
          </cell>
          <cell r="F55">
            <v>16397</v>
          </cell>
        </row>
        <row r="56">
          <cell r="A56" t="str">
            <v>I69</v>
          </cell>
          <cell r="B56" t="str">
            <v>OFICIAL EE (Dry Wall)</v>
          </cell>
          <cell r="E56" t="str">
            <v>hr</v>
          </cell>
          <cell r="F56">
            <v>15969</v>
          </cell>
        </row>
        <row r="57">
          <cell r="A57" t="str">
            <v>I70</v>
          </cell>
          <cell r="B57" t="str">
            <v>OFICIAL FF (Electricas)</v>
          </cell>
          <cell r="E57" t="str">
            <v>hr</v>
          </cell>
          <cell r="F57">
            <v>19205</v>
          </cell>
        </row>
        <row r="58">
          <cell r="A58" t="str">
            <v>I71</v>
          </cell>
          <cell r="B58" t="str">
            <v>OFICIAL GG (Alumbrado Publico)</v>
          </cell>
          <cell r="E58" t="str">
            <v>hr</v>
          </cell>
          <cell r="F58">
            <v>32008</v>
          </cell>
        </row>
        <row r="59">
          <cell r="A59" t="str">
            <v>I72</v>
          </cell>
          <cell r="B59" t="str">
            <v>AYUDANTE AA (Albañileria)</v>
          </cell>
          <cell r="E59" t="str">
            <v>hr</v>
          </cell>
          <cell r="F59">
            <v>8911</v>
          </cell>
        </row>
        <row r="60">
          <cell r="A60" t="str">
            <v>I73</v>
          </cell>
          <cell r="B60" t="str">
            <v>AYUDANTE BB (Instalaciones)</v>
          </cell>
          <cell r="E60" t="str">
            <v>hr</v>
          </cell>
          <cell r="F60">
            <v>9802</v>
          </cell>
        </row>
        <row r="61">
          <cell r="A61" t="str">
            <v>I74</v>
          </cell>
          <cell r="B61" t="str">
            <v>AYUDANTE CC (Pintura)</v>
          </cell>
          <cell r="E61" t="str">
            <v>hr</v>
          </cell>
          <cell r="F61">
            <v>10248</v>
          </cell>
        </row>
        <row r="62">
          <cell r="A62" t="str">
            <v>I75</v>
          </cell>
          <cell r="B62" t="str">
            <v>AYUDANTE DD (Carpinteria)</v>
          </cell>
          <cell r="E62" t="str">
            <v>hr</v>
          </cell>
          <cell r="F62">
            <v>10248</v>
          </cell>
        </row>
        <row r="63">
          <cell r="A63" t="str">
            <v>I76</v>
          </cell>
          <cell r="B63" t="str">
            <v>AYUDANTE EE (Dry Wall)</v>
          </cell>
          <cell r="E63" t="str">
            <v>hr</v>
          </cell>
          <cell r="F63">
            <v>9981</v>
          </cell>
        </row>
        <row r="64">
          <cell r="A64" t="str">
            <v>I77</v>
          </cell>
          <cell r="B64" t="str">
            <v>AYUDANTE FF (Electricas)</v>
          </cell>
          <cell r="E64" t="str">
            <v>hr</v>
          </cell>
          <cell r="F64">
            <v>13367</v>
          </cell>
        </row>
        <row r="65">
          <cell r="A65" t="str">
            <v>I78</v>
          </cell>
          <cell r="B65" t="str">
            <v>AYUDANTE GG (Alumbrado Publico)</v>
          </cell>
          <cell r="E65" t="str">
            <v>hr</v>
          </cell>
          <cell r="F65">
            <v>17822</v>
          </cell>
        </row>
        <row r="66">
          <cell r="A66" t="str">
            <v>I79</v>
          </cell>
          <cell r="B66" t="str">
            <v>REGULADOR DE TRANSITO</v>
          </cell>
          <cell r="E66" t="str">
            <v>hr</v>
          </cell>
          <cell r="F66">
            <v>11139</v>
          </cell>
        </row>
        <row r="67">
          <cell r="A67" t="str">
            <v>I03</v>
          </cell>
          <cell r="B67" t="str">
            <v>CUADRILLA AA TIPO 1 (1 OFICIAL + 1 AYUDANTE) (Albañileria)</v>
          </cell>
          <cell r="D67">
            <v>1</v>
          </cell>
          <cell r="E67" t="str">
            <v>hr</v>
          </cell>
          <cell r="F67">
            <v>23169</v>
          </cell>
        </row>
        <row r="68">
          <cell r="A68" t="str">
            <v>I04</v>
          </cell>
          <cell r="B68" t="str">
            <v>CUADRILLA BB TIPO 1 (1 OFICIAL + 1 AYUDANTE) (Instalaciones)</v>
          </cell>
          <cell r="D68">
            <v>1</v>
          </cell>
          <cell r="E68" t="str">
            <v>hr</v>
          </cell>
          <cell r="F68">
            <v>25486</v>
          </cell>
        </row>
        <row r="69">
          <cell r="A69" t="str">
            <v>I05</v>
          </cell>
          <cell r="B69" t="str">
            <v>CUADRILLA CC TIPO 1 (1 OFICIAL + 1 AYUDANTE) (Pintura)</v>
          </cell>
          <cell r="D69">
            <v>1</v>
          </cell>
          <cell r="E69" t="str">
            <v>hr</v>
          </cell>
          <cell r="F69">
            <v>26645</v>
          </cell>
        </row>
        <row r="70">
          <cell r="A70" t="str">
            <v>I06</v>
          </cell>
          <cell r="B70" t="str">
            <v>CUADRILLA DD TIPO 1 (1 OFICIAL + 1 AYUDANTE) (Carpinteria)</v>
          </cell>
          <cell r="D70">
            <v>1</v>
          </cell>
          <cell r="E70" t="str">
            <v>hr</v>
          </cell>
          <cell r="F70">
            <v>26645</v>
          </cell>
        </row>
        <row r="71">
          <cell r="A71" t="str">
            <v>I07</v>
          </cell>
          <cell r="B71" t="str">
            <v>CUADRILLA EE TIPO 1 (1 OFICIAL + 1 AYUDANTE) (Dry Wall)</v>
          </cell>
          <cell r="D71">
            <v>1</v>
          </cell>
          <cell r="E71" t="str">
            <v>hr</v>
          </cell>
          <cell r="F71">
            <v>25950</v>
          </cell>
        </row>
        <row r="72">
          <cell r="A72" t="str">
            <v>I08</v>
          </cell>
          <cell r="B72" t="str">
            <v>CUADRILLA FF TIPO 1 (1 OFICIAL + 1 AYUDANTE) (Electricas)</v>
          </cell>
          <cell r="D72">
            <v>1</v>
          </cell>
          <cell r="E72" t="str">
            <v>hr</v>
          </cell>
          <cell r="F72">
            <v>32572</v>
          </cell>
        </row>
        <row r="73">
          <cell r="A73" t="str">
            <v>I19</v>
          </cell>
          <cell r="B73" t="str">
            <v>CUADRILLA GG TIPO 1 (1 OFICIAL + 1 AYUDANTE) (Alumbrado Publico)</v>
          </cell>
          <cell r="D73">
            <v>1</v>
          </cell>
          <cell r="E73" t="str">
            <v>hr</v>
          </cell>
          <cell r="F73">
            <v>49830</v>
          </cell>
        </row>
        <row r="74">
          <cell r="A74" t="str">
            <v>I30</v>
          </cell>
          <cell r="B74" t="str">
            <v>CUADRILLA AA TIPO 2 (1 OFICIAL + 2 AYUDANTE) (Albañileria)</v>
          </cell>
          <cell r="D74">
            <v>2</v>
          </cell>
          <cell r="E74" t="str">
            <v>hr</v>
          </cell>
          <cell r="F74">
            <v>32080</v>
          </cell>
        </row>
        <row r="75">
          <cell r="A75" t="str">
            <v>I31</v>
          </cell>
          <cell r="B75" t="str">
            <v>CUADRILLA BB TIPO 2 (1 OFICIAL + 2 AYUDANTE) (Instalaciones)</v>
          </cell>
          <cell r="D75">
            <v>2</v>
          </cell>
          <cell r="E75" t="str">
            <v>hr</v>
          </cell>
          <cell r="F75">
            <v>35288</v>
          </cell>
        </row>
        <row r="76">
          <cell r="A76" t="str">
            <v>I32</v>
          </cell>
          <cell r="B76" t="str">
            <v>CUADRILLA CC TIPO 2 (1 OFICIAL + 2 AYUDANTE) (Pintura)</v>
          </cell>
          <cell r="D76">
            <v>2</v>
          </cell>
          <cell r="E76" t="str">
            <v>hr</v>
          </cell>
          <cell r="F76">
            <v>36893</v>
          </cell>
        </row>
        <row r="77">
          <cell r="A77" t="str">
            <v>I33</v>
          </cell>
          <cell r="B77" t="str">
            <v>CUADRILLA DD TIPO 2 (1 OFICIAL + 2 AYUDANTE) (Carpinteria)</v>
          </cell>
          <cell r="D77">
            <v>2</v>
          </cell>
          <cell r="E77" t="str">
            <v>hr</v>
          </cell>
          <cell r="F77">
            <v>36893</v>
          </cell>
        </row>
        <row r="78">
          <cell r="A78" t="str">
            <v>I34</v>
          </cell>
          <cell r="B78" t="str">
            <v>CUADRILLA EE TIPO 2 (1 OFICIAL + 2 AYUDANTE) (Dry Wall)</v>
          </cell>
          <cell r="D78">
            <v>2</v>
          </cell>
          <cell r="E78" t="str">
            <v>hr</v>
          </cell>
          <cell r="F78">
            <v>35931</v>
          </cell>
        </row>
        <row r="79">
          <cell r="A79" t="str">
            <v>I35</v>
          </cell>
          <cell r="B79" t="str">
            <v>CUADRILLA FF TIPO 2 (1 OFICIAL + 2 AYUDANTE) (Electricas)</v>
          </cell>
          <cell r="D79">
            <v>2</v>
          </cell>
          <cell r="E79" t="str">
            <v>hr</v>
          </cell>
          <cell r="F79">
            <v>45939</v>
          </cell>
        </row>
        <row r="80">
          <cell r="A80" t="str">
            <v>I36</v>
          </cell>
          <cell r="B80" t="str">
            <v>CUADRILLA GG TIPO 2 (1 OFICIAL + 2 AYUDANTE) (Alumbrado Publico)</v>
          </cell>
          <cell r="D80">
            <v>2</v>
          </cell>
          <cell r="E80" t="str">
            <v>hr</v>
          </cell>
          <cell r="F80">
            <v>67652</v>
          </cell>
        </row>
        <row r="81">
          <cell r="A81" t="str">
            <v>I37</v>
          </cell>
          <cell r="B81" t="str">
            <v>CUADRILLA AA TIPO 3 (1 OFICIAL + 3 AYUDANTE) (Albañileria)</v>
          </cell>
          <cell r="D81">
            <v>3</v>
          </cell>
          <cell r="E81" t="str">
            <v>hr</v>
          </cell>
          <cell r="F81">
            <v>40991</v>
          </cell>
        </row>
        <row r="82">
          <cell r="A82" t="str">
            <v>I38</v>
          </cell>
          <cell r="B82" t="str">
            <v>CUADRILLA BB TIPO 3 (1 OFICIAL + 3 AYUDANTE) (Instalaciones)</v>
          </cell>
          <cell r="D82">
            <v>3</v>
          </cell>
          <cell r="E82" t="str">
            <v>hr</v>
          </cell>
          <cell r="F82">
            <v>45090</v>
          </cell>
        </row>
        <row r="83">
          <cell r="A83" t="str">
            <v>I39</v>
          </cell>
          <cell r="B83" t="str">
            <v>CUADRILLA CC TIPO 3 (1 OFICIAL + 3 AYUDANTE) (Pintura)</v>
          </cell>
          <cell r="D83">
            <v>3</v>
          </cell>
          <cell r="E83" t="str">
            <v>hr</v>
          </cell>
          <cell r="F83">
            <v>47141</v>
          </cell>
        </row>
        <row r="84">
          <cell r="A84" t="str">
            <v>I40</v>
          </cell>
          <cell r="B84" t="str">
            <v>CUADRILLA DD TIPO 3 (1 OFICIAL + 3 AYUDANTE) (Carpinteria)</v>
          </cell>
          <cell r="D84">
            <v>3</v>
          </cell>
          <cell r="E84" t="str">
            <v>hr</v>
          </cell>
          <cell r="F84">
            <v>47141</v>
          </cell>
        </row>
        <row r="85">
          <cell r="A85" t="str">
            <v>I41</v>
          </cell>
          <cell r="B85" t="str">
            <v>CUADRILLA EE TIPO 3 (1 OFICIAL + 3 AYUDANTE) (Dry Wall)</v>
          </cell>
          <cell r="D85">
            <v>3</v>
          </cell>
          <cell r="E85" t="str">
            <v>hr</v>
          </cell>
          <cell r="F85">
            <v>45912</v>
          </cell>
        </row>
        <row r="86">
          <cell r="A86" t="str">
            <v>I42</v>
          </cell>
          <cell r="B86" t="str">
            <v>CUADRILLA FF TIPO 3 (1 OFICIAL + 3 AYUDANTE) (Electricas)</v>
          </cell>
          <cell r="D86">
            <v>3</v>
          </cell>
          <cell r="E86" t="str">
            <v>hr</v>
          </cell>
          <cell r="F86">
            <v>59306</v>
          </cell>
        </row>
        <row r="87">
          <cell r="A87" t="str">
            <v>I43</v>
          </cell>
          <cell r="B87" t="str">
            <v>CUADRILLA GG TIPO 3 (1 OFICIAL + 3 AYUDANTE) (Alumbrado Publico)</v>
          </cell>
          <cell r="D87">
            <v>3</v>
          </cell>
          <cell r="E87" t="str">
            <v>hr</v>
          </cell>
          <cell r="F87">
            <v>85474</v>
          </cell>
        </row>
        <row r="88">
          <cell r="A88" t="str">
            <v>I44</v>
          </cell>
          <cell r="B88" t="str">
            <v>CUADRILLA AA TIPO 4 (1 OFICIAL + 4 AYUDANTE) (Albañileria)</v>
          </cell>
          <cell r="D88">
            <v>4</v>
          </cell>
          <cell r="E88" t="str">
            <v>hr</v>
          </cell>
          <cell r="F88">
            <v>49902</v>
          </cell>
        </row>
        <row r="89">
          <cell r="A89" t="str">
            <v>I45</v>
          </cell>
          <cell r="B89" t="str">
            <v>CUADRILLA BB TIPO 4 (1 OFICIAL + 4 AYUDANTE) (Instalaciones)</v>
          </cell>
          <cell r="D89">
            <v>4</v>
          </cell>
          <cell r="E89" t="str">
            <v>hr</v>
          </cell>
          <cell r="F89">
            <v>54892</v>
          </cell>
        </row>
        <row r="90">
          <cell r="A90" t="str">
            <v>I46</v>
          </cell>
          <cell r="B90" t="str">
            <v>CUADRILLA CC TIPO 4 (1 OFICIAL + 4 AYUDANTE) (Pintura)</v>
          </cell>
          <cell r="D90">
            <v>4</v>
          </cell>
          <cell r="E90" t="str">
            <v>hr</v>
          </cell>
          <cell r="F90">
            <v>57389</v>
          </cell>
        </row>
        <row r="91">
          <cell r="A91" t="str">
            <v>I47</v>
          </cell>
          <cell r="B91" t="str">
            <v>CUADRILLA DD TIPO 4 (1 OFICIAL + 4 AYUDANTE) (Carpinteria)</v>
          </cell>
          <cell r="D91">
            <v>4</v>
          </cell>
          <cell r="E91" t="str">
            <v>hr</v>
          </cell>
          <cell r="F91">
            <v>57389</v>
          </cell>
        </row>
        <row r="92">
          <cell r="A92" t="str">
            <v>I48</v>
          </cell>
          <cell r="B92" t="str">
            <v>CUADRILLA EE TIPO 4 (1 OFICIAL + 4 AYUDANTE) (Dry Wall)</v>
          </cell>
          <cell r="D92">
            <v>4</v>
          </cell>
          <cell r="E92" t="str">
            <v>hr</v>
          </cell>
          <cell r="F92">
            <v>55893</v>
          </cell>
        </row>
        <row r="93">
          <cell r="A93" t="str">
            <v>I49</v>
          </cell>
          <cell r="B93" t="str">
            <v>CUADRILLA FF TIPO 4 (1 OFICIAL + 4 AYUDANTE) (Electricas)</v>
          </cell>
          <cell r="D93">
            <v>4</v>
          </cell>
          <cell r="E93" t="str">
            <v>hr</v>
          </cell>
          <cell r="F93">
            <v>72673</v>
          </cell>
        </row>
        <row r="94">
          <cell r="A94" t="str">
            <v>I50</v>
          </cell>
          <cell r="B94" t="str">
            <v>CUADRILLA GG TIPO 4 (1 OFICIAL + 4 AYUDANTE) (Alumbrado Publico)</v>
          </cell>
          <cell r="D94">
            <v>4</v>
          </cell>
          <cell r="E94" t="str">
            <v>hr</v>
          </cell>
          <cell r="F94">
            <v>103296</v>
          </cell>
        </row>
        <row r="95">
          <cell r="A95" t="str">
            <v>I51</v>
          </cell>
          <cell r="B95" t="str">
            <v>CUADRILLA AA TIPO 5 (1 OFICIAL + 5 AYUDANTE) (Albañileria)</v>
          </cell>
          <cell r="D95">
            <v>5</v>
          </cell>
          <cell r="E95" t="str">
            <v>hr</v>
          </cell>
          <cell r="F95">
            <v>58813</v>
          </cell>
        </row>
        <row r="96">
          <cell r="A96" t="str">
            <v>I52</v>
          </cell>
          <cell r="B96" t="str">
            <v>CUADRILLA BB TIPO 5 (1 OFICIAL + 5 AYUDANTE) (Instalaciones)</v>
          </cell>
          <cell r="D96">
            <v>5</v>
          </cell>
          <cell r="E96" t="str">
            <v>hr</v>
          </cell>
          <cell r="F96">
            <v>64694</v>
          </cell>
        </row>
        <row r="97">
          <cell r="A97" t="str">
            <v>I53</v>
          </cell>
          <cell r="B97" t="str">
            <v>CUADRILLA CC TIPO 5 (1 OFICIAL + 5 AYUDANTE) (Pintura)</v>
          </cell>
          <cell r="D97">
            <v>5</v>
          </cell>
          <cell r="E97" t="str">
            <v>hr</v>
          </cell>
          <cell r="F97">
            <v>67637</v>
          </cell>
        </row>
        <row r="98">
          <cell r="A98" t="str">
            <v>I54</v>
          </cell>
          <cell r="B98" t="str">
            <v>CUADRILLA DD TIPO 5 (1 OFICIAL + 5 AYUDANTE) (Carpinteria)</v>
          </cell>
          <cell r="D98">
            <v>5</v>
          </cell>
          <cell r="E98" t="str">
            <v>hr</v>
          </cell>
          <cell r="F98">
            <v>67637</v>
          </cell>
        </row>
        <row r="99">
          <cell r="A99" t="str">
            <v>I55</v>
          </cell>
          <cell r="B99" t="str">
            <v>CUADRILLA EE TIPO 5 (1 OFICIAL + 5 AYUDANTE) (Dry Wall)</v>
          </cell>
          <cell r="D99">
            <v>5</v>
          </cell>
          <cell r="E99" t="str">
            <v>hr</v>
          </cell>
          <cell r="F99">
            <v>65874</v>
          </cell>
        </row>
        <row r="100">
          <cell r="A100" t="str">
            <v>I56</v>
          </cell>
          <cell r="B100" t="str">
            <v>CUADRILLA FF TIPO 5 (1 OFICIAL + 5 AYUDANTE) (Electricas)</v>
          </cell>
          <cell r="D100">
            <v>5</v>
          </cell>
          <cell r="E100" t="str">
            <v>hr</v>
          </cell>
          <cell r="F100">
            <v>86040</v>
          </cell>
        </row>
        <row r="101">
          <cell r="A101" t="str">
            <v>I57</v>
          </cell>
          <cell r="B101" t="str">
            <v>CUADRILLA GG TIPO 5 (1 OFICIAL + 5 AYUDANTE) (Alumbrado Publico)</v>
          </cell>
          <cell r="D101">
            <v>5</v>
          </cell>
          <cell r="E101" t="str">
            <v>hr</v>
          </cell>
          <cell r="F101">
            <v>121118</v>
          </cell>
        </row>
        <row r="102">
          <cell r="A102" t="str">
            <v>I58</v>
          </cell>
          <cell r="B102" t="str">
            <v>CUADRILLA AA TIPO 6 (1 OFICIAL + 6 AYUDANTE) (Albañileria)</v>
          </cell>
          <cell r="D102">
            <v>6</v>
          </cell>
          <cell r="E102" t="str">
            <v>hr</v>
          </cell>
          <cell r="F102">
            <v>67724</v>
          </cell>
        </row>
        <row r="103">
          <cell r="A103" t="str">
            <v>I59</v>
          </cell>
          <cell r="B103" t="str">
            <v>CUADRILLA BB TIPO 6 (1 OFICIAL + 6 AYUDANTE) (Instalaciones)</v>
          </cell>
          <cell r="D103">
            <v>6</v>
          </cell>
          <cell r="E103" t="str">
            <v>hr</v>
          </cell>
          <cell r="F103">
            <v>74496</v>
          </cell>
        </row>
        <row r="104">
          <cell r="A104" t="str">
            <v>I60</v>
          </cell>
          <cell r="B104" t="str">
            <v>CUADRILLA CC TIPO 6 (1 OFICIAL + 6 AYUDANTE) (Pintura)</v>
          </cell>
          <cell r="D104">
            <v>6</v>
          </cell>
          <cell r="E104" t="str">
            <v>hr</v>
          </cell>
          <cell r="F104">
            <v>77885</v>
          </cell>
        </row>
        <row r="105">
          <cell r="A105" t="str">
            <v>I61</v>
          </cell>
          <cell r="B105" t="str">
            <v>CUADRILLA DD TIPO 6 (1 OFICIAL + 6 AYUDANTE) (Carpinteria)</v>
          </cell>
          <cell r="D105">
            <v>6</v>
          </cell>
          <cell r="E105" t="str">
            <v>hr</v>
          </cell>
          <cell r="F105">
            <v>77885</v>
          </cell>
        </row>
        <row r="106">
          <cell r="A106" t="str">
            <v>I62</v>
          </cell>
          <cell r="B106" t="str">
            <v>CUADRILLA EE TIPO 6 (1 OFICIAL + 6 AYUDANTE) (Dry Wall)</v>
          </cell>
          <cell r="D106">
            <v>6</v>
          </cell>
          <cell r="E106" t="str">
            <v>hr</v>
          </cell>
          <cell r="F106">
            <v>75855</v>
          </cell>
        </row>
        <row r="107">
          <cell r="A107" t="str">
            <v>I63</v>
          </cell>
          <cell r="B107" t="str">
            <v>CUADRILLA FF TIPO 6 (1 OFICIAL + 6 AYUDANTE) (Electricas)</v>
          </cell>
          <cell r="D107">
            <v>6</v>
          </cell>
          <cell r="E107" t="str">
            <v>hr</v>
          </cell>
          <cell r="F107">
            <v>99407</v>
          </cell>
        </row>
        <row r="108">
          <cell r="A108" t="str">
            <v>I64</v>
          </cell>
          <cell r="B108" t="str">
            <v>CUADRILLA GG TIPO 6 (1 OFICIAL + 6 AYUDANTE) (Alumbrado Publico)</v>
          </cell>
          <cell r="D108">
            <v>6</v>
          </cell>
          <cell r="E108" t="str">
            <v>hr</v>
          </cell>
          <cell r="F108">
            <v>138940</v>
          </cell>
        </row>
      </sheetData>
      <sheetData sheetId="6">
        <row r="24">
          <cell r="F24">
            <v>2942</v>
          </cell>
        </row>
        <row r="25">
          <cell r="F25">
            <v>2942</v>
          </cell>
        </row>
      </sheetData>
      <sheetData sheetId="7">
        <row r="3">
          <cell r="A3" t="str">
            <v>Datos Basicos año 2021</v>
          </cell>
          <cell r="C3">
            <v>365</v>
          </cell>
        </row>
        <row r="28">
          <cell r="C28">
            <v>0.84370000000000001</v>
          </cell>
          <cell r="D28">
            <v>0.65560000000000007</v>
          </cell>
        </row>
      </sheetData>
      <sheetData sheetId="8">
        <row r="3">
          <cell r="E3">
            <v>200000000</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
      <sheetName val="APU"/>
      <sheetName val="INSUMOS"/>
      <sheetName val="CADENA DE VALOR"/>
      <sheetName val="CÁLCULO AIU"/>
      <sheetName val="CRONOGRAMA "/>
      <sheetName val="CAP1"/>
      <sheetName val="CAP2"/>
      <sheetName val="CAP3"/>
      <sheetName val="CAP4"/>
      <sheetName val="CAP5"/>
      <sheetName val="CAP6"/>
      <sheetName val="CAP7"/>
      <sheetName val="CAP8"/>
      <sheetName val="CAP9"/>
      <sheetName val="CAP11"/>
      <sheetName val="CAP12"/>
      <sheetName val="CAP13"/>
      <sheetName val="CAP14"/>
      <sheetName val="CAP15"/>
      <sheetName val="CAP16"/>
      <sheetName val="CAP17"/>
      <sheetName val="CAP18"/>
      <sheetName val="CAP19"/>
      <sheetName val="CAP20"/>
      <sheetName val="ANÁLISIS MANO DE OBRA"/>
      <sheetName val="SUBANALISIS CONCRETOS"/>
      <sheetName val="ANÁLISIS FACTOR PRESTACIONAL"/>
      <sheetName val="PGIO"/>
    </sheetNames>
    <sheetDataSet>
      <sheetData sheetId="0"/>
      <sheetData sheetId="1" refreshError="1"/>
      <sheetData sheetId="2">
        <row r="2">
          <cell r="A2" t="str">
            <v>I1</v>
          </cell>
        </row>
      </sheetData>
      <sheetData sheetId="3" refreshError="1"/>
      <sheetData sheetId="4">
        <row r="8">
          <cell r="E8">
            <v>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sheetName val="Factor multiplicador"/>
    </sheetNames>
    <sheetDataSet>
      <sheetData sheetId="0" refreshError="1"/>
      <sheetData sheetId="1">
        <row r="35">
          <cell r="D35">
            <v>2.2000000000000002</v>
          </cell>
          <cell r="E35">
            <v>1.9</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DETALLADO "/>
      <sheetName val="APU´S"/>
      <sheetName val="INSUMOS"/>
      <sheetName val="CRONOGRAMA"/>
      <sheetName val="CADENA DE VALOR"/>
      <sheetName val="APOYO SUPE"/>
      <sheetName val="ANALISIS AIU"/>
      <sheetName val="INTERVENTORIA"/>
      <sheetName val="FACTOR MULTIPLICADOR"/>
      <sheetName val="PGIO"/>
      <sheetName val="ANALISIS FACTOR PRESTACIONAL"/>
      <sheetName val="ANALISIS MANO DE OBRA"/>
      <sheetName val="SUBANALISIS CONCRETO"/>
      <sheetName val="PMT"/>
      <sheetName val="ITEM 1.01"/>
      <sheetName val="ITEM 1.03"/>
      <sheetName val="ITEM 1.04"/>
      <sheetName val="ITEM 1.05"/>
      <sheetName val="ITEM 1.06"/>
      <sheetName val="ITEM 1.07"/>
      <sheetName val="ITEM 1.08"/>
      <sheetName val="ITEM 1.09"/>
      <sheetName val="ITEM 1.10"/>
      <sheetName val="ITEM 1.11"/>
      <sheetName val="ITEM 2,01"/>
      <sheetName val="ITEM 2,02"/>
      <sheetName val="ITEM 2.03"/>
      <sheetName val="ITEM 3,01"/>
      <sheetName val="ITEM 3,02"/>
      <sheetName val="ITEM 3,03"/>
      <sheetName val="ITEM 3,04"/>
      <sheetName val="ITEM 4,01"/>
      <sheetName val="ITEM 4,02"/>
      <sheetName val="ITEM 4.03"/>
      <sheetName val="ITEM 4.04"/>
      <sheetName val="ITEM 4.05"/>
      <sheetName val="ITEM 5.01"/>
      <sheetName val="ITEM 5.02"/>
      <sheetName val="ITEM 5.03"/>
      <sheetName val="ITEM 6.01"/>
      <sheetName val="ITEM 6.02"/>
      <sheetName val="ITEM 7.01"/>
      <sheetName val="ITEM 7.02"/>
      <sheetName val="ITEM 7.03"/>
      <sheetName val="ITEM 7,04"/>
      <sheetName val="ITEM 8.01"/>
      <sheetName val="ITEM 8.02"/>
      <sheetName val="ITEM 8.03"/>
      <sheetName val="ITEM 8.04"/>
      <sheetName val="ITEM 8.05"/>
      <sheetName val="ITEM 8.06"/>
      <sheetName val="ITEM 8.07"/>
      <sheetName val="ITEM 8.08"/>
      <sheetName val="ITEM 8.09"/>
      <sheetName val="ITEM 8.10"/>
      <sheetName val="ITEM 8.11"/>
      <sheetName val="ITEM 8.12"/>
      <sheetName val="ITEM 8.13"/>
      <sheetName val="ITEM 8.14"/>
      <sheetName val="ITEM 8.15"/>
      <sheetName val="ITEM 8.16"/>
      <sheetName val="ITEM 9.01"/>
      <sheetName val="ITEM 9.02"/>
      <sheetName val="ITEM 9.03"/>
      <sheetName val="ITEM 9.04"/>
      <sheetName val="ITEM 9.05"/>
      <sheetName val="ITEM 9.06"/>
      <sheetName val="ITEM 9.07"/>
      <sheetName val="ITEM 9.08"/>
      <sheetName val="ITEM 9.09"/>
      <sheetName val="ITEM 9.10"/>
      <sheetName val="ITEM 9.11"/>
      <sheetName val="ITEM 9.12"/>
      <sheetName val="ITEM 9.13"/>
      <sheetName val="ITEM 9.14"/>
      <sheetName val="ITEM 9.15"/>
      <sheetName val="ITEM 9.16"/>
      <sheetName val="ITEM 9.17"/>
      <sheetName val="ITEM 9.18 "/>
      <sheetName val="ITEM 9.19"/>
      <sheetName val="ITEM 9.20"/>
      <sheetName val="ITEM 9.21"/>
      <sheetName val="ITEM 9.22"/>
      <sheetName val="ITEM 9.23"/>
      <sheetName val="ITEM 9.24"/>
      <sheetName val="ITEM 10.1"/>
      <sheetName val="ITEM 10.2"/>
      <sheetName val="ITEM 10.3"/>
      <sheetName val="ITEM 10.4"/>
      <sheetName val="ITEM 10.5"/>
      <sheetName val="ITEM 10.6"/>
      <sheetName val="ITEM 11.01"/>
      <sheetName val="ITEM 11.02"/>
      <sheetName val="ITEM 11.03"/>
      <sheetName val="ITEM 11.04"/>
      <sheetName val="ITEM 11.05"/>
      <sheetName val="ITEM 11.06"/>
      <sheetName val="ITEM 11.07"/>
      <sheetName val="ITEM 11.08"/>
      <sheetName val="ITEM 11.09"/>
      <sheetName val="ITEM 11.10"/>
      <sheetName val="ITEM 11.11"/>
      <sheetName val="ITEM 11.12"/>
      <sheetName val="ITEM 11.13"/>
      <sheetName val="ITEM 11.14"/>
      <sheetName val="ITEM 11.15"/>
      <sheetName val="ITEM 11.16"/>
      <sheetName val="ITEM 11.17"/>
      <sheetName val="ITEM 11.18"/>
      <sheetName val="ITEM 11.19"/>
      <sheetName val="ITEM 11.20"/>
      <sheetName val="ITEM 11.21"/>
      <sheetName val="ITEM 11.22"/>
      <sheetName val="ITEM 11.23"/>
      <sheetName val="ITEM 11.24"/>
      <sheetName val="ITEM 11.25"/>
      <sheetName val="ITEM 11.26"/>
      <sheetName val="ITEM 11.27"/>
      <sheetName val="ITEM 11.28"/>
      <sheetName val="ITEM 11.29"/>
      <sheetName val="ITEM 11.30"/>
      <sheetName val="ITEM 11.31"/>
      <sheetName val="ITEM 11.32"/>
      <sheetName val="ITEM 11.33"/>
      <sheetName val="ITEM 11.34"/>
      <sheetName val="ITEM 11.35"/>
      <sheetName val="ITEM 11.36"/>
      <sheetName val="ITEM 11.37"/>
      <sheetName val="ITEM 11.38"/>
      <sheetName val="ITEM 11.39"/>
      <sheetName val="ITEM 11.40"/>
      <sheetName val="ITEM 11.41"/>
      <sheetName val="ITEM 11.42"/>
      <sheetName val="ITEM 11.43"/>
      <sheetName val="ITEM 11.44"/>
      <sheetName val="ITEM 11.45"/>
      <sheetName val="ITEM 11.46"/>
      <sheetName val="ITEM 11.47"/>
      <sheetName val="ITEM 11.48"/>
      <sheetName val="ITEM 11.49"/>
      <sheetName val="ITEM 11.50"/>
      <sheetName val="ITEM 11.51"/>
      <sheetName val="ITEM 11.52"/>
      <sheetName val="ITEM 11.53"/>
      <sheetName val="ITEM 11.54"/>
      <sheetName val="ITEM 11.55"/>
      <sheetName val="ITEM 11.56"/>
      <sheetName val="ITEM 11.57"/>
      <sheetName val="ITEM 11.58"/>
      <sheetName val="ITEM 11.59"/>
      <sheetName val="ITEM 11.60"/>
      <sheetName val="ITEM 11.61"/>
      <sheetName val="ITEM 11.62"/>
      <sheetName val="ITEM 11.63"/>
      <sheetName val="ITEM 11.64"/>
      <sheetName val="ITEM 11.65"/>
      <sheetName val="ITEM 11.66"/>
      <sheetName val="ITEM 12.01"/>
      <sheetName val="ITEM 12.02"/>
      <sheetName val="ITEM 12.03"/>
      <sheetName val="ITEM 12.04"/>
      <sheetName val="ITEM 12.05"/>
      <sheetName val="ITEM 12.06"/>
      <sheetName val="ITEM 13.01"/>
      <sheetName val="ITEM 13.02"/>
      <sheetName val="ITEM 13.03"/>
      <sheetName val="ITEM 13.04"/>
      <sheetName val="ITEM 13.05"/>
      <sheetName val="ITEM 13.06"/>
      <sheetName val="ITEM 13.07"/>
      <sheetName val="ITEM 13.08"/>
      <sheetName val="ITEM 13.09"/>
      <sheetName val="ITEM 13.10"/>
      <sheetName val="ITEM 13.11"/>
      <sheetName val="ITEM 13.12"/>
      <sheetName val="ITEM 13.13"/>
      <sheetName val="ITEM 13.14"/>
      <sheetName val="ITEM 13.15"/>
      <sheetName val="ITEM 13.16"/>
      <sheetName val="ITEM 13.17"/>
      <sheetName val="ITEM 13.18"/>
      <sheetName val="ITEM 14.01"/>
      <sheetName val="ITEM 14.02"/>
      <sheetName val="ITEM 15.01"/>
      <sheetName val="ITEM 15.02"/>
      <sheetName val="ITEM 16.01"/>
    </sheetNames>
    <sheetDataSet>
      <sheetData sheetId="0">
        <row r="10">
          <cell r="C10" t="str">
            <v>M2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tables/table1.xml><?xml version="1.0" encoding="utf-8"?>
<table xmlns="http://schemas.openxmlformats.org/spreadsheetml/2006/main" id="2" name="Tabla2" displayName="Tabla2" ref="C7:I12" totalsRowShown="0" headerRowDxfId="95" dataDxfId="93" headerRowBorderDxfId="94" tableBorderDxfId="92">
  <autoFilter ref="C7:I12"/>
  <tableColumns count="7">
    <tableColumn id="1" name="ID BASE" dataDxfId="91"/>
    <tableColumn id="2" name="DESCRIPCIÓN" dataDxfId="90"/>
    <tableColumn id="3" name="UNIDAD" dataDxfId="89"/>
    <tableColumn id="4" name="CANTIDAD" dataDxfId="88"/>
    <tableColumn id="5" name="VALOR UNITARIO " dataDxfId="87"/>
    <tableColumn id="6" name="RENDIMIENTO/DESPERDICIOS/USOS" dataDxfId="86"/>
    <tableColumn id="7" name="VALOR PARCIAL" dataDxfId="85" dataCellStyle="Normal_Macro APUS">
      <calculatedColumnFormula>(F8*G8*H8)</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3" name="Tabla3" displayName="Tabla3" ref="C21:I26" totalsRowShown="0" headerRowDxfId="84" dataDxfId="82" headerRowBorderDxfId="83" tableBorderDxfId="81">
  <autoFilter ref="C21:I26"/>
  <tableColumns count="7">
    <tableColumn id="1" name="TIPO" dataDxfId="80"/>
    <tableColumn id="2" name="DESCRIPCIÓN" dataDxfId="79"/>
    <tableColumn id="3" name="UNIDAD" dataDxfId="78"/>
    <tableColumn id="4" name="CANTIDAD" dataDxfId="77"/>
    <tableColumn id="5" name="VALOR UNITARIO " dataDxfId="76"/>
    <tableColumn id="6" name="RENDIMIENTO/DESPERDICIOS/USOS" dataDxfId="75"/>
    <tableColumn id="7" name="VALOR PARCIAL" dataDxfId="74" dataCellStyle="Normal_Macro APUS">
      <calculatedColumnFormula>(F22*G22*H22)</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1" name="Tabla1" displayName="Tabla1" ref="C4:I5" insertRow="1" totalsRowShown="0" headerRowDxfId="73" dataDxfId="71" headerRowBorderDxfId="72" tableBorderDxfId="70">
  <autoFilter ref="C4:I5"/>
  <tableColumns count="7">
    <tableColumn id="1" name="ID BASE" dataDxfId="69"/>
    <tableColumn id="2" name="DESCRIPCIÓN" dataDxfId="68"/>
    <tableColumn id="3" name="UNIDAD" dataDxfId="67"/>
    <tableColumn id="4" name="CANTIDAD" dataDxfId="66"/>
    <tableColumn id="5" name="VALOR UNITARIO " dataDxfId="65"/>
    <tableColumn id="6" name="RENDIMIENTO/DESPERDICIOS/USOS" dataDxfId="64"/>
    <tableColumn id="7" name="VALOR PARCIAL" dataDxfId="63" dataCellStyle="Normal_Macro APUS"/>
  </tableColumns>
  <tableStyleInfo name="TableStyleMedium2" showFirstColumn="0" showLastColumn="0" showRowStripes="1" showColumnStripes="0"/>
</table>
</file>

<file path=xl/tables/table4.xml><?xml version="1.0" encoding="utf-8"?>
<table xmlns="http://schemas.openxmlformats.org/spreadsheetml/2006/main" id="5" name="Tabla5" displayName="Tabla5" ref="C14:I19" totalsRowShown="0" headerRowDxfId="62" dataDxfId="60" headerRowBorderDxfId="61" tableBorderDxfId="59">
  <autoFilter ref="C14:I19"/>
  <tableColumns count="7">
    <tableColumn id="1" name="TIPO" dataDxfId="58"/>
    <tableColumn id="2" name="DESCRIPCIÓN" dataDxfId="57"/>
    <tableColumn id="3" name="UNIDAD" dataDxfId="56"/>
    <tableColumn id="4" name="CANTIDAD" dataDxfId="55"/>
    <tableColumn id="5" name="VALOR UNITARIO " dataDxfId="54"/>
    <tableColumn id="6" name="RENDIMIENTO/DESPERDICIOS/USOS" dataDxfId="53"/>
    <tableColumn id="7" name="VALOR PARCIAL" dataDxfId="52" dataCellStyle="Normal_Macro APUS">
      <calculatedColumnFormula>(F15*G15*H15)</calculatedColumnFormula>
    </tableColumn>
  </tableColumns>
  <tableStyleInfo name="TableStyleMedium2" showFirstColumn="0" showLastColumn="0" showRowStripes="1" showColumnStripes="0"/>
</table>
</file>

<file path=xl/tables/table5.xml><?xml version="1.0" encoding="utf-8"?>
<table xmlns="http://schemas.openxmlformats.org/spreadsheetml/2006/main" id="6" name="Tabla6" displayName="Tabla6" ref="C39:I46" totalsRowShown="0" headerRowDxfId="51" dataDxfId="49" headerRowBorderDxfId="50" tableBorderDxfId="48">
  <autoFilter ref="C39:I46"/>
  <tableColumns count="7">
    <tableColumn id="1" name="TIPO" dataDxfId="47"/>
    <tableColumn id="2" name="DESCRIPCIÓN" dataDxfId="46"/>
    <tableColumn id="3" name="UNIDAD" dataDxfId="45"/>
    <tableColumn id="4" name="CANTIDAD" dataDxfId="44"/>
    <tableColumn id="5" name="VALOR UNITARIO " dataDxfId="43"/>
    <tableColumn id="6" name="RENDIMIENTO/DESPERDICIOS/USOS" dataDxfId="42"/>
    <tableColumn id="7" name="VALOR PARCIAL" dataDxfId="41" dataCellStyle="Normal_Macro APUS">
      <calculatedColumnFormula>(F40*G40*H40)</calculatedColumnFormula>
    </tableColumn>
  </tableColumns>
  <tableStyleInfo name="TableStyleMedium2" showFirstColumn="0" showLastColumn="0" showRowStripes="1" showColumnStripes="0"/>
</table>
</file>

<file path=xl/tables/table6.xml><?xml version="1.0" encoding="utf-8"?>
<table xmlns="http://schemas.openxmlformats.org/spreadsheetml/2006/main" id="8" name="Tabla8" displayName="Tabla8" ref="C48:I60" totalsRowShown="0" headerRowDxfId="40" dataDxfId="38" headerRowBorderDxfId="39" tableBorderDxfId="37">
  <autoFilter ref="C48:I60"/>
  <tableColumns count="7">
    <tableColumn id="1" name="TIPO" dataDxfId="36"/>
    <tableColumn id="2" name="DESCRIPCIÓN" dataDxfId="35"/>
    <tableColumn id="3" name="UNIDAD" dataDxfId="34"/>
    <tableColumn id="4" name="CANTIDAD" dataDxfId="33"/>
    <tableColumn id="5" name="VALOR UNITARIO " dataDxfId="32"/>
    <tableColumn id="6" name="RENDIMIENTO/DESPERDICIOS/USOS" dataDxfId="31"/>
    <tableColumn id="7" name="VALOR PARCIAL" dataDxfId="30" dataCellStyle="Normal_Macro APUS">
      <calculatedColumnFormula>(F49*G49*H49)</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9" name="Tabla9" displayName="Tabla9" ref="C62:I72" totalsRowShown="0" headerRowDxfId="29" dataDxfId="28" tableBorderDxfId="27">
  <tableColumns count="7">
    <tableColumn id="1" name="TIPO" dataDxfId="26"/>
    <tableColumn id="2" name="DESCRIPCIÓN" dataDxfId="25"/>
    <tableColumn id="3" name="UNIDAD" dataDxfId="24"/>
    <tableColumn id="4" name="CANTIDAD" dataDxfId="23"/>
    <tableColumn id="5" name="VALOR UNITARIO" dataDxfId="22"/>
    <tableColumn id="6" name="RENDIMIENTOS/DESPERDICIOS/USOS" dataDxfId="21"/>
    <tableColumn id="7" name="VALOR PARCIAL" dataDxfId="20">
      <calculatedColumnFormula>(F63*G63*H63)</calculatedColumnFormula>
    </tableColumn>
  </tableColumns>
  <tableStyleInfo name="TableStyleMedium2" showFirstColumn="0" showLastColumn="0" showRowStripes="1" showColumnStripes="0"/>
</table>
</file>

<file path=xl/tables/table8.xml><?xml version="1.0" encoding="utf-8"?>
<table xmlns="http://schemas.openxmlformats.org/spreadsheetml/2006/main" id="11" name="Tabla912" displayName="Tabla912" ref="C87:I95" totalsRowShown="0" headerRowDxfId="19" dataDxfId="18" tableBorderDxfId="17">
  <tableColumns count="7">
    <tableColumn id="1" name="TIPO" dataDxfId="16"/>
    <tableColumn id="2" name="DESCRIPCIÓN" dataDxfId="15"/>
    <tableColumn id="3" name="UNIDAD" dataDxfId="14"/>
    <tableColumn id="4" name="CANTIDAD" dataDxfId="13"/>
    <tableColumn id="5" name="VALOR UNITARIO" dataDxfId="12"/>
    <tableColumn id="6" name="RENDIMIENTOS/DESPERDICIOS/USOS" dataDxfId="11"/>
    <tableColumn id="7" name="VALOR PARCIAL" dataDxfId="10">
      <calculatedColumnFormula>(F88*G88*H88)</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4" name="Tabla95" displayName="Tabla95" ref="C74:I84" totalsRowShown="0" headerRowDxfId="9" dataDxfId="8" tableBorderDxfId="7">
  <tableColumns count="7">
    <tableColumn id="1" name="TIPO" dataDxfId="6"/>
    <tableColumn id="2" name="DESCRIPCIÓN" dataDxfId="5"/>
    <tableColumn id="3" name="UNIDAD" dataDxfId="4"/>
    <tableColumn id="4" name="CANTIDAD" dataDxfId="3"/>
    <tableColumn id="5" name="VALOR UNITARIO" dataDxfId="2"/>
    <tableColumn id="6" name="RENDIMIENTOS/DESPERDICIOS/USOS" dataDxfId="1"/>
    <tableColumn id="7" name="VALOR PARCIAL" dataDxfId="0">
      <calculatedColumnFormula>(F75*G75*H75)</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0.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1.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2.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3.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4.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5.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6.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27.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28.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9.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0.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1.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3.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4.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35.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36.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37.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38.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39.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0.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1.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2.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49"/>
  <sheetViews>
    <sheetView topLeftCell="A212" zoomScale="60" zoomScaleNormal="60" workbookViewId="0">
      <selection activeCell="I254" sqref="I254"/>
    </sheetView>
  </sheetViews>
  <sheetFormatPr baseColWidth="10" defaultColWidth="10.7109375" defaultRowHeight="15" x14ac:dyDescent="0.25"/>
  <cols>
    <col min="2" max="2" width="10.7109375" customWidth="1"/>
    <col min="3" max="3" width="82.140625" customWidth="1"/>
    <col min="4" max="4" width="35.140625" bestFit="1" customWidth="1"/>
    <col min="5" max="5" width="18.7109375" customWidth="1"/>
    <col min="6" max="6" width="24" customWidth="1"/>
    <col min="7" max="15" width="17.7109375" customWidth="1"/>
    <col min="16" max="18" width="18.7109375" bestFit="1" customWidth="1"/>
    <col min="19" max="19" width="19.140625" customWidth="1"/>
  </cols>
  <sheetData>
    <row r="1" spans="1:19" ht="67.5" customHeight="1" thickBot="1" x14ac:dyDescent="0.35">
      <c r="B1" s="1246" t="s">
        <v>4689</v>
      </c>
      <c r="C1" s="1247"/>
      <c r="D1" s="1247"/>
      <c r="E1" s="1247"/>
      <c r="F1" s="1247"/>
      <c r="G1" s="1247"/>
      <c r="H1" s="1247"/>
      <c r="I1" s="1247"/>
      <c r="J1" s="1247"/>
      <c r="K1" s="1247"/>
      <c r="L1" s="1247"/>
      <c r="M1" s="1247"/>
      <c r="N1" s="1247"/>
      <c r="O1" s="1247"/>
      <c r="P1" s="1247"/>
      <c r="Q1" s="1247"/>
      <c r="R1" s="1248"/>
    </row>
    <row r="2" spans="1:19" ht="42" customHeight="1" thickBot="1" x14ac:dyDescent="0.3">
      <c r="B2" s="1222" t="s">
        <v>4690</v>
      </c>
      <c r="C2" s="1223"/>
      <c r="D2" s="1223"/>
      <c r="E2" s="1223"/>
      <c r="F2" s="1223"/>
      <c r="G2" s="1223"/>
      <c r="H2" s="1223"/>
      <c r="I2" s="1223"/>
      <c r="J2" s="1223"/>
      <c r="K2" s="1223"/>
      <c r="L2" s="1223"/>
      <c r="M2" s="1223"/>
      <c r="N2" s="1223"/>
      <c r="O2" s="1223"/>
      <c r="P2" s="1223"/>
      <c r="Q2" s="1223"/>
      <c r="R2" s="1224"/>
    </row>
    <row r="3" spans="1:19" ht="15.75" thickBot="1" x14ac:dyDescent="0.3">
      <c r="A3" s="1191" t="s">
        <v>10</v>
      </c>
      <c r="B3" s="1191" t="s">
        <v>4583</v>
      </c>
      <c r="C3" s="1191" t="s">
        <v>9</v>
      </c>
      <c r="D3" s="1249" t="s">
        <v>4064</v>
      </c>
      <c r="E3" s="1192"/>
      <c r="F3" s="1249" t="s">
        <v>4080</v>
      </c>
      <c r="G3" s="1251" t="s">
        <v>4065</v>
      </c>
      <c r="H3" s="1251"/>
      <c r="I3" s="1251"/>
      <c r="J3" s="1252"/>
      <c r="K3" s="1253" t="s">
        <v>4066</v>
      </c>
      <c r="L3" s="1251"/>
      <c r="M3" s="1251"/>
      <c r="N3" s="1252"/>
      <c r="O3" s="1253" t="s">
        <v>4258</v>
      </c>
      <c r="P3" s="1251"/>
      <c r="Q3" s="1251"/>
      <c r="R3" s="1252"/>
    </row>
    <row r="4" spans="1:19" ht="15.75" thickBot="1" x14ac:dyDescent="0.3">
      <c r="A4" s="1193">
        <v>1</v>
      </c>
      <c r="B4" s="1193">
        <v>1</v>
      </c>
      <c r="C4" s="1192" t="s">
        <v>4067</v>
      </c>
      <c r="D4" s="1250"/>
      <c r="E4" s="1194"/>
      <c r="F4" s="1250"/>
      <c r="G4" s="1195" t="s">
        <v>4068</v>
      </c>
      <c r="H4" s="1196" t="s">
        <v>4069</v>
      </c>
      <c r="I4" s="1196" t="s">
        <v>4070</v>
      </c>
      <c r="J4" s="1196" t="s">
        <v>4071</v>
      </c>
      <c r="K4" s="1196" t="s">
        <v>4072</v>
      </c>
      <c r="L4" s="1196" t="s">
        <v>4073</v>
      </c>
      <c r="M4" s="1196" t="s">
        <v>4074</v>
      </c>
      <c r="N4" s="1197" t="s">
        <v>4075</v>
      </c>
      <c r="O4" s="1196" t="s">
        <v>4253</v>
      </c>
      <c r="P4" s="1196" t="s">
        <v>4254</v>
      </c>
      <c r="Q4" s="1196" t="s">
        <v>4255</v>
      </c>
      <c r="R4" s="1197" t="s">
        <v>4256</v>
      </c>
    </row>
    <row r="5" spans="1:19" ht="24.95" customHeight="1" x14ac:dyDescent="0.25">
      <c r="A5" s="1244" t="s">
        <v>4421</v>
      </c>
      <c r="B5" s="1244" t="s">
        <v>4624</v>
      </c>
      <c r="C5" s="1227" t="str">
        <f>VLOOKUP($B5,PRESUPUESTO!$C$3:$H$256,2,FALSE)</f>
        <v>DEMOLICIÓN PLACA DE CONTRAPISO EN CONCRETO SIMPLE.</v>
      </c>
      <c r="D5" s="1229">
        <f>VLOOKUP($B5,PRESUPUESTO!$C$3:$H$256,6,FALSE)</f>
        <v>1519299</v>
      </c>
      <c r="E5" s="553"/>
      <c r="F5" s="263" t="s">
        <v>4076</v>
      </c>
      <c r="G5" s="187">
        <v>1</v>
      </c>
      <c r="H5" s="185"/>
      <c r="I5" s="186"/>
      <c r="J5" s="554"/>
      <c r="K5" s="189"/>
      <c r="L5" s="260"/>
      <c r="M5" s="189"/>
      <c r="N5" s="189"/>
      <c r="O5" s="189"/>
      <c r="P5" s="260"/>
      <c r="Q5" s="186"/>
      <c r="R5" s="188"/>
    </row>
    <row r="6" spans="1:19" ht="24.95" customHeight="1" thickBot="1" x14ac:dyDescent="0.3">
      <c r="A6" s="1245"/>
      <c r="B6" s="1245"/>
      <c r="C6" s="1228" t="str">
        <f ca="1">VLOOKUP($C6,PRESUPUESTO!$C$3:$H$256,2,FALSE)</f>
        <v>INSTALACIONES ELECTRICAS</v>
      </c>
      <c r="D6" s="1230" t="str">
        <f ca="1">VLOOKUP($C6,PRESUPUESTO!$C$3:$H$256,2,FALSE)</f>
        <v>INSTALACIONES ELECTRICAS</v>
      </c>
      <c r="E6" s="560">
        <f>SUM(G6:R6)</f>
        <v>1519299</v>
      </c>
      <c r="F6" s="257" t="s">
        <v>4064</v>
      </c>
      <c r="G6" s="258">
        <f>(D5*G5)</f>
        <v>1519299</v>
      </c>
      <c r="I6" s="189"/>
      <c r="J6" s="555"/>
      <c r="K6" s="189"/>
      <c r="L6" s="258"/>
      <c r="M6" s="189"/>
      <c r="N6" s="189"/>
      <c r="O6" s="189"/>
      <c r="P6" s="258"/>
      <c r="Q6" s="189"/>
      <c r="R6" s="190"/>
      <c r="S6" s="249"/>
    </row>
    <row r="7" spans="1:19" ht="24.95" customHeight="1" x14ac:dyDescent="0.25">
      <c r="A7" s="1245" t="s">
        <v>4422</v>
      </c>
      <c r="B7" s="1245" t="s">
        <v>4625</v>
      </c>
      <c r="C7" s="1227" t="str">
        <f>VLOOKUP($B7,PRESUPUESTO!$C$3:$H$256,2,FALSE)</f>
        <v>DEMOLICIÓN DE MUROS EN BLOQUE DE CEMENTO O LADRILLO</v>
      </c>
      <c r="D7" s="1229">
        <f>VLOOKUP($B7,PRESUPUESTO!$C$3:$H$256,6,FALSE)</f>
        <v>5382207</v>
      </c>
      <c r="E7" s="560">
        <f t="shared" ref="E7:E62" si="0">SUM(G7:R7)</f>
        <v>1</v>
      </c>
      <c r="F7" s="257" t="s">
        <v>4076</v>
      </c>
      <c r="G7" s="191">
        <v>1</v>
      </c>
      <c r="H7" s="189"/>
      <c r="I7" s="189"/>
      <c r="J7" s="555"/>
      <c r="K7" s="260"/>
      <c r="L7" s="189"/>
      <c r="M7" s="189"/>
      <c r="N7" s="189"/>
      <c r="O7" s="260"/>
      <c r="P7" s="189"/>
      <c r="Q7" s="189"/>
      <c r="R7" s="190"/>
      <c r="S7" s="249"/>
    </row>
    <row r="8" spans="1:19" ht="24.95" customHeight="1" thickBot="1" x14ac:dyDescent="0.3">
      <c r="A8" s="1245"/>
      <c r="B8" s="1245"/>
      <c r="C8" s="1228" t="str">
        <f ca="1">VLOOKUP($C8,PRESUPUESTO!$C$3:$H$256,2,FALSE)</f>
        <v>INSTALACIONES ELECTRICAS</v>
      </c>
      <c r="D8" s="1230" t="str">
        <f ca="1">VLOOKUP($C8,PRESUPUESTO!$C$3:$H$256,2,FALSE)</f>
        <v>INSTALACIONES ELECTRICAS</v>
      </c>
      <c r="E8" s="560">
        <f t="shared" si="0"/>
        <v>5382207</v>
      </c>
      <c r="F8" s="257" t="s">
        <v>4064</v>
      </c>
      <c r="G8" s="258">
        <f>(G7*D7)</f>
        <v>5382207</v>
      </c>
      <c r="H8" s="189"/>
      <c r="I8" s="189"/>
      <c r="J8" s="555"/>
      <c r="K8" s="258"/>
      <c r="L8" s="189"/>
      <c r="M8" s="189"/>
      <c r="N8" s="189"/>
      <c r="O8" s="258"/>
      <c r="P8" s="189"/>
      <c r="Q8" s="189"/>
      <c r="R8" s="190"/>
      <c r="S8" s="249"/>
    </row>
    <row r="9" spans="1:19" ht="24.95" customHeight="1" x14ac:dyDescent="0.25">
      <c r="A9" s="1245" t="s">
        <v>4584</v>
      </c>
      <c r="B9" s="1245" t="s">
        <v>4626</v>
      </c>
      <c r="C9" s="1227" t="str">
        <f>VLOOKUP($B9,PRESUPUESTO!$C$3:$H$256,2,FALSE)</f>
        <v xml:space="preserve">DESMONTE DE ESTRUCTURA METALICA </v>
      </c>
      <c r="D9" s="1229">
        <f>VLOOKUP($B9,PRESUPUESTO!$C$3:$H$256,6,FALSE)</f>
        <v>129504</v>
      </c>
      <c r="E9" s="560">
        <f t="shared" si="0"/>
        <v>1</v>
      </c>
      <c r="F9" s="257" t="s">
        <v>4076</v>
      </c>
      <c r="G9" s="191">
        <v>0.7</v>
      </c>
      <c r="H9" s="191">
        <v>0.3</v>
      </c>
      <c r="I9" s="189"/>
      <c r="J9" s="555"/>
      <c r="K9" s="260"/>
      <c r="L9" s="189"/>
      <c r="M9" s="189"/>
      <c r="N9" s="189"/>
      <c r="O9" s="260"/>
      <c r="P9" s="189"/>
      <c r="Q9" s="189"/>
      <c r="R9" s="190"/>
      <c r="S9" s="249"/>
    </row>
    <row r="10" spans="1:19" ht="24.95" customHeight="1" thickBot="1" x14ac:dyDescent="0.3">
      <c r="A10" s="1245"/>
      <c r="B10" s="1245"/>
      <c r="C10" s="1228" t="str">
        <f ca="1">VLOOKUP($C10,PRESUPUESTO!$C$3:$H$256,2,FALSE)</f>
        <v>INSTALACIONES ELECTRICAS</v>
      </c>
      <c r="D10" s="1230" t="str">
        <f ca="1">VLOOKUP($C10,PRESUPUESTO!$C$3:$H$256,2,FALSE)</f>
        <v>INSTALACIONES ELECTRICAS</v>
      </c>
      <c r="E10" s="560">
        <f t="shared" si="0"/>
        <v>129503.99999999999</v>
      </c>
      <c r="F10" s="257" t="s">
        <v>4064</v>
      </c>
      <c r="G10" s="259">
        <f>($D9*G9)</f>
        <v>90652.799999999988</v>
      </c>
      <c r="H10" s="259">
        <f>($D9*H9)</f>
        <v>38851.199999999997</v>
      </c>
      <c r="I10" s="189"/>
      <c r="J10" s="555"/>
      <c r="K10" s="258"/>
      <c r="L10" s="189"/>
      <c r="M10" s="189"/>
      <c r="N10" s="189"/>
      <c r="O10" s="258"/>
      <c r="P10" s="189"/>
      <c r="Q10" s="189"/>
      <c r="R10" s="190"/>
      <c r="S10" s="249"/>
    </row>
    <row r="11" spans="1:19" ht="24.95" customHeight="1" x14ac:dyDescent="0.25">
      <c r="A11" s="1235" t="s">
        <v>4432</v>
      </c>
      <c r="B11" s="1235" t="s">
        <v>4630</v>
      </c>
      <c r="C11" s="1227" t="str">
        <f>VLOOKUP($B11,PRESUPUESTO!$C$3:$H$256,2,FALSE)</f>
        <v xml:space="preserve">SUMINISTRO, TRASPORTE E INSTALACIÓN PUNTO SANITARIO EN DIAMETRO 4" </v>
      </c>
      <c r="D11" s="1229">
        <f>VLOOKUP($B11,PRESUPUESTO!$C$3:$H$256,6,FALSE)</f>
        <v>373053</v>
      </c>
      <c r="E11" s="560">
        <f t="shared" si="0"/>
        <v>1</v>
      </c>
      <c r="F11" s="257" t="s">
        <v>4076</v>
      </c>
      <c r="G11" s="258"/>
      <c r="H11" s="191">
        <v>1</v>
      </c>
      <c r="I11" s="189"/>
      <c r="J11" s="555"/>
      <c r="K11" s="189"/>
      <c r="L11" s="189"/>
      <c r="M11" s="189"/>
      <c r="N11" s="189"/>
      <c r="O11" s="189"/>
      <c r="P11" s="189"/>
      <c r="Q11" s="189"/>
      <c r="R11" s="190"/>
      <c r="S11" s="249"/>
    </row>
    <row r="12" spans="1:19" ht="24.95" customHeight="1" thickBot="1" x14ac:dyDescent="0.3">
      <c r="A12" s="1235"/>
      <c r="B12" s="1235"/>
      <c r="C12" s="1228" t="str">
        <f ca="1">VLOOKUP($C12,PRESUPUESTO!$C$3:$H$256,2,FALSE)</f>
        <v>INSTALACIONES ELECTRICAS</v>
      </c>
      <c r="D12" s="1230" t="str">
        <f ca="1">VLOOKUP($C12,PRESUPUESTO!$C$3:$H$256,2,FALSE)</f>
        <v>INSTALACIONES ELECTRICAS</v>
      </c>
      <c r="E12" s="560">
        <f t="shared" si="0"/>
        <v>373053</v>
      </c>
      <c r="F12" s="257" t="s">
        <v>4064</v>
      </c>
      <c r="G12" s="258"/>
      <c r="H12" s="259">
        <f>($D11*H11)</f>
        <v>373053</v>
      </c>
      <c r="I12" s="189"/>
      <c r="J12" s="555"/>
      <c r="K12" s="189"/>
      <c r="L12" s="189"/>
      <c r="M12" s="189"/>
      <c r="N12" s="189"/>
      <c r="O12" s="189"/>
      <c r="P12" s="189"/>
      <c r="Q12" s="189"/>
      <c r="R12" s="190"/>
      <c r="S12" s="249"/>
    </row>
    <row r="13" spans="1:19" ht="24.95" customHeight="1" x14ac:dyDescent="0.25">
      <c r="A13" s="1235" t="s">
        <v>4437</v>
      </c>
      <c r="B13" s="1235" t="s">
        <v>4631</v>
      </c>
      <c r="C13" s="1227" t="str">
        <f>VLOOKUP($B13,PRESUPUESTO!$C$3:$H$256,2,FALSE)</f>
        <v xml:space="preserve">SUMINISTRO, TRASPORTE E INSTALACIÓN PUNTO SANITARIO EN DIAMETRO 2" </v>
      </c>
      <c r="D13" s="1229">
        <f>VLOOKUP($B13,PRESUPUESTO!$C$3:$H$256,6,FALSE)</f>
        <v>804738</v>
      </c>
      <c r="E13" s="560">
        <f t="shared" si="0"/>
        <v>1</v>
      </c>
      <c r="F13" s="257" t="s">
        <v>4076</v>
      </c>
      <c r="G13" s="260"/>
      <c r="H13" s="260"/>
      <c r="I13" s="191">
        <v>1</v>
      </c>
      <c r="J13" s="555"/>
      <c r="K13" s="189"/>
      <c r="L13" s="189"/>
      <c r="M13" s="189"/>
      <c r="N13" s="189"/>
      <c r="O13" s="189"/>
      <c r="P13" s="189"/>
      <c r="Q13" s="189"/>
      <c r="R13" s="190"/>
      <c r="S13" s="249"/>
    </row>
    <row r="14" spans="1:19" ht="24.95" customHeight="1" thickBot="1" x14ac:dyDescent="0.3">
      <c r="A14" s="1235"/>
      <c r="B14" s="1235"/>
      <c r="C14" s="1228" t="str">
        <f ca="1">VLOOKUP($C14,PRESUPUESTO!$C$3:$H$256,2,FALSE)</f>
        <v>INSTALACIONES ELECTRICAS</v>
      </c>
      <c r="D14" s="1230" t="str">
        <f ca="1">VLOOKUP($C14,PRESUPUESTO!$C$3:$H$256,2,FALSE)</f>
        <v>INSTALACIONES ELECTRICAS</v>
      </c>
      <c r="E14" s="560">
        <f t="shared" si="0"/>
        <v>804738</v>
      </c>
      <c r="F14" s="257" t="s">
        <v>4064</v>
      </c>
      <c r="G14" s="258"/>
      <c r="H14" s="258"/>
      <c r="I14" s="259">
        <f>($D13*I13)</f>
        <v>804738</v>
      </c>
      <c r="J14" s="555"/>
      <c r="K14" s="189"/>
      <c r="L14" s="189"/>
      <c r="M14" s="189"/>
      <c r="N14" s="189"/>
      <c r="O14" s="189"/>
      <c r="P14" s="189"/>
      <c r="Q14" s="189"/>
      <c r="R14" s="190"/>
      <c r="S14" s="249"/>
    </row>
    <row r="15" spans="1:19" ht="24.95" customHeight="1" x14ac:dyDescent="0.25">
      <c r="A15" s="1235" t="s">
        <v>4486</v>
      </c>
      <c r="B15" s="1235" t="s">
        <v>4632</v>
      </c>
      <c r="C15" s="1227" t="str">
        <f>VLOOKUP($B15,PRESUPUESTO!$C$3:$H$256,2,FALSE)</f>
        <v>TRASLADO DE TANQUES DE AGUA</v>
      </c>
      <c r="D15" s="1229">
        <f>VLOOKUP($B15,PRESUPUESTO!$C$3:$H$256,6,FALSE)</f>
        <v>328694</v>
      </c>
      <c r="E15" s="560">
        <f t="shared" si="0"/>
        <v>1</v>
      </c>
      <c r="F15" s="257" t="s">
        <v>4076</v>
      </c>
      <c r="G15" s="260"/>
      <c r="H15" s="260"/>
      <c r="I15" s="191">
        <v>1</v>
      </c>
      <c r="J15" s="555"/>
      <c r="K15" s="189"/>
      <c r="L15" s="189"/>
      <c r="M15" s="189"/>
      <c r="N15" s="189"/>
      <c r="O15" s="189"/>
      <c r="P15" s="189"/>
      <c r="Q15" s="189"/>
      <c r="R15" s="190"/>
      <c r="S15" s="249"/>
    </row>
    <row r="16" spans="1:19" ht="24.95" customHeight="1" thickBot="1" x14ac:dyDescent="0.3">
      <c r="A16" s="1235"/>
      <c r="B16" s="1235"/>
      <c r="C16" s="1228" t="str">
        <f ca="1">VLOOKUP($C16,PRESUPUESTO!$C$3:$H$256,2,FALSE)</f>
        <v>INSTALACIONES ELECTRICAS</v>
      </c>
      <c r="D16" s="1230" t="str">
        <f ca="1">VLOOKUP($C16,PRESUPUESTO!$C$3:$H$256,2,FALSE)</f>
        <v>INSTALACIONES ELECTRICAS</v>
      </c>
      <c r="E16" s="560">
        <f t="shared" si="0"/>
        <v>328694</v>
      </c>
      <c r="F16" s="257" t="s">
        <v>4064</v>
      </c>
      <c r="G16" s="258"/>
      <c r="H16" s="258"/>
      <c r="I16" s="259">
        <f>($D15*I15)</f>
        <v>328694</v>
      </c>
      <c r="J16" s="555"/>
      <c r="K16" s="189"/>
      <c r="L16" s="189"/>
      <c r="M16" s="189"/>
      <c r="N16" s="189"/>
      <c r="O16" s="189"/>
      <c r="P16" s="189"/>
      <c r="Q16" s="189"/>
      <c r="R16" s="190"/>
      <c r="S16" s="249"/>
    </row>
    <row r="17" spans="1:19" ht="24.95" customHeight="1" x14ac:dyDescent="0.25">
      <c r="A17" s="1243" t="s">
        <v>4490</v>
      </c>
      <c r="B17" s="1243" t="s">
        <v>4633</v>
      </c>
      <c r="C17" s="1227" t="str">
        <f>VLOOKUP($B17,PRESUPUESTO!$C$3:$H$256,2,FALSE)</f>
        <v xml:space="preserve">BORDILLO EN CONCRETO DE 3000 PSI DE 0.10 DE ALTURA Y 0.10 DE ESPESOR PARA SEPARAR SECCIÓN INTERMEDIA DE SECCIÓN LIMPIA </v>
      </c>
      <c r="D17" s="1229">
        <f>VLOOKUP($B17,PRESUPUESTO!$C$3:$H$256,6,FALSE)</f>
        <v>1128914</v>
      </c>
      <c r="E17" s="560">
        <f t="shared" si="0"/>
        <v>1</v>
      </c>
      <c r="F17" s="257" t="s">
        <v>4076</v>
      </c>
      <c r="G17" s="258"/>
      <c r="H17" s="189"/>
      <c r="I17" s="189"/>
      <c r="J17" s="556">
        <v>1</v>
      </c>
      <c r="K17" s="189"/>
      <c r="L17" s="189"/>
      <c r="M17" s="189"/>
      <c r="N17" s="189"/>
      <c r="O17" s="189"/>
      <c r="P17" s="189"/>
      <c r="Q17" s="189"/>
      <c r="R17" s="190"/>
      <c r="S17" s="249"/>
    </row>
    <row r="18" spans="1:19" ht="24.95" customHeight="1" thickBot="1" x14ac:dyDescent="0.3">
      <c r="A18" s="1243"/>
      <c r="B18" s="1243"/>
      <c r="C18" s="1228" t="str">
        <f ca="1">VLOOKUP($C18,PRESUPUESTO!$C$3:$H$256,2,FALSE)</f>
        <v>INSTALACIONES ELECTRICAS</v>
      </c>
      <c r="D18" s="1230" t="e">
        <f ca="1">VLOOKUP($C18,PRESUPUESTO!$C$3:$H$256,2,FALSE)</f>
        <v>#N/A</v>
      </c>
      <c r="E18" s="560">
        <f t="shared" si="0"/>
        <v>1128914</v>
      </c>
      <c r="F18" s="257" t="s">
        <v>4064</v>
      </c>
      <c r="G18" s="258"/>
      <c r="H18" s="189"/>
      <c r="I18" s="189"/>
      <c r="J18" s="557">
        <f>($D17*J17)</f>
        <v>1128914</v>
      </c>
      <c r="K18" s="189"/>
      <c r="L18" s="189"/>
      <c r="M18" s="189"/>
      <c r="N18" s="189"/>
      <c r="O18" s="189"/>
      <c r="P18" s="189"/>
      <c r="Q18" s="189"/>
      <c r="R18" s="190"/>
      <c r="S18" s="249"/>
    </row>
    <row r="19" spans="1:19" ht="24.95" customHeight="1" x14ac:dyDescent="0.25">
      <c r="A19" s="1243" t="s">
        <v>4491</v>
      </c>
      <c r="B19" s="1243" t="s">
        <v>4634</v>
      </c>
      <c r="C19" s="1227" t="str">
        <f>VLOOKUP($B19,PRESUPUESTO!$C$3:$H$256,2,FALSE)</f>
        <v>CONSTRUCCIÓN CANAL RECOLECTORA CENTRAL SEMICIRCULAR D=8" EN TUBERIA NOVAFORT</v>
      </c>
      <c r="D19" s="1229">
        <f>VLOOKUP($B19,PRESUPUESTO!$C$3:$H$256,6,FALSE)</f>
        <v>3042562</v>
      </c>
      <c r="E19" s="560">
        <f t="shared" si="0"/>
        <v>1</v>
      </c>
      <c r="F19" s="257" t="s">
        <v>4076</v>
      </c>
      <c r="G19" s="258"/>
      <c r="H19" s="258"/>
      <c r="I19" s="258"/>
      <c r="J19" s="556">
        <v>1</v>
      </c>
      <c r="K19" s="189"/>
      <c r="L19" s="189"/>
      <c r="M19" s="189"/>
      <c r="N19" s="189"/>
      <c r="O19" s="189"/>
      <c r="P19" s="189"/>
      <c r="Q19" s="189"/>
      <c r="R19" s="190"/>
      <c r="S19" s="249"/>
    </row>
    <row r="20" spans="1:19" ht="24.95" customHeight="1" thickBot="1" x14ac:dyDescent="0.3">
      <c r="A20" s="1235"/>
      <c r="B20" s="1235"/>
      <c r="C20" s="1228" t="str">
        <f ca="1">VLOOKUP($C20,PRESUPUESTO!$C$3:$H$256,2,FALSE)</f>
        <v>INSTALACIONES ELECTRICAS</v>
      </c>
      <c r="D20" s="1230" t="e">
        <f ca="1">VLOOKUP($C20,PRESUPUESTO!$C$3:$H$256,2,FALSE)</f>
        <v>#N/A</v>
      </c>
      <c r="E20" s="560">
        <f t="shared" si="0"/>
        <v>3042562</v>
      </c>
      <c r="F20" s="257" t="s">
        <v>4064</v>
      </c>
      <c r="G20" s="258"/>
      <c r="H20" s="258"/>
      <c r="I20" s="258"/>
      <c r="J20" s="557">
        <f>($D19*J19)</f>
        <v>3042562</v>
      </c>
      <c r="K20" s="189"/>
      <c r="L20" s="189"/>
      <c r="M20" s="189"/>
      <c r="N20" s="189"/>
      <c r="O20" s="189"/>
      <c r="P20" s="189"/>
      <c r="Q20" s="189"/>
      <c r="R20" s="190"/>
      <c r="S20" s="249"/>
    </row>
    <row r="21" spans="1:19" ht="24.95" customHeight="1" x14ac:dyDescent="0.25">
      <c r="A21" s="1235" t="s">
        <v>5103</v>
      </c>
      <c r="B21" s="1241" t="s">
        <v>4635</v>
      </c>
      <c r="C21" s="1227" t="str">
        <f>VLOOKUP($B21,PRESUPUESTO!$C$3:$H$256,2,FALSE)</f>
        <v>SUMINISTRO, TRASNPORTE E INSTALACIÓN DE LOSA DE CONCRETO REFORZADO DE 12 CM DE ESPESOR (INLCLUYE ACERO DE REFUERZO MALLA ELECTROSOLDADA)</v>
      </c>
      <c r="D21" s="1229">
        <f>VLOOKUP($B21,PRESUPUESTO!$C$3:$H$256,6,FALSE)</f>
        <v>4131639</v>
      </c>
      <c r="E21" s="560">
        <f t="shared" si="0"/>
        <v>1</v>
      </c>
      <c r="F21" s="257" t="s">
        <v>4076</v>
      </c>
      <c r="G21" s="258"/>
      <c r="H21" s="189"/>
      <c r="I21" s="189"/>
      <c r="J21" s="555"/>
      <c r="K21" s="189"/>
      <c r="L21" s="189"/>
      <c r="M21" s="189"/>
      <c r="N21" s="191">
        <v>1</v>
      </c>
      <c r="O21" s="189"/>
      <c r="P21" s="189"/>
      <c r="Q21" s="189"/>
      <c r="R21" s="190"/>
      <c r="S21" s="249"/>
    </row>
    <row r="22" spans="1:19" ht="24.95" customHeight="1" thickBot="1" x14ac:dyDescent="0.3">
      <c r="A22" s="1235"/>
      <c r="B22" s="1242"/>
      <c r="C22" s="1228" t="str">
        <f ca="1">VLOOKUP($C22,PRESUPUESTO!$C$3:$H$256,2,FALSE)</f>
        <v>INSTALACIONES ELECTRICAS</v>
      </c>
      <c r="D22" s="1230" t="e">
        <f ca="1">VLOOKUP($C22,PRESUPUESTO!$C$3:$H$256,2,FALSE)</f>
        <v>#N/A</v>
      </c>
      <c r="E22" s="560">
        <f t="shared" si="0"/>
        <v>4131639</v>
      </c>
      <c r="F22" s="257" t="s">
        <v>4064</v>
      </c>
      <c r="G22" s="258"/>
      <c r="H22" s="189"/>
      <c r="I22" s="189"/>
      <c r="J22" s="555"/>
      <c r="K22" s="189"/>
      <c r="L22" s="189"/>
      <c r="M22" s="189"/>
      <c r="N22" s="259">
        <f>($D21*N21)</f>
        <v>4131639</v>
      </c>
      <c r="O22" s="189"/>
      <c r="P22" s="189"/>
      <c r="Q22" s="189"/>
      <c r="R22" s="190"/>
      <c r="S22" s="249"/>
    </row>
    <row r="23" spans="1:19" ht="24.95" customHeight="1" x14ac:dyDescent="0.25">
      <c r="A23" s="1235" t="s">
        <v>5104</v>
      </c>
      <c r="B23" s="1241" t="s">
        <v>4629</v>
      </c>
      <c r="C23" s="1227" t="str">
        <f>VLOOKUP($B23,PRESUPUESTO!$C$3:$H$256,2,FALSE)</f>
        <v>SUMINISTRO TRANSPORTE E INSTALACIÓN VIGA CINTA DE AMARRE CULATA DE 0,13 * 0,10 M EN CONCRETO DE 3000 PSI, INCLUYE ACERO DE REFUERZO</v>
      </c>
      <c r="D23" s="1229">
        <f>VLOOKUP($B23,PRESUPUESTO!$C$3:$H$256,6,FALSE)</f>
        <v>1325526</v>
      </c>
      <c r="E23" s="560">
        <f t="shared" si="0"/>
        <v>1</v>
      </c>
      <c r="F23" s="257" t="s">
        <v>4076</v>
      </c>
      <c r="G23" s="258"/>
      <c r="H23" s="189"/>
      <c r="I23" s="189"/>
      <c r="J23" s="556">
        <v>1</v>
      </c>
      <c r="K23" s="189"/>
      <c r="L23" s="189"/>
      <c r="M23" s="189"/>
      <c r="N23" s="189"/>
      <c r="O23" s="189"/>
      <c r="P23" s="189"/>
      <c r="Q23" s="189"/>
      <c r="R23" s="190"/>
      <c r="S23" s="249"/>
    </row>
    <row r="24" spans="1:19" ht="24.95" customHeight="1" thickBot="1" x14ac:dyDescent="0.3">
      <c r="A24" s="1235"/>
      <c r="B24" s="1242"/>
      <c r="C24" s="1228" t="str">
        <f ca="1">VLOOKUP($C24,PRESUPUESTO!$C$3:$H$256,2,FALSE)</f>
        <v>INSTALACIONES ELECTRICAS</v>
      </c>
      <c r="D24" s="1230" t="e">
        <f ca="1">VLOOKUP($C24,PRESUPUESTO!$C$3:$H$256,2,FALSE)</f>
        <v>#N/A</v>
      </c>
      <c r="E24" s="560">
        <f t="shared" si="0"/>
        <v>1325526</v>
      </c>
      <c r="F24" s="257" t="s">
        <v>4064</v>
      </c>
      <c r="G24" s="258"/>
      <c r="H24" s="189"/>
      <c r="I24" s="189"/>
      <c r="J24" s="557">
        <f>($D23*J23)</f>
        <v>1325526</v>
      </c>
      <c r="K24" s="189"/>
      <c r="L24" s="189"/>
      <c r="M24" s="189"/>
      <c r="N24" s="189"/>
      <c r="O24" s="189"/>
      <c r="P24" s="189"/>
      <c r="Q24" s="189"/>
      <c r="R24" s="190"/>
      <c r="S24" s="249"/>
    </row>
    <row r="25" spans="1:19" ht="24.95" customHeight="1" x14ac:dyDescent="0.25">
      <c r="A25" s="1235" t="s">
        <v>5105</v>
      </c>
      <c r="B25" s="1241" t="s">
        <v>4636</v>
      </c>
      <c r="C25" s="1227" t="str">
        <f>VLOOKUP($B25,PRESUPUESTO!$C$3:$H$256,2,FALSE)</f>
        <v xml:space="preserve">  SUMINISTRO TRANSPORTE E INSTALACIÓN COLUMNETA DE CONFINAMIENTO PARA MURO  DE 0,13 * 0,20 M EN CONCRETO DE 3000 PSI, INCLUYE ACERO DE REFUERZO</v>
      </c>
      <c r="D25" s="1229">
        <f>VLOOKUP($B25,PRESUPUESTO!$C$3:$H$256,6,FALSE)</f>
        <v>4608106</v>
      </c>
      <c r="E25" s="560">
        <f t="shared" si="0"/>
        <v>1</v>
      </c>
      <c r="F25" s="257" t="s">
        <v>4076</v>
      </c>
      <c r="G25" s="258"/>
      <c r="H25" s="189"/>
      <c r="I25" s="189"/>
      <c r="J25" s="556">
        <v>1</v>
      </c>
      <c r="K25" s="189"/>
      <c r="L25" s="189"/>
      <c r="M25" s="189"/>
      <c r="N25" s="189"/>
      <c r="O25" s="189"/>
      <c r="P25" s="189"/>
      <c r="Q25" s="189"/>
      <c r="R25" s="190"/>
      <c r="S25" s="249"/>
    </row>
    <row r="26" spans="1:19" ht="24.95" customHeight="1" thickBot="1" x14ac:dyDescent="0.3">
      <c r="A26" s="1235"/>
      <c r="B26" s="1242"/>
      <c r="C26" s="1228" t="str">
        <f ca="1">VLOOKUP($C26,PRESUPUESTO!$C$3:$H$256,2,FALSE)</f>
        <v>INSTALACIONES ELECTRICAS</v>
      </c>
      <c r="D26" s="1230" t="e">
        <f ca="1">VLOOKUP($C26,PRESUPUESTO!$C$3:$H$256,2,FALSE)</f>
        <v>#N/A</v>
      </c>
      <c r="E26" s="560">
        <f t="shared" si="0"/>
        <v>4608106</v>
      </c>
      <c r="F26" s="257" t="s">
        <v>4064</v>
      </c>
      <c r="G26" s="258"/>
      <c r="H26" s="189"/>
      <c r="I26" s="189"/>
      <c r="J26" s="557">
        <f>($D25*J25)</f>
        <v>4608106</v>
      </c>
      <c r="K26" s="189"/>
      <c r="L26" s="189"/>
      <c r="M26" s="189"/>
      <c r="N26" s="189"/>
      <c r="O26" s="189"/>
      <c r="P26" s="189"/>
      <c r="Q26" s="189"/>
      <c r="R26" s="190"/>
      <c r="S26" s="249"/>
    </row>
    <row r="27" spans="1:19" ht="24.95" customHeight="1" x14ac:dyDescent="0.25">
      <c r="A27" s="1235" t="s">
        <v>5106</v>
      </c>
      <c r="B27" s="1235" t="s">
        <v>4637</v>
      </c>
      <c r="C27" s="1227" t="str">
        <f>VLOOKUP($B27,PRESUPUESTO!$C$3:$H$256,2,FALSE)</f>
        <v>ESTRUCTURA METÁLICA PARA SOPORTE DE CUBIERTA EN PERFILERÍA TIPO C 120X60 3MM. (INCLUYE TEJA DE FIBROCEMENTO PERFIL 7 Y ACCESORIOS PARA INSTALACIÓN)</v>
      </c>
      <c r="D27" s="1229">
        <f>VLOOKUP($B27,PRESUPUESTO!$C$3:$H$256,6,FALSE)</f>
        <v>1602342</v>
      </c>
      <c r="E27" s="560">
        <f t="shared" si="0"/>
        <v>1</v>
      </c>
      <c r="F27" s="257" t="s">
        <v>4076</v>
      </c>
      <c r="G27" s="258"/>
      <c r="H27" s="189"/>
      <c r="I27" s="189"/>
      <c r="J27" s="556">
        <v>0.5</v>
      </c>
      <c r="K27" s="191">
        <v>0.5</v>
      </c>
      <c r="L27" s="189"/>
      <c r="M27" s="189"/>
      <c r="N27" s="189"/>
      <c r="O27" s="189"/>
      <c r="P27" s="189"/>
      <c r="Q27" s="189"/>
      <c r="R27" s="190"/>
      <c r="S27" s="249"/>
    </row>
    <row r="28" spans="1:19" ht="24.95" customHeight="1" thickBot="1" x14ac:dyDescent="0.3">
      <c r="A28" s="1235"/>
      <c r="B28" s="1235"/>
      <c r="C28" s="1228" t="str">
        <f ca="1">VLOOKUP($C28,PRESUPUESTO!$C$3:$H$256,2,FALSE)</f>
        <v>INSTALACIONES ELECTRICAS</v>
      </c>
      <c r="D28" s="1230" t="e">
        <f ca="1">VLOOKUP($C28,PRESUPUESTO!$C$3:$H$256,2,FALSE)</f>
        <v>#N/A</v>
      </c>
      <c r="E28" s="560">
        <f t="shared" si="0"/>
        <v>1602342</v>
      </c>
      <c r="F28" s="257" t="s">
        <v>4064</v>
      </c>
      <c r="G28" s="258"/>
      <c r="H28" s="189"/>
      <c r="I28" s="189"/>
      <c r="J28" s="557">
        <f>($D27*J27)</f>
        <v>801171</v>
      </c>
      <c r="K28" s="259">
        <f>($D27*K27)</f>
        <v>801171</v>
      </c>
      <c r="L28" s="189"/>
      <c r="M28" s="189"/>
      <c r="N28" s="189"/>
      <c r="O28" s="189"/>
      <c r="P28" s="189"/>
      <c r="Q28" s="189"/>
      <c r="R28" s="190"/>
      <c r="S28" s="249"/>
    </row>
    <row r="29" spans="1:19" ht="24.95" customHeight="1" x14ac:dyDescent="0.25">
      <c r="A29" s="1235" t="s">
        <v>5109</v>
      </c>
      <c r="B29" s="1235" t="s">
        <v>4638</v>
      </c>
      <c r="C29" s="1227" t="str">
        <f>VLOOKUP($B29,PRESUPUESTO!$C$3:$H$256,2,FALSE)</f>
        <v>SUMINISTRO, TRANSPORTE E INSTALACIÓN DE MUROS DIVISORIOS EN LADRILLO FAROL DE 0,13*0,20*0,30, incluye mortero 1:3</v>
      </c>
      <c r="D29" s="1229">
        <f>VLOOKUP($B29,PRESUPUESTO!$C$3:$H$256,6,FALSE)</f>
        <v>6854024</v>
      </c>
      <c r="E29" s="560">
        <f t="shared" si="0"/>
        <v>1</v>
      </c>
      <c r="F29" s="257" t="s">
        <v>4076</v>
      </c>
      <c r="G29" s="258"/>
      <c r="H29" s="189"/>
      <c r="I29" s="191">
        <v>0.5</v>
      </c>
      <c r="J29" s="556">
        <v>0.5</v>
      </c>
      <c r="K29" s="189"/>
      <c r="L29" s="189"/>
      <c r="M29" s="189"/>
      <c r="N29" s="189"/>
      <c r="O29" s="189"/>
      <c r="P29" s="189"/>
      <c r="Q29" s="189"/>
      <c r="R29" s="190"/>
      <c r="S29" s="249"/>
    </row>
    <row r="30" spans="1:19" ht="24.95" customHeight="1" thickBot="1" x14ac:dyDescent="0.3">
      <c r="A30" s="1235"/>
      <c r="B30" s="1235"/>
      <c r="C30" s="1228" t="str">
        <f ca="1">VLOOKUP($C30,PRESUPUESTO!$C$3:$H$256,2,FALSE)</f>
        <v>INSTALACIONES ELECTRICAS</v>
      </c>
      <c r="D30" s="1230" t="e">
        <f ca="1">VLOOKUP($C30,PRESUPUESTO!$C$3:$H$256,2,FALSE)</f>
        <v>#N/A</v>
      </c>
      <c r="E30" s="560">
        <f t="shared" si="0"/>
        <v>6854024</v>
      </c>
      <c r="F30" s="257" t="s">
        <v>4064</v>
      </c>
      <c r="G30" s="258"/>
      <c r="H30" s="189"/>
      <c r="I30" s="259">
        <f>($D29*I29)</f>
        <v>3427012</v>
      </c>
      <c r="J30" s="557">
        <f>($D29*J29)</f>
        <v>3427012</v>
      </c>
      <c r="K30" s="189"/>
      <c r="L30" s="189"/>
      <c r="M30" s="189"/>
      <c r="N30" s="189"/>
      <c r="O30" s="189"/>
      <c r="P30" s="189"/>
      <c r="Q30" s="189"/>
      <c r="R30" s="190"/>
      <c r="S30" s="249"/>
    </row>
    <row r="31" spans="1:19" ht="24.95" customHeight="1" x14ac:dyDescent="0.25">
      <c r="A31" s="1235" t="s">
        <v>4426</v>
      </c>
      <c r="B31" s="1235" t="s">
        <v>4639</v>
      </c>
      <c r="C31" s="1227" t="str">
        <f>VLOOKUP($B31,PRESUPUESTO!$C$3:$H$256,2,FALSE)</f>
        <v>SUMINISTRO TRANPORTE E INSTALACIÓN REVOQUE CON MORTERO 1:3 IMPERMEABILIZADO INTEGRALMENTE, E=0,02 M</v>
      </c>
      <c r="D31" s="1229">
        <f>VLOOKUP($B31,PRESUPUESTO!$C$3:$H$256,6,FALSE)</f>
        <v>2958701</v>
      </c>
      <c r="E31" s="560">
        <f t="shared" si="0"/>
        <v>1</v>
      </c>
      <c r="F31" s="257" t="s">
        <v>4076</v>
      </c>
      <c r="G31" s="258"/>
      <c r="H31" s="189"/>
      <c r="I31" s="189"/>
      <c r="J31" s="555"/>
      <c r="K31" s="191">
        <v>0.5</v>
      </c>
      <c r="L31" s="191">
        <v>0.5</v>
      </c>
      <c r="M31" s="189"/>
      <c r="N31" s="189"/>
      <c r="O31" s="189"/>
      <c r="P31" s="189"/>
      <c r="Q31" s="189"/>
      <c r="R31" s="190"/>
      <c r="S31" s="249"/>
    </row>
    <row r="32" spans="1:19" ht="24.95" customHeight="1" thickBot="1" x14ac:dyDescent="0.3">
      <c r="A32" s="1235"/>
      <c r="B32" s="1235"/>
      <c r="C32" s="1228" t="str">
        <f ca="1">VLOOKUP($C32,PRESUPUESTO!$C$3:$H$256,2,FALSE)</f>
        <v>INSTALACIONES ELECTRICAS</v>
      </c>
      <c r="D32" s="1230" t="e">
        <f ca="1">VLOOKUP($C32,PRESUPUESTO!$C$3:$H$256,2,FALSE)</f>
        <v>#N/A</v>
      </c>
      <c r="E32" s="560">
        <f t="shared" si="0"/>
        <v>2958701</v>
      </c>
      <c r="F32" s="257" t="s">
        <v>4064</v>
      </c>
      <c r="G32" s="258"/>
      <c r="H32" s="189"/>
      <c r="I32" s="189"/>
      <c r="J32" s="555"/>
      <c r="K32" s="259">
        <f>($D31*K31)</f>
        <v>1479350.5</v>
      </c>
      <c r="L32" s="259">
        <f>($D31*L31)</f>
        <v>1479350.5</v>
      </c>
      <c r="M32" s="189"/>
      <c r="N32" s="189"/>
      <c r="O32" s="189"/>
      <c r="P32" s="189"/>
      <c r="Q32" s="189"/>
      <c r="R32" s="190"/>
      <c r="S32" s="249"/>
    </row>
    <row r="33" spans="1:19" ht="24.95" customHeight="1" x14ac:dyDescent="0.25">
      <c r="A33" s="1235" t="s">
        <v>4427</v>
      </c>
      <c r="B33" s="1235" t="s">
        <v>4640</v>
      </c>
      <c r="C33" s="1227" t="str">
        <f>VLOOKUP($B33,PRESUPUESTO!$C$3:$H$256,2,FALSE)</f>
        <v xml:space="preserve">RESANE CON MORTERO 1:3 PARA CONFORMACIÓN DE CARTERA PARA VANO DE VENTANA </v>
      </c>
      <c r="D33" s="1229">
        <f>VLOOKUP($B33,PRESUPUESTO!$C$3:$H$256,6,FALSE)</f>
        <v>172837</v>
      </c>
      <c r="E33" s="560">
        <f t="shared" si="0"/>
        <v>1</v>
      </c>
      <c r="F33" s="257" t="s">
        <v>4076</v>
      </c>
      <c r="G33" s="258"/>
      <c r="H33" s="189"/>
      <c r="I33" s="191">
        <v>0.5</v>
      </c>
      <c r="J33" s="556">
        <v>0.5</v>
      </c>
      <c r="K33" s="189"/>
      <c r="L33" s="189"/>
      <c r="M33" s="189"/>
      <c r="N33" s="189"/>
      <c r="O33" s="189"/>
      <c r="P33" s="189"/>
      <c r="Q33" s="189"/>
      <c r="R33" s="190"/>
      <c r="S33" s="249"/>
    </row>
    <row r="34" spans="1:19" ht="24.95" customHeight="1" thickBot="1" x14ac:dyDescent="0.3">
      <c r="A34" s="1235"/>
      <c r="B34" s="1235"/>
      <c r="C34" s="1228" t="str">
        <f ca="1">VLOOKUP($C34,PRESUPUESTO!$C$3:$H$256,2,FALSE)</f>
        <v>INSTALACIONES ELECTRICAS</v>
      </c>
      <c r="D34" s="1230" t="e">
        <f ca="1">VLOOKUP($C34,PRESUPUESTO!$C$3:$H$256,2,FALSE)</f>
        <v>#N/A</v>
      </c>
      <c r="E34" s="560">
        <f t="shared" si="0"/>
        <v>172837</v>
      </c>
      <c r="F34" s="257" t="s">
        <v>4064</v>
      </c>
      <c r="G34" s="258"/>
      <c r="H34" s="189"/>
      <c r="I34" s="259">
        <f>($D33*I33)</f>
        <v>86418.5</v>
      </c>
      <c r="J34" s="557">
        <f>($D33*J33)</f>
        <v>86418.5</v>
      </c>
      <c r="K34" s="189"/>
      <c r="L34" s="189"/>
      <c r="M34" s="189"/>
      <c r="N34" s="189"/>
      <c r="O34" s="189"/>
      <c r="P34" s="189"/>
      <c r="Q34" s="189"/>
      <c r="R34" s="190"/>
      <c r="S34" s="249"/>
    </row>
    <row r="35" spans="1:19" ht="24.95" customHeight="1" x14ac:dyDescent="0.25">
      <c r="A35" s="1235" t="s">
        <v>4474</v>
      </c>
      <c r="B35" s="1235" t="s">
        <v>4641</v>
      </c>
      <c r="C35" s="1227" t="str">
        <f>VLOOKUP($B35,PRESUPUESTO!$C$3:$H$256,2,FALSE)</f>
        <v>SUMINISTRO, TRANSPORTE E INSTALACIÓN A TODO COSTO DE MURO EN SUPERBOARD 6 MM ENCINTADO Y MACILLADO (DOS CARAS). INCLUYE PERFILERÍA Y TODO LO NECESARIO PARA SU CORRECTA INSTALACIÓN</v>
      </c>
      <c r="D35" s="1229">
        <f>VLOOKUP($B35,PRESUPUESTO!$C$3:$H$256,6,FALSE)</f>
        <v>4793265</v>
      </c>
      <c r="E35" s="560">
        <f t="shared" si="0"/>
        <v>1</v>
      </c>
      <c r="F35" s="257" t="s">
        <v>4076</v>
      </c>
      <c r="G35" s="258"/>
      <c r="H35" s="189"/>
      <c r="I35" s="189"/>
      <c r="J35" s="555"/>
      <c r="K35" s="191">
        <v>0.5</v>
      </c>
      <c r="L35" s="191">
        <v>0.5</v>
      </c>
      <c r="M35" s="189"/>
      <c r="N35" s="189"/>
      <c r="O35" s="189"/>
      <c r="P35" s="189"/>
      <c r="Q35" s="189"/>
      <c r="R35" s="190"/>
      <c r="S35" s="249"/>
    </row>
    <row r="36" spans="1:19" ht="24.95" customHeight="1" thickBot="1" x14ac:dyDescent="0.3">
      <c r="A36" s="1235"/>
      <c r="B36" s="1235"/>
      <c r="C36" s="1228" t="str">
        <f ca="1">VLOOKUP($C36,PRESUPUESTO!$C$3:$H$256,2,FALSE)</f>
        <v>INSTALACIONES ELECTRICAS</v>
      </c>
      <c r="D36" s="1230" t="e">
        <f ca="1">VLOOKUP($C36,PRESUPUESTO!$C$3:$H$256,2,FALSE)</f>
        <v>#N/A</v>
      </c>
      <c r="E36" s="560">
        <f t="shared" si="0"/>
        <v>4793265</v>
      </c>
      <c r="F36" s="257" t="s">
        <v>4064</v>
      </c>
      <c r="G36" s="258"/>
      <c r="H36" s="189"/>
      <c r="I36" s="189"/>
      <c r="J36" s="555"/>
      <c r="K36" s="259">
        <f>($D35*K35)</f>
        <v>2396632.5</v>
      </c>
      <c r="L36" s="259">
        <f>($D35*L35)</f>
        <v>2396632.5</v>
      </c>
      <c r="M36" s="189"/>
      <c r="N36" s="189"/>
      <c r="O36" s="189"/>
      <c r="P36" s="189"/>
      <c r="Q36" s="189"/>
      <c r="R36" s="190"/>
      <c r="S36" s="249"/>
    </row>
    <row r="37" spans="1:19" ht="24.95" customHeight="1" x14ac:dyDescent="0.25">
      <c r="A37" s="1235" t="s">
        <v>4430</v>
      </c>
      <c r="B37" s="1235" t="s">
        <v>4642</v>
      </c>
      <c r="C37" s="1227" t="str">
        <f>VLOOKUP($B37,PRESUPUESTO!$C$3:$H$256,2,FALSE)</f>
        <v>SUMINISTRO E INSTALACIÓN TUBERÍA PVC PRESIÓN 1/2" RDE 9.</v>
      </c>
      <c r="D37" s="1229">
        <f>VLOOKUP($B37,PRESUPUESTO!$C$3:$H$256,6,FALSE)</f>
        <v>2473373</v>
      </c>
      <c r="E37" s="560">
        <f t="shared" si="0"/>
        <v>1</v>
      </c>
      <c r="F37" s="257" t="s">
        <v>4076</v>
      </c>
      <c r="G37" s="258"/>
      <c r="H37" s="189"/>
      <c r="I37" s="189"/>
      <c r="J37" s="555"/>
      <c r="K37" s="191">
        <v>1</v>
      </c>
      <c r="L37" s="189"/>
      <c r="M37" s="189"/>
      <c r="N37" s="189"/>
      <c r="O37" s="189"/>
      <c r="P37" s="189"/>
      <c r="Q37" s="189"/>
      <c r="R37" s="190"/>
      <c r="S37" s="249"/>
    </row>
    <row r="38" spans="1:19" ht="24.95" customHeight="1" thickBot="1" x14ac:dyDescent="0.3">
      <c r="A38" s="1235"/>
      <c r="B38" s="1235"/>
      <c r="C38" s="1228" t="str">
        <f ca="1">VLOOKUP($C38,PRESUPUESTO!$C$3:$H$256,2,FALSE)</f>
        <v>INSTALACIONES ELECTRICAS</v>
      </c>
      <c r="D38" s="1230" t="e">
        <f ca="1">VLOOKUP($C38,PRESUPUESTO!$C$3:$H$256,2,FALSE)</f>
        <v>#N/A</v>
      </c>
      <c r="E38" s="560">
        <f t="shared" si="0"/>
        <v>2473373</v>
      </c>
      <c r="F38" s="257" t="s">
        <v>4064</v>
      </c>
      <c r="G38" s="258"/>
      <c r="H38" s="189"/>
      <c r="I38" s="189"/>
      <c r="J38" s="555"/>
      <c r="K38" s="259">
        <f>($D37*K37)</f>
        <v>2473373</v>
      </c>
      <c r="L38" s="189"/>
      <c r="M38" s="189"/>
      <c r="N38" s="189"/>
      <c r="O38" s="189"/>
      <c r="P38" s="189"/>
      <c r="Q38" s="189"/>
      <c r="R38" s="190"/>
      <c r="S38" s="249"/>
    </row>
    <row r="39" spans="1:19" ht="24.95" customHeight="1" x14ac:dyDescent="0.25">
      <c r="A39" s="1235" t="s">
        <v>4444</v>
      </c>
      <c r="B39" s="1235" t="s">
        <v>4643</v>
      </c>
      <c r="C39" s="1227" t="str">
        <f>VLOOKUP($B39,PRESUPUESTO!$C$3:$H$256,2,FALSE)</f>
        <v xml:space="preserve">DILIGENCIAR CADA UNO DE LOS FORMATOS PARA LA CERTIFICACIÓN DE LA OBRA  POR EL ENTE CERTIFICADOR EN RETIE Y RETILAP, PRESESENTACIÓN DE LA  DOCUMENTACIÓN EXIGIDA Y PLANOS RECORDS Y TODOS LOS TRÁMITES Y CANCELACIÓN DEL SERVICIO DE CERTIFICACIÓN.
</v>
      </c>
      <c r="D39" s="1229">
        <f>VLOOKUP($B39,PRESUPUESTO!$C$3:$H$256,6,FALSE)</f>
        <v>5372250</v>
      </c>
      <c r="E39" s="560">
        <f t="shared" si="0"/>
        <v>1</v>
      </c>
      <c r="F39" s="257" t="s">
        <v>4076</v>
      </c>
      <c r="G39" s="258"/>
      <c r="H39" s="189"/>
      <c r="I39" s="189"/>
      <c r="J39" s="555"/>
      <c r="K39" s="189"/>
      <c r="L39" s="191">
        <v>0.5</v>
      </c>
      <c r="M39" s="191">
        <v>0.5</v>
      </c>
      <c r="N39" s="189"/>
      <c r="O39" s="189"/>
      <c r="P39" s="189"/>
      <c r="Q39" s="189"/>
      <c r="R39" s="190"/>
      <c r="S39" s="249"/>
    </row>
    <row r="40" spans="1:19" ht="15.75" thickBot="1" x14ac:dyDescent="0.3">
      <c r="A40" s="1235"/>
      <c r="B40" s="1235"/>
      <c r="C40" s="1228" t="str">
        <f ca="1">VLOOKUP($C40,PRESUPUESTO!$C$3:$H$256,2,FALSE)</f>
        <v>INSTALACIONES ELECTRICAS</v>
      </c>
      <c r="D40" s="1230" t="e">
        <f ca="1">VLOOKUP($C40,PRESUPUESTO!$C$3:$H$256,2,FALSE)</f>
        <v>#N/A</v>
      </c>
      <c r="E40" s="560">
        <f t="shared" si="0"/>
        <v>5372250</v>
      </c>
      <c r="F40" s="257" t="s">
        <v>4064</v>
      </c>
      <c r="G40" s="258"/>
      <c r="H40" s="189"/>
      <c r="I40" s="189"/>
      <c r="J40" s="555"/>
      <c r="K40" s="189"/>
      <c r="L40" s="259">
        <f>($D39*L39)</f>
        <v>2686125</v>
      </c>
      <c r="M40" s="259">
        <f>($D39*M39)</f>
        <v>2686125</v>
      </c>
      <c r="N40" s="189"/>
      <c r="O40" s="189"/>
      <c r="P40" s="189"/>
      <c r="Q40" s="189"/>
      <c r="R40" s="190"/>
      <c r="S40" s="249"/>
    </row>
    <row r="41" spans="1:19" ht="24.95" customHeight="1" x14ac:dyDescent="0.25">
      <c r="A41" s="1235" t="s">
        <v>4452</v>
      </c>
      <c r="B41" s="1235" t="s">
        <v>4644</v>
      </c>
      <c r="C41" s="1227" t="str">
        <f>VLOOKUP($B41,PRESUPUESTO!$C$3:$H$256,2,FALSE)</f>
        <v xml:space="preserve">SUMINISTRO, TRANSPORTE E INSTALACION SALIDA TOMACORRIENTE GFCI DOBLE EN TUBERIA CONDUIT EMT 3/4", ALAMBRE No 12 AWG INCLUYE TAPA DE PROTECCIÓN INTEMPERIE Y CAJA DE PASO SENCILLA </v>
      </c>
      <c r="D41" s="1229">
        <f>VLOOKUP($B41,PRESUPUESTO!$C$3:$H$256,6,FALSE)</f>
        <v>2151708</v>
      </c>
      <c r="E41" s="560">
        <f t="shared" si="0"/>
        <v>1</v>
      </c>
      <c r="F41" s="257" t="s">
        <v>4076</v>
      </c>
      <c r="G41" s="258"/>
      <c r="H41" s="189"/>
      <c r="I41" s="191">
        <v>1</v>
      </c>
      <c r="J41" s="555"/>
      <c r="K41" s="189"/>
      <c r="L41" s="189"/>
      <c r="M41" s="189"/>
      <c r="N41" s="189"/>
      <c r="O41" s="189"/>
      <c r="P41" s="189"/>
      <c r="Q41" s="189"/>
      <c r="R41" s="190"/>
      <c r="S41" s="249"/>
    </row>
    <row r="42" spans="1:19" ht="24.95" customHeight="1" thickBot="1" x14ac:dyDescent="0.3">
      <c r="A42" s="1235"/>
      <c r="B42" s="1235"/>
      <c r="C42" s="1228" t="str">
        <f ca="1">VLOOKUP($C42,PRESUPUESTO!$C$3:$H$256,2,FALSE)</f>
        <v>INSTALACIONES ELECTRICAS</v>
      </c>
      <c r="D42" s="1230" t="e">
        <f ca="1">VLOOKUP($C42,PRESUPUESTO!$C$3:$H$256,2,FALSE)</f>
        <v>#N/A</v>
      </c>
      <c r="E42" s="560">
        <f t="shared" si="0"/>
        <v>2151708</v>
      </c>
      <c r="F42" s="257" t="s">
        <v>4064</v>
      </c>
      <c r="G42" s="258"/>
      <c r="H42" s="189"/>
      <c r="I42" s="259">
        <f>($D41*I41)</f>
        <v>2151708</v>
      </c>
      <c r="J42" s="555"/>
      <c r="K42" s="189"/>
      <c r="L42" s="189"/>
      <c r="M42" s="189"/>
      <c r="N42" s="189"/>
      <c r="O42" s="189"/>
      <c r="P42" s="189"/>
      <c r="Q42" s="189"/>
      <c r="R42" s="190"/>
      <c r="S42" s="249"/>
    </row>
    <row r="43" spans="1:19" ht="24.95" customHeight="1" x14ac:dyDescent="0.25">
      <c r="A43" s="1235" t="s">
        <v>5110</v>
      </c>
      <c r="B43" s="1235" t="s">
        <v>4645</v>
      </c>
      <c r="C43" s="1227" t="str">
        <f>VLOOKUP($B43,PRESUPUESTO!$C$3:$H$256,2,FALSE)</f>
        <v xml:space="preserve">SUMINISTRO E INSTALACIÓN SALIDA PUNTO ELÉCTRICO PARA LUMINARIA, INCLUYE LAMPARA HERMETICA </v>
      </c>
      <c r="D43" s="1229">
        <f>VLOOKUP($B43,PRESUPUESTO!$C$3:$H$256,6,FALSE)</f>
        <v>4075201</v>
      </c>
      <c r="E43" s="560">
        <f t="shared" si="0"/>
        <v>1</v>
      </c>
      <c r="F43" s="257" t="s">
        <v>4076</v>
      </c>
      <c r="G43" s="258"/>
      <c r="H43" s="189"/>
      <c r="I43" s="189"/>
      <c r="J43" s="556">
        <v>1</v>
      </c>
      <c r="K43" s="189"/>
      <c r="L43" s="189"/>
      <c r="M43" s="189"/>
      <c r="N43" s="189"/>
      <c r="O43" s="189"/>
      <c r="P43" s="189"/>
      <c r="Q43" s="189"/>
      <c r="R43" s="190"/>
      <c r="S43" s="249"/>
    </row>
    <row r="44" spans="1:19" ht="24.95" customHeight="1" thickBot="1" x14ac:dyDescent="0.3">
      <c r="A44" s="1235"/>
      <c r="B44" s="1235"/>
      <c r="C44" s="1228" t="str">
        <f ca="1">VLOOKUP($C44,PRESUPUESTO!$C$3:$H$256,2,FALSE)</f>
        <v>INSTALACIONES ELECTRICAS</v>
      </c>
      <c r="D44" s="1230" t="e">
        <f ca="1">VLOOKUP($C44,PRESUPUESTO!$C$3:$H$256,2,FALSE)</f>
        <v>#N/A</v>
      </c>
      <c r="E44" s="560">
        <f t="shared" si="0"/>
        <v>4075201</v>
      </c>
      <c r="F44" s="257" t="s">
        <v>4064</v>
      </c>
      <c r="G44" s="258"/>
      <c r="H44" s="189"/>
      <c r="I44" s="189"/>
      <c r="J44" s="557">
        <f>($D43*J43)</f>
        <v>4075201</v>
      </c>
      <c r="K44" s="189"/>
      <c r="L44" s="189"/>
      <c r="M44" s="189"/>
      <c r="N44" s="189"/>
      <c r="O44" s="189"/>
      <c r="P44" s="189"/>
      <c r="Q44" s="189"/>
      <c r="R44" s="190"/>
      <c r="S44" s="249"/>
    </row>
    <row r="45" spans="1:19" ht="24.95" customHeight="1" x14ac:dyDescent="0.25">
      <c r="A45" s="1235" t="s">
        <v>5111</v>
      </c>
      <c r="B45" s="1235" t="s">
        <v>4646</v>
      </c>
      <c r="C45" s="1227" t="str">
        <f>VLOOKUP($B45,PRESUPUESTO!$C$3:$H$256,2,FALSE)</f>
        <v>SUMINISTRO E INSTALACIÓN SALIDA PUNTO ELÉCTRICO PARA INTERRUPTOR SENCILLO (INCLUYE INTERRUPTOR)</v>
      </c>
      <c r="D45" s="1229">
        <f>VLOOKUP($B45,PRESUPUESTO!$C$3:$H$256,6,FALSE)</f>
        <v>130012</v>
      </c>
      <c r="E45" s="560">
        <f t="shared" si="0"/>
        <v>1</v>
      </c>
      <c r="F45" s="257" t="s">
        <v>4076</v>
      </c>
      <c r="G45" s="258"/>
      <c r="H45" s="189"/>
      <c r="I45" s="191">
        <v>1</v>
      </c>
      <c r="J45" s="555"/>
      <c r="K45" s="189"/>
      <c r="L45" s="189"/>
      <c r="M45" s="189"/>
      <c r="N45" s="189"/>
      <c r="O45" s="189"/>
      <c r="P45" s="189"/>
      <c r="Q45" s="189"/>
      <c r="R45" s="190"/>
      <c r="S45" s="249"/>
    </row>
    <row r="46" spans="1:19" ht="24.95" customHeight="1" thickBot="1" x14ac:dyDescent="0.3">
      <c r="A46" s="1235"/>
      <c r="B46" s="1235"/>
      <c r="C46" s="1228" t="str">
        <f ca="1">VLOOKUP($C46,PRESUPUESTO!$C$3:$H$256,2,FALSE)</f>
        <v>INSTALACIONES ELECTRICAS</v>
      </c>
      <c r="D46" s="1230" t="e">
        <f ca="1">VLOOKUP($C46,PRESUPUESTO!$C$3:$H$256,2,FALSE)</f>
        <v>#N/A</v>
      </c>
      <c r="E46" s="560">
        <f t="shared" si="0"/>
        <v>130012</v>
      </c>
      <c r="F46" s="257" t="s">
        <v>4064</v>
      </c>
      <c r="G46" s="258"/>
      <c r="H46" s="189"/>
      <c r="I46" s="259">
        <f>($D45*I45)</f>
        <v>130012</v>
      </c>
      <c r="J46" s="555"/>
      <c r="K46" s="189"/>
      <c r="L46" s="189"/>
      <c r="M46" s="189"/>
      <c r="N46" s="189"/>
      <c r="O46" s="189"/>
      <c r="P46" s="189"/>
      <c r="Q46" s="189"/>
      <c r="R46" s="190"/>
      <c r="S46" s="249"/>
    </row>
    <row r="47" spans="1:19" ht="24.95" customHeight="1" x14ac:dyDescent="0.25">
      <c r="A47" s="1235" t="s">
        <v>4449</v>
      </c>
      <c r="B47" s="1235" t="s">
        <v>4647</v>
      </c>
      <c r="C47" s="1227" t="str">
        <f>VLOOKUP($B47,PRESUPUESTO!$C$3:$H$256,2,FALSE)</f>
        <v xml:space="preserve">SUMINISTRO TRANSPORTE E INSTALACIÓN DE PÍNTURA TIPO KORAZA 3 MANOS   Y ESTUCO MUROS EXTERIORES  </v>
      </c>
      <c r="D47" s="1229">
        <f>VLOOKUP($B47,PRESUPUESTO!$C$3:$H$256,6,FALSE)</f>
        <v>4130543</v>
      </c>
      <c r="E47" s="560">
        <f t="shared" si="0"/>
        <v>1</v>
      </c>
      <c r="F47" s="257" t="s">
        <v>4076</v>
      </c>
      <c r="G47" s="258"/>
      <c r="H47" s="189"/>
      <c r="I47" s="189"/>
      <c r="J47" s="555"/>
      <c r="K47" s="189"/>
      <c r="L47" s="191">
        <v>0.2</v>
      </c>
      <c r="M47" s="191">
        <v>0.3</v>
      </c>
      <c r="N47" s="191">
        <v>0.5</v>
      </c>
      <c r="O47" s="189"/>
      <c r="P47" s="189"/>
      <c r="Q47" s="189"/>
      <c r="R47" s="190"/>
      <c r="S47" s="249"/>
    </row>
    <row r="48" spans="1:19" ht="24.95" customHeight="1" thickBot="1" x14ac:dyDescent="0.3">
      <c r="A48" s="1235"/>
      <c r="B48" s="1235"/>
      <c r="C48" s="1228" t="str">
        <f ca="1">VLOOKUP($C48,PRESUPUESTO!$C$3:$H$256,2,FALSE)</f>
        <v>INSTALACIONES ELECTRICAS</v>
      </c>
      <c r="D48" s="1230" t="e">
        <f ca="1">VLOOKUP($C48,PRESUPUESTO!$C$3:$H$256,2,FALSE)</f>
        <v>#N/A</v>
      </c>
      <c r="E48" s="560">
        <f t="shared" si="0"/>
        <v>4130543</v>
      </c>
      <c r="F48" s="257" t="s">
        <v>4064</v>
      </c>
      <c r="G48" s="1"/>
      <c r="H48" s="189"/>
      <c r="I48" s="189"/>
      <c r="J48" s="555"/>
      <c r="K48" s="189"/>
      <c r="L48" s="259">
        <f t="shared" ref="L48:N48" si="1">($D47*L47)</f>
        <v>826108.60000000009</v>
      </c>
      <c r="M48" s="259">
        <f t="shared" si="1"/>
        <v>1239162.8999999999</v>
      </c>
      <c r="N48" s="259">
        <f t="shared" si="1"/>
        <v>2065271.5</v>
      </c>
      <c r="O48" s="189"/>
      <c r="P48" s="189"/>
      <c r="Q48" s="189"/>
      <c r="R48" s="190"/>
      <c r="S48" s="249"/>
    </row>
    <row r="49" spans="1:19" ht="24.95" customHeight="1" x14ac:dyDescent="0.25">
      <c r="A49" s="1235" t="s">
        <v>4448</v>
      </c>
      <c r="B49" s="1235" t="s">
        <v>4648</v>
      </c>
      <c r="C49" s="1227" t="str">
        <f>VLOOKUP($B49,PRESUPUESTO!$C$3:$H$256,2,FALSE)</f>
        <v xml:space="preserve">SUMINISTRO, TRANSPORTE E INSTALACIÓN DE PINTURA PARA INTERIOR LAVABLE SOBRE PINTURA EXISTENTE, INCLUYE DOS MANOS DE PINTURA. COLOR BLANCO. </v>
      </c>
      <c r="D49" s="1229">
        <f>VLOOKUP($B49,PRESUPUESTO!$C$3:$H$256,6,FALSE)</f>
        <v>412114</v>
      </c>
      <c r="E49" s="560">
        <f t="shared" si="0"/>
        <v>1</v>
      </c>
      <c r="F49" s="257" t="s">
        <v>4076</v>
      </c>
      <c r="G49" s="1"/>
      <c r="H49" s="189"/>
      <c r="I49" s="189"/>
      <c r="J49" s="555"/>
      <c r="K49" s="189"/>
      <c r="L49" s="191">
        <v>0.2</v>
      </c>
      <c r="M49" s="191">
        <v>0.3</v>
      </c>
      <c r="N49" s="191">
        <v>0.3</v>
      </c>
      <c r="O49" s="191">
        <v>0.2</v>
      </c>
      <c r="P49" s="189"/>
      <c r="Q49" s="189"/>
      <c r="R49" s="190"/>
      <c r="S49" s="249"/>
    </row>
    <row r="50" spans="1:19" ht="24.95" customHeight="1" thickBot="1" x14ac:dyDescent="0.3">
      <c r="A50" s="1235"/>
      <c r="B50" s="1235"/>
      <c r="C50" s="1228" t="str">
        <f ca="1">VLOOKUP($C50,PRESUPUESTO!$C$3:$H$256,2,FALSE)</f>
        <v>INSTALACIONES ELECTRICAS</v>
      </c>
      <c r="D50" s="1230" t="e">
        <f ca="1">VLOOKUP($C50,PRESUPUESTO!$C$3:$H$256,2,FALSE)</f>
        <v>#N/A</v>
      </c>
      <c r="E50" s="560">
        <f t="shared" si="0"/>
        <v>412114</v>
      </c>
      <c r="F50" s="257" t="s">
        <v>4064</v>
      </c>
      <c r="G50" s="1"/>
      <c r="H50" s="189"/>
      <c r="I50" s="189"/>
      <c r="J50" s="555"/>
      <c r="K50" s="189"/>
      <c r="L50" s="259">
        <f t="shared" ref="L50:O50" si="2">($D49*L49)</f>
        <v>82422.8</v>
      </c>
      <c r="M50" s="259">
        <f t="shared" si="2"/>
        <v>123634.2</v>
      </c>
      <c r="N50" s="259">
        <f t="shared" si="2"/>
        <v>123634.2</v>
      </c>
      <c r="O50" s="259">
        <f t="shared" si="2"/>
        <v>82422.8</v>
      </c>
      <c r="P50" s="189"/>
      <c r="Q50" s="189"/>
      <c r="R50" s="190"/>
      <c r="S50" s="249"/>
    </row>
    <row r="51" spans="1:19" ht="24.95" customHeight="1" x14ac:dyDescent="0.25">
      <c r="A51" s="1235" t="s">
        <v>4446</v>
      </c>
      <c r="B51" s="1235" t="s">
        <v>4649</v>
      </c>
      <c r="C51" s="1227" t="str">
        <f>VLOOKUP($B51,PRESUPUESTO!$C$3:$H$256,2,FALSE)</f>
        <v xml:space="preserve">SUMINISTRO, TRANSPORTE E INSTALACION CUBIERTA EN TEJA DE F.C PERFIL 7, INCLUYE PERFIL PARA ESTRUCTURA DE LA MISMA </v>
      </c>
      <c r="D51" s="1229">
        <f>VLOOKUP($B51,PRESUPUESTO!$C$3:$H$256,6,FALSE)</f>
        <v>1950112</v>
      </c>
      <c r="E51" s="560">
        <f t="shared" si="0"/>
        <v>1</v>
      </c>
      <c r="F51" s="257" t="s">
        <v>4076</v>
      </c>
      <c r="G51" s="1"/>
      <c r="H51" s="189"/>
      <c r="I51" s="189"/>
      <c r="J51" s="555"/>
      <c r="K51" s="189"/>
      <c r="L51" s="189"/>
      <c r="M51" s="189"/>
      <c r="N51" s="189"/>
      <c r="O51" s="191">
        <v>1</v>
      </c>
      <c r="P51" s="189"/>
      <c r="Q51" s="189"/>
      <c r="R51" s="190"/>
      <c r="S51" s="249"/>
    </row>
    <row r="52" spans="1:19" ht="24.95" customHeight="1" thickBot="1" x14ac:dyDescent="0.3">
      <c r="A52" s="1235"/>
      <c r="B52" s="1235"/>
      <c r="C52" s="1228" t="str">
        <f ca="1">VLOOKUP($C52,PRESUPUESTO!$C$3:$H$256,2,FALSE)</f>
        <v>INSTALACIONES ELECTRICAS</v>
      </c>
      <c r="D52" s="1230" t="e">
        <f ca="1">VLOOKUP($C52,PRESUPUESTO!$C$3:$H$256,2,FALSE)</f>
        <v>#N/A</v>
      </c>
      <c r="E52" s="560">
        <f t="shared" si="0"/>
        <v>1950112</v>
      </c>
      <c r="F52" s="257" t="s">
        <v>4064</v>
      </c>
      <c r="G52" s="1"/>
      <c r="H52" s="189"/>
      <c r="I52" s="189"/>
      <c r="J52" s="555"/>
      <c r="K52" s="189"/>
      <c r="L52" s="189"/>
      <c r="M52" s="189"/>
      <c r="N52" s="189"/>
      <c r="O52" s="259">
        <f>($D51*O51)</f>
        <v>1950112</v>
      </c>
      <c r="P52" s="189"/>
      <c r="Q52" s="189"/>
      <c r="R52" s="190"/>
      <c r="S52" s="249"/>
    </row>
    <row r="53" spans="1:19" ht="24.95" customHeight="1" x14ac:dyDescent="0.25">
      <c r="A53" s="1235" t="s">
        <v>4445</v>
      </c>
      <c r="B53" s="1235" t="s">
        <v>4650</v>
      </c>
      <c r="C53" s="1227" t="str">
        <f>VLOOKUP($B53,PRESUPUESTO!$C$3:$H$256,2,FALSE)</f>
        <v xml:space="preserve">SUMINISTRO TRANSPORTE E INSTALACIÓN DE FLANCHE CALIBRE 26 PARA EMPATE ENTRE CUBIERTA EXISTENTE Y MURO </v>
      </c>
      <c r="D53" s="1229">
        <f>VLOOKUP($B53,PRESUPUESTO!$C$3:$H$256,6,FALSE)</f>
        <v>616264</v>
      </c>
      <c r="E53" s="560">
        <f t="shared" ref="E53:E54" si="3">SUM(G53:R53)</f>
        <v>1</v>
      </c>
      <c r="F53" s="257" t="s">
        <v>4076</v>
      </c>
      <c r="G53" s="1"/>
      <c r="H53" s="189"/>
      <c r="I53" s="189"/>
      <c r="J53" s="555"/>
      <c r="K53" s="189"/>
      <c r="L53" s="189"/>
      <c r="M53" s="189"/>
      <c r="N53" s="189"/>
      <c r="O53" s="191">
        <v>1</v>
      </c>
      <c r="P53" s="189"/>
      <c r="Q53" s="189"/>
      <c r="R53" s="190"/>
      <c r="S53" s="249"/>
    </row>
    <row r="54" spans="1:19" ht="24.95" customHeight="1" thickBot="1" x14ac:dyDescent="0.3">
      <c r="A54" s="1235"/>
      <c r="B54" s="1235"/>
      <c r="C54" s="1228" t="str">
        <f ca="1">VLOOKUP($C54,PRESUPUESTO!$C$3:$H$256,2,FALSE)</f>
        <v>INSTALACIONES ELECTRICAS</v>
      </c>
      <c r="D54" s="1230" t="e">
        <f ca="1">VLOOKUP($C54,PRESUPUESTO!$C$3:$H$256,2,FALSE)</f>
        <v>#N/A</v>
      </c>
      <c r="E54" s="560">
        <f t="shared" si="3"/>
        <v>616264</v>
      </c>
      <c r="F54" s="257" t="s">
        <v>4064</v>
      </c>
      <c r="G54" s="1"/>
      <c r="H54" s="189"/>
      <c r="I54" s="189"/>
      <c r="J54" s="555"/>
      <c r="K54" s="189"/>
      <c r="L54" s="189"/>
      <c r="M54" s="189"/>
      <c r="N54" s="189"/>
      <c r="O54" s="259">
        <f>($D53*O53)</f>
        <v>616264</v>
      </c>
      <c r="P54" s="189"/>
      <c r="Q54" s="189"/>
      <c r="R54" s="190"/>
      <c r="S54" s="249"/>
    </row>
    <row r="55" spans="1:19" ht="24.95" customHeight="1" x14ac:dyDescent="0.25">
      <c r="A55" s="1235" t="s">
        <v>4473</v>
      </c>
      <c r="B55" s="1235" t="s">
        <v>4651</v>
      </c>
      <c r="C55" s="1227" t="str">
        <f>VLOOKUP($B55,PRESUPUESTO!$C$3:$H$256,2,FALSE)</f>
        <v>SUMINISTRO, TRANSPORTE E INSTALACIÓN DE CIELO RASO EN LÁMINAS DE PVC 10MM PARA ZONA DE DESPACHO.  INCLUYE. ESTRUCTURA METÁLICA Y PERIMETRALES. TEXTURA SEGÚN DISEÑO</v>
      </c>
      <c r="D55" s="1229">
        <f>VLOOKUP($B55,PRESUPUESTO!$C$3:$H$256,6,FALSE)</f>
        <v>2015065</v>
      </c>
      <c r="E55" s="560">
        <f t="shared" si="0"/>
        <v>1</v>
      </c>
      <c r="F55" s="257" t="s">
        <v>4076</v>
      </c>
      <c r="G55" s="258"/>
      <c r="H55" s="189"/>
      <c r="I55" s="189"/>
      <c r="J55" s="555"/>
      <c r="K55" s="189"/>
      <c r="L55" s="189"/>
      <c r="M55" s="191">
        <v>0.5</v>
      </c>
      <c r="N55" s="191">
        <v>0.5</v>
      </c>
      <c r="O55" s="189"/>
      <c r="P55" s="189"/>
      <c r="Q55" s="189"/>
      <c r="R55" s="190"/>
      <c r="S55" s="249"/>
    </row>
    <row r="56" spans="1:19" ht="24.95" customHeight="1" thickBot="1" x14ac:dyDescent="0.3">
      <c r="A56" s="1235"/>
      <c r="B56" s="1235"/>
      <c r="C56" s="1228" t="str">
        <f ca="1">VLOOKUP($C56,PRESUPUESTO!$C$3:$H$256,2,FALSE)</f>
        <v>INSTALACIONES ELECTRICAS</v>
      </c>
      <c r="D56" s="1230" t="e">
        <f ca="1">VLOOKUP($C56,PRESUPUESTO!$C$3:$H$256,2,FALSE)</f>
        <v>#N/A</v>
      </c>
      <c r="E56" s="560">
        <f t="shared" si="0"/>
        <v>2015065</v>
      </c>
      <c r="F56" s="257" t="s">
        <v>4064</v>
      </c>
      <c r="G56" s="258"/>
      <c r="H56" s="189"/>
      <c r="I56" s="189"/>
      <c r="J56" s="555"/>
      <c r="K56" s="189"/>
      <c r="L56" s="189"/>
      <c r="M56" s="259">
        <f t="shared" ref="M56:N56" si="4">($D55*M55)</f>
        <v>1007532.5</v>
      </c>
      <c r="N56" s="259">
        <f t="shared" si="4"/>
        <v>1007532.5</v>
      </c>
      <c r="O56" s="189"/>
      <c r="P56" s="189"/>
      <c r="Q56" s="189"/>
      <c r="R56" s="190"/>
      <c r="S56" s="249"/>
    </row>
    <row r="57" spans="1:19" ht="24.95" customHeight="1" x14ac:dyDescent="0.25">
      <c r="A57" s="1235" t="s">
        <v>4447</v>
      </c>
      <c r="B57" s="1235" t="s">
        <v>4655</v>
      </c>
      <c r="C57" s="1227" t="str">
        <f>VLOOKUP($B57,PRESUPUESTO!$C$3:$H$256,2,FALSE)</f>
        <v xml:space="preserve">ENDURECEDOR DE PISO EN CONCRETO </v>
      </c>
      <c r="D57" s="1229">
        <f>VLOOKUP($B57,PRESUPUESTO!$C$3:$H$256,6,FALSE)</f>
        <v>309891</v>
      </c>
      <c r="E57" s="560">
        <f t="shared" si="0"/>
        <v>1</v>
      </c>
      <c r="F57" s="257" t="s">
        <v>4076</v>
      </c>
      <c r="G57" s="258"/>
      <c r="H57" s="189"/>
      <c r="I57" s="189"/>
      <c r="J57" s="555"/>
      <c r="K57" s="189"/>
      <c r="L57" s="189"/>
      <c r="M57" s="191">
        <v>0.5</v>
      </c>
      <c r="N57" s="191">
        <v>0.5</v>
      </c>
      <c r="O57" s="189"/>
      <c r="P57" s="189"/>
      <c r="Q57" s="189"/>
      <c r="R57" s="190"/>
      <c r="S57" s="249"/>
    </row>
    <row r="58" spans="1:19" ht="24.95" customHeight="1" thickBot="1" x14ac:dyDescent="0.3">
      <c r="A58" s="1235"/>
      <c r="B58" s="1235"/>
      <c r="C58" s="1228" t="str">
        <f ca="1">VLOOKUP($C58,PRESUPUESTO!$C$3:$H$256,2,FALSE)</f>
        <v>INSTALACIONES ELECTRICAS</v>
      </c>
      <c r="D58" s="1230" t="e">
        <f ca="1">VLOOKUP($C58,PRESUPUESTO!$C$3:$H$256,2,FALSE)</f>
        <v>#N/A</v>
      </c>
      <c r="E58" s="560">
        <f t="shared" si="0"/>
        <v>309891</v>
      </c>
      <c r="F58" s="257" t="s">
        <v>4064</v>
      </c>
      <c r="G58" s="258"/>
      <c r="H58" s="189"/>
      <c r="I58" s="189"/>
      <c r="J58" s="555"/>
      <c r="K58" s="189"/>
      <c r="L58" s="189"/>
      <c r="M58" s="259">
        <f t="shared" ref="M58:N58" si="5">($D57*M57)</f>
        <v>154945.5</v>
      </c>
      <c r="N58" s="259">
        <f t="shared" si="5"/>
        <v>154945.5</v>
      </c>
      <c r="O58" s="189"/>
      <c r="P58" s="189"/>
      <c r="Q58" s="189"/>
      <c r="R58" s="190"/>
      <c r="S58" s="249"/>
    </row>
    <row r="59" spans="1:19" ht="24.95" customHeight="1" x14ac:dyDescent="0.25">
      <c r="A59" s="1235" t="s">
        <v>4479</v>
      </c>
      <c r="B59" s="1235" t="s">
        <v>4652</v>
      </c>
      <c r="C59" s="1227" t="str">
        <f>VLOOKUP($B59,PRESUPUESTO!$C$3:$H$256,2,FALSE)</f>
        <v xml:space="preserve">SUMINISTRO, TRASPORTE E INSTALACIÓN ENCHAPE EN PISOS PARA VESTIER </v>
      </c>
      <c r="D59" s="1229">
        <f>VLOOKUP($B59,PRESUPUESTO!$C$3:$H$256,6,FALSE)</f>
        <v>384344</v>
      </c>
      <c r="E59" s="560">
        <f t="shared" si="0"/>
        <v>1</v>
      </c>
      <c r="F59" s="257" t="s">
        <v>4076</v>
      </c>
      <c r="G59" s="1"/>
      <c r="H59" s="189"/>
      <c r="I59" s="189"/>
      <c r="J59" s="555"/>
      <c r="K59" s="189"/>
      <c r="L59" s="189"/>
      <c r="M59" s="191">
        <v>1</v>
      </c>
      <c r="N59" s="189"/>
      <c r="O59" s="189"/>
      <c r="P59" s="189"/>
      <c r="Q59" s="189"/>
      <c r="R59" s="190"/>
      <c r="S59" s="249"/>
    </row>
    <row r="60" spans="1:19" ht="24.95" customHeight="1" thickBot="1" x14ac:dyDescent="0.3">
      <c r="A60" s="1235"/>
      <c r="B60" s="1235"/>
      <c r="C60" s="1228" t="str">
        <f ca="1">VLOOKUP($C60,PRESUPUESTO!$C$3:$H$256,2,FALSE)</f>
        <v>INSTALACIONES ELECTRICAS</v>
      </c>
      <c r="D60" s="1230" t="e">
        <f ca="1">VLOOKUP($C60,PRESUPUESTO!$C$3:$H$256,2,FALSE)</f>
        <v>#N/A</v>
      </c>
      <c r="E60" s="560">
        <f t="shared" si="0"/>
        <v>384344</v>
      </c>
      <c r="F60" s="257" t="s">
        <v>4064</v>
      </c>
      <c r="G60" s="1"/>
      <c r="H60" s="189"/>
      <c r="I60" s="189"/>
      <c r="J60" s="555"/>
      <c r="K60" s="189"/>
      <c r="L60" s="189"/>
      <c r="M60" s="259">
        <f t="shared" ref="M60" si="6">($D59*M59)</f>
        <v>384344</v>
      </c>
      <c r="N60" s="189"/>
      <c r="O60" s="189"/>
      <c r="P60" s="189"/>
      <c r="Q60" s="189"/>
      <c r="R60" s="190"/>
      <c r="S60" s="249"/>
    </row>
    <row r="61" spans="1:19" ht="24.95" customHeight="1" x14ac:dyDescent="0.25">
      <c r="A61" s="1235" t="s">
        <v>4480</v>
      </c>
      <c r="B61" s="1235" t="s">
        <v>4653</v>
      </c>
      <c r="C61" s="1227" t="str">
        <f>VLOOKUP($B61,PRESUPUESTO!$C$3:$H$256,2,FALSE)</f>
        <v>SUMINISTRO, TRASPORTE E INSTALACIÓN ENCHAPE EN  PARED VESTIER</v>
      </c>
      <c r="D61" s="1229">
        <f>VLOOKUP($B61,PRESUPUESTO!$C$3:$H$256,6,FALSE)</f>
        <v>1715820</v>
      </c>
      <c r="E61" s="560">
        <f t="shared" si="0"/>
        <v>1</v>
      </c>
      <c r="F61" s="257" t="s">
        <v>4076</v>
      </c>
      <c r="G61" s="1"/>
      <c r="H61" s="189"/>
      <c r="I61" s="189"/>
      <c r="J61" s="555"/>
      <c r="K61" s="189"/>
      <c r="L61" s="189"/>
      <c r="M61" s="191">
        <v>0.5</v>
      </c>
      <c r="N61" s="191">
        <v>0.5</v>
      </c>
      <c r="O61" s="189"/>
      <c r="P61" s="189"/>
      <c r="Q61" s="189"/>
      <c r="R61" s="190"/>
      <c r="S61" s="249"/>
    </row>
    <row r="62" spans="1:19" ht="24.95" customHeight="1" thickBot="1" x14ac:dyDescent="0.3">
      <c r="A62" s="1235"/>
      <c r="B62" s="1235"/>
      <c r="C62" s="1228" t="str">
        <f ca="1">VLOOKUP($C62,PRESUPUESTO!$C$3:$H$256,2,FALSE)</f>
        <v>INSTALACIONES ELECTRICAS</v>
      </c>
      <c r="D62" s="1230" t="e">
        <f ca="1">VLOOKUP($C62,PRESUPUESTO!$C$3:$H$256,2,FALSE)</f>
        <v>#N/A</v>
      </c>
      <c r="E62" s="560">
        <f t="shared" si="0"/>
        <v>1715820</v>
      </c>
      <c r="F62" s="257" t="s">
        <v>4064</v>
      </c>
      <c r="G62" s="1"/>
      <c r="H62" s="189"/>
      <c r="I62" s="189"/>
      <c r="J62" s="555"/>
      <c r="K62" s="189"/>
      <c r="L62" s="189"/>
      <c r="M62" s="259">
        <f t="shared" ref="M62:N62" si="7">($D61*M61)</f>
        <v>857910</v>
      </c>
      <c r="N62" s="259">
        <f t="shared" si="7"/>
        <v>857910</v>
      </c>
      <c r="O62" s="189"/>
      <c r="P62" s="189"/>
      <c r="Q62" s="189"/>
      <c r="R62" s="190"/>
      <c r="S62" s="249"/>
    </row>
    <row r="63" spans="1:19" ht="24.95" customHeight="1" x14ac:dyDescent="0.25">
      <c r="A63" s="1235" t="s">
        <v>4481</v>
      </c>
      <c r="B63" s="1235" t="s">
        <v>4654</v>
      </c>
      <c r="C63" s="1227" t="str">
        <f>VLOOKUP($B63,PRESUPUESTO!$C$3:$H$256,2,FALSE)</f>
        <v>SUMINISTRO TRANPORTE E INSTALACIÓN DE MEDIA CAÑA EN MORTERO CON CABADO LISO, H=0,10 M</v>
      </c>
      <c r="D63" s="1229">
        <f>VLOOKUP($B63,PRESUPUESTO!$C$3:$H$256,6,FALSE)</f>
        <v>959575</v>
      </c>
      <c r="E63" s="560">
        <f t="shared" ref="E63:E72" si="8">SUM(G63:R63)</f>
        <v>1</v>
      </c>
      <c r="F63" s="257" t="s">
        <v>4076</v>
      </c>
      <c r="G63" s="1"/>
      <c r="H63" s="189"/>
      <c r="I63" s="189"/>
      <c r="J63" s="555"/>
      <c r="K63" s="189"/>
      <c r="L63" s="189"/>
      <c r="M63" s="191">
        <v>0.5</v>
      </c>
      <c r="N63" s="191">
        <v>0.5</v>
      </c>
      <c r="O63" s="189"/>
      <c r="P63" s="189"/>
      <c r="Q63" s="189"/>
      <c r="R63" s="190"/>
      <c r="S63" s="249"/>
    </row>
    <row r="64" spans="1:19" ht="24.95" customHeight="1" thickBot="1" x14ac:dyDescent="0.3">
      <c r="A64" s="1235"/>
      <c r="B64" s="1235"/>
      <c r="C64" s="1228" t="str">
        <f ca="1">VLOOKUP($C64,PRESUPUESTO!$C$3:$H$256,2,FALSE)</f>
        <v>INSTALACIONES ELECTRICAS</v>
      </c>
      <c r="D64" s="1230" t="e">
        <f ca="1">VLOOKUP($C64,PRESUPUESTO!$C$3:$H$256,2,FALSE)</f>
        <v>#N/A</v>
      </c>
      <c r="E64" s="560">
        <f t="shared" si="8"/>
        <v>959575</v>
      </c>
      <c r="F64" s="257" t="s">
        <v>4064</v>
      </c>
      <c r="G64" s="1"/>
      <c r="H64" s="189"/>
      <c r="I64" s="189"/>
      <c r="J64" s="555"/>
      <c r="K64" s="189"/>
      <c r="L64" s="189"/>
      <c r="M64" s="259">
        <f t="shared" ref="M64:N64" si="9">($D63*M63)</f>
        <v>479787.5</v>
      </c>
      <c r="N64" s="259">
        <f t="shared" si="9"/>
        <v>479787.5</v>
      </c>
      <c r="O64" s="189"/>
      <c r="P64" s="189"/>
      <c r="Q64" s="189"/>
      <c r="R64" s="190"/>
      <c r="S64" s="249"/>
    </row>
    <row r="65" spans="1:19" ht="24.95" customHeight="1" x14ac:dyDescent="0.25">
      <c r="A65" s="1235" t="s">
        <v>4451</v>
      </c>
      <c r="B65" s="1235" t="s">
        <v>4656</v>
      </c>
      <c r="C65" s="1227" t="str">
        <f>VLOOKUP($B65,PRESUPUESTO!$C$3:$H$256,2,FALSE)</f>
        <v xml:space="preserve">DESMONTE Y REINSTALACIÓN DE PUERTA </v>
      </c>
      <c r="D65" s="1229">
        <f>VLOOKUP($B65,PRESUPUESTO!$C$3:$H$256,6,FALSE)</f>
        <v>250648</v>
      </c>
      <c r="E65" s="560">
        <f t="shared" si="8"/>
        <v>1</v>
      </c>
      <c r="F65" s="257" t="s">
        <v>4076</v>
      </c>
      <c r="G65" s="262"/>
      <c r="H65" s="189"/>
      <c r="I65" s="189"/>
      <c r="J65" s="555"/>
      <c r="K65" s="189"/>
      <c r="L65" s="189"/>
      <c r="M65" s="189"/>
      <c r="N65" s="191">
        <v>1</v>
      </c>
      <c r="O65" s="189"/>
      <c r="P65" s="189"/>
      <c r="Q65" s="189"/>
      <c r="R65" s="190"/>
      <c r="S65" s="249"/>
    </row>
    <row r="66" spans="1:19" ht="24.95" customHeight="1" thickBot="1" x14ac:dyDescent="0.3">
      <c r="A66" s="1235"/>
      <c r="B66" s="1235"/>
      <c r="C66" s="1228" t="str">
        <f ca="1">VLOOKUP($C66,PRESUPUESTO!$C$3:$H$256,2,FALSE)</f>
        <v>INSTALACIONES ELECTRICAS</v>
      </c>
      <c r="D66" s="1230" t="e">
        <f ca="1">VLOOKUP($C66,PRESUPUESTO!$C$3:$H$256,2,FALSE)</f>
        <v>#N/A</v>
      </c>
      <c r="E66" s="560">
        <f t="shared" si="8"/>
        <v>250648</v>
      </c>
      <c r="F66" s="257" t="s">
        <v>4064</v>
      </c>
      <c r="G66" s="262"/>
      <c r="H66" s="189"/>
      <c r="I66" s="189"/>
      <c r="J66" s="555"/>
      <c r="K66" s="189"/>
      <c r="L66" s="189"/>
      <c r="M66" s="189"/>
      <c r="N66" s="259">
        <f t="shared" ref="N66" si="10">($D65*N65)</f>
        <v>250648</v>
      </c>
      <c r="O66" s="189"/>
      <c r="P66" s="189"/>
      <c r="Q66" s="189"/>
      <c r="R66" s="190"/>
      <c r="S66" s="249"/>
    </row>
    <row r="67" spans="1:19" ht="24.95" customHeight="1" x14ac:dyDescent="0.25">
      <c r="A67" s="1235" t="s">
        <v>4465</v>
      </c>
      <c r="B67" s="1235" t="s">
        <v>4658</v>
      </c>
      <c r="C67" s="1227" t="str">
        <f>VLOOKUP($B67,PRESUPUESTO!$C$3:$H$256,2,FALSE)</f>
        <v xml:space="preserve">SUMINISTRO, TRANSPORTE E INSTALACIÓN DE MARCO EN LÁMINA ACERO INOX CAL.14 PARA BUQUES EN ZONA DE CABEZAS Y VSICERAS </v>
      </c>
      <c r="D67" s="1229">
        <f>VLOOKUP($B67,PRESUPUESTO!$C$3:$H$256,6,FALSE)</f>
        <v>1282769</v>
      </c>
      <c r="E67" s="560">
        <f t="shared" si="8"/>
        <v>1</v>
      </c>
      <c r="F67" s="257" t="s">
        <v>4076</v>
      </c>
      <c r="G67" s="1"/>
      <c r="H67" s="189"/>
      <c r="I67" s="189"/>
      <c r="J67" s="555"/>
      <c r="K67" s="189"/>
      <c r="L67" s="191">
        <v>1</v>
      </c>
      <c r="M67" s="189"/>
      <c r="N67" s="189"/>
      <c r="O67" s="189"/>
      <c r="P67" s="189"/>
      <c r="Q67" s="189"/>
      <c r="R67" s="190"/>
      <c r="S67" s="249"/>
    </row>
    <row r="68" spans="1:19" ht="24.95" customHeight="1" thickBot="1" x14ac:dyDescent="0.3">
      <c r="A68" s="1235"/>
      <c r="B68" s="1235"/>
      <c r="C68" s="1228" t="str">
        <f ca="1">VLOOKUP($C68,PRESUPUESTO!$C$3:$H$256,2,FALSE)</f>
        <v>INSTALACIONES ELECTRICAS</v>
      </c>
      <c r="D68" s="1230" t="e">
        <f ca="1">VLOOKUP($C68,PRESUPUESTO!$C$3:$H$256,2,FALSE)</f>
        <v>#N/A</v>
      </c>
      <c r="E68" s="560">
        <f t="shared" si="8"/>
        <v>1282769</v>
      </c>
      <c r="F68" s="257" t="s">
        <v>4064</v>
      </c>
      <c r="G68" s="1"/>
      <c r="H68" s="189"/>
      <c r="I68" s="189"/>
      <c r="J68" s="555"/>
      <c r="K68" s="189"/>
      <c r="L68" s="259">
        <f t="shared" ref="L68:M70" si="11">($D67*L67)</f>
        <v>1282769</v>
      </c>
      <c r="M68" s="189"/>
      <c r="N68" s="189"/>
      <c r="O68" s="189"/>
      <c r="P68" s="189"/>
      <c r="Q68" s="189"/>
      <c r="R68" s="190"/>
      <c r="S68" s="249"/>
    </row>
    <row r="69" spans="1:19" ht="24.95" customHeight="1" x14ac:dyDescent="0.25">
      <c r="A69" s="1235" t="s">
        <v>4467</v>
      </c>
      <c r="B69" s="1235" t="s">
        <v>4659</v>
      </c>
      <c r="C69" s="1227" t="str">
        <f>VLOOKUP($B69,PRESUPUESTO!$C$3:$H$256,2,FALSE)</f>
        <v xml:space="preserve">SUMINISTRO, TRANSPORTE E INSTALACIÓN PUERTA EN LÁMINA CALIBRE 16 DIMENSIONES 0.9X2.10 METROS , CON MARCO CARGADO EN MORTERO, INCLUYE CHAPA Y ACCESORIOS </v>
      </c>
      <c r="D69" s="1229">
        <f>VLOOKUP($B69,PRESUPUESTO!$C$3:$H$256,6,FALSE)</f>
        <v>977908</v>
      </c>
      <c r="E69" s="560">
        <f t="shared" si="8"/>
        <v>1</v>
      </c>
      <c r="F69" s="257" t="s">
        <v>4076</v>
      </c>
      <c r="G69" s="1"/>
      <c r="H69" s="189"/>
      <c r="I69" s="189"/>
      <c r="J69" s="555"/>
      <c r="K69" s="189"/>
      <c r="L69" s="189"/>
      <c r="M69" s="191">
        <v>1</v>
      </c>
      <c r="N69" s="189"/>
      <c r="O69" s="189"/>
      <c r="P69" s="189"/>
      <c r="Q69" s="189"/>
      <c r="R69" s="190"/>
      <c r="S69" s="249"/>
    </row>
    <row r="70" spans="1:19" ht="24.95" customHeight="1" thickBot="1" x14ac:dyDescent="0.3">
      <c r="A70" s="1235"/>
      <c r="B70" s="1235"/>
      <c r="C70" s="1228" t="str">
        <f ca="1">VLOOKUP($C70,PRESUPUESTO!$C$3:$H$256,2,FALSE)</f>
        <v>INSTALACIONES ELECTRICAS</v>
      </c>
      <c r="D70" s="1230" t="e">
        <f ca="1">VLOOKUP($C70,PRESUPUESTO!$C$3:$H$256,2,FALSE)</f>
        <v>#N/A</v>
      </c>
      <c r="E70" s="560">
        <f t="shared" si="8"/>
        <v>977908</v>
      </c>
      <c r="F70" s="257" t="s">
        <v>4064</v>
      </c>
      <c r="G70" s="1"/>
      <c r="H70" s="189"/>
      <c r="I70" s="189"/>
      <c r="J70" s="555"/>
      <c r="K70" s="189"/>
      <c r="L70" s="189"/>
      <c r="M70" s="259">
        <f t="shared" si="11"/>
        <v>977908</v>
      </c>
      <c r="N70" s="189"/>
      <c r="O70" s="189"/>
      <c r="P70" s="189"/>
      <c r="Q70" s="189"/>
      <c r="R70" s="190"/>
      <c r="S70" s="249"/>
    </row>
    <row r="71" spans="1:19" ht="24.95" customHeight="1" x14ac:dyDescent="0.25">
      <c r="A71" s="1235" t="s">
        <v>4566</v>
      </c>
      <c r="B71" s="1235" t="s">
        <v>4660</v>
      </c>
      <c r="C71" s="1227" t="str">
        <f>VLOOKUP($B71,PRESUPUESTO!$C$3:$H$256,2,FALSE)</f>
        <v>ASEO GENERAL</v>
      </c>
      <c r="D71" s="1229">
        <f>VLOOKUP($B71,PRESUPUESTO!$C$3:$H$256,6,FALSE)</f>
        <v>3168250</v>
      </c>
      <c r="E71" s="560">
        <f t="shared" si="8"/>
        <v>1</v>
      </c>
      <c r="F71" s="257" t="s">
        <v>4076</v>
      </c>
      <c r="G71" s="262"/>
      <c r="H71" s="189"/>
      <c r="I71" s="189"/>
      <c r="J71" s="555"/>
      <c r="K71" s="189"/>
      <c r="L71" s="189"/>
      <c r="M71" s="189"/>
      <c r="N71" s="191">
        <v>1</v>
      </c>
      <c r="O71" s="189"/>
      <c r="P71" s="189"/>
      <c r="Q71" s="189"/>
      <c r="R71" s="190"/>
      <c r="S71" s="249"/>
    </row>
    <row r="72" spans="1:19" ht="24.95" customHeight="1" thickBot="1" x14ac:dyDescent="0.3">
      <c r="A72" s="1235"/>
      <c r="B72" s="1235"/>
      <c r="C72" s="1228" t="str">
        <f ca="1">VLOOKUP($C72,PRESUPUESTO!$C$3:$H$256,2,FALSE)</f>
        <v>INSTALACIONES ELECTRICAS</v>
      </c>
      <c r="D72" s="1230" t="e">
        <f ca="1">VLOOKUP($C72,PRESUPUESTO!$C$3:$H$256,2,FALSE)</f>
        <v>#N/A</v>
      </c>
      <c r="E72" s="560">
        <f t="shared" si="8"/>
        <v>3168250</v>
      </c>
      <c r="F72" s="257" t="s">
        <v>4064</v>
      </c>
      <c r="G72" s="262"/>
      <c r="H72" s="189"/>
      <c r="I72" s="189"/>
      <c r="J72" s="555"/>
      <c r="K72" s="189"/>
      <c r="L72" s="189"/>
      <c r="M72" s="189"/>
      <c r="N72" s="259">
        <f t="shared" ref="N72" si="12">($D71*N71)</f>
        <v>3168250</v>
      </c>
      <c r="O72" s="189"/>
      <c r="P72" s="189"/>
      <c r="Q72" s="189"/>
      <c r="R72" s="190"/>
      <c r="S72" s="249"/>
    </row>
    <row r="73" spans="1:19" ht="24.95" customHeight="1" thickBot="1" x14ac:dyDescent="0.3">
      <c r="B73" s="6"/>
      <c r="C73" s="261" t="s">
        <v>4257</v>
      </c>
      <c r="D73" s="264">
        <f>+SUM(D21+D71+D65+D63+D61+D59+D57+D55+D53+D51+D49+D47+D45+D43+D41+D39+D37+D35+D33+D31+D29+D27+D25+D23+D19+D17+D15+D13+D11+D9+D7+D5+D69+D67)</f>
        <v>71531258</v>
      </c>
      <c r="E73" s="264">
        <f>+E6+E8+E66+E68+E10+E12+E18+E20+E26+E28+E30+E32+E36+E38+E40+E42+E52+E54+E56+E58+E60+E62+E64+E70+E72+E50+E48+E46+E44+E34+E24+E22+E16+E14</f>
        <v>71531258</v>
      </c>
      <c r="F73" s="1205"/>
      <c r="G73" s="262"/>
      <c r="H73" s="189"/>
      <c r="I73" s="189"/>
      <c r="J73" s="189"/>
      <c r="K73" s="559"/>
      <c r="L73" s="559"/>
      <c r="M73" s="559"/>
      <c r="N73" s="559"/>
      <c r="O73" s="559"/>
      <c r="P73" s="559"/>
      <c r="Q73" s="189"/>
      <c r="R73" s="190"/>
      <c r="S73" s="249"/>
    </row>
    <row r="74" spans="1:19" ht="15.75" thickBot="1" x14ac:dyDescent="0.3">
      <c r="B74" s="561" t="s">
        <v>4078</v>
      </c>
      <c r="C74" s="562"/>
      <c r="D74" s="1185">
        <f ca="1">SUM(D5:D72)</f>
        <v>0</v>
      </c>
      <c r="E74" s="264">
        <f>+SUM(E22+E72+E66+E64+E62+E60+E58+E56+E52+E50+E48+E46+E44+E42+E40+E38+E36+E34+E32+E30+E28+E26+E24+E20+E18+E16+E14+E12+E10+E8+E6+E70+E68+E54)</f>
        <v>71531258</v>
      </c>
      <c r="F74" s="563"/>
      <c r="G74" s="264">
        <f t="shared" ref="G74:R74" si="13">+SUM(G22+G72+G66+G64+G62+G60+G58+G56+G52+G50+G48+G46+G44+G42+G40+G38+G36+G34+G32+G30+G28+G26+G24+G20+G18+G16+G14+G12+G10+G8+G6+G70+G68+G54)</f>
        <v>6992158.7999999998</v>
      </c>
      <c r="H74" s="264">
        <f t="shared" si="13"/>
        <v>411904.2</v>
      </c>
      <c r="I74" s="264">
        <f t="shared" si="13"/>
        <v>6928582.5</v>
      </c>
      <c r="J74" s="264">
        <f t="shared" si="13"/>
        <v>18494910.5</v>
      </c>
      <c r="K74" s="264">
        <f t="shared" si="13"/>
        <v>7150527</v>
      </c>
      <c r="L74" s="264">
        <f t="shared" si="13"/>
        <v>8753408.4000000004</v>
      </c>
      <c r="M74" s="264">
        <f t="shared" si="13"/>
        <v>7911349.5999999996</v>
      </c>
      <c r="N74" s="264">
        <f t="shared" si="13"/>
        <v>12239618.199999999</v>
      </c>
      <c r="O74" s="264">
        <f t="shared" si="13"/>
        <v>2648798.7999999998</v>
      </c>
      <c r="P74" s="264">
        <f t="shared" si="13"/>
        <v>0</v>
      </c>
      <c r="Q74" s="264">
        <f t="shared" si="13"/>
        <v>0</v>
      </c>
      <c r="R74" s="264">
        <f t="shared" si="13"/>
        <v>0</v>
      </c>
      <c r="S74" s="249"/>
    </row>
    <row r="75" spans="1:19" ht="15.75" thickBot="1" x14ac:dyDescent="0.3">
      <c r="B75" s="1236" t="s">
        <v>5313</v>
      </c>
      <c r="C75" s="1237"/>
      <c r="D75" s="1237"/>
      <c r="E75" s="1237"/>
      <c r="F75" s="1238"/>
      <c r="G75" s="265">
        <f>+G74</f>
        <v>6992158.7999999998</v>
      </c>
      <c r="H75" s="264">
        <f>+SUM(G75+H74)</f>
        <v>7404063</v>
      </c>
      <c r="I75" s="264">
        <f t="shared" ref="I75:Q75" si="14">+SUM(H75+I74)</f>
        <v>14332645.5</v>
      </c>
      <c r="J75" s="264">
        <f t="shared" si="14"/>
        <v>32827556</v>
      </c>
      <c r="K75" s="264">
        <f t="shared" si="14"/>
        <v>39978083</v>
      </c>
      <c r="L75" s="264">
        <f t="shared" si="14"/>
        <v>48731491.399999999</v>
      </c>
      <c r="M75" s="264">
        <f t="shared" si="14"/>
        <v>56642841</v>
      </c>
      <c r="N75" s="264">
        <f t="shared" si="14"/>
        <v>68882459.200000003</v>
      </c>
      <c r="O75" s="264">
        <f t="shared" si="14"/>
        <v>71531258</v>
      </c>
      <c r="P75" s="264">
        <f t="shared" si="14"/>
        <v>71531258</v>
      </c>
      <c r="Q75" s="264">
        <f t="shared" si="14"/>
        <v>71531258</v>
      </c>
      <c r="R75" s="264">
        <f t="shared" ref="R75" si="15">SUM(Q75+R74)</f>
        <v>71531258</v>
      </c>
      <c r="S75" s="249"/>
    </row>
    <row r="76" spans="1:19" ht="15.75" thickBot="1" x14ac:dyDescent="0.3">
      <c r="B76" s="1236" t="s">
        <v>5315</v>
      </c>
      <c r="C76" s="1237"/>
      <c r="D76" s="1237"/>
      <c r="E76" s="1237"/>
      <c r="F76" s="1238"/>
      <c r="G76" s="265">
        <f>+G75*(1+PRESUPUESTO!$G$116)</f>
        <v>9089806.4399999995</v>
      </c>
      <c r="H76" s="265">
        <f>+H75*(1+PRESUPUESTO!$G$116)</f>
        <v>9625281.9000000004</v>
      </c>
      <c r="I76" s="265">
        <f>+I75*(1+PRESUPUESTO!$G$116)</f>
        <v>18632439.150000002</v>
      </c>
      <c r="J76" s="265">
        <f>+J75*(1+PRESUPUESTO!$G$116)</f>
        <v>42675822.800000004</v>
      </c>
      <c r="K76" s="265">
        <f>+K75*(1+PRESUPUESTO!$G$116)</f>
        <v>51971507.899999999</v>
      </c>
      <c r="L76" s="265">
        <f>+L75*(1+PRESUPUESTO!$G$116)</f>
        <v>63350938.82</v>
      </c>
      <c r="M76" s="265">
        <f>+M75*(1+PRESUPUESTO!$G$116)</f>
        <v>73635693.299999997</v>
      </c>
      <c r="N76" s="265">
        <f>+N75*(1+PRESUPUESTO!$G$116)</f>
        <v>89547196.960000008</v>
      </c>
      <c r="O76" s="265">
        <f>+O75*(1+PRESUPUESTO!$G$116)</f>
        <v>92990635.400000006</v>
      </c>
      <c r="P76" s="265">
        <f>+P75*(1+PRESUPUESTO!$G$116)</f>
        <v>92990635.400000006</v>
      </c>
      <c r="Q76" s="265">
        <f>+Q75*(1+PRESUPUESTO!$G$116)</f>
        <v>92990635.400000006</v>
      </c>
      <c r="R76" s="265">
        <f>+R75*(1+PRESUPUESTO!$G$116)</f>
        <v>92990635.400000006</v>
      </c>
      <c r="S76" s="249"/>
    </row>
    <row r="77" spans="1:19" ht="15.75" thickBot="1" x14ac:dyDescent="0.3">
      <c r="B77" s="1186"/>
      <c r="C77" s="1168"/>
      <c r="D77" s="1168"/>
      <c r="E77" s="1168"/>
      <c r="F77" s="1168"/>
      <c r="G77" s="1212"/>
      <c r="H77" s="264"/>
      <c r="I77" s="264"/>
      <c r="J77" s="264"/>
      <c r="K77" s="264"/>
      <c r="L77" s="264"/>
      <c r="M77" s="264"/>
      <c r="N77" s="264"/>
      <c r="O77" s="264"/>
      <c r="P77" s="264"/>
      <c r="Q77" s="264"/>
      <c r="R77" s="1213"/>
      <c r="S77" s="249"/>
    </row>
    <row r="78" spans="1:19" ht="34.5" customHeight="1" thickBot="1" x14ac:dyDescent="0.3">
      <c r="B78" s="266">
        <v>30</v>
      </c>
      <c r="C78" s="1201" t="s">
        <v>4582</v>
      </c>
      <c r="D78" s="267"/>
      <c r="E78" s="267"/>
      <c r="F78" s="267"/>
      <c r="G78" s="268"/>
      <c r="H78" s="269"/>
      <c r="I78" s="269"/>
      <c r="J78" s="269"/>
      <c r="K78" s="269"/>
      <c r="L78" s="270"/>
      <c r="M78" s="269"/>
      <c r="N78" s="269"/>
      <c r="O78" s="269"/>
      <c r="P78" s="270"/>
      <c r="Q78" s="269"/>
      <c r="R78" s="271"/>
      <c r="S78" s="249"/>
    </row>
    <row r="79" spans="1:19" ht="15" customHeight="1" x14ac:dyDescent="0.25">
      <c r="A79" s="1225" t="s">
        <v>4176</v>
      </c>
      <c r="B79" s="1239" t="s">
        <v>4657</v>
      </c>
      <c r="C79" s="1227" t="str">
        <f>VLOOKUP($B79,PRESUPUESTO!$C$3:$H$256,2,FALSE)</f>
        <v>SUMINISTRO, TRANSPORTE E INSTALACIÓN DE LAVAMANOS DE PEDAL O ACCIONAMIENTO MEDIANTE VÁLVULA DE RODILLA Y ESTERILIZADOR, INCLUYE CONEXIÓN HIDRAULICA Y ANCLAJE A PLATAFORMAS</v>
      </c>
      <c r="D79" s="1229">
        <f>VLOOKUP($B79,PRESUPUESTO!$C$3:$H$256,6,FALSE)</f>
        <v>21463667</v>
      </c>
      <c r="E79" s="560">
        <f t="shared" ref="E79:E132" si="16">SUM(G79:R79)</f>
        <v>1</v>
      </c>
      <c r="F79" s="263" t="s">
        <v>4076</v>
      </c>
      <c r="G79" s="186"/>
      <c r="H79" s="186"/>
      <c r="I79" s="186"/>
      <c r="J79" s="186"/>
      <c r="K79" s="186"/>
      <c r="L79" s="186"/>
      <c r="M79" s="186"/>
      <c r="N79" s="187">
        <v>0.3</v>
      </c>
      <c r="O79" s="187">
        <v>0.3</v>
      </c>
      <c r="P79" s="187">
        <v>0.4</v>
      </c>
      <c r="Q79" s="186"/>
      <c r="R79" s="188"/>
      <c r="S79" s="249"/>
    </row>
    <row r="80" spans="1:19" ht="15.75" customHeight="1" thickBot="1" x14ac:dyDescent="0.3">
      <c r="A80" s="1225"/>
      <c r="B80" s="1240"/>
      <c r="C80" s="1228" t="str">
        <f ca="1">VLOOKUP($C80,PRESUPUESTO!$C$3:$H$256,2,FALSE)</f>
        <v>INSTALACIONES ELECTRICAS</v>
      </c>
      <c r="D80" s="1230" t="e">
        <f ca="1">VLOOKUP($C80,PRESUPUESTO!$C$3:$H$256,2,FALSE)</f>
        <v>#N/A</v>
      </c>
      <c r="E80" s="560">
        <f t="shared" si="16"/>
        <v>21463667</v>
      </c>
      <c r="F80" s="257" t="s">
        <v>4064</v>
      </c>
      <c r="G80" s="189"/>
      <c r="H80" s="189"/>
      <c r="I80" s="189"/>
      <c r="J80" s="189"/>
      <c r="K80" s="189"/>
      <c r="L80" s="189"/>
      <c r="M80" s="189"/>
      <c r="N80" s="189">
        <f>($D79*N79)</f>
        <v>6439100.0999999996</v>
      </c>
      <c r="O80" s="189">
        <f t="shared" ref="O80" si="17">($D79*O79)</f>
        <v>6439100.0999999996</v>
      </c>
      <c r="P80" s="189">
        <f t="shared" ref="P80" si="18">($D79*P79)</f>
        <v>8585466.8000000007</v>
      </c>
      <c r="Q80" s="189"/>
      <c r="R80" s="190"/>
      <c r="S80" s="249"/>
    </row>
    <row r="81" spans="1:19" ht="15" customHeight="1" x14ac:dyDescent="0.25">
      <c r="A81" s="1225" t="s">
        <v>4178</v>
      </c>
      <c r="B81" s="1233" t="s">
        <v>4661</v>
      </c>
      <c r="C81" s="1227" t="str">
        <f>VLOOKUP($B81,PRESUPUESTO!$C$3:$H$256,2,FALSE)</f>
        <v>SUMINISTRO, TRANSPORTE E INSTALACIÓN ESPARRANCADOR ELÉCTRICO PARA APERTURA DE ANIMAL DURANTE EL CORTE CON SIERRA DE CANAL</v>
      </c>
      <c r="D81" s="1229">
        <f>VLOOKUP($B81,PRESUPUESTO!$C$3:$H$256,6,FALSE)</f>
        <v>6802992</v>
      </c>
      <c r="E81" s="560">
        <f t="shared" si="16"/>
        <v>1</v>
      </c>
      <c r="F81" s="257" t="s">
        <v>4076</v>
      </c>
      <c r="G81" s="189"/>
      <c r="H81" s="189"/>
      <c r="I81" s="189"/>
      <c r="J81" s="189"/>
      <c r="K81" s="189"/>
      <c r="L81" s="189"/>
      <c r="M81" s="189"/>
      <c r="N81" s="189"/>
      <c r="O81" s="191">
        <v>0.3</v>
      </c>
      <c r="P81" s="191">
        <v>0.3</v>
      </c>
      <c r="Q81" s="191">
        <v>0.4</v>
      </c>
      <c r="R81" s="273"/>
      <c r="S81" s="249"/>
    </row>
    <row r="82" spans="1:19" ht="15.75" thickBot="1" x14ac:dyDescent="0.3">
      <c r="A82" s="1225"/>
      <c r="B82" s="1234"/>
      <c r="C82" s="1228" t="str">
        <f ca="1">VLOOKUP($C82,PRESUPUESTO!$C$3:$H$256,2,FALSE)</f>
        <v>INSTALACIONES ELECTRICAS</v>
      </c>
      <c r="D82" s="1230" t="e">
        <f ca="1">VLOOKUP($C82,PRESUPUESTO!$C$3:$H$256,2,FALSE)</f>
        <v>#N/A</v>
      </c>
      <c r="E82" s="560">
        <f t="shared" si="16"/>
        <v>6802992</v>
      </c>
      <c r="F82" s="257" t="s">
        <v>4064</v>
      </c>
      <c r="G82" s="189"/>
      <c r="H82" s="189"/>
      <c r="I82" s="189"/>
      <c r="J82" s="189"/>
      <c r="K82" s="189"/>
      <c r="L82" s="189"/>
      <c r="M82" s="189"/>
      <c r="N82" s="189"/>
      <c r="O82" s="189">
        <f t="shared" ref="O82" si="19">($D81*O81)</f>
        <v>2040897.5999999999</v>
      </c>
      <c r="P82" s="189">
        <f t="shared" ref="P82" si="20">($D81*P81)</f>
        <v>2040897.5999999999</v>
      </c>
      <c r="Q82" s="189">
        <f t="shared" ref="Q82" si="21">($D81*Q81)</f>
        <v>2721196.8000000003</v>
      </c>
      <c r="R82" s="274"/>
      <c r="S82" s="249"/>
    </row>
    <row r="83" spans="1:19" ht="15" customHeight="1" x14ac:dyDescent="0.25">
      <c r="A83" s="1225" t="s">
        <v>4180</v>
      </c>
      <c r="B83" s="1233" t="s">
        <v>4662</v>
      </c>
      <c r="C83" s="1227" t="str">
        <f>VLOOKUP($B83,PRESUPUESTO!$C$3:$H$256,2,FALSE)</f>
        <v xml:space="preserve">SUMINISTRO, TRANSPORTE E INSTALACIÓN PLATAFORMA DE DESLIZAMIENTO VERTICAL MEDIANTE MOTORREDUCTOR DE 1 HP, RIEL DE DESLIZAMIENTO CONSTRUIDO EN TUBO CUADRADO DE 100*100 EN ACERO INOXIDABLE REF 304, RODACHINAS EN EMPACK, PLATAFORMA CON BARANDAS EN PROTECCIÓN DE TUBO REDONDO DE 11/2" Y PISO EN LAMINA DE ALFAJOR ALUMINIO, INSTALACIÓN Y SUMINISTRO DE CABLE ENCAUCHETADO Y TUBERÍA SCH 40. </v>
      </c>
      <c r="D83" s="1229">
        <f>VLOOKUP($B83,PRESUPUESTO!$C$3:$H$256,6,FALSE)</f>
        <v>34631050</v>
      </c>
      <c r="E83" s="560">
        <f t="shared" si="16"/>
        <v>1</v>
      </c>
      <c r="F83" s="257" t="s">
        <v>4076</v>
      </c>
      <c r="G83" s="189"/>
      <c r="H83" s="189"/>
      <c r="I83" s="189"/>
      <c r="J83" s="189"/>
      <c r="K83" s="189"/>
      <c r="L83" s="189"/>
      <c r="M83" s="189"/>
      <c r="N83" s="260"/>
      <c r="O83" s="191">
        <v>1</v>
      </c>
      <c r="P83" s="1"/>
      <c r="Q83" s="189"/>
      <c r="R83" s="190"/>
      <c r="S83" s="249"/>
    </row>
    <row r="84" spans="1:19" ht="15.75" thickBot="1" x14ac:dyDescent="0.3">
      <c r="A84" s="1225"/>
      <c r="B84" s="1234"/>
      <c r="C84" s="1228" t="str">
        <f ca="1">VLOOKUP($C84,PRESUPUESTO!$C$3:$H$256,2,FALSE)</f>
        <v>INSTALACIONES ELECTRICAS</v>
      </c>
      <c r="D84" s="1230" t="e">
        <f ca="1">VLOOKUP($C84,PRESUPUESTO!$C$3:$H$256,2,FALSE)</f>
        <v>#N/A</v>
      </c>
      <c r="E84" s="560">
        <f t="shared" si="16"/>
        <v>34631050</v>
      </c>
      <c r="F84" s="257" t="s">
        <v>4064</v>
      </c>
      <c r="G84" s="189"/>
      <c r="H84" s="189"/>
      <c r="I84" s="189"/>
      <c r="J84" s="189"/>
      <c r="K84" s="189"/>
      <c r="L84" s="189"/>
      <c r="M84" s="189"/>
      <c r="N84" s="258"/>
      <c r="O84" s="189">
        <f>($D83*O83)</f>
        <v>34631050</v>
      </c>
      <c r="P84" s="189"/>
      <c r="Q84" s="189"/>
      <c r="R84" s="190"/>
      <c r="S84" s="249"/>
    </row>
    <row r="85" spans="1:19" ht="15" customHeight="1" x14ac:dyDescent="0.25">
      <c r="A85" s="1225" t="s">
        <v>4182</v>
      </c>
      <c r="B85" s="1233" t="s">
        <v>4663</v>
      </c>
      <c r="C85" s="1227" t="str">
        <f>VLOOKUP($B85,PRESUPUESTO!$C$3:$H$256,2,FALSE)</f>
        <v xml:space="preserve">SUMINISTRO, TRANSPORTE E INSTALACIÓN  DE TOBOGÁN EN "L" PARA VÍSCERAS CONSTRUIDO EN LÁMINA ACERO INOX CAL.14. INCLUYE INSTALACIÓN  </v>
      </c>
      <c r="D85" s="1229">
        <f>VLOOKUP($B85,PRESUPUESTO!$C$3:$H$256,6,FALSE)</f>
        <v>3848832</v>
      </c>
      <c r="E85" s="560">
        <f t="shared" si="16"/>
        <v>1</v>
      </c>
      <c r="F85" s="257" t="s">
        <v>4076</v>
      </c>
      <c r="G85" s="189"/>
      <c r="H85" s="189"/>
      <c r="I85" s="189"/>
      <c r="J85" s="189"/>
      <c r="K85" s="189"/>
      <c r="L85" s="189"/>
      <c r="M85" s="189"/>
      <c r="N85" s="260"/>
      <c r="O85" s="191">
        <v>1</v>
      </c>
      <c r="P85" s="1"/>
      <c r="Q85" s="189"/>
      <c r="R85" s="190"/>
      <c r="S85" s="249"/>
    </row>
    <row r="86" spans="1:19" ht="15.75" thickBot="1" x14ac:dyDescent="0.3">
      <c r="A86" s="1225"/>
      <c r="B86" s="1234"/>
      <c r="C86" s="1228" t="str">
        <f ca="1">VLOOKUP($C86,PRESUPUESTO!$C$3:$H$256,2,FALSE)</f>
        <v>INSTALACIONES ELECTRICAS</v>
      </c>
      <c r="D86" s="1230" t="e">
        <f ca="1">VLOOKUP($C86,PRESUPUESTO!$C$3:$H$256,2,FALSE)</f>
        <v>#N/A</v>
      </c>
      <c r="E86" s="560">
        <f t="shared" si="16"/>
        <v>3848832</v>
      </c>
      <c r="F86" s="257" t="s">
        <v>4064</v>
      </c>
      <c r="G86" s="189"/>
      <c r="H86" s="189"/>
      <c r="I86" s="189"/>
      <c r="J86" s="189"/>
      <c r="K86" s="189"/>
      <c r="L86" s="189"/>
      <c r="M86" s="189"/>
      <c r="N86" s="258"/>
      <c r="O86" s="189">
        <f>($D85*O85)</f>
        <v>3848832</v>
      </c>
      <c r="P86" s="1"/>
      <c r="Q86" s="189"/>
      <c r="R86" s="190"/>
      <c r="S86" s="249"/>
    </row>
    <row r="87" spans="1:19" ht="15" customHeight="1" x14ac:dyDescent="0.25">
      <c r="A87" s="1225" t="s">
        <v>4183</v>
      </c>
      <c r="B87" s="1233" t="s">
        <v>4664</v>
      </c>
      <c r="C87" s="1227" t="str">
        <f>VLOOKUP($B87,PRESUPUESTO!$C$3:$H$256,2,FALSE)</f>
        <v>SUMINISTRO, TRANSPORTE E INSTALACIÓN REJILLA DE PISO PARA SUSTITUIR LA ACTUAL EN ZONA DE SANGRIA CONSTRUIDA EN ACERO INOXIDABLE PARA ÁREA DE LAVADO DE PANZAS. LARGO: 0,20*0,20</v>
      </c>
      <c r="D87" s="1229">
        <f>VLOOKUP($B87,PRESUPUESTO!$C$3:$H$256,6,FALSE)</f>
        <v>1338362</v>
      </c>
      <c r="E87" s="560">
        <f t="shared" si="16"/>
        <v>1</v>
      </c>
      <c r="F87" s="257" t="s">
        <v>4076</v>
      </c>
      <c r="G87" s="189"/>
      <c r="H87" s="189"/>
      <c r="I87" s="189"/>
      <c r="J87" s="260"/>
      <c r="K87" s="260"/>
      <c r="L87" s="1"/>
      <c r="M87" s="1"/>
      <c r="N87" s="191">
        <v>0.5</v>
      </c>
      <c r="O87" s="191">
        <v>0.5</v>
      </c>
      <c r="P87" s="1"/>
      <c r="Q87" s="1"/>
      <c r="R87" s="190"/>
      <c r="S87" s="249"/>
    </row>
    <row r="88" spans="1:19" ht="15.75" thickBot="1" x14ac:dyDescent="0.3">
      <c r="A88" s="1225"/>
      <c r="B88" s="1234"/>
      <c r="C88" s="1228" t="str">
        <f ca="1">VLOOKUP($C88,PRESUPUESTO!$C$3:$H$256,2,FALSE)</f>
        <v>INSTALACIONES ELECTRICAS</v>
      </c>
      <c r="D88" s="1230" t="e">
        <f ca="1">VLOOKUP($C88,PRESUPUESTO!$C$3:$H$256,2,FALSE)</f>
        <v>#N/A</v>
      </c>
      <c r="E88" s="560">
        <f t="shared" si="16"/>
        <v>1338362</v>
      </c>
      <c r="F88" s="257" t="s">
        <v>4064</v>
      </c>
      <c r="G88" s="189"/>
      <c r="H88" s="189"/>
      <c r="I88" s="189"/>
      <c r="J88" s="258"/>
      <c r="K88" s="258"/>
      <c r="L88" s="1"/>
      <c r="M88" s="189"/>
      <c r="N88" s="189">
        <f>(N87*$D87)</f>
        <v>669181</v>
      </c>
      <c r="O88" s="189">
        <f>(O87*$D87)</f>
        <v>669181</v>
      </c>
      <c r="P88" s="189"/>
      <c r="Q88" s="189"/>
      <c r="R88" s="190"/>
      <c r="S88" s="249"/>
    </row>
    <row r="89" spans="1:19" ht="15" customHeight="1" x14ac:dyDescent="0.25">
      <c r="A89" s="1225" t="s">
        <v>4185</v>
      </c>
      <c r="B89" s="1233" t="s">
        <v>4665</v>
      </c>
      <c r="C89" s="1227" t="str">
        <f>VLOOKUP($B89,PRESUPUESTO!$C$3:$H$256,2,FALSE)</f>
        <v>SUMINISTRO, TRANSPORTE E INSTALACIÓN REJILLA DE PISO PARA SALA DE PROCESOS CONSTRUIDA EN ACERO INOXIDABLE PARA ÁREA DE LAVADO DE PANZAS. LARGO: 1,0M  A: 0,20M</v>
      </c>
      <c r="D89" s="1229">
        <f>VLOOKUP($B89,PRESUPUESTO!$C$3:$H$256,6,FALSE)</f>
        <v>12055201</v>
      </c>
      <c r="E89" s="560">
        <f t="shared" si="16"/>
        <v>1</v>
      </c>
      <c r="F89" s="257" t="s">
        <v>4076</v>
      </c>
      <c r="G89" s="189"/>
      <c r="H89" s="189"/>
      <c r="I89" s="189"/>
      <c r="J89" s="189"/>
      <c r="K89" s="189"/>
      <c r="L89" s="189"/>
      <c r="M89" s="260"/>
      <c r="N89" s="189"/>
      <c r="O89" s="191">
        <v>1</v>
      </c>
      <c r="P89" s="189"/>
      <c r="Q89" s="260"/>
      <c r="R89" s="190"/>
      <c r="S89" s="249"/>
    </row>
    <row r="90" spans="1:19" ht="15.75" thickBot="1" x14ac:dyDescent="0.3">
      <c r="A90" s="1225"/>
      <c r="B90" s="1234"/>
      <c r="C90" s="1228" t="str">
        <f ca="1">VLOOKUP($C90,PRESUPUESTO!$C$3:$H$256,2,FALSE)</f>
        <v>INSTALACIONES ELECTRICAS</v>
      </c>
      <c r="D90" s="1230" t="e">
        <f ca="1">VLOOKUP($C90,PRESUPUESTO!$C$3:$H$256,2,FALSE)</f>
        <v>#N/A</v>
      </c>
      <c r="E90" s="560">
        <f t="shared" si="16"/>
        <v>12055201</v>
      </c>
      <c r="F90" s="257" t="s">
        <v>4064</v>
      </c>
      <c r="G90" s="189"/>
      <c r="H90" s="189"/>
      <c r="I90" s="189"/>
      <c r="J90" s="189"/>
      <c r="K90" s="189"/>
      <c r="L90" s="189"/>
      <c r="M90" s="258"/>
      <c r="N90" s="189"/>
      <c r="O90" s="189">
        <f>($D89*O89)</f>
        <v>12055201</v>
      </c>
      <c r="P90" s="189"/>
      <c r="Q90" s="258"/>
      <c r="R90" s="190"/>
      <c r="S90" s="249"/>
    </row>
    <row r="91" spans="1:19" ht="15" customHeight="1" x14ac:dyDescent="0.25">
      <c r="A91" s="1225" t="s">
        <v>4628</v>
      </c>
      <c r="B91" s="1233" t="s">
        <v>4666</v>
      </c>
      <c r="C91" s="1227" t="str">
        <f>VLOOKUP($B91,PRESUPUESTO!$C$3:$H$256,2,FALSE)</f>
        <v>SUMINISTRO, TRANSPORTE E INSTALACIÓN CAMPANA DE EXTRACCIÓN PARA LAVADOR DE PANZAS  CONSTRUIDA EN ACERO INOX CAL. 18, INCLUYE DUCTO Y EXTRACTOR DE 14". DIMENSIONES: L: 2,10M A: 1,20 M, H: 0,50 M.  LARGO DEL DUCTO: 5,0 M</v>
      </c>
      <c r="D91" s="1229">
        <f>VLOOKUP($B91,PRESUPUESTO!$C$3:$H$256,6,FALSE)</f>
        <v>12513276</v>
      </c>
      <c r="E91" s="560">
        <f t="shared" si="16"/>
        <v>1</v>
      </c>
      <c r="F91" s="257" t="s">
        <v>4076</v>
      </c>
      <c r="G91" s="189"/>
      <c r="H91" s="189"/>
      <c r="I91" s="189"/>
      <c r="J91" s="189"/>
      <c r="K91" s="189"/>
      <c r="L91" s="260"/>
      <c r="M91" s="260"/>
      <c r="N91" s="260"/>
      <c r="O91" s="191">
        <v>1</v>
      </c>
      <c r="P91" s="260"/>
      <c r="Q91" s="260"/>
      <c r="R91" s="273"/>
      <c r="S91" s="249"/>
    </row>
    <row r="92" spans="1:19" ht="15.75" thickBot="1" x14ac:dyDescent="0.3">
      <c r="A92" s="1225"/>
      <c r="B92" s="1234"/>
      <c r="C92" s="1228" t="str">
        <f ca="1">VLOOKUP($C92,PRESUPUESTO!$C$3:$H$256,2,FALSE)</f>
        <v>INSTALACIONES ELECTRICAS</v>
      </c>
      <c r="D92" s="1230" t="e">
        <f ca="1">VLOOKUP($C92,PRESUPUESTO!$C$3:$H$256,2,FALSE)</f>
        <v>#N/A</v>
      </c>
      <c r="E92" s="560">
        <f t="shared" si="16"/>
        <v>12513276</v>
      </c>
      <c r="F92" s="257" t="s">
        <v>4064</v>
      </c>
      <c r="G92" s="189"/>
      <c r="H92" s="189"/>
      <c r="I92" s="189"/>
      <c r="J92" s="189"/>
      <c r="K92" s="189"/>
      <c r="L92" s="258"/>
      <c r="M92" s="258"/>
      <c r="N92" s="258"/>
      <c r="O92" s="189">
        <f>(O91*D91)</f>
        <v>12513276</v>
      </c>
      <c r="P92" s="258"/>
      <c r="Q92" s="258"/>
      <c r="R92" s="274"/>
      <c r="S92" s="249"/>
    </row>
    <row r="93" spans="1:19" ht="15" customHeight="1" x14ac:dyDescent="0.25">
      <c r="A93" s="1225" t="s">
        <v>4187</v>
      </c>
      <c r="B93" s="1233" t="s">
        <v>4667</v>
      </c>
      <c r="C93" s="1227" t="str">
        <f>VLOOKUP($B93,PRESUPUESTO!$C$3:$H$256,2,FALSE)</f>
        <v>SUMINISTRO, TRANSPORTE E INSTALACIÓN DE PLATAFORMA PARA EVISCERACIÓN DE DOS NIVELES FABRICADA EN ACERO INOXIDABLE AISI 304, PARALES EN TUBERIA RED 6" SCH10 AISI 304, FLANCHE DE SUJECIÓN A PISO EN LAMINA 1/2 AISI 304, PLATAFORMA Y ESCALONES EN LAMINA DE ALFAJOR 1/8" AISI 304, MARCO DE ESCALERA CAL 16 AISI 304, BARANDAS EN TUBO DE 1 1/2 CAL 16 AISI 304 INCLUYE LAVAMANOS Y ESTERILIZADOR  DIMENSIONES: PLATAFORMA ALTA 1M ANCHO X 1M LARGO X 1,25M ALTO; PLATAFORMA BAJA 1M ANCHO X 1M LARGO X 0,60M ALTO</v>
      </c>
      <c r="D93" s="1229">
        <f>VLOOKUP($B93,PRESUPUESTO!$C$3:$H$256,6,FALSE)</f>
        <v>18110625</v>
      </c>
      <c r="E93" s="560">
        <f t="shared" si="16"/>
        <v>1</v>
      </c>
      <c r="F93" s="257" t="s">
        <v>4076</v>
      </c>
      <c r="G93" s="189"/>
      <c r="H93" s="189"/>
      <c r="I93" s="189"/>
      <c r="J93" s="189"/>
      <c r="K93" s="189"/>
      <c r="L93" s="189"/>
      <c r="M93" s="260"/>
      <c r="N93" s="260"/>
      <c r="O93" s="189"/>
      <c r="P93" s="191">
        <v>1</v>
      </c>
      <c r="Q93" s="260"/>
      <c r="R93" s="273"/>
      <c r="S93" s="249"/>
    </row>
    <row r="94" spans="1:19" ht="15.75" thickBot="1" x14ac:dyDescent="0.3">
      <c r="A94" s="1225"/>
      <c r="B94" s="1234"/>
      <c r="C94" s="1228" t="str">
        <f ca="1">VLOOKUP($C94,PRESUPUESTO!$C$3:$H$256,2,FALSE)</f>
        <v>INSTALACIONES ELECTRICAS</v>
      </c>
      <c r="D94" s="1230" t="e">
        <f ca="1">VLOOKUP($C94,PRESUPUESTO!$C$3:$H$256,2,FALSE)</f>
        <v>#N/A</v>
      </c>
      <c r="E94" s="560">
        <f t="shared" si="16"/>
        <v>18110625</v>
      </c>
      <c r="F94" s="257" t="s">
        <v>4064</v>
      </c>
      <c r="G94" s="189"/>
      <c r="H94" s="189"/>
      <c r="I94" s="189"/>
      <c r="J94" s="189"/>
      <c r="K94" s="189"/>
      <c r="L94" s="189"/>
      <c r="M94" s="258"/>
      <c r="N94" s="258"/>
      <c r="O94" s="189"/>
      <c r="P94" s="189">
        <f>(P93*D93)</f>
        <v>18110625</v>
      </c>
      <c r="Q94" s="258"/>
      <c r="R94" s="274"/>
      <c r="S94" s="249"/>
    </row>
    <row r="95" spans="1:19" ht="15" customHeight="1" x14ac:dyDescent="0.25">
      <c r="A95" s="1225" t="s">
        <v>4189</v>
      </c>
      <c r="B95" s="1233" t="s">
        <v>4668</v>
      </c>
      <c r="C95" s="1227" t="str">
        <f>VLOOKUP($B95,PRESUPUESTO!$C$3:$H$256,2,FALSE)</f>
        <v xml:space="preserve">SUMINISTRO, TRANSPORTE DE CARRO TIPO CUTTER PARA TRANSPORTE Y ALMACENAMIENTO DE PRODUCTOS.  
FABRICADO EN ACERO INOXIDABLE REF. 304 CALIBRE 14. RECIPIENTE O CUBA COMPLETAMENTE SANITARIA CON TERMINACIONES REDONDEADAS PARA EVITAR DEPÓSITO DE PARTÍCULAS. CONSTRUIDOS EN LÁMINA ACERO INOX </v>
      </c>
      <c r="D95" s="1229">
        <f>VLOOKUP($B95,PRESUPUESTO!$C$3:$H$256,6,FALSE)</f>
        <v>22942035</v>
      </c>
      <c r="E95" s="560">
        <f t="shared" si="16"/>
        <v>1</v>
      </c>
      <c r="F95" s="257" t="s">
        <v>4076</v>
      </c>
      <c r="G95" s="189"/>
      <c r="H95" s="189"/>
      <c r="I95" s="189"/>
      <c r="J95" s="189"/>
      <c r="K95" s="189"/>
      <c r="L95" s="260"/>
      <c r="M95" s="260"/>
      <c r="N95" s="189"/>
      <c r="O95" s="189"/>
      <c r="P95" s="191">
        <v>0.5</v>
      </c>
      <c r="Q95" s="191">
        <v>0.5</v>
      </c>
      <c r="R95" s="190"/>
      <c r="S95" s="249"/>
    </row>
    <row r="96" spans="1:19" ht="15.75" thickBot="1" x14ac:dyDescent="0.3">
      <c r="A96" s="1225"/>
      <c r="B96" s="1234"/>
      <c r="C96" s="1228" t="str">
        <f ca="1">VLOOKUP($C96,PRESUPUESTO!$C$3:$H$256,2,FALSE)</f>
        <v>INSTALACIONES ELECTRICAS</v>
      </c>
      <c r="D96" s="1230" t="e">
        <f ca="1">VLOOKUP($C96,PRESUPUESTO!$C$3:$H$256,2,FALSE)</f>
        <v>#N/A</v>
      </c>
      <c r="E96" s="560">
        <f t="shared" si="16"/>
        <v>22942035</v>
      </c>
      <c r="F96" s="257" t="s">
        <v>4064</v>
      </c>
      <c r="G96" s="189"/>
      <c r="H96" s="189"/>
      <c r="I96" s="189"/>
      <c r="J96" s="189"/>
      <c r="K96" s="189"/>
      <c r="L96" s="258"/>
      <c r="M96" s="258"/>
      <c r="N96" s="258"/>
      <c r="O96" s="189"/>
      <c r="P96" s="258">
        <f>(P95*$D$95)</f>
        <v>11471017.5</v>
      </c>
      <c r="Q96" s="258">
        <f>(Q95*$D$95)</f>
        <v>11471017.5</v>
      </c>
      <c r="R96" s="274"/>
      <c r="S96" s="249"/>
    </row>
    <row r="97" spans="1:19" ht="15" customHeight="1" x14ac:dyDescent="0.25">
      <c r="A97" s="1225" t="s">
        <v>4191</v>
      </c>
      <c r="B97" s="1233" t="s">
        <v>4669</v>
      </c>
      <c r="C97" s="1227" t="str">
        <f>VLOOKUP($B97,PRESUPUESTO!$C$3:$H$256,2,FALSE)</f>
        <v xml:space="preserve">SUMINISTRO, TRANSPORTE E INSTALACIÓN DE LAVABOTAS EQUIPO FABRICADO EN ACERO INOXIDABLE AISI 304 CON ALTOS ESTÁNDARES DE CALIDAD, CUERPO FABRICADO EN LAMINA DE ACERO INOXIDABLE AISI 304 , REFUERZOS. INCLUYE MAGUERA Y CEPILLO PARA LAVADO </v>
      </c>
      <c r="D97" s="1229">
        <f>VLOOKUP($B97,PRESUPUESTO!$C$3:$H$256,6,FALSE)</f>
        <v>10116424</v>
      </c>
      <c r="E97" s="560">
        <f t="shared" si="16"/>
        <v>1</v>
      </c>
      <c r="F97" s="257" t="s">
        <v>4076</v>
      </c>
      <c r="G97" s="189"/>
      <c r="H97" s="189"/>
      <c r="I97" s="189"/>
      <c r="J97" s="189"/>
      <c r="K97" s="189"/>
      <c r="L97" s="258"/>
      <c r="M97" s="260"/>
      <c r="N97" s="258"/>
      <c r="O97" s="189"/>
      <c r="P97" s="191">
        <v>1</v>
      </c>
      <c r="Q97" s="260"/>
      <c r="R97" s="274"/>
      <c r="S97" s="249"/>
    </row>
    <row r="98" spans="1:19" ht="15.75" thickBot="1" x14ac:dyDescent="0.3">
      <c r="A98" s="1225"/>
      <c r="B98" s="1234"/>
      <c r="C98" s="1228" t="str">
        <f ca="1">VLOOKUP($C98,PRESUPUESTO!$C$3:$H$256,2,FALSE)</f>
        <v>INSTALACIONES ELECTRICAS</v>
      </c>
      <c r="D98" s="1230" t="e">
        <f ca="1">VLOOKUP($C98,PRESUPUESTO!$C$3:$H$256,2,FALSE)</f>
        <v>#N/A</v>
      </c>
      <c r="E98" s="560">
        <f t="shared" si="16"/>
        <v>10116424</v>
      </c>
      <c r="F98" s="257" t="s">
        <v>4064</v>
      </c>
      <c r="G98" s="189"/>
      <c r="H98" s="189"/>
      <c r="I98" s="189"/>
      <c r="J98" s="189"/>
      <c r="K98" s="189"/>
      <c r="L98" s="258"/>
      <c r="M98" s="258"/>
      <c r="N98" s="258"/>
      <c r="O98" s="189"/>
      <c r="P98" s="258">
        <f>(P97*D97)</f>
        <v>10116424</v>
      </c>
      <c r="Q98" s="258"/>
      <c r="R98" s="274"/>
      <c r="S98" s="249"/>
    </row>
    <row r="99" spans="1:19" ht="15" customHeight="1" x14ac:dyDescent="0.25">
      <c r="A99" s="1225" t="s">
        <v>4193</v>
      </c>
      <c r="B99" s="1233" t="s">
        <v>4670</v>
      </c>
      <c r="C99" s="1227" t="str">
        <f>VLOOKUP($B99,PRESUPUESTO!$C$3:$H$256,2,FALSE)</f>
        <v>SUMINISTRO, TRANSPORTE E INSTALACIÓN ESTERILIZADOR DE SIERRA DE ESTERNÓN EQUIPO FABRICADO EN ACERO INOXIDABLE AISI 304, ESTRUCTURA FABRICADA EN TUBERÍA CUADRADA , SISTEMA DE VAPOR PARA ESTERILIZACIÓN.
• CUERPO FABRICADO EN LAMINA CAL 14 AISI 304
• ESTRUCTURA EN TUBO CUAD 1”1/2 CAL 16 AISI 304
• FLAUTA EN TUBO RED ½ SCH10 AISI 304
• NIVELADORES EN LAMINA ¼ AISI 304 CON ESPARRAGO AISI 304</v>
      </c>
      <c r="D99" s="1229">
        <f>VLOOKUP($B99,PRESUPUESTO!$C$3:$H$256,6,FALSE)</f>
        <v>6352274</v>
      </c>
      <c r="E99" s="560">
        <f t="shared" si="16"/>
        <v>1</v>
      </c>
      <c r="F99" s="257" t="s">
        <v>4076</v>
      </c>
      <c r="G99" s="189"/>
      <c r="H99" s="189"/>
      <c r="I99" s="189"/>
      <c r="J99" s="189"/>
      <c r="K99" s="189"/>
      <c r="L99" s="258"/>
      <c r="M99" s="260"/>
      <c r="N99" s="260"/>
      <c r="O99" s="189"/>
      <c r="P99" s="258"/>
      <c r="Q99" s="191">
        <v>1</v>
      </c>
      <c r="R99" s="273"/>
      <c r="S99" s="249"/>
    </row>
    <row r="100" spans="1:19" ht="15.75" thickBot="1" x14ac:dyDescent="0.3">
      <c r="A100" s="1225"/>
      <c r="B100" s="1234"/>
      <c r="C100" s="1228" t="str">
        <f ca="1">VLOOKUP($C100,PRESUPUESTO!$C$3:$H$256,2,FALSE)</f>
        <v>INSTALACIONES ELECTRICAS</v>
      </c>
      <c r="D100" s="1230" t="e">
        <f ca="1">VLOOKUP($C100,PRESUPUESTO!$C$3:$H$256,2,FALSE)</f>
        <v>#N/A</v>
      </c>
      <c r="E100" s="560">
        <f t="shared" si="16"/>
        <v>6352274</v>
      </c>
      <c r="F100" s="257" t="s">
        <v>4064</v>
      </c>
      <c r="G100" s="189"/>
      <c r="H100" s="189"/>
      <c r="I100" s="189"/>
      <c r="J100" s="189"/>
      <c r="K100" s="189"/>
      <c r="L100" s="258"/>
      <c r="M100" s="258"/>
      <c r="N100" s="258"/>
      <c r="O100" s="189"/>
      <c r="P100" s="258"/>
      <c r="Q100" s="258">
        <f>(Q99*D99)</f>
        <v>6352274</v>
      </c>
      <c r="R100" s="274"/>
      <c r="S100" s="249"/>
    </row>
    <row r="101" spans="1:19" ht="15" customHeight="1" x14ac:dyDescent="0.25">
      <c r="A101" s="1225" t="s">
        <v>4197</v>
      </c>
      <c r="B101" s="1233" t="s">
        <v>4671</v>
      </c>
      <c r="C101" s="1227" t="str">
        <f>VLOOKUP($B101,PRESUPUESTO!$C$3:$H$256,2,FALSE)</f>
        <v>SUMINISTRO, TRANSPORTE E INSTALACIÓN DE MESA PARA RECIBO Y REPASO DE PORCINOS. FABRICADO EN LÁMINA DE ACERO INOXIDABLE AISI304  CALIBRE 14, ESTRUCTURA EN TUBO CUADRO 2" CALIBRE 16 AISI 304, CUERPO FABRICADO EN LAMINA CALIBRE 14 AISI 304, DESAGUE TUBO RED 1” SCH 40 AISI 304, INCLUYE BANDEJA DE RECOLECCIÓN Y RODACHINAS DE 3". DIMENSION L: 2,20 M, A: 0,90 H: 0,90 M</v>
      </c>
      <c r="D101" s="1229">
        <f>VLOOKUP($B101,PRESUPUESTO!$C$3:$H$256,6,FALSE)</f>
        <v>7126476</v>
      </c>
      <c r="E101" s="560">
        <f t="shared" si="16"/>
        <v>1</v>
      </c>
      <c r="F101" s="257" t="s">
        <v>4076</v>
      </c>
      <c r="G101" s="189"/>
      <c r="H101" s="189"/>
      <c r="I101" s="189"/>
      <c r="J101" s="189"/>
      <c r="K101" s="189"/>
      <c r="L101" s="260"/>
      <c r="M101" s="260"/>
      <c r="N101" s="260"/>
      <c r="O101" s="189"/>
      <c r="P101" s="191">
        <v>0.3</v>
      </c>
      <c r="Q101" s="191">
        <v>0.3</v>
      </c>
      <c r="R101" s="192">
        <v>0.4</v>
      </c>
      <c r="S101" s="249"/>
    </row>
    <row r="102" spans="1:19" ht="15.75" thickBot="1" x14ac:dyDescent="0.3">
      <c r="A102" s="1225"/>
      <c r="B102" s="1234"/>
      <c r="C102" s="1228" t="str">
        <f ca="1">VLOOKUP($C102,PRESUPUESTO!$C$3:$H$256,2,FALSE)</f>
        <v>INSTALACIONES ELECTRICAS</v>
      </c>
      <c r="D102" s="1230" t="e">
        <f ca="1">VLOOKUP($C102,PRESUPUESTO!$C$3:$H$256,2,FALSE)</f>
        <v>#N/A</v>
      </c>
      <c r="E102" s="560">
        <f t="shared" si="16"/>
        <v>7126476</v>
      </c>
      <c r="F102" s="257" t="s">
        <v>4064</v>
      </c>
      <c r="G102" s="189"/>
      <c r="H102" s="189"/>
      <c r="I102" s="189"/>
      <c r="J102" s="189"/>
      <c r="K102" s="189"/>
      <c r="L102" s="258"/>
      <c r="M102" s="258"/>
      <c r="N102" s="258"/>
      <c r="O102" s="189"/>
      <c r="P102" s="189">
        <f t="shared" ref="P102:R102" si="22">(P101*$D101)</f>
        <v>2137942.7999999998</v>
      </c>
      <c r="Q102" s="189">
        <f t="shared" si="22"/>
        <v>2137942.7999999998</v>
      </c>
      <c r="R102" s="189">
        <f t="shared" si="22"/>
        <v>2850590.4000000004</v>
      </c>
      <c r="S102" s="249"/>
    </row>
    <row r="103" spans="1:19" x14ac:dyDescent="0.25">
      <c r="A103" s="1225" t="s">
        <v>4507</v>
      </c>
      <c r="B103" s="1233" t="s">
        <v>4672</v>
      </c>
      <c r="C103" s="1227" t="str">
        <f>VLOOKUP($B103,PRESUPUESTO!$C$3:$H$256,2,FALSE)</f>
        <v>SUMINISTRO, TRANSPORTE DE RECIPIENTE PARA RECOLECCIÓN DE SANGRE CONSTRUÍDO EN ACERO INOX CAL. 14. INCLUYE ESTRUCTURA DE SOPORTE EN TUBERÍA CUADRADA Y RODACHINAS DE 3". DIMENSIONES: L: 0,90M A: 0,70 M, H: 0,90 M</v>
      </c>
      <c r="D103" s="1229">
        <f>VLOOKUP($B103,PRESUPUESTO!$C$3:$H$256,6,FALSE)</f>
        <v>9952499</v>
      </c>
      <c r="E103" s="560">
        <f t="shared" si="16"/>
        <v>1</v>
      </c>
      <c r="F103" s="257" t="s">
        <v>4076</v>
      </c>
      <c r="G103" s="189"/>
      <c r="H103" s="189"/>
      <c r="I103" s="189"/>
      <c r="J103" s="189"/>
      <c r="K103" s="189"/>
      <c r="L103" s="258"/>
      <c r="M103" s="258"/>
      <c r="N103" s="258"/>
      <c r="O103" s="189"/>
      <c r="P103" s="191">
        <v>1</v>
      </c>
      <c r="Q103" s="258"/>
      <c r="R103" s="274"/>
      <c r="S103" s="249"/>
    </row>
    <row r="104" spans="1:19" ht="15.75" thickBot="1" x14ac:dyDescent="0.3">
      <c r="A104" s="1225"/>
      <c r="B104" s="1234"/>
      <c r="C104" s="1228" t="str">
        <f ca="1">VLOOKUP($C104,PRESUPUESTO!$C$3:$H$256,2,FALSE)</f>
        <v>INSTALACIONES ELECTRICAS</v>
      </c>
      <c r="D104" s="1230" t="e">
        <f ca="1">VLOOKUP($C104,PRESUPUESTO!$C$3:$H$256,2,FALSE)</f>
        <v>#N/A</v>
      </c>
      <c r="E104" s="560">
        <f t="shared" si="16"/>
        <v>9952499</v>
      </c>
      <c r="F104" s="257" t="s">
        <v>4064</v>
      </c>
      <c r="G104" s="189"/>
      <c r="H104" s="189"/>
      <c r="I104" s="189"/>
      <c r="J104" s="189"/>
      <c r="K104" s="189"/>
      <c r="L104" s="258"/>
      <c r="M104" s="258"/>
      <c r="N104" s="258"/>
      <c r="O104" s="189"/>
      <c r="P104" s="258">
        <f>(P103*D103)</f>
        <v>9952499</v>
      </c>
      <c r="Q104" s="258"/>
      <c r="R104" s="274"/>
      <c r="S104" s="249"/>
    </row>
    <row r="105" spans="1:19" x14ac:dyDescent="0.25">
      <c r="A105" s="1225" t="s">
        <v>4509</v>
      </c>
      <c r="B105" s="1233" t="s">
        <v>4673</v>
      </c>
      <c r="C105" s="1227" t="str">
        <f>VLOOKUP($B105,PRESUPUESTO!$C$3:$H$256,2,FALSE)</f>
        <v>SUMINISTRO, TRANSPORTE E INSTALACION DE RIEL PARA ZONA DE DESPACHO .  INCLUYE CORTE, CURVAS EN PLATINA DE 1/2*2" Y PINTURA DE RIEL</v>
      </c>
      <c r="D105" s="1229">
        <f>VLOOKUP($B105,PRESUPUESTO!$C$3:$H$256,6,FALSE)</f>
        <v>27211968</v>
      </c>
      <c r="E105" s="560">
        <f t="shared" si="16"/>
        <v>1</v>
      </c>
      <c r="F105" s="257" t="s">
        <v>4076</v>
      </c>
      <c r="G105" s="189"/>
      <c r="H105" s="189"/>
      <c r="I105" s="189"/>
      <c r="J105" s="189"/>
      <c r="K105" s="189"/>
      <c r="L105" s="258"/>
      <c r="M105" s="258"/>
      <c r="N105" s="258"/>
      <c r="O105" s="189"/>
      <c r="P105" s="191">
        <v>1</v>
      </c>
      <c r="Q105" s="258"/>
      <c r="R105" s="274"/>
      <c r="S105" s="249"/>
    </row>
    <row r="106" spans="1:19" ht="15.75" thickBot="1" x14ac:dyDescent="0.3">
      <c r="A106" s="1225"/>
      <c r="B106" s="1234"/>
      <c r="C106" s="1228" t="str">
        <f ca="1">VLOOKUP($C106,PRESUPUESTO!$C$3:$H$256,2,FALSE)</f>
        <v>INSTALACIONES ELECTRICAS</v>
      </c>
      <c r="D106" s="1230" t="e">
        <f ca="1">VLOOKUP($C106,PRESUPUESTO!$C$3:$H$256,2,FALSE)</f>
        <v>#N/A</v>
      </c>
      <c r="E106" s="560">
        <f t="shared" si="16"/>
        <v>27211968</v>
      </c>
      <c r="F106" s="257" t="s">
        <v>4064</v>
      </c>
      <c r="G106" s="189"/>
      <c r="H106" s="189"/>
      <c r="I106" s="189"/>
      <c r="J106" s="189"/>
      <c r="K106" s="189"/>
      <c r="L106" s="258"/>
      <c r="M106" s="258"/>
      <c r="N106" s="258"/>
      <c r="O106" s="189"/>
      <c r="P106" s="258">
        <f>(P105*D105)</f>
        <v>27211968</v>
      </c>
      <c r="Q106" s="258"/>
      <c r="R106" s="274"/>
      <c r="S106" s="249"/>
    </row>
    <row r="107" spans="1:19" x14ac:dyDescent="0.25">
      <c r="A107" s="1225" t="s">
        <v>4209</v>
      </c>
      <c r="B107" s="1233" t="s">
        <v>4674</v>
      </c>
      <c r="C107" s="1227" t="str">
        <f>VLOOKUP($B107,PRESUPUESTO!$C$3:$H$256,2,FALSE)</f>
        <v xml:space="preserve">SUMINISTRO, TRANSPORTE E INSTALACION PUERTA DUCHA ACRILICO (INCLUYE MARCO EN ALUMINIO ANODIZADO, PASADOR Y TOALLERO) A TODO COSTO DIMENSIONES: 0,90M X 1,85M </v>
      </c>
      <c r="D107" s="1229">
        <f>VLOOKUP($B107,PRESUPUESTO!$C$3:$H$256,6,FALSE)</f>
        <v>6956312</v>
      </c>
      <c r="E107" s="560">
        <f t="shared" si="16"/>
        <v>1</v>
      </c>
      <c r="F107" s="257" t="s">
        <v>4076</v>
      </c>
      <c r="G107" s="189"/>
      <c r="H107" s="189"/>
      <c r="I107" s="189"/>
      <c r="J107" s="189"/>
      <c r="K107" s="189"/>
      <c r="L107" s="258"/>
      <c r="M107" s="258"/>
      <c r="N107" s="258"/>
      <c r="O107" s="189"/>
      <c r="P107" s="191">
        <v>1</v>
      </c>
      <c r="Q107" s="258"/>
      <c r="R107" s="274"/>
      <c r="S107" s="249"/>
    </row>
    <row r="108" spans="1:19" ht="15.75" thickBot="1" x14ac:dyDescent="0.3">
      <c r="A108" s="1225"/>
      <c r="B108" s="1234"/>
      <c r="C108" s="1228" t="str">
        <f ca="1">VLOOKUP($C108,PRESUPUESTO!$C$3:$H$256,2,FALSE)</f>
        <v>INSTALACIONES ELECTRICAS</v>
      </c>
      <c r="D108" s="1230" t="e">
        <f ca="1">VLOOKUP($C108,PRESUPUESTO!$C$3:$H$256,2,FALSE)</f>
        <v>#N/A</v>
      </c>
      <c r="E108" s="560">
        <f t="shared" si="16"/>
        <v>6956312</v>
      </c>
      <c r="F108" s="257" t="s">
        <v>4064</v>
      </c>
      <c r="G108" s="189"/>
      <c r="H108" s="189"/>
      <c r="I108" s="189"/>
      <c r="J108" s="189"/>
      <c r="K108" s="189"/>
      <c r="L108" s="258"/>
      <c r="M108" s="258"/>
      <c r="N108" s="258"/>
      <c r="O108" s="189"/>
      <c r="P108" s="258">
        <f>(P107*D107)</f>
        <v>6956312</v>
      </c>
      <c r="Q108" s="258"/>
      <c r="R108" s="274"/>
      <c r="S108" s="249"/>
    </row>
    <row r="109" spans="1:19" x14ac:dyDescent="0.25">
      <c r="A109" s="1225" t="s">
        <v>4212</v>
      </c>
      <c r="B109" s="1233" t="s">
        <v>4675</v>
      </c>
      <c r="C109" s="1227" t="str">
        <f>VLOOKUP($B109,PRESUPUESTO!$C$3:$H$256,2,FALSE)</f>
        <v>SUMINISTRO, TRANSPORTE E INSTALACION GRIFERIA DUCHA SENCILLA (INCLUYE REGISTRO DUCHA, TAPÓN PRUEBA HIDRÁULICA, BRAZO REGADERA, MANIJAS, REGADERA, ESCUDO E INSTRUCTIVO)</v>
      </c>
      <c r="D109" s="1229">
        <f>VLOOKUP($B109,PRESUPUESTO!$C$3:$H$256,6,FALSE)</f>
        <v>212700</v>
      </c>
      <c r="E109" s="560">
        <f t="shared" si="16"/>
        <v>1</v>
      </c>
      <c r="F109" s="257" t="s">
        <v>4076</v>
      </c>
      <c r="G109" s="189"/>
      <c r="H109" s="189"/>
      <c r="I109" s="189"/>
      <c r="J109" s="189"/>
      <c r="K109" s="189"/>
      <c r="L109" s="189"/>
      <c r="M109" s="189"/>
      <c r="N109" s="189"/>
      <c r="O109" s="191">
        <v>1</v>
      </c>
      <c r="P109" s="258"/>
      <c r="Q109" s="189"/>
      <c r="R109" s="258"/>
      <c r="S109" s="249"/>
    </row>
    <row r="110" spans="1:19" ht="15.75" thickBot="1" x14ac:dyDescent="0.3">
      <c r="A110" s="1225"/>
      <c r="B110" s="1234"/>
      <c r="C110" s="1228" t="str">
        <f ca="1">VLOOKUP($C110,PRESUPUESTO!$C$3:$H$256,2,FALSE)</f>
        <v>INSTALACIONES ELECTRICAS</v>
      </c>
      <c r="D110" s="1230" t="e">
        <f ca="1">VLOOKUP($C110,PRESUPUESTO!$C$3:$H$256,2,FALSE)</f>
        <v>#N/A</v>
      </c>
      <c r="E110" s="560">
        <f t="shared" si="16"/>
        <v>212700</v>
      </c>
      <c r="F110" s="257" t="s">
        <v>4064</v>
      </c>
      <c r="G110" s="189"/>
      <c r="H110" s="189"/>
      <c r="I110" s="189"/>
      <c r="J110" s="189"/>
      <c r="K110" s="189"/>
      <c r="L110" s="189"/>
      <c r="M110" s="189"/>
      <c r="N110" s="189"/>
      <c r="O110" s="189">
        <f>($D109*O109)</f>
        <v>212700</v>
      </c>
      <c r="S110" s="249"/>
    </row>
    <row r="111" spans="1:19" x14ac:dyDescent="0.25">
      <c r="A111" s="1225" t="s">
        <v>4215</v>
      </c>
      <c r="B111" s="1233" t="s">
        <v>4676</v>
      </c>
      <c r="C111" s="1227" t="str">
        <f>VLOOKUP($B111,PRESUPUESTO!$C$3:$H$256,2,FALSE)</f>
        <v xml:space="preserve">SUMINISTRO, TRANSPORTE E INSTALACIÓN DE LAVAPETOS FABRICADO EN ACERO INOXIDABLE TIPO AISI 304 CAL 16. INCLUYE CANAL CONECTOR DE AGUA EN PARTE INFERIOR, VÁLVULA DE PASO MANUAL CON CONEXIÓN DE AGUA DE 1/2 Y MAGUERA CON PISTOLA DE ACCIONAMIENTO.. </v>
      </c>
      <c r="D111" s="1229">
        <f>VLOOKUP($B111,PRESUPUESTO!$C$3:$H$256,6,FALSE)</f>
        <v>3391485</v>
      </c>
      <c r="E111" s="560">
        <f t="shared" si="16"/>
        <v>1</v>
      </c>
      <c r="F111" s="257" t="s">
        <v>4076</v>
      </c>
      <c r="G111" s="189"/>
      <c r="H111" s="189"/>
      <c r="I111" s="189"/>
      <c r="J111" s="189"/>
      <c r="K111" s="189"/>
      <c r="L111" s="258"/>
      <c r="M111" s="189"/>
      <c r="N111" s="258"/>
      <c r="O111" s="191">
        <v>0.3</v>
      </c>
      <c r="P111" s="191">
        <v>0.3</v>
      </c>
      <c r="Q111" s="191">
        <v>0.4</v>
      </c>
      <c r="R111" s="258"/>
      <c r="S111" s="249"/>
    </row>
    <row r="112" spans="1:19" ht="15.75" thickBot="1" x14ac:dyDescent="0.3">
      <c r="A112" s="1225"/>
      <c r="B112" s="1234"/>
      <c r="C112" s="1228" t="str">
        <f ca="1">VLOOKUP($C112,PRESUPUESTO!$C$3:$H$256,2,FALSE)</f>
        <v>INSTALACIONES ELECTRICAS</v>
      </c>
      <c r="D112" s="1230" t="e">
        <f ca="1">VLOOKUP($C112,PRESUPUESTO!$C$3:$H$256,2,FALSE)</f>
        <v>#N/A</v>
      </c>
      <c r="E112" s="560">
        <f t="shared" si="16"/>
        <v>3391485</v>
      </c>
      <c r="F112" s="257" t="s">
        <v>4064</v>
      </c>
      <c r="G112" s="189"/>
      <c r="H112" s="189"/>
      <c r="I112" s="189"/>
      <c r="J112" s="189"/>
      <c r="K112" s="189"/>
      <c r="L112" s="258"/>
      <c r="M112" s="189"/>
      <c r="N112" s="258"/>
      <c r="O112" s="189">
        <f t="shared" ref="O112" si="23">($D111*O111)</f>
        <v>1017445.5</v>
      </c>
      <c r="P112" s="189">
        <f t="shared" ref="P112" si="24">($D111*P111)</f>
        <v>1017445.5</v>
      </c>
      <c r="Q112" s="189">
        <f t="shared" ref="Q112" si="25">($D111*Q111)</f>
        <v>1356594</v>
      </c>
      <c r="R112" s="258"/>
      <c r="S112" s="249"/>
    </row>
    <row r="113" spans="1:19" x14ac:dyDescent="0.25">
      <c r="A113" s="1225" t="s">
        <v>4217</v>
      </c>
      <c r="B113" s="1232" t="s">
        <v>4677</v>
      </c>
      <c r="C113" s="1227" t="str">
        <f>VLOOKUP($B113,PRESUPUESTO!$C$3:$H$256,2,FALSE)</f>
        <v>SUMINISTRO, TRANSPORTE E INSTALACIÓN PUERTA CORREDIZA PARA CUARTO FRÍO FABRICADA EN PANEL CON UN ESPESOR DE 3”, 11/2" PULGADAS DE ESPESOR, INYECTADA EN POLIURETANO CON DENSIDAD DE TREINTA Y CUATRO KILOGRAMOS METRO CÚBICO (34 KG. / MT 3), ECOLÓGICO, ACABADO EN LÁMINA GALVANIZADA PREPINTADA IMPORTADA COLOR BLANCO. DIMENSIONES 2,0 X2,30</v>
      </c>
      <c r="D113" s="1229">
        <f>VLOOKUP($B113,PRESUPUESTO!$C$3:$H$256,6,FALSE)</f>
        <v>6704344</v>
      </c>
      <c r="E113" s="560">
        <f t="shared" si="16"/>
        <v>1</v>
      </c>
      <c r="F113" s="257" t="s">
        <v>4076</v>
      </c>
      <c r="G113" s="189"/>
      <c r="H113" s="189"/>
      <c r="I113" s="189"/>
      <c r="J113" s="189"/>
      <c r="K113" s="189"/>
      <c r="L113" s="258"/>
      <c r="M113" s="189"/>
      <c r="N113" s="258"/>
      <c r="O113" s="258"/>
      <c r="P113" s="191">
        <v>0.3</v>
      </c>
      <c r="Q113" s="191">
        <v>0.3</v>
      </c>
      <c r="R113" s="191">
        <v>0.4</v>
      </c>
      <c r="S113" s="249"/>
    </row>
    <row r="114" spans="1:19" ht="15.75" thickBot="1" x14ac:dyDescent="0.3">
      <c r="A114" s="1225"/>
      <c r="B114" s="1232"/>
      <c r="C114" s="1228" t="str">
        <f ca="1">VLOOKUP($C114,PRESUPUESTO!$C$3:$H$256,2,FALSE)</f>
        <v>INSTALACIONES ELECTRICAS</v>
      </c>
      <c r="D114" s="1230" t="e">
        <f ca="1">VLOOKUP($C114,PRESUPUESTO!$C$3:$H$256,2,FALSE)</f>
        <v>#N/A</v>
      </c>
      <c r="E114" s="560">
        <f t="shared" si="16"/>
        <v>6704344</v>
      </c>
      <c r="F114" s="257" t="s">
        <v>4064</v>
      </c>
      <c r="G114" s="189"/>
      <c r="H114" s="189"/>
      <c r="I114" s="189"/>
      <c r="J114" s="189"/>
      <c r="K114" s="189"/>
      <c r="L114" s="258"/>
      <c r="M114" s="189"/>
      <c r="N114" s="258"/>
      <c r="O114" s="258"/>
      <c r="P114" s="189">
        <f t="shared" ref="P114" si="26">($D113*P113)</f>
        <v>2011303.2</v>
      </c>
      <c r="Q114" s="189">
        <f t="shared" ref="Q114" si="27">($D113*Q113)</f>
        <v>2011303.2</v>
      </c>
      <c r="R114" s="189">
        <f t="shared" ref="R114" si="28">($D113*R113)</f>
        <v>2681737.6</v>
      </c>
      <c r="S114" s="249"/>
    </row>
    <row r="115" spans="1:19" x14ac:dyDescent="0.25">
      <c r="A115" s="1225" t="s">
        <v>4515</v>
      </c>
      <c r="B115" s="1232" t="s">
        <v>4678</v>
      </c>
      <c r="C115" s="1227" t="str">
        <f>VLOOKUP($B115,PRESUPUESTO!$C$3:$H$256,2,FALSE)</f>
        <v xml:space="preserve">SUMINISTRO, TRANSPORTE GANCHOS PARA INSPECCIÓN DE VÍSCERAS ROJAS Y VÍSCERAS BLANCAS FABRICADO EN ACERO INOXIDABLE CAL. 14 INCLUYE TUBERIA DE SOPORTE Y FIJACIÓN </v>
      </c>
      <c r="D115" s="1229">
        <f>VLOOKUP($B115,PRESUPUESTO!$C$3:$H$256,6,FALSE)</f>
        <v>10340850</v>
      </c>
      <c r="E115" s="560">
        <f t="shared" si="16"/>
        <v>1</v>
      </c>
      <c r="F115" s="257" t="s">
        <v>4076</v>
      </c>
      <c r="G115" s="189"/>
      <c r="H115" s="189"/>
      <c r="I115" s="189"/>
      <c r="J115" s="189"/>
      <c r="K115" s="189"/>
      <c r="L115" s="189"/>
      <c r="M115" s="189"/>
      <c r="N115" s="191">
        <v>0.5</v>
      </c>
      <c r="O115" s="191">
        <v>0.5</v>
      </c>
      <c r="P115" s="258"/>
      <c r="Q115" s="189"/>
      <c r="R115" s="258"/>
      <c r="S115" s="249"/>
    </row>
    <row r="116" spans="1:19" ht="15.75" thickBot="1" x14ac:dyDescent="0.3">
      <c r="A116" s="1225"/>
      <c r="B116" s="1232"/>
      <c r="C116" s="1228" t="str">
        <f ca="1">VLOOKUP($C116,PRESUPUESTO!$C$3:$H$256,2,FALSE)</f>
        <v>INSTALACIONES ELECTRICAS</v>
      </c>
      <c r="D116" s="1230" t="e">
        <f ca="1">VLOOKUP($C116,PRESUPUESTO!$C$3:$H$256,2,FALSE)</f>
        <v>#N/A</v>
      </c>
      <c r="E116" s="560">
        <f t="shared" si="16"/>
        <v>10340850</v>
      </c>
      <c r="F116" s="257" t="s">
        <v>4064</v>
      </c>
      <c r="G116" s="189"/>
      <c r="H116" s="189"/>
      <c r="I116" s="189"/>
      <c r="J116" s="189"/>
      <c r="K116" s="189"/>
      <c r="L116" s="189"/>
      <c r="M116" s="189"/>
      <c r="N116" s="189">
        <f t="shared" ref="N116" si="29">($D115*N115)</f>
        <v>5170425</v>
      </c>
      <c r="O116" s="189">
        <f t="shared" ref="O116" si="30">($D115*O115)</f>
        <v>5170425</v>
      </c>
      <c r="P116" s="258"/>
      <c r="Q116" s="189"/>
      <c r="R116" s="258"/>
      <c r="S116" s="249"/>
    </row>
    <row r="117" spans="1:19" x14ac:dyDescent="0.25">
      <c r="A117" s="1225" t="s">
        <v>4221</v>
      </c>
      <c r="B117" s="1232" t="s">
        <v>4679</v>
      </c>
      <c r="C117" s="1227" t="str">
        <f>VLOOKUP($B117,PRESUPUESTO!$C$3:$H$256,2,FALSE)</f>
        <v>SUMINISTRO, TRANSPORTE E INSTALACIÓN DE CAMBIAVIAS EQUIPO FABRICADO EN ACERO ASTM A-36 CON ALTOS ESTÁNDARES DE CALIDAD, FABRICADO EN PLATINERIA Y SOPORTERIA EN ACABADO POR INMERSIÓN GALVÁNICA EN CALIENTE .</v>
      </c>
      <c r="D117" s="1229">
        <f>VLOOKUP($B117,PRESUPUESTO!$C$3:$H$256,6,FALSE)</f>
        <v>8657206</v>
      </c>
      <c r="E117" s="560">
        <f t="shared" si="16"/>
        <v>1</v>
      </c>
      <c r="F117" s="257" t="s">
        <v>4076</v>
      </c>
      <c r="G117" s="189"/>
      <c r="H117" s="189"/>
      <c r="I117" s="189"/>
      <c r="J117" s="189"/>
      <c r="K117" s="189"/>
      <c r="L117" s="258"/>
      <c r="M117" s="189"/>
      <c r="N117" s="258"/>
      <c r="O117" s="258"/>
      <c r="P117" s="191">
        <v>1</v>
      </c>
      <c r="Q117" s="189"/>
      <c r="R117" s="258"/>
      <c r="S117" s="249"/>
    </row>
    <row r="118" spans="1:19" ht="15" customHeight="1" thickBot="1" x14ac:dyDescent="0.3">
      <c r="A118" s="1225"/>
      <c r="B118" s="1232"/>
      <c r="C118" s="1228" t="str">
        <f ca="1">VLOOKUP($C118,PRESUPUESTO!$C$3:$H$256,2,FALSE)</f>
        <v>INSTALACIONES ELECTRICAS</v>
      </c>
      <c r="D118" s="1230" t="e">
        <f ca="1">VLOOKUP($C118,PRESUPUESTO!$C$3:$H$256,2,FALSE)</f>
        <v>#N/A</v>
      </c>
      <c r="E118" s="560">
        <f t="shared" si="16"/>
        <v>8657206</v>
      </c>
      <c r="F118" s="257" t="s">
        <v>4064</v>
      </c>
      <c r="G118" s="189"/>
      <c r="H118" s="189"/>
      <c r="I118" s="189"/>
      <c r="J118" s="189"/>
      <c r="K118" s="189"/>
      <c r="L118" s="258"/>
      <c r="M118" s="189"/>
      <c r="N118" s="258"/>
      <c r="O118" s="258"/>
      <c r="P118" s="189">
        <f>($D117*P117)</f>
        <v>8657206</v>
      </c>
      <c r="Q118" s="189"/>
      <c r="R118" s="258"/>
      <c r="S118" s="249"/>
    </row>
    <row r="119" spans="1:19" x14ac:dyDescent="0.25">
      <c r="A119" s="1225" t="s">
        <v>4223</v>
      </c>
      <c r="B119" s="1232" t="s">
        <v>4680</v>
      </c>
      <c r="C119" s="1227" t="str">
        <f>VLOOKUP($B119,PRESUPUESTO!$C$3:$H$256,2,FALSE)</f>
        <v>SUMINISTRO, TRANSPORTE DE LOCKER CONSTRUIDO EN ALUMINIO CON ESPACIO PARA 9 PUESTOS LÁMINA COLD ROLLED CALIBRE 24</v>
      </c>
      <c r="D119" s="1229">
        <f>VLOOKUP($B119,PRESUPUESTO!$C$3:$H$256,6,FALSE)</f>
        <v>6341281</v>
      </c>
      <c r="E119" s="560">
        <f t="shared" si="16"/>
        <v>1</v>
      </c>
      <c r="F119" s="257" t="s">
        <v>4076</v>
      </c>
      <c r="G119" s="189"/>
      <c r="H119" s="189"/>
      <c r="I119" s="189"/>
      <c r="J119" s="189"/>
      <c r="K119" s="189"/>
      <c r="L119" s="258"/>
      <c r="M119" s="189"/>
      <c r="N119" s="258"/>
      <c r="O119" s="191">
        <v>0.5</v>
      </c>
      <c r="P119" s="191">
        <v>0.5</v>
      </c>
      <c r="Q119" s="189"/>
      <c r="R119" s="258"/>
      <c r="S119" s="249"/>
    </row>
    <row r="120" spans="1:19" ht="15.75" thickBot="1" x14ac:dyDescent="0.3">
      <c r="A120" s="1225"/>
      <c r="B120" s="1232"/>
      <c r="C120" s="1228" t="str">
        <f ca="1">VLOOKUP($C120,PRESUPUESTO!$C$3:$H$256,2,FALSE)</f>
        <v>INSTALACIONES ELECTRICAS</v>
      </c>
      <c r="D120" s="1230" t="e">
        <f ca="1">VLOOKUP($C120,PRESUPUESTO!$C$3:$H$256,2,FALSE)</f>
        <v>#N/A</v>
      </c>
      <c r="E120" s="560">
        <f t="shared" si="16"/>
        <v>6341281</v>
      </c>
      <c r="F120" s="257" t="s">
        <v>4064</v>
      </c>
      <c r="G120" s="189"/>
      <c r="H120" s="189"/>
      <c r="I120" s="189"/>
      <c r="J120" s="189"/>
      <c r="K120" s="189"/>
      <c r="L120" s="258"/>
      <c r="M120" s="189"/>
      <c r="N120" s="258"/>
      <c r="O120" s="189">
        <f t="shared" ref="O120" si="31">($D119*O119)</f>
        <v>3170640.5</v>
      </c>
      <c r="P120" s="189">
        <f t="shared" ref="P120" si="32">($D119*P119)</f>
        <v>3170640.5</v>
      </c>
      <c r="Q120" s="189"/>
      <c r="R120" s="258"/>
      <c r="S120" s="249"/>
    </row>
    <row r="121" spans="1:19" x14ac:dyDescent="0.25">
      <c r="A121" s="1225" t="s">
        <v>4227</v>
      </c>
      <c r="B121" s="1232" t="s">
        <v>4681</v>
      </c>
      <c r="C121" s="1227" t="str">
        <f>VLOOKUP($B121,PRESUPUESTO!$C$3:$H$256,2,FALSE)</f>
        <v xml:space="preserve">SUMINISTRO, TRANSPORTE E INSTALACIÓN  DE VENTANA CORREDIZA EN ALUMINIO DIMENSIONES 60X40CM INCLUYE VIDRIO DE 4MM </v>
      </c>
      <c r="D121" s="1229">
        <f>VLOOKUP($B121,PRESUPUESTO!$C$3:$H$256,6,FALSE)</f>
        <v>3597282</v>
      </c>
      <c r="E121" s="560">
        <f t="shared" si="16"/>
        <v>1</v>
      </c>
      <c r="F121" s="257" t="s">
        <v>4076</v>
      </c>
      <c r="G121" s="189"/>
      <c r="H121" s="189"/>
      <c r="I121" s="189"/>
      <c r="J121" s="189"/>
      <c r="K121" s="189"/>
      <c r="L121" s="258"/>
      <c r="M121" s="189"/>
      <c r="N121" s="258"/>
      <c r="O121" s="258"/>
      <c r="P121" s="191">
        <v>1</v>
      </c>
      <c r="Q121" s="1"/>
      <c r="R121" s="1"/>
      <c r="S121" s="249"/>
    </row>
    <row r="122" spans="1:19" ht="16.5" customHeight="1" thickBot="1" x14ac:dyDescent="0.3">
      <c r="A122" s="1225"/>
      <c r="B122" s="1232"/>
      <c r="C122" s="1228" t="str">
        <f ca="1">VLOOKUP($C122,PRESUPUESTO!$C$3:$H$256,2,FALSE)</f>
        <v>INSTALACIONES ELECTRICAS</v>
      </c>
      <c r="D122" s="1230" t="e">
        <f ca="1">VLOOKUP($C122,PRESUPUESTO!$C$3:$H$256,2,FALSE)</f>
        <v>#N/A</v>
      </c>
      <c r="E122" s="560">
        <f t="shared" si="16"/>
        <v>3597282</v>
      </c>
      <c r="F122" s="257" t="s">
        <v>4064</v>
      </c>
      <c r="G122" s="1"/>
      <c r="H122" s="1"/>
      <c r="I122" s="1"/>
      <c r="J122" s="1"/>
      <c r="K122" s="1"/>
      <c r="L122" s="1"/>
      <c r="M122" s="1"/>
      <c r="N122" s="1"/>
      <c r="O122" s="1"/>
      <c r="P122" s="189">
        <f>($D121*P121)</f>
        <v>3597282</v>
      </c>
      <c r="Q122" s="1"/>
      <c r="R122" s="1"/>
      <c r="S122" s="249"/>
    </row>
    <row r="123" spans="1:19" x14ac:dyDescent="0.25">
      <c r="A123" s="1225" t="s">
        <v>4520</v>
      </c>
      <c r="B123" s="1232" t="s">
        <v>4682</v>
      </c>
      <c r="C123" s="1227" t="str">
        <f>VLOOKUP($B123,PRESUPUESTO!$C$3:$H$256,2,FALSE)</f>
        <v>SUMINISTRO, TRANSPORTE DE SILLA PLASTICA DOBLE RESISTENTE Y ANTIDESLIZANTE CON BRAZOS INCLUYE TACÓN ANTIDESLIZANTE</v>
      </c>
      <c r="D123" s="1229">
        <f>VLOOKUP($B123,PRESUPUESTO!$C$3:$H$256,6,FALSE)</f>
        <v>432404</v>
      </c>
      <c r="E123" s="560">
        <f t="shared" si="16"/>
        <v>1</v>
      </c>
      <c r="F123" s="257" t="s">
        <v>4076</v>
      </c>
      <c r="G123" s="1"/>
      <c r="H123" s="1"/>
      <c r="I123" s="1"/>
      <c r="J123" s="1"/>
      <c r="K123" s="1"/>
      <c r="L123" s="1"/>
      <c r="M123" s="1"/>
      <c r="N123" s="1"/>
      <c r="O123" s="191">
        <v>0.3</v>
      </c>
      <c r="P123" s="191">
        <v>0.3</v>
      </c>
      <c r="Q123" s="191">
        <v>0.4</v>
      </c>
      <c r="R123" s="3"/>
      <c r="S123" s="249"/>
    </row>
    <row r="124" spans="1:19" ht="15.75" thickBot="1" x14ac:dyDescent="0.3">
      <c r="A124" s="1225"/>
      <c r="B124" s="1232"/>
      <c r="C124" s="1228" t="str">
        <f ca="1">VLOOKUP($C124,PRESUPUESTO!$C$3:$H$256,2,FALSE)</f>
        <v>INSTALACIONES ELECTRICAS</v>
      </c>
      <c r="D124" s="1230" t="e">
        <f ca="1">VLOOKUP($C124,PRESUPUESTO!$C$3:$H$256,2,FALSE)</f>
        <v>#N/A</v>
      </c>
      <c r="E124" s="560">
        <f>SUM(G124:R124)</f>
        <v>432404</v>
      </c>
      <c r="F124" s="257" t="s">
        <v>4064</v>
      </c>
      <c r="G124" s="1"/>
      <c r="H124" s="1"/>
      <c r="I124" s="1"/>
      <c r="J124" s="1"/>
      <c r="K124" s="1"/>
      <c r="L124" s="1"/>
      <c r="M124" s="1"/>
      <c r="N124" s="1"/>
      <c r="O124" s="189">
        <f t="shared" ref="O124" si="33">(O123*$D123)</f>
        <v>129721.2</v>
      </c>
      <c r="P124" s="189">
        <f t="shared" ref="P124" si="34">(P123*$D123)</f>
        <v>129721.2</v>
      </c>
      <c r="Q124" s="189">
        <f t="shared" ref="Q124" si="35">(Q123*$D123)</f>
        <v>172961.6</v>
      </c>
      <c r="R124" s="3"/>
      <c r="S124" s="249"/>
    </row>
    <row r="125" spans="1:19" x14ac:dyDescent="0.25">
      <c r="A125" s="1225" t="s">
        <v>3989</v>
      </c>
      <c r="B125" s="1232" t="s">
        <v>4683</v>
      </c>
      <c r="C125" s="1227" t="str">
        <f>VLOOKUP($B125,PRESUPUESTO!$C$3:$H$256,2,FALSE)</f>
        <v xml:space="preserve">SUMINISTRO, TRANSPORTE E INSTALACIÓN DE SELLO PARA EN ESPUMA REFORZADA Y LONA PARA MUELLE DE CARGA </v>
      </c>
      <c r="D125" s="1229">
        <f>VLOOKUP($B125,PRESUPUESTO!$C$3:$H$256,6,FALSE)</f>
        <v>3090265</v>
      </c>
      <c r="E125" s="560">
        <f t="shared" si="16"/>
        <v>1</v>
      </c>
      <c r="F125" s="257" t="s">
        <v>4076</v>
      </c>
      <c r="G125" s="1"/>
      <c r="H125" s="1"/>
      <c r="I125" s="1"/>
      <c r="J125" s="1"/>
      <c r="K125" s="1"/>
      <c r="L125" s="1"/>
      <c r="M125" s="1"/>
      <c r="N125" s="1"/>
      <c r="O125" s="191">
        <v>0.5</v>
      </c>
      <c r="P125" s="191">
        <v>0.5</v>
      </c>
      <c r="Q125" s="1"/>
      <c r="R125" s="3"/>
      <c r="S125" s="249"/>
    </row>
    <row r="126" spans="1:19" ht="15.75" thickBot="1" x14ac:dyDescent="0.3">
      <c r="A126" s="1225"/>
      <c r="B126" s="1232"/>
      <c r="C126" s="1228" t="str">
        <f ca="1">VLOOKUP($C126,PRESUPUESTO!$C$3:$H$256,2,FALSE)</f>
        <v>INSTALACIONES ELECTRICAS</v>
      </c>
      <c r="D126" s="1230" t="e">
        <f ca="1">VLOOKUP($C126,PRESUPUESTO!$C$3:$H$256,2,FALSE)</f>
        <v>#N/A</v>
      </c>
      <c r="E126" s="560">
        <f t="shared" si="16"/>
        <v>3090265</v>
      </c>
      <c r="F126" s="257" t="s">
        <v>4064</v>
      </c>
      <c r="G126" s="1"/>
      <c r="H126" s="1"/>
      <c r="I126" s="1"/>
      <c r="J126" s="1"/>
      <c r="K126" s="1"/>
      <c r="L126" s="1"/>
      <c r="M126" s="1"/>
      <c r="N126" s="1"/>
      <c r="O126" s="189">
        <f t="shared" ref="O126" si="36">(O125*$D125)</f>
        <v>1545132.5</v>
      </c>
      <c r="P126" s="189">
        <f t="shared" ref="P126" si="37">(P125*$D125)</f>
        <v>1545132.5</v>
      </c>
      <c r="Q126" s="258"/>
      <c r="R126" s="3"/>
      <c r="S126" s="249"/>
    </row>
    <row r="127" spans="1:19" x14ac:dyDescent="0.25">
      <c r="A127" s="1225" t="s">
        <v>4231</v>
      </c>
      <c r="B127" s="1232" t="s">
        <v>4684</v>
      </c>
      <c r="C127" s="1227" t="str">
        <f>VLOOKUP($B127,PRESUPUESTO!$C$3:$H$256,2,FALSE)</f>
        <v>SUMINISTRO, TRANSPORTE E INSTALACIÓN DE CORTINA DE AIRE DE 36" 220V</v>
      </c>
      <c r="D127" s="1229">
        <f>VLOOKUP($B127,PRESUPUESTO!$C$3:$H$256,6,FALSE)</f>
        <v>2255984</v>
      </c>
      <c r="E127" s="560">
        <f t="shared" si="16"/>
        <v>1</v>
      </c>
      <c r="F127" s="257" t="s">
        <v>4076</v>
      </c>
      <c r="G127" s="1"/>
      <c r="H127" s="1"/>
      <c r="I127" s="1"/>
      <c r="J127" s="1"/>
      <c r="K127" s="1"/>
      <c r="L127" s="1"/>
      <c r="M127" s="1"/>
      <c r="N127" s="1"/>
      <c r="O127" s="1"/>
      <c r="P127" s="192">
        <v>1</v>
      </c>
      <c r="Q127" s="260"/>
      <c r="R127" s="273"/>
      <c r="S127" s="249"/>
    </row>
    <row r="128" spans="1:19" ht="15.75" thickBot="1" x14ac:dyDescent="0.3">
      <c r="A128" s="1225"/>
      <c r="B128" s="1232"/>
      <c r="C128" s="1228" t="str">
        <f ca="1">VLOOKUP($C128,PRESUPUESTO!$C$3:$H$256,2,FALSE)</f>
        <v>INSTALACIONES ELECTRICAS</v>
      </c>
      <c r="D128" s="1230" t="e">
        <f ca="1">VLOOKUP($C128,PRESUPUESTO!$C$3:$H$256,2,FALSE)</f>
        <v>#N/A</v>
      </c>
      <c r="E128" s="560">
        <f t="shared" si="16"/>
        <v>2255984</v>
      </c>
      <c r="F128" s="257" t="s">
        <v>4064</v>
      </c>
      <c r="G128" s="1"/>
      <c r="H128" s="1"/>
      <c r="I128" s="1"/>
      <c r="J128" s="1"/>
      <c r="K128" s="1"/>
      <c r="L128" s="1"/>
      <c r="M128" s="1"/>
      <c r="N128" s="1"/>
      <c r="O128" s="1"/>
      <c r="P128" s="258">
        <f>(P127*D127)</f>
        <v>2255984</v>
      </c>
      <c r="Q128" s="258"/>
      <c r="R128" s="274"/>
      <c r="S128" s="249"/>
    </row>
    <row r="129" spans="1:20" x14ac:dyDescent="0.25">
      <c r="A129" s="1225" t="s">
        <v>3991</v>
      </c>
      <c r="B129" s="1226" t="s">
        <v>4685</v>
      </c>
      <c r="C129" s="1227" t="str">
        <f>VLOOKUP($B129,PRESUPUESTO!$C$3:$H$256,2,FALSE)</f>
        <v xml:space="preserve">SUMINISTRO, TRANSPORTE E INSTALACIÓN DE PUERTA CORREDERA PARA MUELLE LA PUERTA ES DE 70MM EN LAMINA PRE PINTADA 90-02 CON PROTECCIÓN EN ALFAJOR A UN METRO DE ALTURA INCLUYE HERRAJES ITALIANOS Y MARCO EN ALUMINIO </v>
      </c>
      <c r="D129" s="1229">
        <f>VLOOKUP($B129,PRESUPUESTO!$C$3:$H$256,6,FALSE)</f>
        <v>2955381</v>
      </c>
      <c r="E129" s="560">
        <f t="shared" si="16"/>
        <v>1</v>
      </c>
      <c r="F129" s="257" t="s">
        <v>4076</v>
      </c>
      <c r="G129" s="1"/>
      <c r="H129" s="1"/>
      <c r="I129" s="1"/>
      <c r="J129" s="1"/>
      <c r="K129" s="1"/>
      <c r="L129" s="1"/>
      <c r="M129" s="1"/>
      <c r="N129" s="1"/>
      <c r="O129" s="1"/>
      <c r="P129" s="1"/>
      <c r="Q129" s="191">
        <v>0.5</v>
      </c>
      <c r="R129" s="192">
        <v>0.5</v>
      </c>
      <c r="S129" s="249"/>
    </row>
    <row r="130" spans="1:20" ht="15.75" thickBot="1" x14ac:dyDescent="0.3">
      <c r="A130" s="1225"/>
      <c r="B130" s="1226"/>
      <c r="C130" s="1228" t="str">
        <f ca="1">VLOOKUP($C130,PRESUPUESTO!$C$3:$H$256,2,FALSE)</f>
        <v>INSTALACIONES ELECTRICAS</v>
      </c>
      <c r="D130" s="1230" t="e">
        <f ca="1">VLOOKUP($C130,PRESUPUESTO!$C$3:$H$256,2,FALSE)</f>
        <v>#N/A</v>
      </c>
      <c r="E130" s="560">
        <f t="shared" si="16"/>
        <v>2955381</v>
      </c>
      <c r="F130" s="257" t="s">
        <v>4064</v>
      </c>
      <c r="G130" s="1"/>
      <c r="H130" s="1"/>
      <c r="I130" s="1"/>
      <c r="J130" s="1"/>
      <c r="K130" s="1"/>
      <c r="L130" s="1"/>
      <c r="M130" s="1"/>
      <c r="N130" s="1"/>
      <c r="O130" s="1"/>
      <c r="P130" s="1"/>
      <c r="Q130" s="189">
        <f t="shared" ref="Q130" si="38">(Q129*$D129)</f>
        <v>1477690.5</v>
      </c>
      <c r="R130" s="189">
        <f t="shared" ref="R130" si="39">(R129*$D129)</f>
        <v>1477690.5</v>
      </c>
      <c r="S130" s="249"/>
      <c r="T130" s="272"/>
    </row>
    <row r="131" spans="1:20" x14ac:dyDescent="0.25">
      <c r="A131" s="1225" t="s">
        <v>4526</v>
      </c>
      <c r="B131" s="1226" t="s">
        <v>4686</v>
      </c>
      <c r="C131" s="1227" t="str">
        <f>VLOOKUP($B131,PRESUPUESTO!$C$3:$H$256,2,FALSE)</f>
        <v xml:space="preserve">SUMINISTRO, TRANSPORTE E INSTALACIÓN DE BAJO PUERTA FABRICADO CON PERFIL EN PVC BLANCO </v>
      </c>
      <c r="D131" s="1229">
        <f>VLOOKUP($B131,PRESUPUESTO!$C$3:$H$256,6,FALSE)</f>
        <v>999217</v>
      </c>
      <c r="E131" s="560">
        <f t="shared" si="16"/>
        <v>1</v>
      </c>
      <c r="F131" s="257" t="s">
        <v>4076</v>
      </c>
      <c r="G131" s="1"/>
      <c r="H131" s="1"/>
      <c r="I131" s="1"/>
      <c r="J131" s="1"/>
      <c r="K131" s="1"/>
      <c r="L131" s="1"/>
      <c r="M131" s="1"/>
      <c r="N131" s="1"/>
      <c r="O131" s="1"/>
      <c r="P131" s="1"/>
      <c r="Q131" s="1"/>
      <c r="R131" s="192">
        <v>1</v>
      </c>
      <c r="S131" s="249"/>
    </row>
    <row r="132" spans="1:20" ht="15.75" thickBot="1" x14ac:dyDescent="0.3">
      <c r="A132" s="1225"/>
      <c r="B132" s="1226"/>
      <c r="C132" s="1228" t="str">
        <f ca="1">VLOOKUP($C132,PRESUPUESTO!$C$3:$H$256,2,FALSE)</f>
        <v>INSTALACIONES ELECTRICAS</v>
      </c>
      <c r="D132" s="1230" t="e">
        <f ca="1">VLOOKUP($C132,PRESUPUESTO!$C$3:$H$256,2,FALSE)</f>
        <v>#N/A</v>
      </c>
      <c r="E132" s="560">
        <f t="shared" si="16"/>
        <v>999217</v>
      </c>
      <c r="F132" s="257" t="s">
        <v>4064</v>
      </c>
      <c r="G132" s="1"/>
      <c r="H132" s="1"/>
      <c r="I132" s="1"/>
      <c r="J132" s="1"/>
      <c r="K132" s="1"/>
      <c r="L132" s="1"/>
      <c r="M132" s="1"/>
      <c r="N132" s="1"/>
      <c r="O132" s="1"/>
      <c r="P132" s="1"/>
      <c r="Q132" s="1"/>
      <c r="R132" s="274">
        <f>(D131)</f>
        <v>999217</v>
      </c>
      <c r="S132" s="249"/>
      <c r="T132" s="272"/>
    </row>
    <row r="133" spans="1:20" x14ac:dyDescent="0.25">
      <c r="A133" s="1225" t="s">
        <v>3990</v>
      </c>
      <c r="B133" s="1226" t="s">
        <v>4687</v>
      </c>
      <c r="C133" s="1227" t="str">
        <f>VLOOKUP($B133,PRESUPUESTO!$C$3:$H$256,2,FALSE)</f>
        <v xml:space="preserve">SUMINISTRO, TRANSPORTE  E INSTALACIÓN DE DESOLLADORA DE RODILLO, CONSTRUIDA EN ACERO INOXIDABLE. RODILLO EN LAMINA DE 1/8 ACERO INOX, EJE DE 1 1/2 INOX, ESTRUCTURA DE SOPORTE EN TUBERIA CUADRADA DE 4" ACERO INOX. MOTORREDUCTOR DE 5H, INCLUYE TABLERO DE CONTROL Y BOTONERA DE MANDO. </v>
      </c>
      <c r="D133" s="1229">
        <f>VLOOKUP($B133,PRESUPUESTO!$C$3:$H$256,6,FALSE)</f>
        <v>13891806</v>
      </c>
      <c r="E133" s="560">
        <f t="shared" ref="E133:E148" si="40">SUM(G133:R133)</f>
        <v>1</v>
      </c>
      <c r="F133" s="257" t="s">
        <v>4076</v>
      </c>
      <c r="G133" s="1"/>
      <c r="H133" s="1"/>
      <c r="I133" s="1"/>
      <c r="J133" s="1"/>
      <c r="K133" s="1"/>
      <c r="L133" s="1"/>
      <c r="M133" s="1"/>
      <c r="N133" s="1"/>
      <c r="O133" s="191">
        <v>1</v>
      </c>
      <c r="P133" s="1"/>
      <c r="Q133" s="1"/>
      <c r="R133" s="3"/>
      <c r="S133" s="249"/>
    </row>
    <row r="134" spans="1:20" ht="15.75" thickBot="1" x14ac:dyDescent="0.3">
      <c r="A134" s="1225"/>
      <c r="B134" s="1226"/>
      <c r="C134" s="1228" t="str">
        <f ca="1">VLOOKUP($C134,PRESUPUESTO!$C$3:$H$256,2,FALSE)</f>
        <v>INSTALACIONES ELECTRICAS</v>
      </c>
      <c r="D134" s="1230" t="e">
        <f ca="1">VLOOKUP($C134,PRESUPUESTO!$C$3:$H$256,2,FALSE)</f>
        <v>#N/A</v>
      </c>
      <c r="E134" s="560">
        <f t="shared" si="40"/>
        <v>13891806</v>
      </c>
      <c r="F134" s="257" t="s">
        <v>4064</v>
      </c>
      <c r="G134" s="1"/>
      <c r="H134" s="1"/>
      <c r="I134" s="1"/>
      <c r="J134" s="1"/>
      <c r="K134" s="1"/>
      <c r="L134" s="1"/>
      <c r="M134" s="1"/>
      <c r="N134" s="1"/>
      <c r="O134" s="258">
        <f>(O133*D133)</f>
        <v>13891806</v>
      </c>
      <c r="P134" s="1"/>
      <c r="Q134" s="1"/>
      <c r="R134" s="3"/>
      <c r="S134" s="249"/>
    </row>
    <row r="135" spans="1:20" x14ac:dyDescent="0.25">
      <c r="A135" s="1231" t="s">
        <v>4962</v>
      </c>
      <c r="B135" s="1231" t="s">
        <v>4969</v>
      </c>
      <c r="C135" s="1227" t="str">
        <f>VLOOKUP($B135,PRESUPUESTO!$C$3:$H$256,2,FALSE)</f>
        <v xml:space="preserve">TRASLADO, MANTENIMIENTO Y PUESTA EN FUNCIONAMIENTO EL ESCALDADOR, INCLUYE SUMINISTRO DE REPUESTOS, </v>
      </c>
      <c r="D135" s="1229">
        <f>VLOOKUP($B135,PRESUPUESTO!$C$3:$H$256,6,FALSE)</f>
        <v>6562475</v>
      </c>
      <c r="E135" s="944"/>
      <c r="F135" s="257" t="s">
        <v>4076</v>
      </c>
      <c r="G135" s="262"/>
      <c r="H135" s="262"/>
      <c r="I135" s="262"/>
      <c r="J135" s="262"/>
      <c r="K135" s="262"/>
      <c r="L135" s="262"/>
      <c r="M135" s="191">
        <v>0.5</v>
      </c>
      <c r="N135" s="191">
        <v>0.5</v>
      </c>
      <c r="O135" s="258"/>
      <c r="P135" s="262"/>
      <c r="Q135" s="262"/>
      <c r="R135" s="945"/>
      <c r="S135" s="249"/>
    </row>
    <row r="136" spans="1:20" ht="15.75" thickBot="1" x14ac:dyDescent="0.3">
      <c r="A136" s="1231"/>
      <c r="B136" s="1231"/>
      <c r="C136" s="1228" t="str">
        <f ca="1">VLOOKUP($C136,PRESUPUESTO!$C$3:$H$256,2,FALSE)</f>
        <v>INSTALACIONES ELECTRICAS</v>
      </c>
      <c r="D136" s="1230" t="e">
        <f ca="1">VLOOKUP($C136,PRESUPUESTO!$C$3:$H$256,2,FALSE)</f>
        <v>#N/A</v>
      </c>
      <c r="E136" s="560">
        <f t="shared" si="40"/>
        <v>6562475</v>
      </c>
      <c r="F136" s="257" t="s">
        <v>4064</v>
      </c>
      <c r="G136" s="262"/>
      <c r="H136" s="262"/>
      <c r="I136" s="262"/>
      <c r="J136" s="262"/>
      <c r="K136" s="262"/>
      <c r="L136" s="262"/>
      <c r="M136" s="947">
        <f>$D$135*M135</f>
        <v>3281237.5</v>
      </c>
      <c r="N136" s="947">
        <f>$D$135*N135</f>
        <v>3281237.5</v>
      </c>
      <c r="O136" s="258"/>
      <c r="P136" s="262"/>
      <c r="Q136" s="262"/>
      <c r="R136" s="945"/>
      <c r="S136" s="249"/>
    </row>
    <row r="137" spans="1:20" x14ac:dyDescent="0.25">
      <c r="A137" s="1231" t="s">
        <v>4963</v>
      </c>
      <c r="B137" s="1231" t="s">
        <v>4970</v>
      </c>
      <c r="C137" s="1227" t="str">
        <f>VLOOKUP($B137,PRESUPUESTO!$C$3:$H$256,2,FALSE)</f>
        <v xml:space="preserve">TRASLADO, MANTENIMIENTO Y PUESTA EN FUNCIONAMIENTO BOX PORCINOS,  INCLUYE SUMINISTRO DE REPUESTOS, </v>
      </c>
      <c r="D137" s="1229">
        <f>VLOOKUP($B137,PRESUPUESTO!$C$3:$H$256,6,FALSE)</f>
        <v>2381075</v>
      </c>
      <c r="E137" s="944"/>
      <c r="F137" s="257" t="s">
        <v>4076</v>
      </c>
      <c r="G137" s="262"/>
      <c r="H137" s="262"/>
      <c r="I137" s="262"/>
      <c r="J137" s="262"/>
      <c r="K137" s="262"/>
      <c r="L137" s="262"/>
      <c r="M137" s="191">
        <v>0.5</v>
      </c>
      <c r="N137" s="191">
        <v>0.5</v>
      </c>
      <c r="O137" s="258"/>
      <c r="P137" s="262"/>
      <c r="Q137" s="262"/>
      <c r="R137" s="945"/>
      <c r="S137" s="249"/>
    </row>
    <row r="138" spans="1:20" ht="15.75" thickBot="1" x14ac:dyDescent="0.3">
      <c r="A138" s="1231"/>
      <c r="B138" s="1231"/>
      <c r="C138" s="1228" t="str">
        <f ca="1">VLOOKUP($C138,PRESUPUESTO!$C$3:$H$256,2,FALSE)</f>
        <v>INSTALACIONES ELECTRICAS</v>
      </c>
      <c r="D138" s="1230" t="e">
        <f ca="1">VLOOKUP($C138,PRESUPUESTO!$C$3:$H$256,2,FALSE)</f>
        <v>#N/A</v>
      </c>
      <c r="E138" s="560">
        <f t="shared" si="40"/>
        <v>2381075</v>
      </c>
      <c r="F138" s="257" t="s">
        <v>4064</v>
      </c>
      <c r="G138" s="262"/>
      <c r="H138" s="262"/>
      <c r="I138" s="262"/>
      <c r="J138" s="262"/>
      <c r="K138" s="262"/>
      <c r="L138" s="262"/>
      <c r="M138" s="947">
        <f>$D$137*M137</f>
        <v>1190537.5</v>
      </c>
      <c r="N138" s="947">
        <f>$D$137*N137</f>
        <v>1190537.5</v>
      </c>
      <c r="O138" s="258"/>
      <c r="P138" s="262"/>
      <c r="Q138" s="262"/>
      <c r="R138" s="945"/>
      <c r="S138" s="249"/>
    </row>
    <row r="139" spans="1:20" x14ac:dyDescent="0.25">
      <c r="A139" s="1231" t="s">
        <v>4964</v>
      </c>
      <c r="B139" s="1231" t="s">
        <v>4971</v>
      </c>
      <c r="C139" s="1227" t="str">
        <f>VLOOKUP($B139,PRESUPUESTO!$C$3:$H$256,2,FALSE)</f>
        <v xml:space="preserve">TRASLADO Y CONEXIÓN DEL ESTERCOLERO </v>
      </c>
      <c r="D139" s="1229">
        <f>VLOOKUP($B139,PRESUPUESTO!$C$3:$H$256,6,FALSE)</f>
        <v>13073200</v>
      </c>
      <c r="E139" s="944"/>
      <c r="F139" s="257" t="s">
        <v>4076</v>
      </c>
      <c r="G139" s="262"/>
      <c r="H139" s="262"/>
      <c r="I139" s="262"/>
      <c r="J139" s="262"/>
      <c r="K139" s="262"/>
      <c r="L139" s="262"/>
      <c r="M139" s="191">
        <v>0.35</v>
      </c>
      <c r="N139" s="191">
        <v>0.35</v>
      </c>
      <c r="O139" s="191">
        <v>0.3</v>
      </c>
      <c r="P139" s="262"/>
      <c r="Q139" s="262"/>
      <c r="R139" s="945"/>
      <c r="S139" s="249"/>
    </row>
    <row r="140" spans="1:20" ht="15.75" thickBot="1" x14ac:dyDescent="0.3">
      <c r="A140" s="1231"/>
      <c r="B140" s="1231"/>
      <c r="C140" s="1228" t="str">
        <f ca="1">VLOOKUP($C140,PRESUPUESTO!$C$3:$H$256,2,FALSE)</f>
        <v>INSTALACIONES ELECTRICAS</v>
      </c>
      <c r="D140" s="1230" t="e">
        <f ca="1">VLOOKUP($C140,PRESUPUESTO!$C$3:$H$256,2,FALSE)</f>
        <v>#N/A</v>
      </c>
      <c r="E140" s="560">
        <f t="shared" si="40"/>
        <v>13073200</v>
      </c>
      <c r="F140" s="257" t="s">
        <v>4064</v>
      </c>
      <c r="G140" s="262"/>
      <c r="H140" s="262"/>
      <c r="I140" s="262"/>
      <c r="J140" s="262"/>
      <c r="K140" s="262"/>
      <c r="L140" s="262"/>
      <c r="M140" s="947">
        <f>$D$139*M139</f>
        <v>4575620</v>
      </c>
      <c r="N140" s="947">
        <f t="shared" ref="N140:O140" si="41">$D$139*N139</f>
        <v>4575620</v>
      </c>
      <c r="O140" s="947">
        <f t="shared" si="41"/>
        <v>3921960</v>
      </c>
      <c r="P140" s="262"/>
      <c r="Q140" s="262"/>
      <c r="R140" s="945"/>
      <c r="S140" s="249"/>
    </row>
    <row r="141" spans="1:20" x14ac:dyDescent="0.25">
      <c r="A141" s="1231" t="s">
        <v>4965</v>
      </c>
      <c r="B141" s="1231" t="s">
        <v>4972</v>
      </c>
      <c r="C141" s="1227" t="str">
        <f>VLOOKUP($B141,PRESUPUESTO!$C$3:$H$256,2,FALSE)</f>
        <v xml:space="preserve">MANTENIMIENTO Y PUESTA EN FUNCIONAMIENTO CALDERA </v>
      </c>
      <c r="D141" s="1229">
        <f>VLOOKUP($B141,PRESUPUESTO!$C$3:$H$256,6,FALSE)</f>
        <v>5894613</v>
      </c>
      <c r="E141" s="944"/>
      <c r="F141" s="257" t="s">
        <v>4076</v>
      </c>
      <c r="G141" s="262"/>
      <c r="H141" s="262"/>
      <c r="I141" s="262"/>
      <c r="J141" s="262"/>
      <c r="K141" s="262"/>
      <c r="L141" s="262"/>
      <c r="M141" s="262"/>
      <c r="N141" s="262"/>
      <c r="O141" s="258"/>
      <c r="P141" s="191">
        <v>1</v>
      </c>
      <c r="Q141" s="262"/>
      <c r="R141" s="945"/>
      <c r="S141" s="249"/>
    </row>
    <row r="142" spans="1:20" ht="15.75" thickBot="1" x14ac:dyDescent="0.3">
      <c r="A142" s="1231"/>
      <c r="B142" s="1231"/>
      <c r="C142" s="1228" t="str">
        <f ca="1">VLOOKUP($C142,PRESUPUESTO!$C$3:$H$256,2,FALSE)</f>
        <v>INSTALACIONES ELECTRICAS</v>
      </c>
      <c r="D142" s="1230" t="e">
        <f ca="1">VLOOKUP($C142,PRESUPUESTO!$C$3:$H$256,2,FALSE)</f>
        <v>#N/A</v>
      </c>
      <c r="E142" s="560">
        <f t="shared" si="40"/>
        <v>5894613</v>
      </c>
      <c r="F142" s="257" t="s">
        <v>4064</v>
      </c>
      <c r="G142" s="262"/>
      <c r="H142" s="262"/>
      <c r="I142" s="262"/>
      <c r="J142" s="262"/>
      <c r="K142" s="262"/>
      <c r="L142" s="262"/>
      <c r="M142" s="262"/>
      <c r="N142" s="262"/>
      <c r="O142" s="258"/>
      <c r="P142" s="947">
        <f>$D$141*P141</f>
        <v>5894613</v>
      </c>
      <c r="Q142" s="262"/>
      <c r="R142" s="945"/>
      <c r="S142" s="249"/>
    </row>
    <row r="143" spans="1:20" x14ac:dyDescent="0.25">
      <c r="A143" s="1231" t="s">
        <v>4966</v>
      </c>
      <c r="B143" s="1231" t="s">
        <v>4973</v>
      </c>
      <c r="C143" s="1227" t="str">
        <f>VLOOKUP($B143,PRESUPUESTO!$C$3:$H$256,2,FALSE)</f>
        <v>MANTENIMIENTO Y PUESTA EN FUNCIONAMIENTO CUARTO FRIOS</v>
      </c>
      <c r="D143" s="1229">
        <f>VLOOKUP($B143,PRESUPUESTO!$C$3:$H$256,6,FALSE)</f>
        <v>4936956</v>
      </c>
      <c r="E143" s="944"/>
      <c r="F143" s="257" t="s">
        <v>4076</v>
      </c>
      <c r="G143" s="262"/>
      <c r="H143" s="262"/>
      <c r="I143" s="262"/>
      <c r="J143" s="262"/>
      <c r="K143" s="262"/>
      <c r="L143" s="262"/>
      <c r="M143" s="262"/>
      <c r="N143" s="262"/>
      <c r="O143" s="191">
        <v>0.25</v>
      </c>
      <c r="P143" s="191">
        <v>0.25</v>
      </c>
      <c r="Q143" s="191">
        <v>0.25</v>
      </c>
      <c r="R143" s="191">
        <v>0.25</v>
      </c>
      <c r="S143" s="249"/>
    </row>
    <row r="144" spans="1:20" ht="15.75" thickBot="1" x14ac:dyDescent="0.3">
      <c r="A144" s="1231"/>
      <c r="B144" s="1231"/>
      <c r="C144" s="1228" t="str">
        <f ca="1">VLOOKUP($C144,PRESUPUESTO!$C$3:$H$256,2,FALSE)</f>
        <v>INSTALACIONES ELECTRICAS</v>
      </c>
      <c r="D144" s="1230" t="e">
        <f ca="1">VLOOKUP($C144,PRESUPUESTO!$C$3:$H$256,2,FALSE)</f>
        <v>#N/A</v>
      </c>
      <c r="E144" s="560">
        <f t="shared" si="40"/>
        <v>4936956</v>
      </c>
      <c r="F144" s="257" t="s">
        <v>4064</v>
      </c>
      <c r="G144" s="262"/>
      <c r="H144" s="262"/>
      <c r="I144" s="262"/>
      <c r="J144" s="262"/>
      <c r="K144" s="262"/>
      <c r="L144" s="262"/>
      <c r="M144" s="262"/>
      <c r="N144" s="262"/>
      <c r="O144" s="947">
        <f>$D$143*O143</f>
        <v>1234239</v>
      </c>
      <c r="P144" s="947">
        <f t="shared" ref="P144:R144" si="42">$D$143*P143</f>
        <v>1234239</v>
      </c>
      <c r="Q144" s="947">
        <f t="shared" si="42"/>
        <v>1234239</v>
      </c>
      <c r="R144" s="947">
        <f t="shared" si="42"/>
        <v>1234239</v>
      </c>
      <c r="S144" s="249"/>
    </row>
    <row r="145" spans="1:19" x14ac:dyDescent="0.25">
      <c r="A145" s="1231" t="s">
        <v>4967</v>
      </c>
      <c r="B145" s="1231" t="s">
        <v>4974</v>
      </c>
      <c r="C145" s="1227" t="str">
        <f>VLOOKUP($B145,PRESUPUESTO!$C$3:$H$256,2,FALSE)</f>
        <v>MANTENIMIENTO Y PUESTA EN FUNCIONAMIENTO LAVAPANZAS</v>
      </c>
      <c r="D145" s="1229">
        <f>VLOOKUP($B145,PRESUPUESTO!$C$3:$H$256,6,FALSE)</f>
        <v>5197713</v>
      </c>
      <c r="E145" s="944"/>
      <c r="F145" s="257" t="s">
        <v>4076</v>
      </c>
      <c r="G145" s="262"/>
      <c r="H145" s="262"/>
      <c r="I145" s="262"/>
      <c r="J145" s="262"/>
      <c r="K145" s="262"/>
      <c r="L145" s="262"/>
      <c r="M145" s="262"/>
      <c r="N145" s="262"/>
      <c r="O145" s="258"/>
      <c r="P145" s="262"/>
      <c r="Q145" s="191">
        <v>0.5</v>
      </c>
      <c r="R145" s="191">
        <v>0.5</v>
      </c>
      <c r="S145" s="249"/>
    </row>
    <row r="146" spans="1:19" ht="15.75" thickBot="1" x14ac:dyDescent="0.3">
      <c r="A146" s="1231"/>
      <c r="B146" s="1231"/>
      <c r="C146" s="1228" t="str">
        <f ca="1">VLOOKUP($C146,PRESUPUESTO!$C$3:$H$256,2,FALSE)</f>
        <v>INSTALACIONES ELECTRICAS</v>
      </c>
      <c r="D146" s="1230" t="e">
        <f ca="1">VLOOKUP($C146,PRESUPUESTO!$C$3:$H$256,2,FALSE)</f>
        <v>#N/A</v>
      </c>
      <c r="E146" s="560">
        <f t="shared" si="40"/>
        <v>5197713</v>
      </c>
      <c r="F146" s="257" t="s">
        <v>4064</v>
      </c>
      <c r="G146" s="262"/>
      <c r="H146" s="262"/>
      <c r="I146" s="262"/>
      <c r="J146" s="262"/>
      <c r="K146" s="262"/>
      <c r="L146" s="262"/>
      <c r="M146" s="262"/>
      <c r="N146" s="262"/>
      <c r="O146" s="258"/>
      <c r="P146" s="262"/>
      <c r="Q146" s="947">
        <f>$D$145*Q145</f>
        <v>2598856.5</v>
      </c>
      <c r="R146" s="947">
        <f>$D$145*R145</f>
        <v>2598856.5</v>
      </c>
      <c r="S146" s="249"/>
    </row>
    <row r="147" spans="1:19" x14ac:dyDescent="0.25">
      <c r="A147" s="1231" t="s">
        <v>4968</v>
      </c>
      <c r="B147" s="1231" t="s">
        <v>4975</v>
      </c>
      <c r="C147" s="1227" t="str">
        <f>VLOOKUP($B147,PRESUPUESTO!$C$3:$H$256,2,FALSE)</f>
        <v>MANTENIMIENTO Y PUESTA EN FUNCIONAMIENTO  DE LA PTAR</v>
      </c>
      <c r="D147" s="1229">
        <f>VLOOKUP($B147,PRESUPUESTO!$C$3:$H$256,6,FALSE)</f>
        <v>10598688</v>
      </c>
      <c r="E147" s="944"/>
      <c r="F147" s="257" t="s">
        <v>4076</v>
      </c>
      <c r="G147" s="262"/>
      <c r="H147" s="262"/>
      <c r="I147" s="262"/>
      <c r="J147" s="262"/>
      <c r="K147" s="262"/>
      <c r="L147" s="262"/>
      <c r="M147" s="262"/>
      <c r="N147" s="262"/>
      <c r="O147" s="191">
        <v>0.25</v>
      </c>
      <c r="P147" s="191">
        <v>0.25</v>
      </c>
      <c r="Q147" s="191">
        <v>0.25</v>
      </c>
      <c r="R147" s="191">
        <v>0.25</v>
      </c>
      <c r="S147" s="249"/>
    </row>
    <row r="148" spans="1:19" x14ac:dyDescent="0.25">
      <c r="A148" s="1231"/>
      <c r="B148" s="1231"/>
      <c r="C148" s="1228" t="str">
        <f ca="1">VLOOKUP($C148,PRESUPUESTO!$C$3:$H$256,2,FALSE)</f>
        <v>INSTALACIONES ELECTRICAS</v>
      </c>
      <c r="D148" s="1230" t="e">
        <f ca="1">VLOOKUP($C148,PRESUPUESTO!$C$3:$H$256,2,FALSE)</f>
        <v>#N/A</v>
      </c>
      <c r="E148" s="560">
        <f t="shared" si="40"/>
        <v>10598688</v>
      </c>
      <c r="F148" s="257" t="s">
        <v>4064</v>
      </c>
      <c r="G148" s="262"/>
      <c r="H148" s="262"/>
      <c r="I148" s="262"/>
      <c r="J148" s="262"/>
      <c r="K148" s="262"/>
      <c r="L148" s="262"/>
      <c r="M148" s="262"/>
      <c r="N148" s="262"/>
      <c r="O148" s="947">
        <f>$D$147*O147</f>
        <v>2649672</v>
      </c>
      <c r="P148" s="947">
        <f t="shared" ref="P148:R148" si="43">$D$147*P147</f>
        <v>2649672</v>
      </c>
      <c r="Q148" s="947">
        <f t="shared" si="43"/>
        <v>2649672</v>
      </c>
      <c r="R148" s="947">
        <f t="shared" si="43"/>
        <v>2649672</v>
      </c>
      <c r="S148" s="249"/>
    </row>
    <row r="149" spans="1:19" ht="15.75" thickBot="1" x14ac:dyDescent="0.3">
      <c r="A149" s="946"/>
      <c r="B149" s="1202"/>
      <c r="C149" s="7" t="s">
        <v>4077</v>
      </c>
      <c r="D149" s="275"/>
      <c r="E149" s="275"/>
      <c r="F149" s="4"/>
      <c r="G149" s="4"/>
      <c r="H149" s="4"/>
      <c r="I149" s="4"/>
      <c r="J149" s="4"/>
      <c r="K149" s="4"/>
      <c r="L149" s="4"/>
      <c r="M149" s="4"/>
      <c r="N149" s="4"/>
      <c r="O149" s="1"/>
      <c r="P149" s="4"/>
      <c r="Q149" s="4"/>
      <c r="R149" s="194"/>
    </row>
    <row r="150" spans="1:19" ht="15.75" thickBot="1" x14ac:dyDescent="0.3">
      <c r="B150" s="564" t="s">
        <v>4078</v>
      </c>
      <c r="C150" s="565"/>
      <c r="D150" s="264">
        <f>D79+D81+D83+D85+D87+D89+D91+D93+D95+D97+D99+D101+D103+D105+D107+D109+D111+D113+D115+D117+D119+D121+D123+D125+D127+D129+D131+D133+D135+D137+D139+D141+D143+D145+D147</f>
        <v>312936918</v>
      </c>
      <c r="E150" s="264">
        <f>+SUM(E134+E132+E130+E128+E126+E124+E122+E120+E118+E116+E114+E112+E110+E108+E106+E104+E102+E100+E98+E96+E94+E92+E90+E88+E86+E84+E82+E80+E136+E138+E140+E142+E144+E146+E148)</f>
        <v>312936918</v>
      </c>
      <c r="F150" s="565"/>
      <c r="G150" s="265"/>
      <c r="H150" s="265"/>
      <c r="I150" s="265"/>
      <c r="J150" s="265"/>
      <c r="K150" s="264"/>
      <c r="L150" s="264"/>
      <c r="M150" s="264">
        <f>+SUM(M134+M132+M130+M128+M126+M124+M122+M120+M118+M116+M114+M112+M110+M108+M106+M104+M102+M100+M98+M96+M94+M92+M90+M88+M86+M84+M82+M80+M136+M138+M140+M142+M144+M146+M148)</f>
        <v>9047395</v>
      </c>
      <c r="N150" s="264">
        <f>+SUM(N134+N132+N130+N128+N126+N124+N122+N120+N118+N116+N114+N112+N110+N108+N106+N104+N102+N100+N98+N96+N94+N92+N90+N88+N86+N84+N82+N80+N136+N138+N140+N142+N144+N146+N148)</f>
        <v>21326101.100000001</v>
      </c>
      <c r="O150" s="264">
        <f t="shared" ref="O150:R150" si="44">+SUM(O134+O132+O130+O128+O126+O124+O122+O120+O118+O116+O114+O112+O110+O108+O106+O104+O102+O100+O98+O96+O94+O92+O90+O88+O86+O84+O82+O80+O136+O138+O140+O142+O144+O146+O148)</f>
        <v>105141279.39999999</v>
      </c>
      <c r="P150" s="264">
        <f t="shared" si="44"/>
        <v>128746391.59999999</v>
      </c>
      <c r="Q150" s="264">
        <f t="shared" si="44"/>
        <v>34183747.900000006</v>
      </c>
      <c r="R150" s="971">
        <f t="shared" si="44"/>
        <v>14492003</v>
      </c>
      <c r="S150" s="249"/>
    </row>
    <row r="151" spans="1:19" ht="15.75" thickBot="1" x14ac:dyDescent="0.3">
      <c r="B151" s="973" t="s">
        <v>4079</v>
      </c>
      <c r="C151" s="974"/>
      <c r="D151" s="974"/>
      <c r="E151" s="974"/>
      <c r="F151" s="974"/>
      <c r="G151" s="265"/>
      <c r="H151" s="265"/>
      <c r="I151" s="265"/>
      <c r="J151" s="265"/>
      <c r="K151" s="276"/>
      <c r="L151" s="276"/>
      <c r="M151" s="276">
        <f t="shared" ref="M151:N151" si="45">(L151+M150)</f>
        <v>9047395</v>
      </c>
      <c r="N151" s="276">
        <f t="shared" si="45"/>
        <v>30373496.100000001</v>
      </c>
      <c r="O151" s="276">
        <f>SUM(N151+O150)</f>
        <v>135514775.5</v>
      </c>
      <c r="P151" s="276">
        <f t="shared" ref="P151" si="46">SUM(O151+P150)</f>
        <v>264261167.09999999</v>
      </c>
      <c r="Q151" s="276">
        <f t="shared" ref="Q151" si="47">SUM(P151+Q150)</f>
        <v>298444915</v>
      </c>
      <c r="R151" s="972">
        <f t="shared" ref="R151" si="48">SUM(Q151+R150)</f>
        <v>312936918</v>
      </c>
    </row>
    <row r="152" spans="1:19" ht="15.75" thickBot="1" x14ac:dyDescent="0.3">
      <c r="B152" s="973" t="s">
        <v>5314</v>
      </c>
      <c r="C152" s="514"/>
      <c r="D152" s="514"/>
      <c r="E152" s="514"/>
      <c r="F152" s="514"/>
      <c r="G152" s="265"/>
      <c r="H152" s="265"/>
      <c r="I152" s="265"/>
      <c r="J152" s="265"/>
      <c r="K152" s="276"/>
      <c r="L152" s="276"/>
      <c r="M152" s="276">
        <f>+M151*(1+PRESUPUESTO!$G$115)</f>
        <v>11309243.75</v>
      </c>
      <c r="N152" s="276">
        <f>+N151*(1+PRESUPUESTO!$G$115)</f>
        <v>37966870.125</v>
      </c>
      <c r="O152" s="276">
        <f>+O151*(1+PRESUPUESTO!$G$115)</f>
        <v>169393469.375</v>
      </c>
      <c r="P152" s="276">
        <f>+P151*(1+PRESUPUESTO!$G$115)</f>
        <v>330326458.875</v>
      </c>
      <c r="Q152" s="276">
        <f>+Q151*(1+PRESUPUESTO!$G$115)</f>
        <v>373056143.75</v>
      </c>
      <c r="R152" s="276">
        <f>+R151*(1+PRESUPUESTO!$G$115)</f>
        <v>391171147.5</v>
      </c>
    </row>
    <row r="153" spans="1:19" ht="15.75" thickBot="1" x14ac:dyDescent="0.3">
      <c r="B153" s="1198"/>
      <c r="C153" s="514"/>
      <c r="D153" s="514"/>
      <c r="E153" s="514"/>
      <c r="F153" s="514"/>
      <c r="G153" s="1187"/>
      <c r="H153" s="1187"/>
      <c r="I153" s="1187"/>
      <c r="J153" s="1187"/>
      <c r="K153" s="1199"/>
      <c r="L153" s="1199"/>
      <c r="M153" s="1199"/>
      <c r="N153" s="1199"/>
      <c r="O153" s="1199"/>
      <c r="P153" s="1199"/>
      <c r="Q153" s="1199"/>
      <c r="R153" s="1200"/>
    </row>
    <row r="154" spans="1:19" ht="42" customHeight="1" thickBot="1" x14ac:dyDescent="0.3">
      <c r="B154" s="1222" t="s">
        <v>4690</v>
      </c>
      <c r="C154" s="1223"/>
      <c r="D154" s="1223"/>
      <c r="E154" s="1223"/>
      <c r="F154" s="1223"/>
      <c r="G154" s="1223"/>
      <c r="H154" s="1223"/>
      <c r="I154" s="1223"/>
      <c r="J154" s="1223"/>
      <c r="K154" s="1223"/>
      <c r="L154" s="1223"/>
      <c r="M154" s="1223"/>
      <c r="N154" s="1223"/>
      <c r="O154" s="1223"/>
      <c r="P154" s="1223"/>
      <c r="Q154" s="1223"/>
      <c r="R154" s="1224"/>
    </row>
    <row r="155" spans="1:19" ht="42" customHeight="1" thickBot="1" x14ac:dyDescent="0.3">
      <c r="B155" s="1188"/>
      <c r="C155" s="1189" t="s">
        <v>5256</v>
      </c>
      <c r="D155" s="1203"/>
      <c r="E155" s="1203"/>
      <c r="F155" s="1203"/>
      <c r="G155" s="1189"/>
      <c r="H155" s="1189"/>
      <c r="I155" s="1189"/>
      <c r="J155" s="1189"/>
      <c r="K155" s="1189"/>
      <c r="L155" s="1189"/>
      <c r="M155" s="1189"/>
      <c r="N155" s="1189"/>
      <c r="O155" s="1189"/>
      <c r="P155" s="1189"/>
      <c r="Q155" s="1189"/>
      <c r="R155" s="1190"/>
    </row>
    <row r="156" spans="1:19" ht="15.75" thickBot="1" x14ac:dyDescent="0.3">
      <c r="A156" s="1191" t="s">
        <v>10</v>
      </c>
      <c r="B156" s="1191" t="s">
        <v>4583</v>
      </c>
      <c r="C156" s="1191" t="s">
        <v>9</v>
      </c>
      <c r="D156" s="1249" t="s">
        <v>4064</v>
      </c>
      <c r="E156" s="1192"/>
      <c r="F156" s="1249" t="s">
        <v>4080</v>
      </c>
      <c r="G156" s="1251" t="s">
        <v>4065</v>
      </c>
      <c r="H156" s="1251"/>
      <c r="I156" s="1251"/>
      <c r="J156" s="1252"/>
      <c r="K156" s="1253" t="s">
        <v>4066</v>
      </c>
      <c r="L156" s="1251"/>
      <c r="M156" s="1251"/>
      <c r="N156" s="1252"/>
      <c r="O156" s="1253" t="s">
        <v>4258</v>
      </c>
      <c r="P156" s="1251"/>
      <c r="Q156" s="1251"/>
      <c r="R156" s="1252"/>
    </row>
    <row r="157" spans="1:19" ht="15.75" thickBot="1" x14ac:dyDescent="0.3">
      <c r="A157" s="1193">
        <v>1</v>
      </c>
      <c r="B157" s="1193">
        <v>1</v>
      </c>
      <c r="C157" s="1192" t="s">
        <v>4067</v>
      </c>
      <c r="D157" s="1250"/>
      <c r="E157" s="1194"/>
      <c r="F157" s="1250"/>
      <c r="G157" s="1195" t="s">
        <v>4068</v>
      </c>
      <c r="H157" s="1196" t="s">
        <v>4069</v>
      </c>
      <c r="I157" s="1196" t="s">
        <v>4070</v>
      </c>
      <c r="J157" s="1196" t="s">
        <v>4071</v>
      </c>
      <c r="K157" s="1196" t="s">
        <v>4072</v>
      </c>
      <c r="L157" s="1196" t="s">
        <v>4073</v>
      </c>
      <c r="M157" s="1196" t="s">
        <v>4074</v>
      </c>
      <c r="N157" s="1197" t="s">
        <v>4075</v>
      </c>
      <c r="O157" s="1196" t="s">
        <v>4253</v>
      </c>
      <c r="P157" s="1196" t="s">
        <v>4254</v>
      </c>
      <c r="Q157" s="1196" t="s">
        <v>4255</v>
      </c>
      <c r="R157" s="1197" t="s">
        <v>4256</v>
      </c>
    </row>
    <row r="158" spans="1:19" ht="24.95" customHeight="1" x14ac:dyDescent="0.25">
      <c r="A158" s="1244" t="s">
        <v>4420</v>
      </c>
      <c r="B158" s="1244" t="s">
        <v>5280</v>
      </c>
      <c r="C158" s="1227" t="str">
        <f>VLOOKUP($B158,PRESUPUESTO!$C$3:$H$256,2,FALSE)</f>
        <v>LOCALIZACION Y REPLANTEO</v>
      </c>
      <c r="D158" s="1229">
        <f>VLOOKUP($B158,PRESUPUESTO!$C$3:$H$256,6,FALSE)</f>
        <v>2113251</v>
      </c>
      <c r="E158" s="553"/>
      <c r="F158" s="263" t="s">
        <v>4076</v>
      </c>
      <c r="G158" s="187">
        <v>1</v>
      </c>
      <c r="H158" s="185"/>
      <c r="I158" s="186"/>
      <c r="J158" s="554"/>
      <c r="K158" s="189"/>
      <c r="L158" s="260"/>
      <c r="M158" s="189"/>
      <c r="N158" s="189"/>
      <c r="O158" s="189"/>
      <c r="P158" s="260"/>
      <c r="Q158" s="186"/>
      <c r="R158" s="188"/>
    </row>
    <row r="159" spans="1:19" ht="24.95" customHeight="1" thickBot="1" x14ac:dyDescent="0.3">
      <c r="A159" s="1245"/>
      <c r="B159" s="1245"/>
      <c r="C159" s="1228" t="str">
        <f ca="1">VLOOKUP($C159,PRESUPUESTO!$C$3:$H$256,2,FALSE)</f>
        <v>INSTALACIONES ELECTRICAS</v>
      </c>
      <c r="D159" s="1230" t="str">
        <f ca="1">VLOOKUP($C159,PRESUPUESTO!$C$3:$H$256,2,FALSE)</f>
        <v>INSTALACIONES ELECTRICAS</v>
      </c>
      <c r="E159" s="560">
        <f>SUM(G159:R159)</f>
        <v>2113251</v>
      </c>
      <c r="F159" s="257" t="s">
        <v>4064</v>
      </c>
      <c r="G159" s="258">
        <f>(D158*G158)</f>
        <v>2113251</v>
      </c>
      <c r="I159" s="189"/>
      <c r="J159" s="555"/>
      <c r="K159" s="189"/>
      <c r="L159" s="258"/>
      <c r="M159" s="189"/>
      <c r="N159" s="189"/>
      <c r="O159" s="189"/>
      <c r="P159" s="258"/>
      <c r="Q159" s="189"/>
      <c r="R159" s="190"/>
      <c r="S159" s="249"/>
    </row>
    <row r="160" spans="1:19" ht="24.95" customHeight="1" x14ac:dyDescent="0.25">
      <c r="A160" s="1245" t="s">
        <v>4422</v>
      </c>
      <c r="B160" s="1245" t="s">
        <v>5281</v>
      </c>
      <c r="C160" s="1227" t="str">
        <f>VLOOKUP($B160,PRESUPUESTO!$C$3:$H$256,2,FALSE)</f>
        <v>DEMOLICIÓN DE MUROS EXISTENTES</v>
      </c>
      <c r="D160" s="1229">
        <f>VLOOKUP($B160,PRESUPUESTO!$C$3:$H$256,6,FALSE)</f>
        <v>1137952</v>
      </c>
      <c r="E160" s="560">
        <f t="shared" ref="E160:E225" si="49">SUM(G160:R160)</f>
        <v>1</v>
      </c>
      <c r="F160" s="257" t="s">
        <v>4076</v>
      </c>
      <c r="G160" s="191">
        <v>1</v>
      </c>
      <c r="H160" s="189"/>
      <c r="I160" s="189"/>
      <c r="J160" s="555"/>
      <c r="K160" s="260"/>
      <c r="L160" s="189"/>
      <c r="M160" s="189"/>
      <c r="N160" s="189"/>
      <c r="O160" s="260"/>
      <c r="P160" s="189"/>
      <c r="Q160" s="189"/>
      <c r="R160" s="190"/>
      <c r="S160" s="249"/>
    </row>
    <row r="161" spans="1:19" ht="24.95" customHeight="1" thickBot="1" x14ac:dyDescent="0.3">
      <c r="A161" s="1245"/>
      <c r="B161" s="1245"/>
      <c r="C161" s="1228" t="str">
        <f ca="1">VLOOKUP($C161,PRESUPUESTO!$C$3:$H$256,2,FALSE)</f>
        <v>INSTALACIONES ELECTRICAS</v>
      </c>
      <c r="D161" s="1230" t="str">
        <f ca="1">VLOOKUP($C161,PRESUPUESTO!$C$3:$H$256,2,FALSE)</f>
        <v>INSTALACIONES ELECTRICAS</v>
      </c>
      <c r="E161" s="560">
        <f t="shared" si="49"/>
        <v>1137952</v>
      </c>
      <c r="F161" s="257" t="s">
        <v>4064</v>
      </c>
      <c r="G161" s="258">
        <f>(G160*D160)</f>
        <v>1137952</v>
      </c>
      <c r="H161" s="189"/>
      <c r="I161" s="189"/>
      <c r="J161" s="555"/>
      <c r="K161" s="258"/>
      <c r="L161" s="189"/>
      <c r="M161" s="189"/>
      <c r="N161" s="189"/>
      <c r="O161" s="258"/>
      <c r="P161" s="189"/>
      <c r="Q161" s="189"/>
      <c r="R161" s="190"/>
      <c r="S161" s="249"/>
    </row>
    <row r="162" spans="1:19" ht="24.95" customHeight="1" x14ac:dyDescent="0.25">
      <c r="A162" s="1245" t="s">
        <v>4429</v>
      </c>
      <c r="B162" s="1245" t="s">
        <v>5282</v>
      </c>
      <c r="C162" s="1227" t="str">
        <f>VLOOKUP($B162,PRESUPUESTO!$C$3:$H$256,2,FALSE)</f>
        <v>DESMONTE DE ESTRUCTURA CORRALES EXISTENTES (INCLUYE RETIRO)</v>
      </c>
      <c r="D162" s="1229">
        <f>VLOOKUP($B162,PRESUPUESTO!$C$3:$H$256,6,FALSE)</f>
        <v>517804</v>
      </c>
      <c r="E162" s="560">
        <f t="shared" si="49"/>
        <v>1</v>
      </c>
      <c r="F162" s="257" t="s">
        <v>4076</v>
      </c>
      <c r="G162" s="191">
        <v>0.7</v>
      </c>
      <c r="H162" s="191">
        <v>0.3</v>
      </c>
      <c r="I162" s="189"/>
      <c r="J162" s="555"/>
      <c r="K162" s="260"/>
      <c r="L162" s="189"/>
      <c r="M162" s="189"/>
      <c r="N162" s="189"/>
      <c r="O162" s="260"/>
      <c r="P162" s="189"/>
      <c r="Q162" s="189"/>
      <c r="R162" s="190"/>
      <c r="S162" s="249"/>
    </row>
    <row r="163" spans="1:19" ht="24.95" customHeight="1" thickBot="1" x14ac:dyDescent="0.3">
      <c r="A163" s="1245"/>
      <c r="B163" s="1245"/>
      <c r="C163" s="1228" t="str">
        <f ca="1">VLOOKUP($C163,PRESUPUESTO!$C$3:$H$256,2,FALSE)</f>
        <v>INSTALACIONES ELECTRICAS</v>
      </c>
      <c r="D163" s="1230" t="str">
        <f ca="1">VLOOKUP($C163,PRESUPUESTO!$C$3:$H$256,2,FALSE)</f>
        <v>INSTALACIONES ELECTRICAS</v>
      </c>
      <c r="E163" s="560">
        <f t="shared" si="49"/>
        <v>517804</v>
      </c>
      <c r="F163" s="257" t="s">
        <v>4064</v>
      </c>
      <c r="G163" s="259">
        <f>($D162*G162)</f>
        <v>362462.8</v>
      </c>
      <c r="H163" s="259">
        <f>($D162*H162)</f>
        <v>155341.19999999998</v>
      </c>
      <c r="I163" s="189"/>
      <c r="J163" s="555"/>
      <c r="K163" s="258"/>
      <c r="L163" s="189"/>
      <c r="M163" s="189"/>
      <c r="N163" s="189"/>
      <c r="O163" s="258"/>
      <c r="P163" s="189"/>
      <c r="Q163" s="189"/>
      <c r="R163" s="190"/>
      <c r="S163" s="249"/>
    </row>
    <row r="164" spans="1:19" ht="24.95" customHeight="1" x14ac:dyDescent="0.25">
      <c r="A164" s="1245" t="s">
        <v>5130</v>
      </c>
      <c r="B164" s="1245" t="s">
        <v>5283</v>
      </c>
      <c r="C164" s="1227" t="str">
        <f>VLOOKUP($B164,PRESUPUESTO!$C$3:$H$256,2,FALSE)</f>
        <v>LLENO COMPACTADO</v>
      </c>
      <c r="D164" s="1229">
        <f>VLOOKUP($B164,PRESUPUESTO!$C$3:$H$256,6,FALSE)</f>
        <v>2246303</v>
      </c>
      <c r="E164" s="560">
        <f t="shared" ref="E164:E165" si="50">SUM(G164:R164)</f>
        <v>1</v>
      </c>
      <c r="F164" s="257" t="s">
        <v>4076</v>
      </c>
      <c r="G164" s="191">
        <v>0.7</v>
      </c>
      <c r="H164" s="191">
        <v>0.3</v>
      </c>
      <c r="I164" s="189"/>
      <c r="J164" s="555"/>
      <c r="K164" s="260"/>
      <c r="L164" s="189"/>
      <c r="M164" s="189"/>
      <c r="N164" s="189"/>
      <c r="O164" s="260"/>
      <c r="P164" s="189"/>
      <c r="Q164" s="189"/>
      <c r="R164" s="190"/>
      <c r="S164" s="249"/>
    </row>
    <row r="165" spans="1:19" ht="24.95" customHeight="1" thickBot="1" x14ac:dyDescent="0.3">
      <c r="A165" s="1245"/>
      <c r="B165" s="1245"/>
      <c r="C165" s="1228" t="str">
        <f ca="1">VLOOKUP($C165,PRESUPUESTO!$C$3:$H$256,2,FALSE)</f>
        <v>INSTALACIONES ELECTRICAS</v>
      </c>
      <c r="D165" s="1230" t="str">
        <f ca="1">VLOOKUP($C165,PRESUPUESTO!$C$3:$H$256,2,FALSE)</f>
        <v>INSTALACIONES ELECTRICAS</v>
      </c>
      <c r="E165" s="560">
        <f t="shared" si="50"/>
        <v>2246303</v>
      </c>
      <c r="F165" s="257" t="s">
        <v>4064</v>
      </c>
      <c r="G165" s="259">
        <f>($D164*G164)</f>
        <v>1572412.0999999999</v>
      </c>
      <c r="H165" s="259">
        <f>($D164*H164)</f>
        <v>673890.9</v>
      </c>
      <c r="I165" s="189"/>
      <c r="J165" s="555"/>
      <c r="K165" s="258"/>
      <c r="L165" s="189"/>
      <c r="M165" s="189"/>
      <c r="N165" s="189"/>
      <c r="O165" s="258"/>
      <c r="P165" s="189"/>
      <c r="Q165" s="189"/>
      <c r="R165" s="190"/>
      <c r="S165" s="249"/>
    </row>
    <row r="166" spans="1:19" ht="24.95" customHeight="1" x14ac:dyDescent="0.25">
      <c r="A166" s="1235" t="s">
        <v>5125</v>
      </c>
      <c r="B166" s="1235" t="s">
        <v>5284</v>
      </c>
      <c r="C166" s="1227" t="str">
        <f>VLOOKUP($B166,PRESUPUESTO!$C$3:$H$256,2,FALSE)</f>
        <v xml:space="preserve">SUMINISTRO E INSTALACION DE ZAPATAS 1X1X0.3 EN CONCRETO DE 3000PSI INCLUYE REFUERZO </v>
      </c>
      <c r="D166" s="1229">
        <f>VLOOKUP($B166,PRESUPUESTO!$C$3:$H$256,6,FALSE)</f>
        <v>7147757</v>
      </c>
      <c r="E166" s="560">
        <f t="shared" si="49"/>
        <v>1</v>
      </c>
      <c r="F166" s="257" t="s">
        <v>4076</v>
      </c>
      <c r="G166" s="258"/>
      <c r="H166" s="191">
        <v>1</v>
      </c>
      <c r="I166" s="189"/>
      <c r="J166" s="555"/>
      <c r="K166" s="189"/>
      <c r="L166" s="189"/>
      <c r="M166" s="189"/>
      <c r="N166" s="189"/>
      <c r="O166" s="189"/>
      <c r="P166" s="189"/>
      <c r="Q166" s="189"/>
      <c r="R166" s="190"/>
      <c r="S166" s="249"/>
    </row>
    <row r="167" spans="1:19" ht="24.95" customHeight="1" thickBot="1" x14ac:dyDescent="0.3">
      <c r="A167" s="1235"/>
      <c r="B167" s="1235"/>
      <c r="C167" s="1228" t="str">
        <f ca="1">VLOOKUP($C167,PRESUPUESTO!$C$3:$H$256,2,FALSE)</f>
        <v>INSTALACIONES ELECTRICAS</v>
      </c>
      <c r="D167" s="1230" t="str">
        <f ca="1">VLOOKUP($C167,PRESUPUESTO!$C$3:$H$256,2,FALSE)</f>
        <v>INSTALACIONES ELECTRICAS</v>
      </c>
      <c r="E167" s="560">
        <f t="shared" si="49"/>
        <v>7147757</v>
      </c>
      <c r="F167" s="257" t="s">
        <v>4064</v>
      </c>
      <c r="G167" s="258"/>
      <c r="H167" s="259">
        <f>($D166*H166)</f>
        <v>7147757</v>
      </c>
      <c r="I167" s="189"/>
      <c r="J167" s="555"/>
      <c r="K167" s="189"/>
      <c r="L167" s="189"/>
      <c r="M167" s="189"/>
      <c r="N167" s="189"/>
      <c r="O167" s="189"/>
      <c r="P167" s="189"/>
      <c r="Q167" s="189"/>
      <c r="R167" s="190"/>
      <c r="S167" s="249"/>
    </row>
    <row r="168" spans="1:19" ht="24.95" customHeight="1" x14ac:dyDescent="0.25">
      <c r="A168" s="1235" t="s">
        <v>5103</v>
      </c>
      <c r="B168" s="1235" t="s">
        <v>5285</v>
      </c>
      <c r="C168" s="1227" t="str">
        <f>VLOOKUP($B168,PRESUPUESTO!$C$3:$H$256,2,FALSE)</f>
        <v>SUMINISTRO E INSTALACION DE LOSA EN CONRETO DE 3000PSI CON ACABADO SANITARIO PARA CORRALES (incluye malla electrosoldada 15x15X40)</v>
      </c>
      <c r="D168" s="1229">
        <f>VLOOKUP($B168,PRESUPUESTO!$C$3:$H$256,6,FALSE)</f>
        <v>17114426</v>
      </c>
      <c r="E168" s="560">
        <f t="shared" si="49"/>
        <v>1</v>
      </c>
      <c r="F168" s="257" t="s">
        <v>4076</v>
      </c>
      <c r="G168" s="260"/>
      <c r="H168" s="260"/>
      <c r="I168" s="191">
        <v>1</v>
      </c>
      <c r="J168" s="555"/>
      <c r="K168" s="189"/>
      <c r="L168" s="189"/>
      <c r="M168" s="189"/>
      <c r="N168" s="189"/>
      <c r="O168" s="189"/>
      <c r="P168" s="189"/>
      <c r="Q168" s="189"/>
      <c r="R168" s="190"/>
      <c r="S168" s="249"/>
    </row>
    <row r="169" spans="1:19" ht="24.95" customHeight="1" thickBot="1" x14ac:dyDescent="0.3">
      <c r="A169" s="1235"/>
      <c r="B169" s="1235"/>
      <c r="C169" s="1228" t="str">
        <f ca="1">VLOOKUP($C169,PRESUPUESTO!$C$3:$H$256,2,FALSE)</f>
        <v>INSTALACIONES ELECTRICAS</v>
      </c>
      <c r="D169" s="1230" t="str">
        <f ca="1">VLOOKUP($C169,PRESUPUESTO!$C$3:$H$256,2,FALSE)</f>
        <v>INSTALACIONES ELECTRICAS</v>
      </c>
      <c r="E169" s="560">
        <f t="shared" si="49"/>
        <v>17114426</v>
      </c>
      <c r="F169" s="257" t="s">
        <v>4064</v>
      </c>
      <c r="G169" s="258"/>
      <c r="H169" s="258"/>
      <c r="I169" s="259">
        <f>($D168*I168)</f>
        <v>17114426</v>
      </c>
      <c r="J169" s="555"/>
      <c r="K169" s="189"/>
      <c r="L169" s="189"/>
      <c r="M169" s="189"/>
      <c r="N169" s="189"/>
      <c r="O169" s="189"/>
      <c r="P169" s="189"/>
      <c r="Q169" s="189"/>
      <c r="R169" s="190"/>
      <c r="S169" s="249"/>
    </row>
    <row r="170" spans="1:19" ht="24.95" customHeight="1" x14ac:dyDescent="0.25">
      <c r="A170" s="1235" t="s">
        <v>5104</v>
      </c>
      <c r="B170" s="1235" t="s">
        <v>5286</v>
      </c>
      <c r="C170" s="1227" t="str">
        <f>VLOOKUP($B170,PRESUPUESTO!$C$3:$H$256,2,FALSE)</f>
        <v>SUMINISTRO, TRANSPORTE E INSTALACIÓN VIGA 10X 15cm INCLUYE REFUERZO Y FORMALETA CONCRETO 3000PSI</v>
      </c>
      <c r="D170" s="1229">
        <f>VLOOKUP($B170,PRESUPUESTO!$C$3:$H$256,6,FALSE)</f>
        <v>6196826</v>
      </c>
      <c r="E170" s="560">
        <f t="shared" si="49"/>
        <v>1</v>
      </c>
      <c r="F170" s="257" t="s">
        <v>4076</v>
      </c>
      <c r="G170" s="260"/>
      <c r="H170" s="260"/>
      <c r="I170" s="191">
        <v>1</v>
      </c>
      <c r="J170" s="555"/>
      <c r="K170" s="189"/>
      <c r="L170" s="189"/>
      <c r="M170" s="189"/>
      <c r="N170" s="189"/>
      <c r="O170" s="189"/>
      <c r="P170" s="189"/>
      <c r="Q170" s="189"/>
      <c r="R170" s="190"/>
      <c r="S170" s="249"/>
    </row>
    <row r="171" spans="1:19" ht="24.95" customHeight="1" thickBot="1" x14ac:dyDescent="0.3">
      <c r="A171" s="1235"/>
      <c r="B171" s="1235"/>
      <c r="C171" s="1228" t="str">
        <f ca="1">VLOOKUP($C171,PRESUPUESTO!$C$3:$H$256,2,FALSE)</f>
        <v>INSTALACIONES ELECTRICAS</v>
      </c>
      <c r="D171" s="1230" t="str">
        <f ca="1">VLOOKUP($C171,PRESUPUESTO!$C$3:$H$256,2,FALSE)</f>
        <v>INSTALACIONES ELECTRICAS</v>
      </c>
      <c r="E171" s="560">
        <f t="shared" si="49"/>
        <v>6196826</v>
      </c>
      <c r="F171" s="257" t="s">
        <v>4064</v>
      </c>
      <c r="G171" s="258"/>
      <c r="H171" s="258"/>
      <c r="I171" s="259">
        <f>($D170*I170)</f>
        <v>6196826</v>
      </c>
      <c r="J171" s="555"/>
      <c r="K171" s="189"/>
      <c r="L171" s="189"/>
      <c r="M171" s="189"/>
      <c r="N171" s="189"/>
      <c r="O171" s="189"/>
      <c r="P171" s="189"/>
      <c r="Q171" s="189"/>
      <c r="R171" s="190"/>
      <c r="S171" s="249"/>
    </row>
    <row r="172" spans="1:19" ht="24.95" customHeight="1" x14ac:dyDescent="0.25">
      <c r="A172" s="1243" t="s">
        <v>5105</v>
      </c>
      <c r="B172" s="1235" t="s">
        <v>5287</v>
      </c>
      <c r="C172" s="1227" t="str">
        <f>VLOOKUP($B172,PRESUPUESTO!$C$3:$H$256,2,FALSE)</f>
        <v>SUMINISTRO, TRANSPORTE E INSTALACIÓN COLUMNA DE 12X 15cm INCLUYE REFUERZO Y FORMALETA, CONCRETO 3000PSI</v>
      </c>
      <c r="D172" s="1229">
        <f>VLOOKUP($B172,PRESUPUESTO!$C$3:$H$256,6,FALSE)</f>
        <v>6635672</v>
      </c>
      <c r="E172" s="560">
        <f t="shared" si="49"/>
        <v>1</v>
      </c>
      <c r="F172" s="257" t="s">
        <v>4076</v>
      </c>
      <c r="G172" s="258"/>
      <c r="H172" s="189"/>
      <c r="I172" s="189"/>
      <c r="J172" s="556">
        <v>1</v>
      </c>
      <c r="K172" s="189"/>
      <c r="L172" s="189"/>
      <c r="M172" s="189"/>
      <c r="N172" s="189"/>
      <c r="O172" s="189"/>
      <c r="P172" s="189"/>
      <c r="Q172" s="189"/>
      <c r="R172" s="190"/>
      <c r="S172" s="249"/>
    </row>
    <row r="173" spans="1:19" ht="24.95" customHeight="1" thickBot="1" x14ac:dyDescent="0.3">
      <c r="A173" s="1243"/>
      <c r="B173" s="1235"/>
      <c r="C173" s="1228" t="str">
        <f ca="1">VLOOKUP($C173,PRESUPUESTO!$C$3:$H$256,2,FALSE)</f>
        <v>INSTALACIONES ELECTRICAS</v>
      </c>
      <c r="D173" s="1230" t="e">
        <f ca="1">VLOOKUP($C173,PRESUPUESTO!$C$3:$H$256,2,FALSE)</f>
        <v>#N/A</v>
      </c>
      <c r="E173" s="560">
        <f t="shared" si="49"/>
        <v>6635672</v>
      </c>
      <c r="F173" s="257" t="s">
        <v>4064</v>
      </c>
      <c r="G173" s="258"/>
      <c r="H173" s="189"/>
      <c r="I173" s="189"/>
      <c r="J173" s="557">
        <f>($D172*J172)</f>
        <v>6635672</v>
      </c>
      <c r="K173" s="189"/>
      <c r="L173" s="189"/>
      <c r="M173" s="189"/>
      <c r="N173" s="189"/>
      <c r="O173" s="189"/>
      <c r="P173" s="189"/>
      <c r="Q173" s="189"/>
      <c r="R173" s="190"/>
      <c r="S173" s="249"/>
    </row>
    <row r="174" spans="1:19" ht="24.95" customHeight="1" x14ac:dyDescent="0.25">
      <c r="A174" s="1243" t="s">
        <v>5132</v>
      </c>
      <c r="B174" s="1235" t="s">
        <v>5288</v>
      </c>
      <c r="C174" s="1227" t="str">
        <f>VLOOKUP($B174,PRESUPUESTO!$C$3:$H$256,2,FALSE)</f>
        <v>SUMINISTRO, TRANSPORTE E INSTALACIÓN VIGA DE 20X30cm INCLUYE REFUERZO Y FORMALETA 3000PSI</v>
      </c>
      <c r="D174" s="1229">
        <f>VLOOKUP($B174,PRESUPUESTO!$C$3:$H$256,6,FALSE)</f>
        <v>3904923</v>
      </c>
      <c r="E174" s="560">
        <f t="shared" si="49"/>
        <v>1</v>
      </c>
      <c r="F174" s="257" t="s">
        <v>4076</v>
      </c>
      <c r="G174" s="258"/>
      <c r="H174" s="258"/>
      <c r="I174" s="258"/>
      <c r="J174" s="556">
        <v>1</v>
      </c>
      <c r="K174" s="189"/>
      <c r="L174" s="189"/>
      <c r="M174" s="189"/>
      <c r="N174" s="189"/>
      <c r="O174" s="189"/>
      <c r="P174" s="189"/>
      <c r="Q174" s="189"/>
      <c r="R174" s="190"/>
      <c r="S174" s="249"/>
    </row>
    <row r="175" spans="1:19" ht="24.95" customHeight="1" thickBot="1" x14ac:dyDescent="0.3">
      <c r="A175" s="1235"/>
      <c r="B175" s="1235"/>
      <c r="C175" s="1228" t="str">
        <f ca="1">VLOOKUP($C175,PRESUPUESTO!$C$3:$H$256,2,FALSE)</f>
        <v>INSTALACIONES ELECTRICAS</v>
      </c>
      <c r="D175" s="1230" t="e">
        <f ca="1">VLOOKUP($C175,PRESUPUESTO!$C$3:$H$256,2,FALSE)</f>
        <v>#N/A</v>
      </c>
      <c r="E175" s="560">
        <f t="shared" si="49"/>
        <v>3904923</v>
      </c>
      <c r="F175" s="257" t="s">
        <v>4064</v>
      </c>
      <c r="G175" s="258"/>
      <c r="H175" s="258"/>
      <c r="I175" s="258"/>
      <c r="J175" s="557">
        <f>($D174*J174)</f>
        <v>3904923</v>
      </c>
      <c r="K175" s="189"/>
      <c r="L175" s="189"/>
      <c r="M175" s="189"/>
      <c r="N175" s="189"/>
      <c r="O175" s="189"/>
      <c r="P175" s="189"/>
      <c r="Q175" s="189"/>
      <c r="R175" s="190"/>
      <c r="S175" s="249"/>
    </row>
    <row r="176" spans="1:19" ht="24.95" customHeight="1" x14ac:dyDescent="0.25">
      <c r="A176" s="1235" t="s">
        <v>5134</v>
      </c>
      <c r="B176" s="1235" t="s">
        <v>5289</v>
      </c>
      <c r="C176" s="1227" t="str">
        <f>VLOOKUP($B176,PRESUPUESTO!$C$3:$H$256,2,FALSE)</f>
        <v>SUMINISTRO, TRANSPORTE E INSTALACIÓN COLUMNA DE 20X28cm INCLUYE REFUERZO Y FORMALETA 3000PSI</v>
      </c>
      <c r="D176" s="1229">
        <f>VLOOKUP($B176,PRESUPUESTO!$C$3:$H$256,6,FALSE)</f>
        <v>5080056</v>
      </c>
      <c r="E176" s="560">
        <f t="shared" si="49"/>
        <v>1</v>
      </c>
      <c r="F176" s="257" t="s">
        <v>4076</v>
      </c>
      <c r="G176" s="258"/>
      <c r="H176" s="189"/>
      <c r="I176" s="189"/>
      <c r="J176" s="555"/>
      <c r="K176" s="191">
        <v>1</v>
      </c>
      <c r="L176" s="189"/>
      <c r="M176" s="189"/>
      <c r="N176" s="189"/>
      <c r="O176" s="189"/>
      <c r="P176" s="189"/>
      <c r="Q176" s="189"/>
      <c r="R176" s="190"/>
      <c r="S176" s="249"/>
    </row>
    <row r="177" spans="1:19" ht="24.95" customHeight="1" thickBot="1" x14ac:dyDescent="0.3">
      <c r="A177" s="1235"/>
      <c r="B177" s="1235"/>
      <c r="C177" s="1228" t="str">
        <f ca="1">VLOOKUP($C177,PRESUPUESTO!$C$3:$H$256,2,FALSE)</f>
        <v>INSTALACIONES ELECTRICAS</v>
      </c>
      <c r="D177" s="1230" t="e">
        <f ca="1">VLOOKUP($C177,PRESUPUESTO!$C$3:$H$256,2,FALSE)</f>
        <v>#N/A</v>
      </c>
      <c r="E177" s="560">
        <f t="shared" si="49"/>
        <v>5080056</v>
      </c>
      <c r="F177" s="257" t="s">
        <v>4064</v>
      </c>
      <c r="G177" s="258"/>
      <c r="H177" s="189"/>
      <c r="I177" s="189"/>
      <c r="J177" s="555"/>
      <c r="K177" s="259">
        <f>($D176*K176)</f>
        <v>5080056</v>
      </c>
      <c r="L177" s="189"/>
      <c r="M177" s="189"/>
      <c r="N177" s="189"/>
      <c r="O177" s="189"/>
      <c r="P177" s="189"/>
      <c r="Q177" s="189"/>
      <c r="R177" s="190"/>
      <c r="S177" s="249"/>
    </row>
    <row r="178" spans="1:19" ht="24.95" customHeight="1" x14ac:dyDescent="0.25">
      <c r="A178" s="1235" t="s">
        <v>5107</v>
      </c>
      <c r="B178" s="1235" t="s">
        <v>5290</v>
      </c>
      <c r="C178" s="1227" t="str">
        <f>VLOOKUP($B178,PRESUPUESTO!$C$3:$H$256,2,FALSE)</f>
        <v xml:space="preserve">SUMINISTRO E INSTALACION DE RAMPAS EN CONCRETO 3000 PSI, CON BANDA ANTIDESLIZANTE (CADA 20cm APORX.) Y ACABADO SANITARIO </v>
      </c>
      <c r="D178" s="1229">
        <f>VLOOKUP($B178,PRESUPUESTO!$C$3:$H$256,6,FALSE)</f>
        <v>11673858</v>
      </c>
      <c r="E178" s="560">
        <f t="shared" si="49"/>
        <v>1</v>
      </c>
      <c r="F178" s="257" t="s">
        <v>4076</v>
      </c>
      <c r="G178" s="258"/>
      <c r="H178" s="189"/>
      <c r="I178" s="189"/>
      <c r="J178" s="189"/>
      <c r="K178" s="189"/>
      <c r="L178" s="556">
        <v>1</v>
      </c>
      <c r="M178" s="189"/>
      <c r="N178" s="189"/>
      <c r="O178" s="189"/>
      <c r="P178" s="189"/>
      <c r="Q178" s="189"/>
      <c r="R178" s="190"/>
      <c r="S178" s="249"/>
    </row>
    <row r="179" spans="1:19" ht="24.95" customHeight="1" thickBot="1" x14ac:dyDescent="0.3">
      <c r="A179" s="1235"/>
      <c r="B179" s="1235"/>
      <c r="C179" s="1228" t="str">
        <f ca="1">VLOOKUP($C179,PRESUPUESTO!$C$3:$H$256,2,FALSE)</f>
        <v>INSTALACIONES ELECTRICAS</v>
      </c>
      <c r="D179" s="1230" t="e">
        <f ca="1">VLOOKUP($C179,PRESUPUESTO!$C$3:$H$256,2,FALSE)</f>
        <v>#N/A</v>
      </c>
      <c r="E179" s="560">
        <f t="shared" si="49"/>
        <v>11673858</v>
      </c>
      <c r="F179" s="257" t="s">
        <v>4064</v>
      </c>
      <c r="G179" s="258"/>
      <c r="H179" s="189"/>
      <c r="I179" s="189"/>
      <c r="J179" s="189"/>
      <c r="K179" s="189"/>
      <c r="L179" s="557">
        <f>($D178*L178)</f>
        <v>11673858</v>
      </c>
      <c r="M179" s="189"/>
      <c r="N179" s="189"/>
      <c r="O179" s="189"/>
      <c r="P179" s="189"/>
      <c r="Q179" s="189"/>
      <c r="R179" s="190"/>
      <c r="S179" s="249"/>
    </row>
    <row r="180" spans="1:19" ht="24.95" customHeight="1" x14ac:dyDescent="0.25">
      <c r="A180" s="1235" t="s">
        <v>5175</v>
      </c>
      <c r="B180" s="1235" t="s">
        <v>5291</v>
      </c>
      <c r="C180" s="1227" t="str">
        <f>VLOOKUP($B180,PRESUPUESTO!$C$3:$H$256,2,FALSE)</f>
        <v>SUMINISTRO, TRANSPORTE E INSTALACIÓN LOSA METALDECK CAL. 16, (incluye malla electrosoldada 15x15X4mm)</v>
      </c>
      <c r="D180" s="1229">
        <f>VLOOKUP($B180,PRESUPUESTO!$C$3:$H$256,6,FALSE)</f>
        <v>2695961</v>
      </c>
      <c r="E180" s="560">
        <f t="shared" si="49"/>
        <v>1</v>
      </c>
      <c r="F180" s="257" t="s">
        <v>4076</v>
      </c>
      <c r="G180" s="258"/>
      <c r="H180" s="189"/>
      <c r="I180" s="189"/>
      <c r="J180" s="189"/>
      <c r="K180" s="189"/>
      <c r="L180" s="556">
        <v>1</v>
      </c>
      <c r="M180" s="189"/>
      <c r="N180" s="189"/>
      <c r="O180" s="189"/>
      <c r="P180" s="189"/>
      <c r="Q180" s="189"/>
      <c r="R180" s="190"/>
      <c r="S180" s="249"/>
    </row>
    <row r="181" spans="1:19" ht="24.95" customHeight="1" thickBot="1" x14ac:dyDescent="0.3">
      <c r="A181" s="1235"/>
      <c r="B181" s="1235"/>
      <c r="C181" s="1228" t="str">
        <f ca="1">VLOOKUP($C181,PRESUPUESTO!$C$3:$H$256,2,FALSE)</f>
        <v>INSTALACIONES ELECTRICAS</v>
      </c>
      <c r="D181" s="1230" t="e">
        <f ca="1">VLOOKUP($C181,PRESUPUESTO!$C$3:$H$256,2,FALSE)</f>
        <v>#N/A</v>
      </c>
      <c r="E181" s="560">
        <f t="shared" si="49"/>
        <v>2695961</v>
      </c>
      <c r="F181" s="257" t="s">
        <v>4064</v>
      </c>
      <c r="G181" s="258"/>
      <c r="H181" s="189"/>
      <c r="I181" s="189"/>
      <c r="J181" s="189"/>
      <c r="K181" s="189"/>
      <c r="L181" s="557">
        <f>($D180*L180)</f>
        <v>2695961</v>
      </c>
      <c r="M181" s="189"/>
      <c r="N181" s="189"/>
      <c r="O181" s="189"/>
      <c r="P181" s="189"/>
      <c r="Q181" s="189"/>
      <c r="R181" s="190"/>
      <c r="S181" s="249"/>
    </row>
    <row r="182" spans="1:19" ht="24.95" customHeight="1" x14ac:dyDescent="0.25">
      <c r="A182" s="1235" t="s">
        <v>5109</v>
      </c>
      <c r="B182" s="1235" t="s">
        <v>5292</v>
      </c>
      <c r="C182" s="1227" t="str">
        <f>VLOOKUP($B182,PRESUPUESTO!$C$3:$H$256,2,FALSE)</f>
        <v>SUMINISTRO, TRANSPORTE E INSTALACIÓN MURO EN MAMPOSTERIA, LADRILLO FAROL 12</v>
      </c>
      <c r="D182" s="1229">
        <f>VLOOKUP($B182,PRESUPUESTO!$C$3:$H$256,6,FALSE)</f>
        <v>3169030</v>
      </c>
      <c r="E182" s="560">
        <f t="shared" si="49"/>
        <v>1</v>
      </c>
      <c r="F182" s="257" t="s">
        <v>4076</v>
      </c>
      <c r="G182" s="258"/>
      <c r="H182" s="189"/>
      <c r="I182" s="189"/>
      <c r="J182" s="189"/>
      <c r="K182" s="189"/>
      <c r="L182" s="556">
        <v>0.5</v>
      </c>
      <c r="M182" s="191">
        <v>0.5</v>
      </c>
      <c r="N182" s="189"/>
      <c r="O182" s="189"/>
      <c r="P182" s="189"/>
      <c r="Q182" s="189"/>
      <c r="R182" s="190"/>
      <c r="S182" s="249"/>
    </row>
    <row r="183" spans="1:19" ht="24.95" customHeight="1" thickBot="1" x14ac:dyDescent="0.3">
      <c r="A183" s="1235"/>
      <c r="B183" s="1235"/>
      <c r="C183" s="1228" t="str">
        <f ca="1">VLOOKUP($C183,PRESUPUESTO!$C$3:$H$256,2,FALSE)</f>
        <v>INSTALACIONES ELECTRICAS</v>
      </c>
      <c r="D183" s="1230" t="e">
        <f ca="1">VLOOKUP($C183,PRESUPUESTO!$C$3:$H$256,2,FALSE)</f>
        <v>#N/A</v>
      </c>
      <c r="E183" s="560">
        <f t="shared" si="49"/>
        <v>3169030</v>
      </c>
      <c r="F183" s="257" t="s">
        <v>4064</v>
      </c>
      <c r="G183" s="258"/>
      <c r="H183" s="189"/>
      <c r="I183" s="189"/>
      <c r="J183" s="189"/>
      <c r="K183" s="189"/>
      <c r="L183" s="557">
        <f>($D182*L182)</f>
        <v>1584515</v>
      </c>
      <c r="M183" s="259">
        <f>($D182*M182)</f>
        <v>1584515</v>
      </c>
      <c r="N183" s="189"/>
      <c r="O183" s="189"/>
      <c r="P183" s="189"/>
      <c r="Q183" s="189"/>
      <c r="R183" s="190"/>
      <c r="S183" s="249"/>
    </row>
    <row r="184" spans="1:19" ht="24.95" customHeight="1" x14ac:dyDescent="0.25">
      <c r="A184" s="1235" t="s">
        <v>5141</v>
      </c>
      <c r="B184" s="1235" t="s">
        <v>5293</v>
      </c>
      <c r="C184" s="1227" t="str">
        <f>VLOOKUP($B184,PRESUPUESTO!$C$3:$H$256,2,FALSE)</f>
        <v>SUMINISTRO, TRANSPORTE E INSTALACIÓN BEBEDEROS DE CHUPON PARA CORRRAL DE INSPECCIÓN DE PORCINOS</v>
      </c>
      <c r="D184" s="1229">
        <f>VLOOKUP($B184,PRESUPUESTO!$C$3:$H$256,6,FALSE)</f>
        <v>450792</v>
      </c>
      <c r="E184" s="560">
        <f t="shared" si="49"/>
        <v>1</v>
      </c>
      <c r="F184" s="257" t="s">
        <v>4076</v>
      </c>
      <c r="G184" s="258"/>
      <c r="H184" s="189"/>
      <c r="I184" s="189"/>
      <c r="J184" s="189"/>
      <c r="K184" s="189"/>
      <c r="L184" s="189"/>
      <c r="M184" s="189"/>
      <c r="N184" s="191">
        <v>0.5</v>
      </c>
      <c r="O184" s="556">
        <v>0.5</v>
      </c>
      <c r="P184" s="189"/>
      <c r="Q184" s="189"/>
      <c r="R184" s="189"/>
      <c r="S184" s="249"/>
    </row>
    <row r="185" spans="1:19" ht="24.95" customHeight="1" thickBot="1" x14ac:dyDescent="0.3">
      <c r="A185" s="1235"/>
      <c r="B185" s="1235"/>
      <c r="C185" s="1228" t="str">
        <f ca="1">VLOOKUP($C185,PRESUPUESTO!$C$3:$H$256,2,FALSE)</f>
        <v>INSTALACIONES ELECTRICAS</v>
      </c>
      <c r="D185" s="1230" t="e">
        <f ca="1">VLOOKUP($C185,PRESUPUESTO!$C$3:$H$256,2,FALSE)</f>
        <v>#N/A</v>
      </c>
      <c r="E185" s="560">
        <f t="shared" si="49"/>
        <v>450792</v>
      </c>
      <c r="F185" s="257" t="s">
        <v>4064</v>
      </c>
      <c r="G185" s="258"/>
      <c r="H185" s="189"/>
      <c r="I185" s="189"/>
      <c r="J185" s="189"/>
      <c r="K185" s="189"/>
      <c r="L185" s="189"/>
      <c r="M185" s="189"/>
      <c r="N185" s="259">
        <f>($D184*N184)</f>
        <v>225396</v>
      </c>
      <c r="O185" s="557">
        <f>($D184*O184)</f>
        <v>225396</v>
      </c>
      <c r="P185" s="189"/>
      <c r="Q185" s="189"/>
      <c r="R185" s="189"/>
      <c r="S185" s="249"/>
    </row>
    <row r="186" spans="1:19" ht="24.95" customHeight="1" x14ac:dyDescent="0.25">
      <c r="A186" s="1235" t="s">
        <v>5142</v>
      </c>
      <c r="B186" s="1235" t="s">
        <v>5294</v>
      </c>
      <c r="C186" s="1227" t="str">
        <f>VLOOKUP($B186,PRESUPUESTO!$C$3:$H$256,2,FALSE)</f>
        <v>SUMINISTRO, TRANSPORTE E INSTALACION CERAMICA PARED POMPEI TIPO ALFA O SIMILAR. COLOR CORAL O SHELL SEGÚN DISEÑO (INCLUYE BOQUILLA COLOR Y WIN.). INCLUYE MORTERO DE PEGA Y/O NIVELACIÓN PARA BEBEDEROS DE CORRALES BOBINOS</v>
      </c>
      <c r="D186" s="1229">
        <f>VLOOKUP($B186,PRESUPUESTO!$C$3:$H$256,6,FALSE)</f>
        <v>7137963</v>
      </c>
      <c r="E186" s="560">
        <f t="shared" ref="E186:E187" si="51">SUM(G186:R186)</f>
        <v>1</v>
      </c>
      <c r="F186" s="257" t="s">
        <v>4076</v>
      </c>
      <c r="G186" s="258"/>
      <c r="H186" s="189"/>
      <c r="I186" s="189"/>
      <c r="J186" s="189"/>
      <c r="K186" s="189"/>
      <c r="L186" s="189"/>
      <c r="M186" s="189"/>
      <c r="N186" s="191">
        <v>0.5</v>
      </c>
      <c r="O186" s="556">
        <v>0.5</v>
      </c>
      <c r="P186" s="189"/>
      <c r="Q186" s="189"/>
      <c r="R186" s="189"/>
      <c r="S186" s="249"/>
    </row>
    <row r="187" spans="1:19" ht="24.95" customHeight="1" thickBot="1" x14ac:dyDescent="0.3">
      <c r="A187" s="1235"/>
      <c r="B187" s="1235"/>
      <c r="C187" s="1228" t="str">
        <f ca="1">VLOOKUP($C187,PRESUPUESTO!$C$3:$H$256,2,FALSE)</f>
        <v>INSTALACIONES ELECTRICAS</v>
      </c>
      <c r="D187" s="1230" t="e">
        <f ca="1">VLOOKUP($C187,PRESUPUESTO!$C$3:$H$256,2,FALSE)</f>
        <v>#N/A</v>
      </c>
      <c r="E187" s="560">
        <f t="shared" si="51"/>
        <v>7137963</v>
      </c>
      <c r="F187" s="257" t="s">
        <v>4064</v>
      </c>
      <c r="G187" s="258"/>
      <c r="H187" s="189"/>
      <c r="I187" s="189"/>
      <c r="J187" s="189"/>
      <c r="K187" s="189"/>
      <c r="L187" s="189"/>
      <c r="M187" s="189"/>
      <c r="N187" s="259">
        <f>($D186*N186)</f>
        <v>3568981.5</v>
      </c>
      <c r="O187" s="557">
        <f>($D186*O186)</f>
        <v>3568981.5</v>
      </c>
      <c r="P187" s="189"/>
      <c r="Q187" s="189"/>
      <c r="R187" s="189"/>
      <c r="S187" s="249"/>
    </row>
    <row r="188" spans="1:19" ht="24.95" customHeight="1" x14ac:dyDescent="0.25">
      <c r="A188" s="1235" t="s">
        <v>4449</v>
      </c>
      <c r="B188" s="1235" t="s">
        <v>5295</v>
      </c>
      <c r="C188" s="1227" t="str">
        <f>VLOOKUP($B188,PRESUPUESTO!$C$3:$H$256,2,FALSE)</f>
        <v>SUMINISTRO E INSTALACION DE ESTUCO Y PINTURA ACABADO SANITARIO PARA CORRALES, CON PINTURA TIPO O SIMILAR KORAZA 3 MANOS</v>
      </c>
      <c r="D188" s="1229">
        <f>VLOOKUP($B188,PRESUPUESTO!$C$3:$H$256,6,FALSE)</f>
        <v>5594938</v>
      </c>
      <c r="E188" s="560">
        <f t="shared" si="49"/>
        <v>1</v>
      </c>
      <c r="F188" s="257" t="s">
        <v>4076</v>
      </c>
      <c r="G188" s="258"/>
      <c r="H188" s="189"/>
      <c r="I188" s="189"/>
      <c r="J188" s="189"/>
      <c r="K188" s="189"/>
      <c r="L188" s="189"/>
      <c r="M188" s="189"/>
      <c r="N188" s="189"/>
      <c r="O188" s="555"/>
      <c r="P188" s="191">
        <v>0.5</v>
      </c>
      <c r="Q188" s="191">
        <v>0.5</v>
      </c>
      <c r="R188" s="189"/>
      <c r="S188" s="249"/>
    </row>
    <row r="189" spans="1:19" ht="24.95" customHeight="1" thickBot="1" x14ac:dyDescent="0.3">
      <c r="A189" s="1235"/>
      <c r="B189" s="1235"/>
      <c r="C189" s="1228" t="str">
        <f ca="1">VLOOKUP($C189,PRESUPUESTO!$C$3:$H$256,2,FALSE)</f>
        <v>INSTALACIONES ELECTRICAS</v>
      </c>
      <c r="D189" s="1230" t="e">
        <f ca="1">VLOOKUP($C189,PRESUPUESTO!$C$3:$H$256,2,FALSE)</f>
        <v>#N/A</v>
      </c>
      <c r="E189" s="560">
        <f t="shared" si="49"/>
        <v>5594938</v>
      </c>
      <c r="F189" s="257" t="s">
        <v>4064</v>
      </c>
      <c r="G189" s="258"/>
      <c r="H189" s="189"/>
      <c r="I189" s="189"/>
      <c r="J189" s="189"/>
      <c r="K189" s="189"/>
      <c r="L189" s="189"/>
      <c r="M189" s="189"/>
      <c r="N189" s="189"/>
      <c r="O189" s="555"/>
      <c r="P189" s="259">
        <f>($D188*P188)</f>
        <v>2797469</v>
      </c>
      <c r="Q189" s="259">
        <f>($D188*Q188)</f>
        <v>2797469</v>
      </c>
      <c r="R189" s="189"/>
      <c r="S189" s="249"/>
    </row>
    <row r="190" spans="1:19" ht="24.95" customHeight="1" x14ac:dyDescent="0.25">
      <c r="A190" s="1235" t="s">
        <v>4448</v>
      </c>
      <c r="B190" s="1235" t="s">
        <v>5296</v>
      </c>
      <c r="C190" s="1227" t="str">
        <f>VLOOKUP($B190,PRESUPUESTO!$C$3:$H$256,2,FALSE)</f>
        <v>REMOSIÓN Y LIMPIEZA DE PINTURA  DE PERFILES METALICOS DE MUROS DE CERRAMIENTO CORRALES</v>
      </c>
      <c r="D190" s="1229">
        <f>VLOOKUP($B190,PRESUPUESTO!$C$3:$H$256,6,FALSE)</f>
        <v>11059878</v>
      </c>
      <c r="E190" s="560">
        <f t="shared" si="49"/>
        <v>1</v>
      </c>
      <c r="F190" s="257" t="s">
        <v>4076</v>
      </c>
      <c r="G190" s="258"/>
      <c r="H190" s="189"/>
      <c r="I190" s="189"/>
      <c r="J190" s="189"/>
      <c r="K190" s="189"/>
      <c r="L190" s="189"/>
      <c r="M190" s="189"/>
      <c r="N190" s="191">
        <v>0.5</v>
      </c>
      <c r="O190" s="556">
        <v>0.5</v>
      </c>
      <c r="P190" s="189"/>
      <c r="Q190" s="189"/>
      <c r="R190" s="189"/>
      <c r="S190" s="249"/>
    </row>
    <row r="191" spans="1:19" ht="24.95" customHeight="1" thickBot="1" x14ac:dyDescent="0.3">
      <c r="A191" s="1235"/>
      <c r="B191" s="1235"/>
      <c r="C191" s="1228" t="str">
        <f ca="1">VLOOKUP($C191,PRESUPUESTO!$C$3:$H$256,2,FALSE)</f>
        <v>INSTALACIONES ELECTRICAS</v>
      </c>
      <c r="D191" s="1230" t="e">
        <f ca="1">VLOOKUP($C191,PRESUPUESTO!$C$3:$H$256,2,FALSE)</f>
        <v>#N/A</v>
      </c>
      <c r="E191" s="560">
        <f t="shared" si="49"/>
        <v>11059878</v>
      </c>
      <c r="F191" s="257" t="s">
        <v>4064</v>
      </c>
      <c r="G191" s="258"/>
      <c r="H191" s="189"/>
      <c r="I191" s="189"/>
      <c r="J191" s="189"/>
      <c r="K191" s="189"/>
      <c r="L191" s="189"/>
      <c r="M191" s="189"/>
      <c r="N191" s="259">
        <f>($D190*N190)</f>
        <v>5529939</v>
      </c>
      <c r="O191" s="557">
        <f>($D190*O190)</f>
        <v>5529939</v>
      </c>
      <c r="P191" s="189"/>
      <c r="Q191" s="189"/>
      <c r="R191" s="189"/>
      <c r="S191" s="249"/>
    </row>
    <row r="192" spans="1:19" ht="24.95" customHeight="1" x14ac:dyDescent="0.25">
      <c r="A192" s="1235" t="s">
        <v>4445</v>
      </c>
      <c r="B192" s="1235" t="s">
        <v>5297</v>
      </c>
      <c r="C192" s="1227" t="str">
        <f>VLOOKUP($B192,PRESUPUESTO!$C$3:$H$256,2,FALSE)</f>
        <v>SUMINISTRO E INSTALACION DE FLANCHE EN LAMINA GALVANIZADA</v>
      </c>
      <c r="D192" s="1229">
        <f>VLOOKUP($B192,PRESUPUESTO!$C$3:$H$256,6,FALSE)</f>
        <v>234090</v>
      </c>
      <c r="E192" s="560">
        <f t="shared" si="49"/>
        <v>1</v>
      </c>
      <c r="F192" s="257" t="s">
        <v>4076</v>
      </c>
      <c r="G192" s="258"/>
      <c r="H192" s="189"/>
      <c r="I192" s="189"/>
      <c r="J192" s="189"/>
      <c r="K192" s="189"/>
      <c r="L192" s="189"/>
      <c r="M192" s="189"/>
      <c r="N192" s="189"/>
      <c r="O192" s="555"/>
      <c r="P192" s="191">
        <v>0.5</v>
      </c>
      <c r="Q192" s="191">
        <v>0.5</v>
      </c>
      <c r="R192" s="189"/>
      <c r="S192" s="249"/>
    </row>
    <row r="193" spans="1:19" ht="24.95" customHeight="1" thickBot="1" x14ac:dyDescent="0.3">
      <c r="A193" s="1235"/>
      <c r="B193" s="1235"/>
      <c r="C193" s="1228" t="str">
        <f ca="1">VLOOKUP($C193,PRESUPUESTO!$C$3:$H$256,2,FALSE)</f>
        <v>INSTALACIONES ELECTRICAS</v>
      </c>
      <c r="D193" s="1230" t="e">
        <f ca="1">VLOOKUP($C193,PRESUPUESTO!$C$3:$H$256,2,FALSE)</f>
        <v>#N/A</v>
      </c>
      <c r="E193" s="560">
        <f t="shared" si="49"/>
        <v>234090</v>
      </c>
      <c r="F193" s="257" t="s">
        <v>4064</v>
      </c>
      <c r="G193" s="258"/>
      <c r="H193" s="189"/>
      <c r="I193" s="189"/>
      <c r="J193" s="189"/>
      <c r="K193" s="189"/>
      <c r="L193" s="189"/>
      <c r="M193" s="189"/>
      <c r="N193" s="189"/>
      <c r="O193" s="555"/>
      <c r="P193" s="259">
        <f>($D192*P192)</f>
        <v>117045</v>
      </c>
      <c r="Q193" s="259">
        <f>($D192*Q192)</f>
        <v>117045</v>
      </c>
      <c r="R193" s="189"/>
      <c r="S193" s="249"/>
    </row>
    <row r="194" spans="1:19" ht="24.95" customHeight="1" x14ac:dyDescent="0.25">
      <c r="A194" s="1235" t="s">
        <v>5167</v>
      </c>
      <c r="B194" s="1235" t="s">
        <v>5298</v>
      </c>
      <c r="C194" s="1227" t="str">
        <f>VLOOKUP($B194,PRESUPUESTO!$C$3:$H$256,2,FALSE)</f>
        <v>SUMINISTRO, TRANSPORTE E INSTALACIÓN PERFIL PARA SOPORTAR MURO DE CORRAL, EN TUBO CIRCULAR CL. 12 D=12 CM H=1.8</v>
      </c>
      <c r="D194" s="1229">
        <f>VLOOKUP($B194,PRESUPUESTO!$C$3:$H$256,6,FALSE)</f>
        <v>23566597</v>
      </c>
      <c r="E194" s="560">
        <f t="shared" si="49"/>
        <v>1</v>
      </c>
      <c r="F194" s="257" t="s">
        <v>4076</v>
      </c>
      <c r="G194" s="258"/>
      <c r="H194" s="189"/>
      <c r="I194" s="189"/>
      <c r="J194" s="189"/>
      <c r="K194" s="189"/>
      <c r="L194" s="189"/>
      <c r="M194" s="189"/>
      <c r="N194" s="189"/>
      <c r="O194" s="555"/>
      <c r="P194" s="191">
        <v>1</v>
      </c>
      <c r="Q194" s="189"/>
      <c r="R194" s="189"/>
      <c r="S194" s="249"/>
    </row>
    <row r="195" spans="1:19" ht="24.95" customHeight="1" thickBot="1" x14ac:dyDescent="0.3">
      <c r="A195" s="1235"/>
      <c r="B195" s="1235"/>
      <c r="C195" s="1228" t="str">
        <f ca="1">VLOOKUP($C195,PRESUPUESTO!$C$3:$H$256,2,FALSE)</f>
        <v>INSTALACIONES ELECTRICAS</v>
      </c>
      <c r="D195" s="1230" t="e">
        <f ca="1">VLOOKUP($C195,PRESUPUESTO!$C$3:$H$256,2,FALSE)</f>
        <v>#N/A</v>
      </c>
      <c r="E195" s="560">
        <f t="shared" si="49"/>
        <v>23566597</v>
      </c>
      <c r="F195" s="257" t="s">
        <v>4064</v>
      </c>
      <c r="G195" s="258"/>
      <c r="H195" s="189"/>
      <c r="I195" s="189"/>
      <c r="J195" s="189"/>
      <c r="K195" s="189"/>
      <c r="L195" s="189"/>
      <c r="M195" s="189"/>
      <c r="N195" s="189"/>
      <c r="O195" s="555"/>
      <c r="P195" s="259">
        <f>($D194*P194)</f>
        <v>23566597</v>
      </c>
      <c r="Q195" s="189"/>
      <c r="R195" s="189"/>
      <c r="S195" s="249"/>
    </row>
    <row r="196" spans="1:19" ht="24.95" customHeight="1" x14ac:dyDescent="0.25">
      <c r="A196" s="1235" t="s">
        <v>5168</v>
      </c>
      <c r="B196" s="1235" t="s">
        <v>5299</v>
      </c>
      <c r="C196" s="1227" t="str">
        <f>VLOOKUP($B196,PRESUPUESTO!$C$3:$H$256,2,FALSE)</f>
        <v>SUMINISTRO, TRANSPORTE E INSTALACIÓN PERFIL PARA MURO DE CORRAL, EN TUBO CIRCULAR DE D=6 CL. 12</v>
      </c>
      <c r="D196" s="1229">
        <f>VLOOKUP($B196,PRESUPUESTO!$C$3:$H$256,6,FALSE)</f>
        <v>37771992</v>
      </c>
      <c r="E196" s="560">
        <f t="shared" si="49"/>
        <v>1</v>
      </c>
      <c r="F196" s="257" t="s">
        <v>4076</v>
      </c>
      <c r="G196" s="258"/>
      <c r="H196" s="189"/>
      <c r="I196" s="189"/>
      <c r="J196" s="189"/>
      <c r="K196" s="189"/>
      <c r="L196" s="189"/>
      <c r="M196" s="189"/>
      <c r="N196" s="189"/>
      <c r="O196" s="555"/>
      <c r="P196" s="189"/>
      <c r="Q196" s="191">
        <v>0.5</v>
      </c>
      <c r="R196" s="191">
        <v>0.5</v>
      </c>
      <c r="S196" s="249"/>
    </row>
    <row r="197" spans="1:19" ht="15.75" thickBot="1" x14ac:dyDescent="0.3">
      <c r="A197" s="1235"/>
      <c r="B197" s="1235"/>
      <c r="C197" s="1228" t="str">
        <f ca="1">VLOOKUP($C197,PRESUPUESTO!$C$3:$H$256,2,FALSE)</f>
        <v>INSTALACIONES ELECTRICAS</v>
      </c>
      <c r="D197" s="1230" t="e">
        <f ca="1">VLOOKUP($C197,PRESUPUESTO!$C$3:$H$256,2,FALSE)</f>
        <v>#N/A</v>
      </c>
      <c r="E197" s="560">
        <f t="shared" si="49"/>
        <v>37771992</v>
      </c>
      <c r="F197" s="257" t="s">
        <v>4064</v>
      </c>
      <c r="G197" s="258"/>
      <c r="H197" s="189"/>
      <c r="I197" s="189"/>
      <c r="J197" s="189"/>
      <c r="K197" s="189"/>
      <c r="L197" s="189"/>
      <c r="M197" s="189"/>
      <c r="N197" s="189"/>
      <c r="O197" s="555"/>
      <c r="P197" s="189"/>
      <c r="Q197" s="259">
        <f>($D196*Q196)</f>
        <v>18885996</v>
      </c>
      <c r="R197" s="259">
        <f>($D196*R196)</f>
        <v>18885996</v>
      </c>
      <c r="S197" s="249"/>
    </row>
    <row r="198" spans="1:19" ht="24.95" customHeight="1" x14ac:dyDescent="0.25">
      <c r="A198" s="1235" t="s">
        <v>5169</v>
      </c>
      <c r="B198" s="1235" t="s">
        <v>5300</v>
      </c>
      <c r="C198" s="1227" t="str">
        <f>VLOOKUP($B198,PRESUPUESTO!$C$3:$H$256,2,FALSE)</f>
        <v>SUMINISTRO E INSTALACION DE PUERTA DE ACCESO METÁLICA ANTIVANDALICA DE 4.4M Y 2.5 DE ALTURA. InCLUYE SORPORTES Y ANCLAJES</v>
      </c>
      <c r="D198" s="1229">
        <f>VLOOKUP($B198,PRESUPUESTO!$C$3:$H$256,6,FALSE)</f>
        <v>728508</v>
      </c>
      <c r="E198" s="560">
        <f t="shared" si="49"/>
        <v>1</v>
      </c>
      <c r="F198" s="257" t="s">
        <v>4076</v>
      </c>
      <c r="G198" s="258"/>
      <c r="H198" s="189"/>
      <c r="I198" s="189"/>
      <c r="J198" s="189"/>
      <c r="K198" s="189"/>
      <c r="L198" s="189"/>
      <c r="M198" s="189"/>
      <c r="N198" s="189"/>
      <c r="O198" s="191">
        <v>1</v>
      </c>
      <c r="P198" s="555"/>
      <c r="Q198" s="189"/>
      <c r="R198" s="190"/>
      <c r="S198" s="249"/>
    </row>
    <row r="199" spans="1:19" ht="24.95" customHeight="1" thickBot="1" x14ac:dyDescent="0.3">
      <c r="A199" s="1235"/>
      <c r="B199" s="1235"/>
      <c r="C199" s="1228" t="str">
        <f ca="1">VLOOKUP($C199,PRESUPUESTO!$C$3:$H$256,2,FALSE)</f>
        <v>INSTALACIONES ELECTRICAS</v>
      </c>
      <c r="D199" s="1230" t="e">
        <f ca="1">VLOOKUP($C199,PRESUPUESTO!$C$3:$H$256,2,FALSE)</f>
        <v>#N/A</v>
      </c>
      <c r="E199" s="560">
        <f t="shared" si="49"/>
        <v>728508</v>
      </c>
      <c r="F199" s="257" t="s">
        <v>4064</v>
      </c>
      <c r="G199" s="258"/>
      <c r="H199" s="189"/>
      <c r="I199" s="189"/>
      <c r="J199" s="189"/>
      <c r="K199" s="189"/>
      <c r="L199" s="189"/>
      <c r="M199" s="189"/>
      <c r="N199" s="189"/>
      <c r="O199" s="259">
        <f>($D198*O198)</f>
        <v>728508</v>
      </c>
      <c r="P199" s="555"/>
      <c r="Q199" s="189"/>
      <c r="R199" s="190"/>
      <c r="S199" s="249"/>
    </row>
    <row r="200" spans="1:19" ht="24.95" customHeight="1" x14ac:dyDescent="0.25">
      <c r="A200" s="1254" t="s">
        <v>5170</v>
      </c>
      <c r="B200" s="1235" t="s">
        <v>5301</v>
      </c>
      <c r="C200" s="1227" t="str">
        <f>VLOOKUP($B200,PRESUPUESTO!$C$3:$H$256,2,FALSE)</f>
        <v>SUMINISTRO E INSTALACION DE PUERTA CORREDIZA EN TUBO CIRCULAR DE CL.8 D=12 H=1.8</v>
      </c>
      <c r="D200" s="1229">
        <f>VLOOKUP($B200,PRESUPUESTO!$C$3:$H$256,6,FALSE)</f>
        <v>7115242</v>
      </c>
      <c r="E200" s="560">
        <f t="shared" si="49"/>
        <v>1</v>
      </c>
      <c r="F200" s="257" t="s">
        <v>4076</v>
      </c>
      <c r="G200" s="258"/>
      <c r="H200" s="189"/>
      <c r="I200" s="189"/>
      <c r="J200" s="189"/>
      <c r="K200" s="189"/>
      <c r="L200" s="189"/>
      <c r="M200" s="189"/>
      <c r="N200" s="189"/>
      <c r="O200" s="189"/>
      <c r="P200" s="556">
        <v>1</v>
      </c>
      <c r="Q200" s="189"/>
      <c r="R200" s="190"/>
      <c r="S200" s="249"/>
    </row>
    <row r="201" spans="1:19" ht="24.95" customHeight="1" thickBot="1" x14ac:dyDescent="0.3">
      <c r="A201" s="1255"/>
      <c r="B201" s="1235"/>
      <c r="C201" s="1228" t="str">
        <f ca="1">VLOOKUP($C201,PRESUPUESTO!$C$3:$H$256,2,FALSE)</f>
        <v>INSTALACIONES ELECTRICAS</v>
      </c>
      <c r="D201" s="1230" t="e">
        <f ca="1">VLOOKUP($C201,PRESUPUESTO!$C$3:$H$256,2,FALSE)</f>
        <v>#N/A</v>
      </c>
      <c r="E201" s="560">
        <f t="shared" si="49"/>
        <v>7115242</v>
      </c>
      <c r="F201" s="257" t="s">
        <v>4064</v>
      </c>
      <c r="G201" s="258"/>
      <c r="H201" s="189"/>
      <c r="I201" s="189"/>
      <c r="J201" s="189"/>
      <c r="K201" s="189"/>
      <c r="L201" s="189"/>
      <c r="M201" s="189"/>
      <c r="N201" s="189"/>
      <c r="O201" s="189"/>
      <c r="P201" s="557">
        <f>($D200*P200)</f>
        <v>7115242</v>
      </c>
      <c r="Q201" s="189"/>
      <c r="R201" s="190"/>
      <c r="S201" s="249"/>
    </row>
    <row r="202" spans="1:19" ht="24.95" customHeight="1" x14ac:dyDescent="0.25">
      <c r="A202" s="1254" t="s">
        <v>5173</v>
      </c>
      <c r="B202" s="1235" t="s">
        <v>5302</v>
      </c>
      <c r="C202" s="1227" t="str">
        <f>VLOOKUP($B202,PRESUPUESTO!$C$3:$H$256,2,FALSE)</f>
        <v>SUMINISTRO E INSTALACION DE PUERTA ABATIBLE EN TUBO CIRCULAR DE CL. 8 D=12 H=1.8</v>
      </c>
      <c r="D202" s="1229">
        <f>VLOOKUP($B202,PRESUPUESTO!$C$3:$H$256,6,FALSE)</f>
        <v>26892648</v>
      </c>
      <c r="E202" s="560">
        <f t="shared" si="49"/>
        <v>1</v>
      </c>
      <c r="F202" s="257" t="s">
        <v>4076</v>
      </c>
      <c r="G202" s="258"/>
      <c r="H202" s="189"/>
      <c r="I202" s="189"/>
      <c r="J202" s="189"/>
      <c r="K202" s="189"/>
      <c r="L202" s="189"/>
      <c r="M202" s="189"/>
      <c r="N202" s="189"/>
      <c r="O202" s="191">
        <v>1</v>
      </c>
      <c r="P202" s="555"/>
      <c r="Q202" s="189"/>
      <c r="R202" s="190"/>
      <c r="S202" s="249"/>
    </row>
    <row r="203" spans="1:19" ht="24.95" customHeight="1" thickBot="1" x14ac:dyDescent="0.3">
      <c r="A203" s="1255"/>
      <c r="B203" s="1235"/>
      <c r="C203" s="1228" t="str">
        <f ca="1">VLOOKUP($C203,PRESUPUESTO!$C$3:$H$256,2,FALSE)</f>
        <v>INSTALACIONES ELECTRICAS</v>
      </c>
      <c r="D203" s="1230" t="e">
        <f ca="1">VLOOKUP($C203,PRESUPUESTO!$C$3:$H$256,2,FALSE)</f>
        <v>#N/A</v>
      </c>
      <c r="E203" s="560">
        <f t="shared" si="49"/>
        <v>26892648</v>
      </c>
      <c r="F203" s="257" t="s">
        <v>4064</v>
      </c>
      <c r="G203" s="258"/>
      <c r="H203" s="189"/>
      <c r="I203" s="189"/>
      <c r="J203" s="189"/>
      <c r="K203" s="189"/>
      <c r="L203" s="189"/>
      <c r="M203" s="189"/>
      <c r="N203" s="189"/>
      <c r="O203" s="259">
        <f>($D202*O202)</f>
        <v>26892648</v>
      </c>
      <c r="P203" s="555"/>
      <c r="Q203" s="189"/>
      <c r="R203" s="190"/>
      <c r="S203" s="249"/>
    </row>
    <row r="204" spans="1:19" ht="24.95" customHeight="1" x14ac:dyDescent="0.25">
      <c r="A204" s="1235" t="s">
        <v>5207</v>
      </c>
      <c r="B204" s="1235" t="s">
        <v>5303</v>
      </c>
      <c r="C204" s="1227" t="str">
        <f>VLOOKUP($B204,PRESUPUESTO!$C$3:$H$256,2,FALSE)</f>
        <v>SUMINISTRO, TRANSPORTE E INSTALACIÓN REJILLA DE PROTECCIÓN PARA INBORNAL DE 0.9*0.2 CON BARILLA DE 1''</v>
      </c>
      <c r="D204" s="1229">
        <f>VLOOKUP($B204,PRESUPUESTO!$C$3:$H$256,6,FALSE)</f>
        <v>6559175</v>
      </c>
      <c r="E204" s="560">
        <f t="shared" si="49"/>
        <v>1</v>
      </c>
      <c r="F204" s="257" t="s">
        <v>4076</v>
      </c>
      <c r="G204" s="1"/>
      <c r="H204" s="189"/>
      <c r="I204" s="189"/>
      <c r="J204" s="555"/>
      <c r="K204" s="189"/>
      <c r="L204" s="189"/>
      <c r="M204" s="189"/>
      <c r="N204" s="189"/>
      <c r="O204" s="191">
        <v>1</v>
      </c>
      <c r="P204" s="189"/>
      <c r="Q204" s="189"/>
      <c r="R204" s="190"/>
      <c r="S204" s="249"/>
    </row>
    <row r="205" spans="1:19" ht="24.95" customHeight="1" thickBot="1" x14ac:dyDescent="0.3">
      <c r="A205" s="1235"/>
      <c r="B205" s="1235"/>
      <c r="C205" s="1228" t="str">
        <f ca="1">VLOOKUP($C205,PRESUPUESTO!$C$3:$H$256,2,FALSE)</f>
        <v>INSTALACIONES ELECTRICAS</v>
      </c>
      <c r="D205" s="1230" t="e">
        <f ca="1">VLOOKUP($C205,PRESUPUESTO!$C$3:$H$256,2,FALSE)</f>
        <v>#N/A</v>
      </c>
      <c r="E205" s="560">
        <f t="shared" si="49"/>
        <v>6559175</v>
      </c>
      <c r="F205" s="257" t="s">
        <v>4064</v>
      </c>
      <c r="G205" s="1"/>
      <c r="H205" s="189"/>
      <c r="I205" s="189"/>
      <c r="J205" s="555"/>
      <c r="K205" s="189"/>
      <c r="L205" s="189"/>
      <c r="M205" s="189"/>
      <c r="N205" s="189"/>
      <c r="O205" s="259">
        <f t="shared" ref="O205" si="52">($D204*O204)</f>
        <v>6559175</v>
      </c>
      <c r="P205" s="189"/>
      <c r="Q205" s="189"/>
      <c r="R205" s="190"/>
      <c r="S205" s="249"/>
    </row>
    <row r="206" spans="1:19" ht="24.95" customHeight="1" x14ac:dyDescent="0.25">
      <c r="A206" s="1235" t="s">
        <v>5214</v>
      </c>
      <c r="B206" s="1235" t="s">
        <v>5304</v>
      </c>
      <c r="C206" s="1227" t="str">
        <f>VLOOKUP($B206,PRESUPUESTO!$C$3:$H$256,2,FALSE)</f>
        <v>SUMINISTRO, TRANSPORTE E INSTALACIÓN REFLECTOR DE 250 VATIOS-SODIA ALTA PRESIÓN - 208/240 VOLTIOS - SODIO ALTA PRESIÓN - CUADRADO - CERRADO - ESTRIBOS COMPLETOS:CHASIS, BOMBILLA, ARRANCADOR, ETC. ACCESORIOS DE FIJACIÓN E INSTALACIÓN - REFERENCIA RRA ROY ALPHA O SIMILAR</v>
      </c>
      <c r="D206" s="1229">
        <f>VLOOKUP($B206,PRESUPUESTO!$C$3:$H$256,6,FALSE)</f>
        <v>16377279</v>
      </c>
      <c r="E206" s="560">
        <f t="shared" si="49"/>
        <v>1</v>
      </c>
      <c r="F206" s="257" t="s">
        <v>4076</v>
      </c>
      <c r="G206" s="1"/>
      <c r="H206" s="189"/>
      <c r="I206" s="189"/>
      <c r="J206" s="555"/>
      <c r="K206" s="189"/>
      <c r="L206" s="189"/>
      <c r="M206" s="189"/>
      <c r="N206" s="189"/>
      <c r="O206" s="191">
        <v>1</v>
      </c>
      <c r="P206" s="189"/>
      <c r="Q206" s="189"/>
      <c r="R206" s="190"/>
      <c r="S206" s="249"/>
    </row>
    <row r="207" spans="1:19" ht="24.95" customHeight="1" thickBot="1" x14ac:dyDescent="0.3">
      <c r="A207" s="1235"/>
      <c r="B207" s="1235"/>
      <c r="C207" s="1228" t="str">
        <f ca="1">VLOOKUP($C207,PRESUPUESTO!$C$3:$H$256,2,FALSE)</f>
        <v>INSTALACIONES ELECTRICAS</v>
      </c>
      <c r="D207" s="1230" t="e">
        <f ca="1">VLOOKUP($C207,PRESUPUESTO!$C$3:$H$256,2,FALSE)</f>
        <v>#N/A</v>
      </c>
      <c r="E207" s="560">
        <f t="shared" si="49"/>
        <v>16377279</v>
      </c>
      <c r="F207" s="257" t="s">
        <v>4064</v>
      </c>
      <c r="G207" s="1"/>
      <c r="H207" s="189"/>
      <c r="I207" s="189"/>
      <c r="J207" s="555"/>
      <c r="K207" s="189"/>
      <c r="L207" s="189"/>
      <c r="M207" s="189"/>
      <c r="N207" s="189"/>
      <c r="O207" s="259">
        <f>($D206*O206)</f>
        <v>16377279</v>
      </c>
      <c r="P207" s="189"/>
      <c r="Q207" s="189"/>
      <c r="R207" s="190"/>
      <c r="S207" s="249"/>
    </row>
    <row r="208" spans="1:19" ht="24.95" customHeight="1" x14ac:dyDescent="0.25">
      <c r="A208" s="1235" t="s">
        <v>5219</v>
      </c>
      <c r="B208" s="1235" t="s">
        <v>5305</v>
      </c>
      <c r="C208" s="1227" t="str">
        <f>VLOOKUP($B208,PRESUPUESTO!$C$3:$H$256,2,FALSE)</f>
        <v>SUMINISTRO, TRANSPORTE E INSTALACIÓN CUBIERTA DE CORRALES DE INSPECCIÓN EN TEJA DE FIBROCEMENTO P-7 N°5, INCLUYE ESTRUCTURA METALICA PINTADA</v>
      </c>
      <c r="D208" s="1229">
        <f>VLOOKUP($B208,PRESUPUESTO!$C$3:$H$256,6,FALSE)</f>
        <v>2809898</v>
      </c>
      <c r="E208" s="560">
        <f t="shared" si="49"/>
        <v>1</v>
      </c>
      <c r="F208" s="257" t="s">
        <v>4076</v>
      </c>
      <c r="G208" s="1"/>
      <c r="H208" s="189"/>
      <c r="I208" s="189"/>
      <c r="J208" s="555"/>
      <c r="K208" s="189"/>
      <c r="L208" s="189"/>
      <c r="M208" s="189"/>
      <c r="N208" s="189"/>
      <c r="O208" s="191">
        <v>1</v>
      </c>
      <c r="P208" s="189"/>
      <c r="Q208" s="189"/>
      <c r="R208" s="190"/>
      <c r="S208" s="249"/>
    </row>
    <row r="209" spans="1:19" ht="24.95" customHeight="1" thickBot="1" x14ac:dyDescent="0.3">
      <c r="A209" s="1235"/>
      <c r="B209" s="1235"/>
      <c r="C209" s="1228" t="str">
        <f ca="1">VLOOKUP($C209,PRESUPUESTO!$C$3:$H$256,2,FALSE)</f>
        <v>INSTALACIONES ELECTRICAS</v>
      </c>
      <c r="D209" s="1230" t="e">
        <f ca="1">VLOOKUP($C209,PRESUPUESTO!$C$3:$H$256,2,FALSE)</f>
        <v>#N/A</v>
      </c>
      <c r="E209" s="560">
        <f t="shared" si="49"/>
        <v>2809898</v>
      </c>
      <c r="F209" s="257" t="s">
        <v>4064</v>
      </c>
      <c r="G209" s="1"/>
      <c r="H209" s="189"/>
      <c r="I209" s="189"/>
      <c r="J209" s="555"/>
      <c r="K209" s="189"/>
      <c r="L209" s="189"/>
      <c r="M209" s="189"/>
      <c r="N209" s="189"/>
      <c r="O209" s="259">
        <f>($D208*O208)</f>
        <v>2809898</v>
      </c>
      <c r="P209" s="189"/>
      <c r="Q209" s="189"/>
      <c r="R209" s="190"/>
      <c r="S209" s="249"/>
    </row>
    <row r="210" spans="1:19" ht="24.95" customHeight="1" x14ac:dyDescent="0.25">
      <c r="A210" s="1235" t="s">
        <v>5232</v>
      </c>
      <c r="B210" s="1235" t="s">
        <v>5306</v>
      </c>
      <c r="C210" s="1227" t="str">
        <f>VLOOKUP($B210,PRESUPUESTO!$C$3:$H$256,2,FALSE)</f>
        <v>SUMINISTRO, TRANSPORTE E INSTALACIÓN DE CERRAMIENTO CON MALLA ESLABONADA  H=1.80m CON PERFILES QUE SOPORTEN SU PESO Y SUS RESPECTIVOS ANCLAJES ( SE RECOMIENDA LAS DIAGONALES ESTRUCTURALES</v>
      </c>
      <c r="D210" s="1229">
        <f>VLOOKUP($B210,PRESUPUESTO!$C$3:$H$256,6,FALSE)</f>
        <v>29454580</v>
      </c>
      <c r="E210" s="560">
        <f t="shared" si="49"/>
        <v>1</v>
      </c>
      <c r="F210" s="257" t="s">
        <v>4076</v>
      </c>
      <c r="G210" s="258"/>
      <c r="H210" s="189"/>
      <c r="I210" s="189"/>
      <c r="J210" s="555"/>
      <c r="K210" s="189"/>
      <c r="L210" s="189"/>
      <c r="M210" s="191">
        <v>0.5</v>
      </c>
      <c r="N210" s="191">
        <v>0.5</v>
      </c>
      <c r="O210" s="189"/>
      <c r="P210" s="189"/>
      <c r="Q210" s="189"/>
      <c r="R210" s="190"/>
      <c r="S210" s="249"/>
    </row>
    <row r="211" spans="1:19" ht="24.95" customHeight="1" thickBot="1" x14ac:dyDescent="0.3">
      <c r="A211" s="1235"/>
      <c r="B211" s="1235"/>
      <c r="C211" s="1228" t="str">
        <f ca="1">VLOOKUP($C211,PRESUPUESTO!$C$3:$H$256,2,FALSE)</f>
        <v>INSTALACIONES ELECTRICAS</v>
      </c>
      <c r="D211" s="1230" t="e">
        <f ca="1">VLOOKUP($C211,PRESUPUESTO!$C$3:$H$256,2,FALSE)</f>
        <v>#N/A</v>
      </c>
      <c r="E211" s="560">
        <f t="shared" si="49"/>
        <v>29454580</v>
      </c>
      <c r="F211" s="257" t="s">
        <v>4064</v>
      </c>
      <c r="G211" s="258"/>
      <c r="H211" s="189"/>
      <c r="I211" s="189"/>
      <c r="J211" s="555"/>
      <c r="K211" s="189"/>
      <c r="L211" s="189"/>
      <c r="M211" s="259">
        <f t="shared" ref="M211:N211" si="53">($D210*M210)</f>
        <v>14727290</v>
      </c>
      <c r="N211" s="259">
        <f t="shared" si="53"/>
        <v>14727290</v>
      </c>
      <c r="O211" s="189"/>
      <c r="P211" s="189"/>
      <c r="Q211" s="189"/>
      <c r="R211" s="190"/>
      <c r="S211" s="249"/>
    </row>
    <row r="212" spans="1:19" ht="24.95" customHeight="1" x14ac:dyDescent="0.25">
      <c r="A212" s="1235" t="s">
        <v>5233</v>
      </c>
      <c r="B212" s="1235" t="s">
        <v>5307</v>
      </c>
      <c r="C212" s="1227" t="str">
        <f>VLOOKUP($B212,PRESUPUESTO!$C$3:$H$256,2,FALSE)</f>
        <v>SUMINISTRO, TRANSPORTE E INSTALACIÓN POLISOMBRA PARA PROTECCIÓN CORRALES, INLCUYE ESTRUCTURA METALICA.</v>
      </c>
      <c r="D212" s="1229">
        <f>VLOOKUP($B212,PRESUPUESTO!$C$3:$H$256,6,FALSE)</f>
        <v>6771861</v>
      </c>
      <c r="E212" s="560">
        <f t="shared" si="49"/>
        <v>1</v>
      </c>
      <c r="F212" s="257" t="s">
        <v>4076</v>
      </c>
      <c r="G212" s="258"/>
      <c r="H212" s="189"/>
      <c r="I212" s="189"/>
      <c r="J212" s="555"/>
      <c r="K212" s="189"/>
      <c r="L212" s="189"/>
      <c r="M212" s="191">
        <v>0.5</v>
      </c>
      <c r="N212" s="191">
        <v>0.5</v>
      </c>
      <c r="O212" s="189"/>
      <c r="P212" s="189"/>
      <c r="Q212" s="189"/>
      <c r="R212" s="190"/>
      <c r="S212" s="249"/>
    </row>
    <row r="213" spans="1:19" ht="24.95" customHeight="1" thickBot="1" x14ac:dyDescent="0.3">
      <c r="A213" s="1235"/>
      <c r="B213" s="1235"/>
      <c r="C213" s="1228" t="str">
        <f ca="1">VLOOKUP($C213,PRESUPUESTO!$C$3:$H$256,2,FALSE)</f>
        <v>INSTALACIONES ELECTRICAS</v>
      </c>
      <c r="D213" s="1230" t="e">
        <f ca="1">VLOOKUP($C213,PRESUPUESTO!$C$3:$H$256,2,FALSE)</f>
        <v>#N/A</v>
      </c>
      <c r="E213" s="560">
        <f t="shared" si="49"/>
        <v>6771861</v>
      </c>
      <c r="F213" s="257" t="s">
        <v>4064</v>
      </c>
      <c r="G213" s="258"/>
      <c r="H213" s="189"/>
      <c r="I213" s="189"/>
      <c r="J213" s="555"/>
      <c r="K213" s="189"/>
      <c r="L213" s="189"/>
      <c r="M213" s="259">
        <f t="shared" ref="M213:N213" si="54">($D212*M212)</f>
        <v>3385930.5</v>
      </c>
      <c r="N213" s="259">
        <f t="shared" si="54"/>
        <v>3385930.5</v>
      </c>
      <c r="O213" s="189"/>
      <c r="P213" s="189"/>
      <c r="Q213" s="189"/>
      <c r="R213" s="190"/>
      <c r="S213" s="249"/>
    </row>
    <row r="214" spans="1:19" ht="24.95" customHeight="1" x14ac:dyDescent="0.25">
      <c r="A214" s="1235" t="s">
        <v>5239</v>
      </c>
      <c r="B214" s="1235" t="s">
        <v>5308</v>
      </c>
      <c r="C214" s="1227" t="str">
        <f>VLOOKUP($B214,PRESUPUESTO!$C$3:$H$256,2,FALSE)</f>
        <v>SUMINISTRO E INSTALACION DE PLATAFORMA DE TRABAJO INDUSTRIAL MOVIL CON ESCALERA</v>
      </c>
      <c r="D214" s="1229">
        <f>VLOOKUP($B214,PRESUPUESTO!$C$3:$H$256,6,FALSE)</f>
        <v>5065876</v>
      </c>
      <c r="E214" s="560">
        <f t="shared" si="49"/>
        <v>1</v>
      </c>
      <c r="F214" s="257" t="s">
        <v>4076</v>
      </c>
      <c r="G214" s="1"/>
      <c r="H214" s="189"/>
      <c r="I214" s="189"/>
      <c r="J214" s="555"/>
      <c r="K214" s="189"/>
      <c r="L214" s="189"/>
      <c r="M214" s="191">
        <v>1</v>
      </c>
      <c r="N214" s="189"/>
      <c r="O214" s="189"/>
      <c r="P214" s="189"/>
      <c r="Q214" s="189"/>
      <c r="R214" s="190"/>
      <c r="S214" s="249"/>
    </row>
    <row r="215" spans="1:19" ht="24.95" customHeight="1" thickBot="1" x14ac:dyDescent="0.3">
      <c r="A215" s="1235"/>
      <c r="B215" s="1235"/>
      <c r="C215" s="1228" t="str">
        <f ca="1">VLOOKUP($C215,PRESUPUESTO!$C$3:$H$256,2,FALSE)</f>
        <v>INSTALACIONES ELECTRICAS</v>
      </c>
      <c r="D215" s="1230" t="e">
        <f ca="1">VLOOKUP($C215,PRESUPUESTO!$C$3:$H$256,2,FALSE)</f>
        <v>#N/A</v>
      </c>
      <c r="E215" s="560">
        <f t="shared" si="49"/>
        <v>5065876</v>
      </c>
      <c r="F215" s="257" t="s">
        <v>4064</v>
      </c>
      <c r="G215" s="1"/>
      <c r="H215" s="189"/>
      <c r="I215" s="189"/>
      <c r="J215" s="555"/>
      <c r="K215" s="189"/>
      <c r="L215" s="189"/>
      <c r="M215" s="259">
        <f t="shared" ref="M215" si="55">($D214*M214)</f>
        <v>5065876</v>
      </c>
      <c r="N215" s="189"/>
      <c r="O215" s="189"/>
      <c r="P215" s="189"/>
      <c r="Q215" s="189"/>
      <c r="R215" s="190"/>
      <c r="S215" s="249"/>
    </row>
    <row r="216" spans="1:19" ht="24.95" customHeight="1" x14ac:dyDescent="0.25">
      <c r="A216" s="1235" t="s">
        <v>5241</v>
      </c>
      <c r="B216" s="1235" t="s">
        <v>5309</v>
      </c>
      <c r="C216" s="1227" t="str">
        <f>VLOOKUP($B216,PRESUPUESTO!$C$3:$H$256,2,FALSE)</f>
        <v>SUMINISTRO E INSTALACIÓN DE ABRIGO PARA MUELLE DE CARGA</v>
      </c>
      <c r="D216" s="1229">
        <f>VLOOKUP($B216,PRESUPUESTO!$C$3:$H$256,6,FALSE)</f>
        <v>5486925</v>
      </c>
      <c r="E216" s="560">
        <f t="shared" si="49"/>
        <v>1</v>
      </c>
      <c r="F216" s="257" t="s">
        <v>4076</v>
      </c>
      <c r="G216" s="1"/>
      <c r="H216" s="189"/>
      <c r="I216" s="189"/>
      <c r="J216" s="555"/>
      <c r="K216" s="189"/>
      <c r="L216" s="189"/>
      <c r="M216" s="191">
        <v>0.5</v>
      </c>
      <c r="N216" s="191">
        <v>0.5</v>
      </c>
      <c r="O216" s="189"/>
      <c r="P216" s="189"/>
      <c r="Q216" s="189"/>
      <c r="R216" s="190"/>
      <c r="S216" s="249"/>
    </row>
    <row r="217" spans="1:19" ht="24.95" customHeight="1" thickBot="1" x14ac:dyDescent="0.3">
      <c r="A217" s="1235"/>
      <c r="B217" s="1235"/>
      <c r="C217" s="1228" t="str">
        <f ca="1">VLOOKUP($C217,PRESUPUESTO!$C$3:$H$256,2,FALSE)</f>
        <v>INSTALACIONES ELECTRICAS</v>
      </c>
      <c r="D217" s="1230" t="e">
        <f ca="1">VLOOKUP($C217,PRESUPUESTO!$C$3:$H$256,2,FALSE)</f>
        <v>#N/A</v>
      </c>
      <c r="E217" s="560">
        <f t="shared" si="49"/>
        <v>5486925</v>
      </c>
      <c r="F217" s="257" t="s">
        <v>4064</v>
      </c>
      <c r="G217" s="1"/>
      <c r="H217" s="189"/>
      <c r="I217" s="189"/>
      <c r="J217" s="555"/>
      <c r="K217" s="189"/>
      <c r="L217" s="189"/>
      <c r="M217" s="259">
        <f t="shared" ref="M217:N217" si="56">($D216*M216)</f>
        <v>2743462.5</v>
      </c>
      <c r="N217" s="259">
        <f t="shared" si="56"/>
        <v>2743462.5</v>
      </c>
      <c r="O217" s="189"/>
      <c r="P217" s="189"/>
      <c r="Q217" s="189"/>
      <c r="R217" s="190"/>
      <c r="S217" s="249"/>
    </row>
    <row r="218" spans="1:19" ht="24.95" customHeight="1" x14ac:dyDescent="0.25">
      <c r="A218" s="1235" t="s">
        <v>4421</v>
      </c>
      <c r="B218" s="1235" t="s">
        <v>5269</v>
      </c>
      <c r="C218" s="1227" t="str">
        <f>VLOOKUP($B218,PRESUPUESTO!$C$3:$H$256,2,FALSE)</f>
        <v>DEMOLICIÓN DE PISO PARA INSTALACIÓN DE TUBERIA</v>
      </c>
      <c r="D218" s="1229">
        <f>VLOOKUP($B218,PRESUPUESTO!$C$3:$H$256,6,FALSE)</f>
        <v>435745</v>
      </c>
      <c r="E218" s="560">
        <f t="shared" si="49"/>
        <v>1</v>
      </c>
      <c r="F218" s="257" t="s">
        <v>4076</v>
      </c>
      <c r="G218" s="1"/>
      <c r="H218" s="189"/>
      <c r="I218" s="189"/>
      <c r="J218" s="555"/>
      <c r="K218" s="189"/>
      <c r="L218" s="189"/>
      <c r="M218" s="191">
        <v>0.5</v>
      </c>
      <c r="N218" s="191">
        <v>0.5</v>
      </c>
      <c r="O218" s="189"/>
      <c r="P218" s="189"/>
      <c r="Q218" s="189"/>
      <c r="R218" s="190"/>
      <c r="S218" s="249"/>
    </row>
    <row r="219" spans="1:19" ht="24.95" customHeight="1" thickBot="1" x14ac:dyDescent="0.3">
      <c r="A219" s="1235"/>
      <c r="B219" s="1235"/>
      <c r="C219" s="1228" t="str">
        <f ca="1">VLOOKUP($C219,PRESUPUESTO!$C$3:$H$256,2,FALSE)</f>
        <v>INSTALACIONES ELECTRICAS</v>
      </c>
      <c r="D219" s="1230" t="e">
        <f ca="1">VLOOKUP($C219,PRESUPUESTO!$C$3:$H$256,2,FALSE)</f>
        <v>#N/A</v>
      </c>
      <c r="E219" s="560">
        <f t="shared" si="49"/>
        <v>435745</v>
      </c>
      <c r="F219" s="257" t="s">
        <v>4064</v>
      </c>
      <c r="G219" s="1"/>
      <c r="H219" s="189"/>
      <c r="I219" s="189"/>
      <c r="J219" s="555"/>
      <c r="K219" s="189"/>
      <c r="L219" s="189"/>
      <c r="M219" s="259">
        <f t="shared" ref="M219:N219" si="57">($D218*M218)</f>
        <v>217872.5</v>
      </c>
      <c r="N219" s="259">
        <f t="shared" si="57"/>
        <v>217872.5</v>
      </c>
      <c r="O219" s="189"/>
      <c r="P219" s="189"/>
      <c r="Q219" s="189"/>
      <c r="R219" s="190"/>
      <c r="S219" s="249"/>
    </row>
    <row r="220" spans="1:19" ht="24.95" customHeight="1" x14ac:dyDescent="0.25">
      <c r="A220" s="1235" t="s">
        <v>4432</v>
      </c>
      <c r="B220" s="1235" t="s">
        <v>5270</v>
      </c>
      <c r="C220" s="1227" t="str">
        <f>VLOOKUP($B220,PRESUPUESTO!$C$3:$H$256,2,FALSE)</f>
        <v>SUMINISTRO, TRANSPORTE E INSTALACIÓN DE TUBERIA SANITARIA 4"</v>
      </c>
      <c r="D220" s="1229">
        <f>VLOOKUP($B220,PRESUPUESTO!$C$3:$H$256,6,FALSE)</f>
        <v>9326329</v>
      </c>
      <c r="E220" s="560">
        <f t="shared" si="49"/>
        <v>1</v>
      </c>
      <c r="F220" s="257" t="s">
        <v>4076</v>
      </c>
      <c r="G220" s="262"/>
      <c r="H220" s="189"/>
      <c r="I220" s="189"/>
      <c r="J220" s="555"/>
      <c r="K220" s="189"/>
      <c r="L220" s="189"/>
      <c r="M220" s="189"/>
      <c r="N220" s="191">
        <v>1</v>
      </c>
      <c r="O220" s="189"/>
      <c r="P220" s="189"/>
      <c r="Q220" s="189"/>
      <c r="R220" s="190"/>
      <c r="S220" s="249"/>
    </row>
    <row r="221" spans="1:19" ht="24.95" customHeight="1" thickBot="1" x14ac:dyDescent="0.3">
      <c r="A221" s="1235"/>
      <c r="B221" s="1235"/>
      <c r="C221" s="1228" t="str">
        <f ca="1">VLOOKUP($C221,PRESUPUESTO!$C$3:$H$256,2,FALSE)</f>
        <v>INSTALACIONES ELECTRICAS</v>
      </c>
      <c r="D221" s="1230" t="e">
        <f ca="1">VLOOKUP($C221,PRESUPUESTO!$C$3:$H$256,2,FALSE)</f>
        <v>#N/A</v>
      </c>
      <c r="E221" s="560">
        <f t="shared" si="49"/>
        <v>9326329</v>
      </c>
      <c r="F221" s="257" t="s">
        <v>4064</v>
      </c>
      <c r="G221" s="262"/>
      <c r="H221" s="189"/>
      <c r="I221" s="189"/>
      <c r="J221" s="555"/>
      <c r="K221" s="189"/>
      <c r="L221" s="189"/>
      <c r="M221" s="189"/>
      <c r="N221" s="259">
        <f t="shared" ref="N221" si="58">($D220*N220)</f>
        <v>9326329</v>
      </c>
      <c r="O221" s="189"/>
      <c r="P221" s="189"/>
      <c r="Q221" s="189"/>
      <c r="R221" s="190"/>
      <c r="S221" s="249"/>
    </row>
    <row r="222" spans="1:19" ht="24.95" customHeight="1" x14ac:dyDescent="0.25">
      <c r="A222" s="1235" t="s">
        <v>4438</v>
      </c>
      <c r="B222" s="1235" t="s">
        <v>5271</v>
      </c>
      <c r="C222" s="1227" t="str">
        <f>VLOOKUP($B222,PRESUPUESTO!$C$3:$H$256,2,FALSE)</f>
        <v>SUMINISTRO, TRANSPORTE E INSTALACIÓN DE CÁMARA DE ALCANTARILLADO  DE 0,6mx0,6m H promedio 1,8 m</v>
      </c>
      <c r="D222" s="1229">
        <f>VLOOKUP($B222,PRESUPUESTO!$C$3:$H$256,6,FALSE)</f>
        <v>1984209</v>
      </c>
      <c r="E222" s="560">
        <f t="shared" si="49"/>
        <v>1</v>
      </c>
      <c r="F222" s="257" t="s">
        <v>4076</v>
      </c>
      <c r="G222" s="1"/>
      <c r="H222" s="189"/>
      <c r="I222" s="189"/>
      <c r="J222" s="555"/>
      <c r="K222" s="189"/>
      <c r="L222" s="191">
        <v>1</v>
      </c>
      <c r="M222" s="189"/>
      <c r="N222" s="189"/>
      <c r="O222" s="189"/>
      <c r="P222" s="189"/>
      <c r="Q222" s="189"/>
      <c r="R222" s="190"/>
      <c r="S222" s="249"/>
    </row>
    <row r="223" spans="1:19" ht="24.95" customHeight="1" thickBot="1" x14ac:dyDescent="0.3">
      <c r="A223" s="1235"/>
      <c r="B223" s="1235"/>
      <c r="C223" s="1228" t="str">
        <f ca="1">VLOOKUP($C223,PRESUPUESTO!$C$3:$H$256,2,FALSE)</f>
        <v>INSTALACIONES ELECTRICAS</v>
      </c>
      <c r="D223" s="1230" t="e">
        <f ca="1">VLOOKUP($C223,PRESUPUESTO!$C$3:$H$256,2,FALSE)</f>
        <v>#N/A</v>
      </c>
      <c r="E223" s="560">
        <f t="shared" si="49"/>
        <v>1984209</v>
      </c>
      <c r="F223" s="257" t="s">
        <v>4064</v>
      </c>
      <c r="G223" s="1"/>
      <c r="H223" s="189"/>
      <c r="I223" s="189"/>
      <c r="J223" s="555"/>
      <c r="K223" s="189"/>
      <c r="L223" s="259">
        <f t="shared" ref="L223" si="59">($D222*L222)</f>
        <v>1984209</v>
      </c>
      <c r="M223" s="189"/>
      <c r="N223" s="189"/>
      <c r="O223" s="189"/>
      <c r="P223" s="189"/>
      <c r="Q223" s="189"/>
      <c r="R223" s="190"/>
      <c r="S223" s="249"/>
    </row>
    <row r="224" spans="1:19" ht="24.95" customHeight="1" x14ac:dyDescent="0.25">
      <c r="A224" s="1235" t="s">
        <v>4439</v>
      </c>
      <c r="B224" s="1235" t="s">
        <v>5272</v>
      </c>
      <c r="C224" s="1227" t="str">
        <f>VLOOKUP($B224,PRESUPUESTO!$C$3:$H$256,2,FALSE)</f>
        <v>CONEXIÓN A CÁMARA DE ALCANTARILLADO</v>
      </c>
      <c r="D224" s="1229">
        <f>VLOOKUP($B224,PRESUPUESTO!$C$3:$H$256,6,FALSE)</f>
        <v>132861</v>
      </c>
      <c r="E224" s="560">
        <f t="shared" si="49"/>
        <v>1</v>
      </c>
      <c r="F224" s="257" t="s">
        <v>4076</v>
      </c>
      <c r="G224" s="1"/>
      <c r="H224" s="189"/>
      <c r="I224" s="189"/>
      <c r="J224" s="555"/>
      <c r="K224" s="189"/>
      <c r="L224" s="189"/>
      <c r="M224" s="191">
        <v>1</v>
      </c>
      <c r="N224" s="189"/>
      <c r="O224" s="189"/>
      <c r="P224" s="189"/>
      <c r="Q224" s="189"/>
      <c r="R224" s="190"/>
      <c r="S224" s="249"/>
    </row>
    <row r="225" spans="1:19" ht="24.95" customHeight="1" thickBot="1" x14ac:dyDescent="0.3">
      <c r="A225" s="1235"/>
      <c r="B225" s="1235"/>
      <c r="C225" s="1228" t="str">
        <f ca="1">VLOOKUP($C225,PRESUPUESTO!$C$3:$H$256,2,FALSE)</f>
        <v>INSTALACIONES ELECTRICAS</v>
      </c>
      <c r="D225" s="1230" t="e">
        <f ca="1">VLOOKUP($C225,PRESUPUESTO!$C$3:$H$256,2,FALSE)</f>
        <v>#N/A</v>
      </c>
      <c r="E225" s="560">
        <f t="shared" si="49"/>
        <v>132861</v>
      </c>
      <c r="F225" s="257" t="s">
        <v>4064</v>
      </c>
      <c r="G225" s="1"/>
      <c r="H225" s="189"/>
      <c r="I225" s="189"/>
      <c r="J225" s="555"/>
      <c r="K225" s="189"/>
      <c r="L225" s="189"/>
      <c r="M225" s="259">
        <f t="shared" ref="M225" si="60">($D224*M224)</f>
        <v>132861</v>
      </c>
      <c r="N225" s="189"/>
      <c r="O225" s="189"/>
      <c r="P225" s="189"/>
      <c r="Q225" s="189"/>
      <c r="R225" s="190"/>
      <c r="S225" s="249"/>
    </row>
    <row r="226" spans="1:19" ht="24.95" customHeight="1" x14ac:dyDescent="0.25">
      <c r="A226" s="1235" t="s">
        <v>5103</v>
      </c>
      <c r="B226" s="1235" t="s">
        <v>5273</v>
      </c>
      <c r="C226" s="1227" t="str">
        <f>VLOOKUP($B226,PRESUPUESTO!$C$3:$H$256,2,FALSE)</f>
        <v xml:space="preserve">SUMINISTRO E INSTALACION DE LOSA DE CONTRAPISO PARA REPOSICIÓN DE PISO </v>
      </c>
      <c r="D226" s="1229">
        <f>VLOOKUP($B226,PRESUPUESTO!$C$3:$H$256,6,FALSE)</f>
        <v>841417</v>
      </c>
      <c r="E226" s="560">
        <f t="shared" ref="E226:E227" si="61">SUM(G226:R226)</f>
        <v>1</v>
      </c>
      <c r="F226" s="257" t="s">
        <v>4076</v>
      </c>
      <c r="G226" s="262"/>
      <c r="H226" s="189"/>
      <c r="I226" s="189"/>
      <c r="J226" s="555"/>
      <c r="K226" s="189"/>
      <c r="L226" s="189"/>
      <c r="M226" s="189"/>
      <c r="N226" s="191">
        <v>1</v>
      </c>
      <c r="O226" s="189"/>
      <c r="P226" s="189"/>
      <c r="Q226" s="189"/>
      <c r="R226" s="190"/>
      <c r="S226" s="249"/>
    </row>
    <row r="227" spans="1:19" ht="24.95" customHeight="1" x14ac:dyDescent="0.25">
      <c r="A227" s="1235"/>
      <c r="B227" s="1235"/>
      <c r="C227" s="1228" t="str">
        <f ca="1">VLOOKUP($C227,PRESUPUESTO!$C$3:$H$256,2,FALSE)</f>
        <v>INSTALACIONES ELECTRICAS</v>
      </c>
      <c r="D227" s="1230" t="e">
        <f ca="1">VLOOKUP($C227,PRESUPUESTO!$C$3:$H$256,2,FALSE)</f>
        <v>#N/A</v>
      </c>
      <c r="E227" s="560">
        <f t="shared" si="61"/>
        <v>841417</v>
      </c>
      <c r="F227" s="257" t="s">
        <v>4064</v>
      </c>
      <c r="G227" s="262"/>
      <c r="H227" s="189"/>
      <c r="I227" s="189"/>
      <c r="J227" s="555"/>
      <c r="K227" s="189"/>
      <c r="L227" s="189"/>
      <c r="M227" s="189"/>
      <c r="N227" s="259">
        <f t="shared" ref="N227" si="62">($D226*N226)</f>
        <v>841417</v>
      </c>
      <c r="O227" s="189"/>
      <c r="P227" s="189"/>
      <c r="Q227" s="189"/>
      <c r="R227" s="190"/>
      <c r="S227" s="249"/>
    </row>
    <row r="228" spans="1:19" ht="24.75" customHeight="1" x14ac:dyDescent="0.25">
      <c r="C228" s="1" t="s">
        <v>4991</v>
      </c>
      <c r="D228" s="1204">
        <f>+D226+D224+D222+D220+D218+D216+D214+D212+D210+D206+D204+D202+D200+D198+D196+D194+D188+D182+D184+D180+D178+D176+D174+D172+D170+D168+D166+D162+D160+D158+D192+D190+D208+D186+D164</f>
        <v>275432622</v>
      </c>
      <c r="E228" s="189">
        <f>+E227+E225+E223+E221+E219+E217+E215+E213+E211+E209+E207+E205+E203+E201+E199+E197+E195+E193+E191+E183+E181+E189+E187+E185+E179+E177+E175+E173+E171+E169+E167+E165+E163+E159+E161</f>
        <v>275432622</v>
      </c>
      <c r="F228" s="189"/>
      <c r="G228" s="189">
        <f t="shared" ref="G228:R228" si="63">+G227+G225+G223+G221+G219+G217+G215+G213+G211+G209+G207+G205+G203+G201+G199+G197+G195+G193+G191+G183+G181+G189+G187+G185+G179+G177+G175+G173+G171+G169+G167+G165+G163+G159+G161</f>
        <v>5186077.9000000004</v>
      </c>
      <c r="H228" s="189">
        <f t="shared" si="63"/>
        <v>7976989.1000000006</v>
      </c>
      <c r="I228" s="189">
        <f t="shared" si="63"/>
        <v>23311252</v>
      </c>
      <c r="J228" s="189">
        <f t="shared" si="63"/>
        <v>10540595</v>
      </c>
      <c r="K228" s="189">
        <f t="shared" si="63"/>
        <v>5080056</v>
      </c>
      <c r="L228" s="189">
        <f t="shared" si="63"/>
        <v>17938543</v>
      </c>
      <c r="M228" s="189">
        <f t="shared" si="63"/>
        <v>27857807.5</v>
      </c>
      <c r="N228" s="189">
        <f t="shared" si="63"/>
        <v>40566618</v>
      </c>
      <c r="O228" s="189">
        <f t="shared" si="63"/>
        <v>62691824.5</v>
      </c>
      <c r="P228" s="189">
        <f t="shared" si="63"/>
        <v>33596353</v>
      </c>
      <c r="Q228" s="189">
        <f t="shared" si="63"/>
        <v>21800510</v>
      </c>
      <c r="R228" s="189">
        <f t="shared" si="63"/>
        <v>18885996</v>
      </c>
    </row>
    <row r="229" spans="1:19" x14ac:dyDescent="0.25">
      <c r="C229" s="1" t="s">
        <v>4992</v>
      </c>
      <c r="D229" s="969">
        <f>AIU!I11</f>
        <v>0.25</v>
      </c>
      <c r="E229" s="1"/>
      <c r="F229" s="1"/>
      <c r="G229" s="189">
        <f t="shared" ref="G229:R229" si="64">G228*$D$229</f>
        <v>1296519.4750000001</v>
      </c>
      <c r="H229" s="558">
        <f t="shared" si="64"/>
        <v>1994247.2750000001</v>
      </c>
      <c r="I229" s="189">
        <f t="shared" si="64"/>
        <v>5827813</v>
      </c>
      <c r="J229" s="189">
        <f t="shared" si="64"/>
        <v>2635148.75</v>
      </c>
      <c r="K229" s="189">
        <f t="shared" si="64"/>
        <v>1270014</v>
      </c>
      <c r="L229" s="189">
        <f t="shared" si="64"/>
        <v>4484635.75</v>
      </c>
      <c r="M229" s="189">
        <f t="shared" si="64"/>
        <v>6964451.875</v>
      </c>
      <c r="N229" s="189">
        <f t="shared" si="64"/>
        <v>10141654.5</v>
      </c>
      <c r="O229" s="189">
        <f t="shared" si="64"/>
        <v>15672956.125</v>
      </c>
      <c r="P229" s="189">
        <f t="shared" si="64"/>
        <v>8399088.25</v>
      </c>
      <c r="Q229" s="189">
        <f t="shared" si="64"/>
        <v>5450127.5</v>
      </c>
      <c r="R229" s="189">
        <f t="shared" si="64"/>
        <v>4721499</v>
      </c>
    </row>
    <row r="230" spans="1:19" x14ac:dyDescent="0.25">
      <c r="C230" s="1" t="s">
        <v>4993</v>
      </c>
      <c r="D230" s="969">
        <f>AIU!I43</f>
        <v>0.05</v>
      </c>
      <c r="E230" s="1"/>
      <c r="F230" s="1"/>
      <c r="G230" s="189">
        <f t="shared" ref="G230:R230" si="65">G228*$D$230</f>
        <v>259303.89500000002</v>
      </c>
      <c r="H230" s="558">
        <f t="shared" si="65"/>
        <v>398849.45500000007</v>
      </c>
      <c r="I230" s="189">
        <f t="shared" si="65"/>
        <v>1165562.6000000001</v>
      </c>
      <c r="J230" s="189">
        <f t="shared" si="65"/>
        <v>527029.75</v>
      </c>
      <c r="K230" s="189">
        <f t="shared" si="65"/>
        <v>254002.80000000002</v>
      </c>
      <c r="L230" s="189">
        <f t="shared" si="65"/>
        <v>896927.15</v>
      </c>
      <c r="M230" s="189">
        <f t="shared" si="65"/>
        <v>1392890.375</v>
      </c>
      <c r="N230" s="189">
        <f t="shared" si="65"/>
        <v>2028330.9000000001</v>
      </c>
      <c r="O230" s="189">
        <f t="shared" si="65"/>
        <v>3134591.2250000001</v>
      </c>
      <c r="P230" s="189">
        <f t="shared" si="65"/>
        <v>1679817.6500000001</v>
      </c>
      <c r="Q230" s="189">
        <f t="shared" si="65"/>
        <v>1090025.5</v>
      </c>
      <c r="R230" s="189">
        <f t="shared" si="65"/>
        <v>944299.8</v>
      </c>
    </row>
    <row r="231" spans="1:19" x14ac:dyDescent="0.25">
      <c r="C231" s="1" t="s">
        <v>5310</v>
      </c>
      <c r="D231" s="968"/>
      <c r="E231" s="1"/>
      <c r="F231" s="1"/>
      <c r="G231" s="189">
        <f t="shared" ref="G231:R231" si="66">G228+G229+G230</f>
        <v>6741901.2699999996</v>
      </c>
      <c r="H231" s="558">
        <f t="shared" si="66"/>
        <v>10370085.83</v>
      </c>
      <c r="I231" s="189">
        <f t="shared" si="66"/>
        <v>30304627.600000001</v>
      </c>
      <c r="J231" s="189">
        <f t="shared" si="66"/>
        <v>13702773.5</v>
      </c>
      <c r="K231" s="189">
        <f t="shared" si="66"/>
        <v>6604072.7999999998</v>
      </c>
      <c r="L231" s="189">
        <f t="shared" si="66"/>
        <v>23320105.899999999</v>
      </c>
      <c r="M231" s="189">
        <f t="shared" si="66"/>
        <v>36215149.75</v>
      </c>
      <c r="N231" s="189">
        <f t="shared" si="66"/>
        <v>52736603.399999999</v>
      </c>
      <c r="O231" s="189">
        <f t="shared" si="66"/>
        <v>81499371.849999994</v>
      </c>
      <c r="P231" s="189">
        <f t="shared" si="66"/>
        <v>43675258.899999999</v>
      </c>
      <c r="Q231" s="189">
        <f t="shared" si="66"/>
        <v>28340663</v>
      </c>
      <c r="R231" s="189">
        <f t="shared" si="66"/>
        <v>24551794.800000001</v>
      </c>
    </row>
    <row r="232" spans="1:19" x14ac:dyDescent="0.25">
      <c r="C232" s="1"/>
      <c r="D232" s="968"/>
      <c r="E232" s="1"/>
      <c r="F232" s="1"/>
      <c r="G232" s="189">
        <f>+G231</f>
        <v>6741901.2699999996</v>
      </c>
      <c r="H232" s="558">
        <f>+G232+H231</f>
        <v>17111987.100000001</v>
      </c>
      <c r="I232" s="558">
        <f t="shared" ref="I232:R232" si="67">+H232+I231</f>
        <v>47416614.700000003</v>
      </c>
      <c r="J232" s="558">
        <f t="shared" si="67"/>
        <v>61119388.200000003</v>
      </c>
      <c r="K232" s="558">
        <f t="shared" si="67"/>
        <v>67723461</v>
      </c>
      <c r="L232" s="558">
        <f t="shared" si="67"/>
        <v>91043566.900000006</v>
      </c>
      <c r="M232" s="558">
        <f t="shared" si="67"/>
        <v>127258716.65000001</v>
      </c>
      <c r="N232" s="558">
        <f t="shared" si="67"/>
        <v>179995320.05000001</v>
      </c>
      <c r="O232" s="558">
        <f t="shared" si="67"/>
        <v>261494691.90000001</v>
      </c>
      <c r="P232" s="558">
        <f t="shared" si="67"/>
        <v>305169950.80000001</v>
      </c>
      <c r="Q232" s="558">
        <f t="shared" si="67"/>
        <v>333510613.80000001</v>
      </c>
      <c r="R232" s="558">
        <f t="shared" si="67"/>
        <v>358062408.60000002</v>
      </c>
    </row>
    <row r="233" spans="1:19" x14ac:dyDescent="0.25">
      <c r="C233" s="1" t="s">
        <v>5312</v>
      </c>
      <c r="D233" s="968"/>
      <c r="E233" s="1"/>
      <c r="F233" s="1"/>
      <c r="G233" s="189">
        <f>+G76</f>
        <v>9089806.4399999995</v>
      </c>
      <c r="H233" s="189">
        <f t="shared" ref="H233:R233" si="68">+H76</f>
        <v>9625281.9000000004</v>
      </c>
      <c r="I233" s="189">
        <f t="shared" si="68"/>
        <v>18632439.150000002</v>
      </c>
      <c r="J233" s="189">
        <f t="shared" si="68"/>
        <v>42675822.800000004</v>
      </c>
      <c r="K233" s="189">
        <f t="shared" si="68"/>
        <v>51971507.899999999</v>
      </c>
      <c r="L233" s="189">
        <f t="shared" si="68"/>
        <v>63350938.82</v>
      </c>
      <c r="M233" s="189">
        <f t="shared" si="68"/>
        <v>73635693.299999997</v>
      </c>
      <c r="N233" s="189">
        <f t="shared" si="68"/>
        <v>89547196.960000008</v>
      </c>
      <c r="O233" s="189">
        <f t="shared" si="68"/>
        <v>92990635.400000006</v>
      </c>
      <c r="P233" s="189">
        <f t="shared" si="68"/>
        <v>92990635.400000006</v>
      </c>
      <c r="Q233" s="189">
        <f t="shared" si="68"/>
        <v>92990635.400000006</v>
      </c>
      <c r="R233" s="189">
        <f t="shared" si="68"/>
        <v>92990635.400000006</v>
      </c>
    </row>
    <row r="234" spans="1:19" x14ac:dyDescent="0.25">
      <c r="C234" s="1" t="s">
        <v>5311</v>
      </c>
      <c r="D234" s="969">
        <f>+PRESUPUESTO!$G$115</f>
        <v>0.25</v>
      </c>
      <c r="E234" s="1"/>
      <c r="F234" s="1"/>
      <c r="G234" s="189"/>
      <c r="H234" s="189"/>
      <c r="I234" s="189"/>
      <c r="J234" s="189"/>
      <c r="K234" s="189"/>
      <c r="L234" s="189"/>
      <c r="M234" s="189">
        <f>+M151*(1+$D$234)</f>
        <v>11309243.75</v>
      </c>
      <c r="N234" s="189">
        <f t="shared" ref="N234:R234" si="69">+N151*(1+$D$234)</f>
        <v>37966870.125</v>
      </c>
      <c r="O234" s="189">
        <f t="shared" si="69"/>
        <v>169393469.375</v>
      </c>
      <c r="P234" s="189">
        <f t="shared" si="69"/>
        <v>330326458.875</v>
      </c>
      <c r="Q234" s="189">
        <f t="shared" si="69"/>
        <v>373056143.75</v>
      </c>
      <c r="R234" s="189">
        <f t="shared" si="69"/>
        <v>391171147.5</v>
      </c>
    </row>
    <row r="235" spans="1:19" x14ac:dyDescent="0.25">
      <c r="C235" s="1"/>
      <c r="D235" s="969"/>
      <c r="E235" s="1"/>
      <c r="F235" s="1"/>
      <c r="G235" s="189"/>
      <c r="H235" s="558"/>
      <c r="I235" s="189"/>
      <c r="J235" s="189"/>
      <c r="K235" s="189"/>
      <c r="L235" s="189"/>
      <c r="M235" s="189"/>
      <c r="N235" s="189"/>
      <c r="O235" s="189"/>
      <c r="P235" s="189"/>
      <c r="Q235" s="189"/>
      <c r="R235" s="189"/>
    </row>
    <row r="236" spans="1:19" x14ac:dyDescent="0.25">
      <c r="C236" s="1"/>
      <c r="D236" s="969"/>
      <c r="E236" s="1"/>
      <c r="F236" s="1"/>
      <c r="G236" s="189"/>
      <c r="H236" s="558"/>
      <c r="I236" s="189"/>
      <c r="J236" s="189"/>
      <c r="K236" s="189"/>
      <c r="L236" s="189"/>
      <c r="M236" s="189"/>
      <c r="N236" s="189"/>
      <c r="O236" s="189"/>
      <c r="P236" s="189"/>
      <c r="Q236" s="189"/>
      <c r="R236" s="189"/>
    </row>
    <row r="237" spans="1:19" x14ac:dyDescent="0.25">
      <c r="C237" s="1" t="s">
        <v>4989</v>
      </c>
      <c r="D237" s="970">
        <f>+PRESUPUESTO!H190</f>
        <v>5108244.5</v>
      </c>
      <c r="E237" s="970"/>
      <c r="F237" s="970"/>
      <c r="G237" s="965">
        <f t="shared" ref="G237:R237" si="70">$D$237/12</f>
        <v>425687.04166666669</v>
      </c>
      <c r="H237" s="966">
        <f t="shared" si="70"/>
        <v>425687.04166666669</v>
      </c>
      <c r="I237" s="965">
        <f t="shared" si="70"/>
        <v>425687.04166666669</v>
      </c>
      <c r="J237" s="965">
        <f t="shared" si="70"/>
        <v>425687.04166666669</v>
      </c>
      <c r="K237" s="965">
        <f t="shared" si="70"/>
        <v>425687.04166666669</v>
      </c>
      <c r="L237" s="965">
        <f t="shared" si="70"/>
        <v>425687.04166666669</v>
      </c>
      <c r="M237" s="965">
        <f t="shared" si="70"/>
        <v>425687.04166666669</v>
      </c>
      <c r="N237" s="965">
        <f t="shared" si="70"/>
        <v>425687.04166666669</v>
      </c>
      <c r="O237" s="965">
        <f t="shared" si="70"/>
        <v>425687.04166666669</v>
      </c>
      <c r="P237" s="965">
        <f t="shared" si="70"/>
        <v>425687.04166666669</v>
      </c>
      <c r="Q237" s="965">
        <f t="shared" si="70"/>
        <v>425687.04166666669</v>
      </c>
      <c r="R237" s="965">
        <f t="shared" si="70"/>
        <v>425687.04166666669</v>
      </c>
    </row>
    <row r="238" spans="1:19" x14ac:dyDescent="0.25">
      <c r="C238" s="1"/>
      <c r="D238" s="970"/>
      <c r="E238" s="970"/>
      <c r="F238" s="970"/>
      <c r="G238" s="965">
        <f>+G237</f>
        <v>425687.04166666669</v>
      </c>
      <c r="H238" s="558">
        <f t="shared" ref="H238:R238" si="71">+G238+H237</f>
        <v>851374.08333333337</v>
      </c>
      <c r="I238" s="558">
        <f t="shared" si="71"/>
        <v>1277061.125</v>
      </c>
      <c r="J238" s="558">
        <f t="shared" si="71"/>
        <v>1702748.1666666667</v>
      </c>
      <c r="K238" s="558">
        <f t="shared" si="71"/>
        <v>2128435.2083333335</v>
      </c>
      <c r="L238" s="558">
        <f t="shared" si="71"/>
        <v>2554122.25</v>
      </c>
      <c r="M238" s="558">
        <f t="shared" si="71"/>
        <v>2979809.2916666665</v>
      </c>
      <c r="N238" s="558">
        <f t="shared" si="71"/>
        <v>3405496.333333333</v>
      </c>
      <c r="O238" s="558">
        <f t="shared" si="71"/>
        <v>3831183.3749999995</v>
      </c>
      <c r="P238" s="558">
        <f t="shared" si="71"/>
        <v>4256870.416666666</v>
      </c>
      <c r="Q238" s="558">
        <f t="shared" si="71"/>
        <v>4682557.458333333</v>
      </c>
      <c r="R238" s="558">
        <f t="shared" si="71"/>
        <v>5108244.5</v>
      </c>
    </row>
    <row r="239" spans="1:19" x14ac:dyDescent="0.25">
      <c r="C239" s="1" t="s">
        <v>4990</v>
      </c>
      <c r="D239" s="970">
        <f>+PRESUPUESTO!H191</f>
        <v>65927711</v>
      </c>
      <c r="E239" s="970"/>
      <c r="F239" s="970"/>
      <c r="G239" s="965">
        <f t="shared" ref="G239:R239" si="72">$D$239/12</f>
        <v>5493975.916666667</v>
      </c>
      <c r="H239" s="966">
        <f t="shared" si="72"/>
        <v>5493975.916666667</v>
      </c>
      <c r="I239" s="965">
        <f t="shared" si="72"/>
        <v>5493975.916666667</v>
      </c>
      <c r="J239" s="965">
        <f t="shared" si="72"/>
        <v>5493975.916666667</v>
      </c>
      <c r="K239" s="965">
        <f t="shared" si="72"/>
        <v>5493975.916666667</v>
      </c>
      <c r="L239" s="965">
        <f t="shared" si="72"/>
        <v>5493975.916666667</v>
      </c>
      <c r="M239" s="965">
        <f t="shared" si="72"/>
        <v>5493975.916666667</v>
      </c>
      <c r="N239" s="965">
        <f t="shared" si="72"/>
        <v>5493975.916666667</v>
      </c>
      <c r="O239" s="965">
        <f t="shared" si="72"/>
        <v>5493975.916666667</v>
      </c>
      <c r="P239" s="965">
        <f t="shared" si="72"/>
        <v>5493975.916666667</v>
      </c>
      <c r="Q239" s="965">
        <f t="shared" si="72"/>
        <v>5493975.916666667</v>
      </c>
      <c r="R239" s="965">
        <f t="shared" si="72"/>
        <v>5493975.916666667</v>
      </c>
    </row>
    <row r="240" spans="1:19" x14ac:dyDescent="0.25">
      <c r="C240" s="1"/>
      <c r="D240" s="970"/>
      <c r="E240" s="970"/>
      <c r="F240" s="970"/>
      <c r="G240" s="965">
        <f>+G239</f>
        <v>5493975.916666667</v>
      </c>
      <c r="H240" s="558">
        <f t="shared" ref="H240" si="73">+G240+H239</f>
        <v>10987951.833333334</v>
      </c>
      <c r="I240" s="558">
        <f t="shared" ref="I240" si="74">+H240+I239</f>
        <v>16481927.75</v>
      </c>
      <c r="J240" s="558">
        <f t="shared" ref="J240" si="75">+I240+J239</f>
        <v>21975903.666666668</v>
      </c>
      <c r="K240" s="558">
        <f t="shared" ref="K240" si="76">+J240+K239</f>
        <v>27469879.583333336</v>
      </c>
      <c r="L240" s="558">
        <f t="shared" ref="L240" si="77">+K240+L239</f>
        <v>32963855.500000004</v>
      </c>
      <c r="M240" s="558">
        <f t="shared" ref="M240" si="78">+L240+M239</f>
        <v>38457831.416666672</v>
      </c>
      <c r="N240" s="558">
        <f t="shared" ref="N240" si="79">+M240+N239</f>
        <v>43951807.333333336</v>
      </c>
      <c r="O240" s="558">
        <f t="shared" ref="O240" si="80">+N240+O239</f>
        <v>49445783.25</v>
      </c>
      <c r="P240" s="558">
        <f t="shared" ref="P240" si="81">+O240+P239</f>
        <v>54939759.166666664</v>
      </c>
      <c r="Q240" s="558">
        <f t="shared" ref="Q240" si="82">+P240+Q239</f>
        <v>60433735.083333328</v>
      </c>
      <c r="R240" s="558">
        <f t="shared" ref="R240" si="83">+Q240+R239</f>
        <v>65927710.999999993</v>
      </c>
    </row>
    <row r="241" spans="3:18" x14ac:dyDescent="0.25">
      <c r="C241" s="1"/>
      <c r="D241" s="1"/>
      <c r="E241" s="1"/>
      <c r="F241" s="1"/>
      <c r="G241" s="1"/>
      <c r="H241" s="967"/>
      <c r="I241" s="1"/>
      <c r="J241" s="1"/>
      <c r="K241" s="1"/>
      <c r="L241" s="1"/>
      <c r="M241" s="1"/>
      <c r="N241" s="1"/>
      <c r="O241" s="1"/>
      <c r="P241" s="1"/>
      <c r="Q241" s="1"/>
      <c r="R241" s="1"/>
    </row>
    <row r="242" spans="3:18" x14ac:dyDescent="0.25">
      <c r="C242" s="1" t="s">
        <v>4994</v>
      </c>
      <c r="D242" s="1"/>
      <c r="E242" s="1"/>
      <c r="F242" s="1"/>
      <c r="G242" s="189">
        <f>+G232+G233+G234+G238+G240</f>
        <v>21751370.668333333</v>
      </c>
      <c r="H242" s="189">
        <f t="shared" ref="H242:Q242" si="84">+H232+H233+H234+H238+H240</f>
        <v>38576594.916666664</v>
      </c>
      <c r="I242" s="189">
        <f t="shared" si="84"/>
        <v>83808042.725000009</v>
      </c>
      <c r="J242" s="189">
        <f t="shared" si="84"/>
        <v>127473862.83333334</v>
      </c>
      <c r="K242" s="189">
        <f t="shared" si="84"/>
        <v>149293283.69166666</v>
      </c>
      <c r="L242" s="189">
        <f t="shared" si="84"/>
        <v>189912483.47</v>
      </c>
      <c r="M242" s="189">
        <f t="shared" si="84"/>
        <v>253641294.4083333</v>
      </c>
      <c r="N242" s="189">
        <f t="shared" si="84"/>
        <v>354866690.80166662</v>
      </c>
      <c r="O242" s="189">
        <f t="shared" si="84"/>
        <v>577155763.29999995</v>
      </c>
      <c r="P242" s="189">
        <f t="shared" si="84"/>
        <v>787683674.6583333</v>
      </c>
      <c r="Q242" s="189">
        <f t="shared" si="84"/>
        <v>864673685.49166679</v>
      </c>
      <c r="R242" s="189">
        <f>+R232+R233+R234+R238+R240</f>
        <v>913260147</v>
      </c>
    </row>
    <row r="243" spans="3:18" x14ac:dyDescent="0.25">
      <c r="C243" s="1"/>
      <c r="D243" s="2"/>
      <c r="E243" s="2"/>
      <c r="F243" s="2"/>
      <c r="G243" s="189"/>
      <c r="H243" s="558"/>
      <c r="I243" s="558"/>
      <c r="J243" s="558"/>
      <c r="K243" s="558"/>
      <c r="L243" s="558"/>
      <c r="M243" s="558"/>
      <c r="N243" s="558"/>
      <c r="O243" s="558"/>
      <c r="P243" s="558"/>
      <c r="Q243" s="558"/>
      <c r="R243" s="558"/>
    </row>
    <row r="244" spans="3:18" x14ac:dyDescent="0.25">
      <c r="C244" s="286"/>
    </row>
    <row r="245" spans="3:18" x14ac:dyDescent="0.25">
      <c r="C245" s="286"/>
    </row>
    <row r="246" spans="3:18" x14ac:dyDescent="0.25">
      <c r="C246" s="286"/>
    </row>
    <row r="247" spans="3:18" x14ac:dyDescent="0.25">
      <c r="C247" s="286" t="s">
        <v>4563</v>
      </c>
    </row>
    <row r="248" spans="3:18" x14ac:dyDescent="0.25">
      <c r="C248" s="286" t="s">
        <v>4564</v>
      </c>
    </row>
    <row r="249" spans="3:18" x14ac:dyDescent="0.25">
      <c r="C249" s="286" t="s">
        <v>4622</v>
      </c>
    </row>
  </sheetData>
  <mergeCells count="431">
    <mergeCell ref="A186:A187"/>
    <mergeCell ref="B186:B187"/>
    <mergeCell ref="C186:C187"/>
    <mergeCell ref="D186:D187"/>
    <mergeCell ref="B76:F76"/>
    <mergeCell ref="B180:B181"/>
    <mergeCell ref="A180:A181"/>
    <mergeCell ref="C180:C181"/>
    <mergeCell ref="D180:D181"/>
    <mergeCell ref="A182:A183"/>
    <mergeCell ref="B182:B183"/>
    <mergeCell ref="C182:C183"/>
    <mergeCell ref="D182:D183"/>
    <mergeCell ref="A184:A185"/>
    <mergeCell ref="B184:B185"/>
    <mergeCell ref="C184:C185"/>
    <mergeCell ref="D184:D185"/>
    <mergeCell ref="B174:B175"/>
    <mergeCell ref="B176:B177"/>
    <mergeCell ref="A178:A179"/>
    <mergeCell ref="B178:B179"/>
    <mergeCell ref="A174:A175"/>
    <mergeCell ref="C174:C175"/>
    <mergeCell ref="D174:D175"/>
    <mergeCell ref="A222:A223"/>
    <mergeCell ref="B222:B223"/>
    <mergeCell ref="C222:C223"/>
    <mergeCell ref="D222:D223"/>
    <mergeCell ref="A224:A225"/>
    <mergeCell ref="B224:B225"/>
    <mergeCell ref="C224:C225"/>
    <mergeCell ref="D224:D225"/>
    <mergeCell ref="A226:A227"/>
    <mergeCell ref="B226:B227"/>
    <mergeCell ref="C226:C227"/>
    <mergeCell ref="D226:D227"/>
    <mergeCell ref="A216:A217"/>
    <mergeCell ref="B216:B217"/>
    <mergeCell ref="C216:C217"/>
    <mergeCell ref="D216:D217"/>
    <mergeCell ref="A218:A219"/>
    <mergeCell ref="B218:B219"/>
    <mergeCell ref="C218:C219"/>
    <mergeCell ref="D218:D219"/>
    <mergeCell ref="A220:A221"/>
    <mergeCell ref="B220:B221"/>
    <mergeCell ref="C220:C221"/>
    <mergeCell ref="D220:D221"/>
    <mergeCell ref="A210:A211"/>
    <mergeCell ref="B210:B211"/>
    <mergeCell ref="A212:A213"/>
    <mergeCell ref="B212:B213"/>
    <mergeCell ref="A214:A215"/>
    <mergeCell ref="B214:B215"/>
    <mergeCell ref="C210:C211"/>
    <mergeCell ref="D210:D211"/>
    <mergeCell ref="C212:C213"/>
    <mergeCell ref="D212:D213"/>
    <mergeCell ref="C214:C215"/>
    <mergeCell ref="D214:D215"/>
    <mergeCell ref="A208:A209"/>
    <mergeCell ref="B208:B209"/>
    <mergeCell ref="A204:A205"/>
    <mergeCell ref="B204:B205"/>
    <mergeCell ref="C204:C205"/>
    <mergeCell ref="D204:D205"/>
    <mergeCell ref="A206:A207"/>
    <mergeCell ref="B206:B207"/>
    <mergeCell ref="C206:C207"/>
    <mergeCell ref="D206:D207"/>
    <mergeCell ref="C208:C209"/>
    <mergeCell ref="D208:D209"/>
    <mergeCell ref="A200:A201"/>
    <mergeCell ref="B200:B201"/>
    <mergeCell ref="A202:A203"/>
    <mergeCell ref="B202:B203"/>
    <mergeCell ref="C200:C201"/>
    <mergeCell ref="D200:D201"/>
    <mergeCell ref="C202:C203"/>
    <mergeCell ref="D202:D203"/>
    <mergeCell ref="B198:B199"/>
    <mergeCell ref="A194:A195"/>
    <mergeCell ref="B194:B195"/>
    <mergeCell ref="C194:C195"/>
    <mergeCell ref="D194:D195"/>
    <mergeCell ref="A196:A197"/>
    <mergeCell ref="B196:B197"/>
    <mergeCell ref="C196:C197"/>
    <mergeCell ref="D196:D197"/>
    <mergeCell ref="A198:A199"/>
    <mergeCell ref="C198:C199"/>
    <mergeCell ref="D198:D199"/>
    <mergeCell ref="B188:B189"/>
    <mergeCell ref="A188:A189"/>
    <mergeCell ref="C188:C189"/>
    <mergeCell ref="D188:D189"/>
    <mergeCell ref="A190:A191"/>
    <mergeCell ref="B190:B191"/>
    <mergeCell ref="C190:C191"/>
    <mergeCell ref="D190:D191"/>
    <mergeCell ref="A192:A193"/>
    <mergeCell ref="B192:B193"/>
    <mergeCell ref="C192:C193"/>
    <mergeCell ref="D192:D193"/>
    <mergeCell ref="A176:A177"/>
    <mergeCell ref="C176:C177"/>
    <mergeCell ref="D176:D177"/>
    <mergeCell ref="C178:C179"/>
    <mergeCell ref="D178:D179"/>
    <mergeCell ref="B170:B171"/>
    <mergeCell ref="B172:B173"/>
    <mergeCell ref="A168:A169"/>
    <mergeCell ref="B168:B169"/>
    <mergeCell ref="C168:C169"/>
    <mergeCell ref="D168:D169"/>
    <mergeCell ref="A170:A171"/>
    <mergeCell ref="C170:C171"/>
    <mergeCell ref="D170:D171"/>
    <mergeCell ref="A172:A173"/>
    <mergeCell ref="C172:C173"/>
    <mergeCell ref="D172:D173"/>
    <mergeCell ref="A160:A161"/>
    <mergeCell ref="B160:B161"/>
    <mergeCell ref="C160:C161"/>
    <mergeCell ref="D160:D161"/>
    <mergeCell ref="A162:A163"/>
    <mergeCell ref="B162:B163"/>
    <mergeCell ref="C162:C163"/>
    <mergeCell ref="D162:D163"/>
    <mergeCell ref="A166:A167"/>
    <mergeCell ref="B166:B167"/>
    <mergeCell ref="C166:C167"/>
    <mergeCell ref="D166:D167"/>
    <mergeCell ref="A164:A165"/>
    <mergeCell ref="B164:B165"/>
    <mergeCell ref="C164:C165"/>
    <mergeCell ref="D164:D165"/>
    <mergeCell ref="D156:D157"/>
    <mergeCell ref="F156:F157"/>
    <mergeCell ref="G156:J156"/>
    <mergeCell ref="K156:N156"/>
    <mergeCell ref="O156:R156"/>
    <mergeCell ref="A158:A159"/>
    <mergeCell ref="B158:B159"/>
    <mergeCell ref="C158:C159"/>
    <mergeCell ref="D158:D159"/>
    <mergeCell ref="B137:B138"/>
    <mergeCell ref="B139:B140"/>
    <mergeCell ref="B141:B142"/>
    <mergeCell ref="B143:B144"/>
    <mergeCell ref="B145:B146"/>
    <mergeCell ref="B147:B148"/>
    <mergeCell ref="B1:R1"/>
    <mergeCell ref="B2:R2"/>
    <mergeCell ref="D3:D4"/>
    <mergeCell ref="F3:F4"/>
    <mergeCell ref="G3:J3"/>
    <mergeCell ref="K3:N3"/>
    <mergeCell ref="O3:R3"/>
    <mergeCell ref="D135:D136"/>
    <mergeCell ref="D137:D138"/>
    <mergeCell ref="D139:D140"/>
    <mergeCell ref="D141:D142"/>
    <mergeCell ref="D143:D144"/>
    <mergeCell ref="D145:D146"/>
    <mergeCell ref="D147:D148"/>
    <mergeCell ref="C141:C142"/>
    <mergeCell ref="C143:C144"/>
    <mergeCell ref="C145:C146"/>
    <mergeCell ref="C147:C148"/>
    <mergeCell ref="A5:A6"/>
    <mergeCell ref="B5:B6"/>
    <mergeCell ref="C5:C6"/>
    <mergeCell ref="D5:D6"/>
    <mergeCell ref="A7:A8"/>
    <mergeCell ref="B7:B8"/>
    <mergeCell ref="C7:C8"/>
    <mergeCell ref="D7:D8"/>
    <mergeCell ref="A9:A10"/>
    <mergeCell ref="B9:B10"/>
    <mergeCell ref="C9:C10"/>
    <mergeCell ref="D9:D10"/>
    <mergeCell ref="A11:A12"/>
    <mergeCell ref="B11:B12"/>
    <mergeCell ref="C11:C12"/>
    <mergeCell ref="D11:D12"/>
    <mergeCell ref="A13:A14"/>
    <mergeCell ref="B13:B14"/>
    <mergeCell ref="C13:C14"/>
    <mergeCell ref="D13:D14"/>
    <mergeCell ref="A15:A16"/>
    <mergeCell ref="B15:B16"/>
    <mergeCell ref="C15:C16"/>
    <mergeCell ref="D15:D16"/>
    <mergeCell ref="A17:A18"/>
    <mergeCell ref="B17:B18"/>
    <mergeCell ref="C17:C18"/>
    <mergeCell ref="D17:D18"/>
    <mergeCell ref="A19:A20"/>
    <mergeCell ref="B19:B20"/>
    <mergeCell ref="C19:C20"/>
    <mergeCell ref="D19:D20"/>
    <mergeCell ref="A21:A22"/>
    <mergeCell ref="B21:B22"/>
    <mergeCell ref="C21:C22"/>
    <mergeCell ref="D21:D22"/>
    <mergeCell ref="A23:A24"/>
    <mergeCell ref="B23:B24"/>
    <mergeCell ref="C23:C24"/>
    <mergeCell ref="D23:D24"/>
    <mergeCell ref="A25:A26"/>
    <mergeCell ref="B25:B26"/>
    <mergeCell ref="C25:C26"/>
    <mergeCell ref="D25:D26"/>
    <mergeCell ref="A27:A28"/>
    <mergeCell ref="B27:B28"/>
    <mergeCell ref="C27:C28"/>
    <mergeCell ref="D27:D28"/>
    <mergeCell ref="A29:A30"/>
    <mergeCell ref="B29:B30"/>
    <mergeCell ref="C29:C30"/>
    <mergeCell ref="D29:D30"/>
    <mergeCell ref="A31:A32"/>
    <mergeCell ref="B31:B32"/>
    <mergeCell ref="C31:C32"/>
    <mergeCell ref="D31:D32"/>
    <mergeCell ref="A33:A34"/>
    <mergeCell ref="B33:B34"/>
    <mergeCell ref="C33:C34"/>
    <mergeCell ref="D33:D34"/>
    <mergeCell ref="A35:A36"/>
    <mergeCell ref="B35:B36"/>
    <mergeCell ref="C35:C36"/>
    <mergeCell ref="D35:D36"/>
    <mergeCell ref="A37:A38"/>
    <mergeCell ref="B37:B38"/>
    <mergeCell ref="C37:C38"/>
    <mergeCell ref="D37:D38"/>
    <mergeCell ref="A39:A40"/>
    <mergeCell ref="B39:B40"/>
    <mergeCell ref="C39:C40"/>
    <mergeCell ref="D39:D40"/>
    <mergeCell ref="A41:A42"/>
    <mergeCell ref="B41:B42"/>
    <mergeCell ref="C41:C42"/>
    <mergeCell ref="D41:D42"/>
    <mergeCell ref="A43:A44"/>
    <mergeCell ref="B43:B44"/>
    <mergeCell ref="C43:C44"/>
    <mergeCell ref="D43:D44"/>
    <mergeCell ref="A45:A46"/>
    <mergeCell ref="B45:B46"/>
    <mergeCell ref="C45:C46"/>
    <mergeCell ref="D45:D46"/>
    <mergeCell ref="A47:A48"/>
    <mergeCell ref="B47:B48"/>
    <mergeCell ref="C47:C48"/>
    <mergeCell ref="D47:D48"/>
    <mergeCell ref="A49:A50"/>
    <mergeCell ref="B49:B50"/>
    <mergeCell ref="C49:C50"/>
    <mergeCell ref="D49:D50"/>
    <mergeCell ref="A51:A52"/>
    <mergeCell ref="B51:B52"/>
    <mergeCell ref="C51:C52"/>
    <mergeCell ref="D51:D52"/>
    <mergeCell ref="A53:A54"/>
    <mergeCell ref="B53:B54"/>
    <mergeCell ref="C53:C54"/>
    <mergeCell ref="D53:D54"/>
    <mergeCell ref="A55:A56"/>
    <mergeCell ref="B55:B56"/>
    <mergeCell ref="C55:C56"/>
    <mergeCell ref="D55:D56"/>
    <mergeCell ref="A57:A58"/>
    <mergeCell ref="B57:B58"/>
    <mergeCell ref="C57:C58"/>
    <mergeCell ref="D57:D58"/>
    <mergeCell ref="A59:A60"/>
    <mergeCell ref="B59:B60"/>
    <mergeCell ref="C59:C60"/>
    <mergeCell ref="D59:D60"/>
    <mergeCell ref="A67:A68"/>
    <mergeCell ref="B67:B68"/>
    <mergeCell ref="C67:C68"/>
    <mergeCell ref="D67:D68"/>
    <mergeCell ref="A69:A70"/>
    <mergeCell ref="B69:B70"/>
    <mergeCell ref="C69:C70"/>
    <mergeCell ref="D69:D70"/>
    <mergeCell ref="A61:A62"/>
    <mergeCell ref="B61:B62"/>
    <mergeCell ref="C61:C62"/>
    <mergeCell ref="D61:D62"/>
    <mergeCell ref="A63:A64"/>
    <mergeCell ref="B63:B64"/>
    <mergeCell ref="C63:C64"/>
    <mergeCell ref="D63:D64"/>
    <mergeCell ref="A65:A66"/>
    <mergeCell ref="B65:B66"/>
    <mergeCell ref="C65:C66"/>
    <mergeCell ref="D65:D66"/>
    <mergeCell ref="A71:A72"/>
    <mergeCell ref="B71:B72"/>
    <mergeCell ref="C71:C72"/>
    <mergeCell ref="D71:D72"/>
    <mergeCell ref="B75:F75"/>
    <mergeCell ref="A79:A80"/>
    <mergeCell ref="B79:B80"/>
    <mergeCell ref="C79:C80"/>
    <mergeCell ref="D79:D80"/>
    <mergeCell ref="A81:A82"/>
    <mergeCell ref="B81:B82"/>
    <mergeCell ref="C81:C82"/>
    <mergeCell ref="D81:D82"/>
    <mergeCell ref="A83:A84"/>
    <mergeCell ref="B83:B84"/>
    <mergeCell ref="C83:C84"/>
    <mergeCell ref="D83:D84"/>
    <mergeCell ref="A85:A86"/>
    <mergeCell ref="B85:B86"/>
    <mergeCell ref="C85:C86"/>
    <mergeCell ref="D85:D86"/>
    <mergeCell ref="A87:A88"/>
    <mergeCell ref="B87:B88"/>
    <mergeCell ref="C87:C88"/>
    <mergeCell ref="D87:D88"/>
    <mergeCell ref="A89:A90"/>
    <mergeCell ref="B89:B90"/>
    <mergeCell ref="C89:C90"/>
    <mergeCell ref="D89:D90"/>
    <mergeCell ref="A91:A92"/>
    <mergeCell ref="B91:B92"/>
    <mergeCell ref="C91:C92"/>
    <mergeCell ref="D91:D92"/>
    <mergeCell ref="A93:A94"/>
    <mergeCell ref="B93:B94"/>
    <mergeCell ref="C93:C94"/>
    <mergeCell ref="D93:D94"/>
    <mergeCell ref="A95:A96"/>
    <mergeCell ref="B95:B96"/>
    <mergeCell ref="C95:C96"/>
    <mergeCell ref="D95:D96"/>
    <mergeCell ref="A97:A98"/>
    <mergeCell ref="B97:B98"/>
    <mergeCell ref="C97:C98"/>
    <mergeCell ref="D97:D98"/>
    <mergeCell ref="A99:A100"/>
    <mergeCell ref="B99:B100"/>
    <mergeCell ref="C99:C100"/>
    <mergeCell ref="D99:D100"/>
    <mergeCell ref="A101:A102"/>
    <mergeCell ref="B101:B102"/>
    <mergeCell ref="C101:C102"/>
    <mergeCell ref="D101:D102"/>
    <mergeCell ref="A103:A104"/>
    <mergeCell ref="B103:B104"/>
    <mergeCell ref="C103:C104"/>
    <mergeCell ref="D103:D104"/>
    <mergeCell ref="A105:A106"/>
    <mergeCell ref="B105:B106"/>
    <mergeCell ref="C105:C106"/>
    <mergeCell ref="D105:D106"/>
    <mergeCell ref="A107:A108"/>
    <mergeCell ref="B107:B108"/>
    <mergeCell ref="C107:C108"/>
    <mergeCell ref="D107:D108"/>
    <mergeCell ref="A109:A110"/>
    <mergeCell ref="B109:B110"/>
    <mergeCell ref="C109:C110"/>
    <mergeCell ref="D109:D110"/>
    <mergeCell ref="A111:A112"/>
    <mergeCell ref="B111:B112"/>
    <mergeCell ref="C111:C112"/>
    <mergeCell ref="D111:D112"/>
    <mergeCell ref="A113:A114"/>
    <mergeCell ref="B113:B114"/>
    <mergeCell ref="C113:C114"/>
    <mergeCell ref="D113:D114"/>
    <mergeCell ref="A115:A116"/>
    <mergeCell ref="B115:B116"/>
    <mergeCell ref="C115:C116"/>
    <mergeCell ref="D115:D116"/>
    <mergeCell ref="A117:A118"/>
    <mergeCell ref="B117:B118"/>
    <mergeCell ref="C117:C118"/>
    <mergeCell ref="D117:D118"/>
    <mergeCell ref="A125:A126"/>
    <mergeCell ref="B125:B126"/>
    <mergeCell ref="C125:C126"/>
    <mergeCell ref="D125:D126"/>
    <mergeCell ref="A127:A128"/>
    <mergeCell ref="B127:B128"/>
    <mergeCell ref="C127:C128"/>
    <mergeCell ref="D127:D128"/>
    <mergeCell ref="A119:A120"/>
    <mergeCell ref="B119:B120"/>
    <mergeCell ref="C119:C120"/>
    <mergeCell ref="D119:D120"/>
    <mergeCell ref="A121:A122"/>
    <mergeCell ref="B121:B122"/>
    <mergeCell ref="C121:C122"/>
    <mergeCell ref="D121:D122"/>
    <mergeCell ref="A123:A124"/>
    <mergeCell ref="B123:B124"/>
    <mergeCell ref="C123:C124"/>
    <mergeCell ref="D123:D124"/>
    <mergeCell ref="B154:R154"/>
    <mergeCell ref="A133:A134"/>
    <mergeCell ref="B133:B134"/>
    <mergeCell ref="C133:C134"/>
    <mergeCell ref="D133:D134"/>
    <mergeCell ref="A129:A130"/>
    <mergeCell ref="B129:B130"/>
    <mergeCell ref="C129:C130"/>
    <mergeCell ref="D129:D130"/>
    <mergeCell ref="A131:A132"/>
    <mergeCell ref="B131:B132"/>
    <mergeCell ref="C131:C132"/>
    <mergeCell ref="D131:D132"/>
    <mergeCell ref="A135:A136"/>
    <mergeCell ref="A137:A138"/>
    <mergeCell ref="A139:A140"/>
    <mergeCell ref="A141:A142"/>
    <mergeCell ref="A143:A144"/>
    <mergeCell ref="C135:C136"/>
    <mergeCell ref="A145:A146"/>
    <mergeCell ref="A147:A148"/>
    <mergeCell ref="C137:C138"/>
    <mergeCell ref="C139:C140"/>
    <mergeCell ref="B135:B136"/>
  </mergeCells>
  <phoneticPr fontId="42" type="noConversion"/>
  <pageMargins left="0.70866141732283472" right="0.70866141732283472" top="0.74803149606299213" bottom="0.74803149606299213" header="0.31496062992125984" footer="0.31496062992125984"/>
  <pageSetup scale="25" fitToHeight="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210"/>
  <sheetViews>
    <sheetView tabSelected="1" topLeftCell="A166" zoomScale="80" zoomScaleNormal="80" workbookViewId="0">
      <selection activeCell="K193" sqref="K193"/>
    </sheetView>
  </sheetViews>
  <sheetFormatPr baseColWidth="10" defaultColWidth="11.5703125" defaultRowHeight="15" x14ac:dyDescent="0.25"/>
  <cols>
    <col min="1" max="1" width="8.140625" style="286" customWidth="1"/>
    <col min="2" max="3" width="12.28515625" style="286" customWidth="1"/>
    <col min="4" max="4" width="70" style="286" customWidth="1"/>
    <col min="5" max="5" width="8.5703125" style="286" customWidth="1"/>
    <col min="6" max="6" width="10.7109375" style="286" customWidth="1"/>
    <col min="7" max="7" width="15.7109375" style="1164" customWidth="1"/>
    <col min="8" max="8" width="25.140625" style="286" bestFit="1" customWidth="1"/>
    <col min="9" max="9" width="19.7109375" style="1206" customWidth="1"/>
    <col min="10" max="10" width="18.7109375" style="286" bestFit="1" customWidth="1"/>
    <col min="11" max="11" width="26.5703125" style="286" customWidth="1"/>
    <col min="12" max="12" width="18.42578125" style="286" bestFit="1" customWidth="1"/>
    <col min="13" max="13" width="23.42578125" style="286" bestFit="1" customWidth="1"/>
    <col min="14" max="14" width="14.28515625" style="286" bestFit="1" customWidth="1"/>
    <col min="15" max="15" width="23.42578125" style="286" bestFit="1" customWidth="1"/>
    <col min="16" max="16" width="12.42578125" style="286" bestFit="1" customWidth="1"/>
    <col min="17" max="17" width="21.85546875" style="286" bestFit="1" customWidth="1"/>
    <col min="18" max="18" width="25" style="286" bestFit="1" customWidth="1"/>
    <col min="19" max="19" width="11.5703125" style="286"/>
    <col min="20" max="20" width="25" style="286" bestFit="1" customWidth="1"/>
    <col min="21" max="21" width="11.5703125" style="286"/>
    <col min="22" max="24" width="23.42578125" style="286" hidden="1" customWidth="1"/>
    <col min="25" max="25" width="0" style="286" hidden="1" customWidth="1"/>
    <col min="26" max="26" width="25" style="286" hidden="1" customWidth="1"/>
    <col min="27" max="16384" width="11.5703125" style="286"/>
  </cols>
  <sheetData>
    <row r="1" spans="2:26" ht="81" customHeight="1" thickBot="1" x14ac:dyDescent="0.3">
      <c r="B1" s="1265" t="s">
        <v>4691</v>
      </c>
      <c r="C1" s="1266"/>
      <c r="D1" s="1266"/>
      <c r="E1" s="1266"/>
      <c r="F1" s="1266"/>
      <c r="G1" s="1266"/>
      <c r="H1" s="1267"/>
    </row>
    <row r="2" spans="2:26" ht="18.75" thickBot="1" x14ac:dyDescent="0.3">
      <c r="B2" s="566"/>
      <c r="C2" s="567"/>
      <c r="D2" s="567"/>
      <c r="E2" s="567"/>
      <c r="F2" s="567"/>
      <c r="G2" s="1147"/>
      <c r="H2" s="568"/>
    </row>
    <row r="3" spans="2:26" ht="15.75" thickBot="1" x14ac:dyDescent="0.3">
      <c r="E3" s="296"/>
      <c r="F3" s="296"/>
      <c r="G3" s="1150"/>
      <c r="H3" s="296"/>
    </row>
    <row r="4" spans="2:26" ht="45.75" customHeight="1" thickBot="1" x14ac:dyDescent="0.3">
      <c r="B4" s="1268" t="s">
        <v>4463</v>
      </c>
      <c r="C4" s="1269"/>
      <c r="D4" s="1270"/>
      <c r="E4" s="1270"/>
      <c r="F4" s="1270"/>
      <c r="G4" s="1270"/>
      <c r="H4" s="1271"/>
    </row>
    <row r="5" spans="2:26" ht="26.25" customHeight="1" thickBot="1" x14ac:dyDescent="0.3">
      <c r="B5" s="1035"/>
      <c r="C5" s="1034"/>
      <c r="D5" s="1036" t="s">
        <v>5050</v>
      </c>
      <c r="E5" s="1031"/>
      <c r="F5" s="1032"/>
      <c r="G5" s="1151"/>
      <c r="H5" s="1033"/>
    </row>
    <row r="6" spans="2:26" ht="24" customHeight="1" x14ac:dyDescent="0.25">
      <c r="B6" s="1029"/>
      <c r="C6" s="1029"/>
      <c r="D6" s="1030"/>
      <c r="E6" s="1030"/>
      <c r="F6" s="1030"/>
      <c r="G6" s="1030"/>
      <c r="H6" s="1030"/>
    </row>
    <row r="7" spans="2:26" ht="15.75" thickBot="1" x14ac:dyDescent="0.3">
      <c r="B7" s="1025" t="s">
        <v>10</v>
      </c>
      <c r="C7" s="1026" t="s">
        <v>4570</v>
      </c>
      <c r="D7" s="1027" t="s">
        <v>9</v>
      </c>
      <c r="E7" s="1027" t="s">
        <v>11</v>
      </c>
      <c r="F7" s="1027" t="s">
        <v>2</v>
      </c>
      <c r="G7" s="1027" t="s">
        <v>4162</v>
      </c>
      <c r="H7" s="1028" t="s">
        <v>4163</v>
      </c>
    </row>
    <row r="8" spans="2:26" ht="15.75" thickBot="1" x14ac:dyDescent="0.3">
      <c r="B8" s="287"/>
      <c r="C8" s="499"/>
      <c r="D8" s="288" t="s">
        <v>4237</v>
      </c>
      <c r="E8" s="288"/>
      <c r="F8" s="288"/>
      <c r="G8" s="288"/>
      <c r="H8" s="289"/>
    </row>
    <row r="9" spans="2:26" ht="18.75" thickBot="1" x14ac:dyDescent="0.3">
      <c r="B9" s="346" t="s">
        <v>4164</v>
      </c>
      <c r="C9" s="346" t="s">
        <v>4269</v>
      </c>
      <c r="D9" s="510" t="s">
        <v>4411</v>
      </c>
      <c r="E9" s="347"/>
      <c r="F9" s="348"/>
      <c r="G9" s="1152"/>
      <c r="H9" s="369">
        <f>SUM(H10:H12)</f>
        <v>7031010</v>
      </c>
      <c r="I9" s="1207">
        <f>+H9*(1+G$116)</f>
        <v>9140313</v>
      </c>
      <c r="J9" s="375"/>
      <c r="K9" s="376">
        <f>SUM(K10:K13)</f>
        <v>433074.27899999998</v>
      </c>
      <c r="L9" s="377"/>
      <c r="M9" s="376">
        <f>SUM(M10:M13)</f>
        <v>5293060.5892499993</v>
      </c>
      <c r="N9" s="377"/>
      <c r="O9" s="376">
        <f>SUM(O10:O13)</f>
        <v>15188.480999999998</v>
      </c>
      <c r="P9" s="377"/>
      <c r="Q9" s="376">
        <f>SUM(Q10:Q13)</f>
        <v>1289686.4445</v>
      </c>
      <c r="R9" s="376">
        <f>SUM(R10:R13)</f>
        <v>7031010</v>
      </c>
      <c r="S9" s="380"/>
      <c r="T9" s="381">
        <f>Q9+M9+K9+O9</f>
        <v>7031009.7937499993</v>
      </c>
      <c r="U9" s="382"/>
      <c r="V9" s="461">
        <f>ROUND((H9-T9),0)</f>
        <v>0</v>
      </c>
      <c r="W9" s="384" t="e">
        <f>ROUND((Q9+M9+K9+O9)*(#REF!+#REF!),0)</f>
        <v>#REF!</v>
      </c>
      <c r="X9" s="384" t="e">
        <f>ROUND((T9)*(#REF!+#REF!),0)</f>
        <v>#REF!</v>
      </c>
      <c r="Y9" s="383" t="e">
        <f>+W9-X9</f>
        <v>#REF!</v>
      </c>
      <c r="Z9" s="383">
        <f>ROUND(SUM(K9:Q9),0)</f>
        <v>7031010</v>
      </c>
    </row>
    <row r="10" spans="2:26" ht="18" x14ac:dyDescent="0.25">
      <c r="B10" s="391" t="s">
        <v>4421</v>
      </c>
      <c r="C10" s="491" t="s">
        <v>4624</v>
      </c>
      <c r="D10" s="397" t="str">
        <f>+VLOOKUP($B10,APU!$B$5:$J$1835,3,0)</f>
        <v>DEMOLICIÓN PLACA DE CONTRAPISO EN CONCRETO SIMPLE.</v>
      </c>
      <c r="E10" s="398" t="str">
        <f>+VLOOKUP($B10,APU!$B$5:$I$1835,4,0)</f>
        <v>M²</v>
      </c>
      <c r="F10" s="956">
        <f>+ITEM1.2!G9</f>
        <v>20.92</v>
      </c>
      <c r="G10" s="400">
        <f>+VLOOKUP($B10,APU!$B$5:$I$1835,6,0)</f>
        <v>72624.224999999991</v>
      </c>
      <c r="H10" s="954">
        <f>ROUND((F10*G10),0)</f>
        <v>1519299</v>
      </c>
      <c r="J10" s="385">
        <f>VLOOKUP($B10,APU!$K$6:$P$1687,2,FALSE)</f>
        <v>3157.5750000000003</v>
      </c>
      <c r="K10" s="386">
        <f>J10*F10</f>
        <v>66056.469000000012</v>
      </c>
      <c r="L10" s="385">
        <f>VLOOKUP($B10,APU!$K$6:$P$1690,3,FALSE)</f>
        <v>66309.074999999997</v>
      </c>
      <c r="M10" s="386">
        <f>L10*F10</f>
        <v>1387185.8490000002</v>
      </c>
      <c r="N10" s="385">
        <f>VLOOKUP($B10,APU!$K$6:$P$1680,4,FALSE)</f>
        <v>0</v>
      </c>
      <c r="O10" s="386">
        <f>N10*F10</f>
        <v>0</v>
      </c>
      <c r="P10" s="385">
        <f>VLOOKUP($B10,APU!$K$6:$P$1680,5,FALSE)</f>
        <v>3157.5750000000003</v>
      </c>
      <c r="Q10" s="386">
        <f>P10*F10</f>
        <v>66056.469000000012</v>
      </c>
      <c r="R10" s="387">
        <f>ROUND((Q10+O10+M10+K10),0)</f>
        <v>1519299</v>
      </c>
      <c r="S10" s="388"/>
      <c r="T10" s="1004">
        <f>+H10</f>
        <v>1519299</v>
      </c>
      <c r="U10" s="1003">
        <f>+T10-R10</f>
        <v>0</v>
      </c>
      <c r="V10" s="461">
        <f t="shared" ref="V10:V12" si="0">ROUND((H10-T10),0)</f>
        <v>0</v>
      </c>
      <c r="W10" s="390" t="e">
        <f>ROUND((Q10+M10+K10+O10)*(#REF!+#REF!),0)</f>
        <v>#REF!</v>
      </c>
      <c r="X10" s="390" t="e">
        <f>ROUND((T10)*(#REF!+#REF!),0)</f>
        <v>#REF!</v>
      </c>
      <c r="Y10" s="383" t="e">
        <f t="shared" ref="Y10:Y12" si="1">+W10-X10</f>
        <v>#REF!</v>
      </c>
      <c r="Z10" s="374"/>
    </row>
    <row r="11" spans="2:26" ht="18" x14ac:dyDescent="0.25">
      <c r="B11" s="391" t="s">
        <v>4422</v>
      </c>
      <c r="C11" s="491" t="s">
        <v>4625</v>
      </c>
      <c r="D11" s="397" t="str">
        <f>+VLOOKUP($B11,APU!$B$5:$J$1835,3,0)</f>
        <v>DEMOLICIÓN DE MUROS EN BLOQUE DE CEMENTO O LADRILLO</v>
      </c>
      <c r="E11" s="398" t="str">
        <f>+VLOOKUP($B11,APU!$B$5:$I$1835,4,0)</f>
        <v>M²</v>
      </c>
      <c r="F11" s="399">
        <f>+ITEM1.3!E7</f>
        <v>204.75</v>
      </c>
      <c r="G11" s="400">
        <f>+VLOOKUP($B11,APU!$B$5:$I$1835,6,0)</f>
        <v>26286.722999999994</v>
      </c>
      <c r="H11" s="954">
        <f t="shared" ref="H11:H12" si="2">ROUND((F11*G11),0)</f>
        <v>5382207</v>
      </c>
      <c r="J11" s="385">
        <f>VLOOKUP($B11,APU!$K$6:$P$1687,2,FALSE)</f>
        <v>1768.242</v>
      </c>
      <c r="K11" s="386">
        <f t="shared" ref="K11:K12" si="3">J11*F11</f>
        <v>362047.54949999996</v>
      </c>
      <c r="L11" s="385">
        <f>VLOOKUP($B11,APU!$K$6:$P$1690,3,FALSE)</f>
        <v>18566.540999999997</v>
      </c>
      <c r="M11" s="386">
        <f t="shared" ref="M11" si="4">L11*F11</f>
        <v>3801499.2697499995</v>
      </c>
      <c r="N11" s="385">
        <f>VLOOKUP($B11,APU!$K$6:$P$1680,4,FALSE)</f>
        <v>0</v>
      </c>
      <c r="O11" s="386">
        <f t="shared" ref="O11" si="5">N11*F11</f>
        <v>0</v>
      </c>
      <c r="P11" s="385">
        <f>VLOOKUP($B11,APU!$K$6:$P$1680,5,FALSE)</f>
        <v>5951.94</v>
      </c>
      <c r="Q11" s="386">
        <f t="shared" ref="Q11:Q12" si="6">P11*F11</f>
        <v>1218659.7149999999</v>
      </c>
      <c r="R11" s="387">
        <f t="shared" ref="R11:R12" si="7">ROUND((Q11+O11+M11+K11),0)</f>
        <v>5382207</v>
      </c>
      <c r="S11" s="388"/>
      <c r="T11" s="1004">
        <f t="shared" ref="T11:T12" si="8">+H11</f>
        <v>5382207</v>
      </c>
      <c r="U11" s="1003">
        <f t="shared" ref="U11:U70" si="9">+T11-R11</f>
        <v>0</v>
      </c>
      <c r="V11" s="461">
        <f t="shared" si="0"/>
        <v>0</v>
      </c>
      <c r="W11" s="390" t="e">
        <f>ROUND((Q11+M11+K11+O11)*(#REF!+#REF!),0)</f>
        <v>#REF!</v>
      </c>
      <c r="X11" s="390" t="e">
        <f>ROUND((T11)*(#REF!+#REF!),0)</f>
        <v>#REF!</v>
      </c>
      <c r="Y11" s="383" t="e">
        <f t="shared" si="1"/>
        <v>#REF!</v>
      </c>
      <c r="Z11" s="374"/>
    </row>
    <row r="12" spans="2:26" ht="18" x14ac:dyDescent="0.25">
      <c r="B12" s="391" t="s">
        <v>4429</v>
      </c>
      <c r="C12" s="396" t="s">
        <v>4626</v>
      </c>
      <c r="D12" s="355" t="str">
        <f>+APU!D617</f>
        <v xml:space="preserve">DESMONTE DE ESTRUCTURA METALICA </v>
      </c>
      <c r="E12" s="356" t="str">
        <f>+VLOOKUP($B12,APU!$B$5:$I$1835,4,0)</f>
        <v>M²</v>
      </c>
      <c r="F12" s="357">
        <f>+ITEM1.4!E7</f>
        <v>6.06</v>
      </c>
      <c r="G12" s="1153">
        <f>+VLOOKUP($B12,APU!$B$5:$I$1835,6,0)</f>
        <v>21370.374999999996</v>
      </c>
      <c r="H12" s="954">
        <f t="shared" si="2"/>
        <v>129504</v>
      </c>
      <c r="J12" s="385">
        <f>VLOOKUP($B12,APU!$K$6:$P$1687,2,FALSE)</f>
        <v>820.17500000000007</v>
      </c>
      <c r="K12" s="386">
        <f t="shared" si="3"/>
        <v>4970.2605000000003</v>
      </c>
      <c r="L12" s="385">
        <f>VLOOKUP($B12,APU!$K$6:$P$1690,3,FALSE)</f>
        <v>17223.674999999999</v>
      </c>
      <c r="M12" s="386">
        <f>L12*F12</f>
        <v>104375.4705</v>
      </c>
      <c r="N12" s="385">
        <f>VLOOKUP($B12,APU!$K$6:$P$1680,4,FALSE)</f>
        <v>2506.35</v>
      </c>
      <c r="O12" s="386">
        <f>N12*F12</f>
        <v>15188.480999999998</v>
      </c>
      <c r="P12" s="385">
        <f>VLOOKUP($B12,APU!$K$6:$P$1680,5,FALSE)</f>
        <v>820.17500000000007</v>
      </c>
      <c r="Q12" s="386">
        <f t="shared" si="6"/>
        <v>4970.2605000000003</v>
      </c>
      <c r="R12" s="387">
        <f t="shared" si="7"/>
        <v>129504</v>
      </c>
      <c r="S12" s="388"/>
      <c r="T12" s="1004">
        <f t="shared" si="8"/>
        <v>129504</v>
      </c>
      <c r="U12" s="1003">
        <f t="shared" si="9"/>
        <v>0</v>
      </c>
      <c r="V12" s="461">
        <f t="shared" si="0"/>
        <v>0</v>
      </c>
      <c r="W12" s="390" t="e">
        <f>ROUND((Q12+M12+K12+O12)*(#REF!+#REF!),0)</f>
        <v>#REF!</v>
      </c>
      <c r="X12" s="390" t="e">
        <f>ROUND((T12)*(#REF!+#REF!),0)</f>
        <v>#REF!</v>
      </c>
      <c r="Y12" s="383" t="e">
        <f t="shared" si="1"/>
        <v>#REF!</v>
      </c>
    </row>
    <row r="13" spans="2:26" ht="15.75" thickBot="1" x14ac:dyDescent="0.3">
      <c r="B13" s="396"/>
      <c r="C13" s="396"/>
      <c r="D13" s="397"/>
      <c r="E13" s="398"/>
      <c r="F13" s="399"/>
      <c r="G13" s="400"/>
      <c r="H13" s="395"/>
      <c r="U13" s="1003">
        <f t="shared" si="9"/>
        <v>0</v>
      </c>
      <c r="W13" s="286" t="e">
        <f>ROUND((Q13+M13+K13+O13)*(#REF!+#REF!),0)</f>
        <v>#REF!</v>
      </c>
      <c r="X13" s="286" t="e">
        <f>ROUND((T13)*(#REF!+#REF!),0)</f>
        <v>#REF!</v>
      </c>
    </row>
    <row r="14" spans="2:26" ht="18.75" hidden="1" thickBot="1" x14ac:dyDescent="0.3">
      <c r="B14" s="346" t="s">
        <v>5064</v>
      </c>
      <c r="C14" s="346" t="s">
        <v>4271</v>
      </c>
      <c r="D14" s="412" t="s">
        <v>4412</v>
      </c>
      <c r="E14" s="347"/>
      <c r="F14" s="348"/>
      <c r="G14" s="1152"/>
      <c r="H14" s="369">
        <f>SUM(H15:H15)</f>
        <v>0</v>
      </c>
      <c r="J14" s="375"/>
      <c r="K14" s="376">
        <f>(SUM(K15))</f>
        <v>0</v>
      </c>
      <c r="L14" s="377"/>
      <c r="M14" s="376">
        <f>(SUM(M15))</f>
        <v>0</v>
      </c>
      <c r="N14" s="377"/>
      <c r="O14" s="376">
        <f>(SUM(O15))</f>
        <v>0</v>
      </c>
      <c r="P14" s="377"/>
      <c r="Q14" s="376">
        <f>(SUM(Q15))</f>
        <v>0</v>
      </c>
      <c r="R14" s="376">
        <f>(SUM(R15))</f>
        <v>0</v>
      </c>
      <c r="S14" s="380"/>
      <c r="T14" s="381">
        <f>Q14+M14+K14+O14</f>
        <v>0</v>
      </c>
      <c r="U14" s="1003">
        <f t="shared" si="9"/>
        <v>0</v>
      </c>
      <c r="V14" s="461">
        <f>ROUND((H14-T14),0)</f>
        <v>0</v>
      </c>
      <c r="W14" s="384" t="e">
        <f>ROUND((Q14+M14+K14+O14)*(#REF!+#REF!),0)</f>
        <v>#REF!</v>
      </c>
      <c r="X14" s="384" t="e">
        <f>ROUND((T14)*(#REF!+#REF!),0)</f>
        <v>#REF!</v>
      </c>
      <c r="Y14" s="383" t="e">
        <f>+W14-X14</f>
        <v>#REF!</v>
      </c>
      <c r="Z14" s="383">
        <f>ROUND(SUM(K14:Q14),0)</f>
        <v>0</v>
      </c>
    </row>
    <row r="15" spans="2:26" ht="18.75" hidden="1" thickBot="1" x14ac:dyDescent="0.3">
      <c r="B15" s="391"/>
      <c r="C15" s="491"/>
      <c r="D15" s="392"/>
      <c r="E15" s="393"/>
      <c r="F15" s="394"/>
      <c r="G15" s="1154"/>
      <c r="H15" s="954"/>
      <c r="J15" s="385"/>
      <c r="K15" s="386"/>
      <c r="L15" s="385"/>
      <c r="M15" s="386"/>
      <c r="N15" s="385"/>
      <c r="O15" s="386"/>
      <c r="P15" s="385"/>
      <c r="Q15" s="386"/>
      <c r="R15" s="387"/>
      <c r="S15" s="388"/>
      <c r="T15" s="389"/>
      <c r="U15" s="1003"/>
      <c r="V15" s="461"/>
      <c r="W15" s="390"/>
      <c r="X15" s="390"/>
      <c r="Y15" s="383"/>
      <c r="Z15" s="374"/>
    </row>
    <row r="16" spans="2:26" ht="18.75" thickBot="1" x14ac:dyDescent="0.3">
      <c r="B16" s="346" t="s">
        <v>4166</v>
      </c>
      <c r="C16" s="346" t="s">
        <v>4270</v>
      </c>
      <c r="D16" s="359" t="s">
        <v>4413</v>
      </c>
      <c r="E16" s="349"/>
      <c r="F16" s="443"/>
      <c r="G16" s="1152"/>
      <c r="H16" s="369">
        <f>SUM(H17:H21)</f>
        <v>5677961</v>
      </c>
      <c r="I16" s="1207">
        <f>+H16*(1+G$116)</f>
        <v>7381349.2999999998</v>
      </c>
      <c r="J16" s="375"/>
      <c r="K16" s="376">
        <f>SUM(K17:K21)</f>
        <v>163414.19280000002</v>
      </c>
      <c r="L16" s="377"/>
      <c r="M16" s="376">
        <f>SUM(M17:M21)</f>
        <v>2308511.5840000003</v>
      </c>
      <c r="N16" s="377"/>
      <c r="O16" s="376">
        <f>SUM(O17:O21)</f>
        <v>3187337.2068735007</v>
      </c>
      <c r="P16" s="377"/>
      <c r="Q16" s="376">
        <f>SUM(Q17:Q21)</f>
        <v>18699.600000000002</v>
      </c>
      <c r="R16" s="376">
        <f>SUM(R17:R21)</f>
        <v>5677961</v>
      </c>
      <c r="S16" s="380"/>
      <c r="T16" s="381">
        <f>ROUND(Q16+M16+K16+O16,0)</f>
        <v>5677963</v>
      </c>
      <c r="U16" s="1003">
        <f t="shared" si="9"/>
        <v>2</v>
      </c>
      <c r="V16" s="461">
        <f>ROUND((H16-T16),0)</f>
        <v>-2</v>
      </c>
      <c r="W16" s="384" t="e">
        <f>ROUND((Q16+M16+K16+O16)*(#REF!+#REF!),0)</f>
        <v>#REF!</v>
      </c>
      <c r="X16" s="384" t="e">
        <f>ROUND((T16)*(#REF!+#REF!),0)</f>
        <v>#REF!</v>
      </c>
      <c r="Y16" s="383" t="e">
        <f>+W16-X16</f>
        <v>#REF!</v>
      </c>
      <c r="Z16" s="383">
        <f>ROUND(SUM(K16:Q16),0)</f>
        <v>5677963</v>
      </c>
    </row>
    <row r="17" spans="2:26" ht="30" x14ac:dyDescent="0.25">
      <c r="B17" s="391" t="s">
        <v>4432</v>
      </c>
      <c r="C17" s="491" t="s">
        <v>4630</v>
      </c>
      <c r="D17" s="406" t="str">
        <f>+VLOOKUP($B17,APU!$B$5:$J$1835,3,0)</f>
        <v xml:space="preserve">SUMINISTRO, TRASPORTE E INSTALACIÓN PUNTO SANITARIO EN DIAMETRO 4" </v>
      </c>
      <c r="E17" s="398" t="str">
        <f>+VLOOKUP($B17,APU!$B$5:$I$1835,4,0)</f>
        <v>UN</v>
      </c>
      <c r="F17" s="399">
        <f>+ITEM4.2!E7</f>
        <v>2</v>
      </c>
      <c r="G17" s="400">
        <f>+VLOOKUP($B17,APU!$B$5:$I$1835,6,0)</f>
        <v>186526.58400000006</v>
      </c>
      <c r="H17" s="954">
        <f t="shared" ref="H17:H21" si="10">ROUND((F17*G17),0)</f>
        <v>373053</v>
      </c>
      <c r="J17" s="385">
        <f>VLOOKUP($B17,APU!$K$6:$P$1687,2,FALSE)</f>
        <v>2337.4500000000003</v>
      </c>
      <c r="K17" s="386">
        <f t="shared" ref="K17:K21" si="11">J17*F17</f>
        <v>4674.9000000000005</v>
      </c>
      <c r="L17" s="385">
        <f>VLOOKUP($B17,APU!$K$6:$P$1690,3,FALSE)</f>
        <v>49086.45</v>
      </c>
      <c r="M17" s="386">
        <f t="shared" ref="M17:M21" si="12">L17*F17</f>
        <v>98172.9</v>
      </c>
      <c r="N17" s="385">
        <f>VLOOKUP($B17,APU!$K$6:$P$1680,4,FALSE)</f>
        <v>132765.23400000003</v>
      </c>
      <c r="O17" s="386">
        <f t="shared" ref="O17:O20" si="13">N17*F17</f>
        <v>265530.46800000005</v>
      </c>
      <c r="P17" s="385">
        <f>VLOOKUP($B17,APU!$K$6:$P$1680,5,FALSE)</f>
        <v>2337.4500000000003</v>
      </c>
      <c r="Q17" s="386">
        <f t="shared" ref="Q17:Q21" si="14">P17*F17</f>
        <v>4674.9000000000005</v>
      </c>
      <c r="R17" s="387">
        <f t="shared" ref="R17:R21" si="15">ROUND((Q17+O17+M17+K17),0)</f>
        <v>373053</v>
      </c>
      <c r="S17" s="388"/>
      <c r="T17" s="389">
        <f t="shared" ref="T17:T21" si="16">+H17</f>
        <v>373053</v>
      </c>
      <c r="U17" s="1003">
        <f t="shared" si="9"/>
        <v>0</v>
      </c>
      <c r="V17" s="461">
        <f t="shared" ref="V17:V21" si="17">ROUND((H17-T17),0)</f>
        <v>0</v>
      </c>
      <c r="W17" s="390" t="e">
        <f>ROUND((Q17+M17+K17+O17)*(#REF!+#REF!),0)</f>
        <v>#REF!</v>
      </c>
      <c r="X17" s="390" t="e">
        <f>ROUND((T17)*(#REF!+#REF!),0)</f>
        <v>#REF!</v>
      </c>
      <c r="Y17" s="383" t="e">
        <f t="shared" ref="Y17:Y21" si="18">+W17-X17</f>
        <v>#REF!</v>
      </c>
      <c r="Z17" s="374"/>
    </row>
    <row r="18" spans="2:26" ht="30" x14ac:dyDescent="0.25">
      <c r="B18" s="391" t="s">
        <v>4437</v>
      </c>
      <c r="C18" s="491" t="s">
        <v>4631</v>
      </c>
      <c r="D18" s="411" t="str">
        <f>+VLOOKUP($B18,APU!$B$5:$J$1835,3,0)</f>
        <v xml:space="preserve">SUMINISTRO, TRASPORTE E INSTALACIÓN PUNTO SANITARIO EN DIAMETRO 2" </v>
      </c>
      <c r="E18" s="547" t="str">
        <f>+VLOOKUP($B18,APU!$B$5:$I$1835,4,0)</f>
        <v>UN</v>
      </c>
      <c r="F18" s="548">
        <f>+ITEM4.7!G9</f>
        <v>9</v>
      </c>
      <c r="G18" s="1155">
        <f>+VLOOKUP($B18,APU!$B$5:$I$1835,6,0)</f>
        <v>89415.364999999991</v>
      </c>
      <c r="H18" s="954">
        <f t="shared" si="10"/>
        <v>804738</v>
      </c>
      <c r="J18" s="385">
        <f>VLOOKUP($B18,APU!$K$6:$P$1687,2,FALSE)</f>
        <v>1558.3000000000002</v>
      </c>
      <c r="K18" s="386">
        <f t="shared" si="11"/>
        <v>14024.7</v>
      </c>
      <c r="L18" s="385">
        <f>VLOOKUP($B18,APU!$K$6:$P$1690,3,FALSE)</f>
        <v>32724.3</v>
      </c>
      <c r="M18" s="386">
        <f t="shared" si="12"/>
        <v>294518.7</v>
      </c>
      <c r="N18" s="385">
        <f>VLOOKUP($B18,APU!$K$6:$P$1680,4,FALSE)</f>
        <v>53574.465000000004</v>
      </c>
      <c r="O18" s="386">
        <f t="shared" si="13"/>
        <v>482170.18500000006</v>
      </c>
      <c r="P18" s="385">
        <f>VLOOKUP($B18,APU!$K$6:$P$1680,5,FALSE)</f>
        <v>1558.3000000000002</v>
      </c>
      <c r="Q18" s="386">
        <f t="shared" si="14"/>
        <v>14024.7</v>
      </c>
      <c r="R18" s="387">
        <f t="shared" si="15"/>
        <v>804738</v>
      </c>
      <c r="S18" s="388"/>
      <c r="T18" s="389">
        <f t="shared" si="16"/>
        <v>804738</v>
      </c>
      <c r="U18" s="1003">
        <f t="shared" si="9"/>
        <v>0</v>
      </c>
      <c r="V18" s="461">
        <f t="shared" si="17"/>
        <v>0</v>
      </c>
      <c r="W18" s="390" t="e">
        <f>ROUND((Q18+M18+K18+O18)*(#REF!+#REF!),0)</f>
        <v>#REF!</v>
      </c>
      <c r="X18" s="390" t="e">
        <f>ROUND((T18)*(#REF!+#REF!),0)</f>
        <v>#REF!</v>
      </c>
      <c r="Y18" s="383" t="e">
        <f t="shared" si="18"/>
        <v>#REF!</v>
      </c>
    </row>
    <row r="19" spans="2:26" ht="18" x14ac:dyDescent="0.25">
      <c r="B19" s="391" t="s">
        <v>4486</v>
      </c>
      <c r="C19" s="396" t="s">
        <v>4632</v>
      </c>
      <c r="D19" s="411" t="s">
        <v>4487</v>
      </c>
      <c r="E19" s="398" t="str">
        <f>+VLOOKUP($B19,APU!$B$5:$I$1835,4,0)</f>
        <v>GL</v>
      </c>
      <c r="F19" s="399">
        <f>+'ITEM 4,13'!G9</f>
        <v>1</v>
      </c>
      <c r="G19" s="400">
        <f>+VLOOKUP($B19,APU!$B$5:$I$1835,6,0)</f>
        <v>328694</v>
      </c>
      <c r="H19" s="954">
        <f t="shared" si="10"/>
        <v>328694</v>
      </c>
      <c r="I19" s="1208"/>
      <c r="J19" s="385">
        <f>VLOOKUP($B19,APU!$K$6:$P$1687,2,FALSE)</f>
        <v>1215</v>
      </c>
      <c r="K19" s="386">
        <f t="shared" si="11"/>
        <v>1215</v>
      </c>
      <c r="L19" s="385">
        <f>VLOOKUP($B19,APU!$K$6:$P$1690,3,FALSE)</f>
        <v>310023</v>
      </c>
      <c r="M19" s="386">
        <f t="shared" si="12"/>
        <v>310023</v>
      </c>
      <c r="N19" s="385">
        <f>VLOOKUP($B19,APU!$K$6:$P$1680,4,FALSE)</f>
        <v>17456.420000000002</v>
      </c>
      <c r="O19" s="386">
        <f t="shared" si="13"/>
        <v>17456.420000000002</v>
      </c>
      <c r="P19" s="385">
        <f>VLOOKUP($B19,APU!$K$6:$P$1680,5,FALSE)</f>
        <v>0</v>
      </c>
      <c r="Q19" s="386">
        <f t="shared" si="14"/>
        <v>0</v>
      </c>
      <c r="R19" s="387">
        <f t="shared" si="15"/>
        <v>328694</v>
      </c>
      <c r="S19" s="388"/>
      <c r="T19" s="389">
        <f t="shared" si="16"/>
        <v>328694</v>
      </c>
      <c r="U19" s="1003">
        <f t="shared" si="9"/>
        <v>0</v>
      </c>
      <c r="V19" s="461">
        <f t="shared" si="17"/>
        <v>0</v>
      </c>
      <c r="W19" s="390" t="e">
        <f>ROUND((Q19+M19+K19+O19)*(#REF!+#REF!),0)</f>
        <v>#REF!</v>
      </c>
      <c r="X19" s="390" t="e">
        <f>ROUND((T19)*(#REF!+#REF!),0)</f>
        <v>#REF!</v>
      </c>
      <c r="Y19" s="383" t="e">
        <f t="shared" si="18"/>
        <v>#REF!</v>
      </c>
    </row>
    <row r="20" spans="2:26" ht="30" x14ac:dyDescent="0.25">
      <c r="B20" s="391" t="s">
        <v>4490</v>
      </c>
      <c r="C20" s="396" t="s">
        <v>4633</v>
      </c>
      <c r="D20" s="411" t="s">
        <v>4488</v>
      </c>
      <c r="E20" s="398" t="str">
        <f>+VLOOKUP($B20,APU!$B$5:$I$1835,4,0)</f>
        <v>ML</v>
      </c>
      <c r="F20" s="399">
        <f>+'ITEM 4,15'!G8</f>
        <v>23.42</v>
      </c>
      <c r="G20" s="400">
        <f>+VLOOKUP($B20,APU!$B$5:$I$1835,6,0)</f>
        <v>48203</v>
      </c>
      <c r="H20" s="954">
        <f t="shared" si="10"/>
        <v>1128914</v>
      </c>
      <c r="I20" s="1208"/>
      <c r="J20" s="385">
        <f>VLOOKUP($B20,APU!$K$6:$P$1687,2,FALSE)</f>
        <v>5519.34</v>
      </c>
      <c r="K20" s="386">
        <f>J20*F20+9</f>
        <v>129271.94280000002</v>
      </c>
      <c r="L20" s="385">
        <f>VLOOKUP($B20,APU!$K$6:$P$1690,3,FALSE)</f>
        <v>34282.600000000006</v>
      </c>
      <c r="M20" s="386">
        <f t="shared" si="12"/>
        <v>802898.4920000002</v>
      </c>
      <c r="N20" s="385">
        <f>VLOOKUP($B20,APU!$K$6:$P$1680,4,FALSE)</f>
        <v>8400.6764250000015</v>
      </c>
      <c r="O20" s="386">
        <f t="shared" si="13"/>
        <v>196743.84187350006</v>
      </c>
      <c r="P20" s="385">
        <f>VLOOKUP($B20,APU!$K$6:$P$1680,5,FALSE)</f>
        <v>0</v>
      </c>
      <c r="Q20" s="386">
        <f t="shared" si="14"/>
        <v>0</v>
      </c>
      <c r="R20" s="387">
        <f t="shared" si="15"/>
        <v>1128914</v>
      </c>
      <c r="S20" s="388"/>
      <c r="T20" s="389">
        <f t="shared" si="16"/>
        <v>1128914</v>
      </c>
      <c r="U20" s="1003">
        <f t="shared" si="9"/>
        <v>0</v>
      </c>
      <c r="V20" s="461">
        <f t="shared" si="17"/>
        <v>0</v>
      </c>
      <c r="W20" s="390" t="e">
        <f>ROUND((Q20+M20+K20+O20)*(#REF!+#REF!),0)</f>
        <v>#REF!</v>
      </c>
      <c r="X20" s="390" t="e">
        <f>ROUND((T20)*(#REF!+#REF!),0)</f>
        <v>#REF!</v>
      </c>
      <c r="Y20" s="383" t="e">
        <f t="shared" si="18"/>
        <v>#REF!</v>
      </c>
    </row>
    <row r="21" spans="2:26" ht="27" customHeight="1" x14ac:dyDescent="0.25">
      <c r="B21" s="391" t="s">
        <v>4491</v>
      </c>
      <c r="C21" s="396" t="s">
        <v>4634</v>
      </c>
      <c r="D21" s="411" t="s">
        <v>4489</v>
      </c>
      <c r="E21" s="356" t="str">
        <f>+VLOOKUP($B21,APU!$B$5:$I$1835,4,0)</f>
        <v>ML</v>
      </c>
      <c r="F21" s="957">
        <f>+'ITEM 4,15'!G8</f>
        <v>23.42</v>
      </c>
      <c r="G21" s="1153">
        <f>+VLOOKUP($B21,APU!$B$5:$I$1835,6,0)</f>
        <v>129913</v>
      </c>
      <c r="H21" s="954">
        <f t="shared" si="10"/>
        <v>3042562</v>
      </c>
      <c r="I21" s="1208"/>
      <c r="J21" s="385">
        <f>VLOOKUP($B21,APU!$K$6:$P$1687,2,FALSE)</f>
        <v>607.5</v>
      </c>
      <c r="K21" s="386">
        <f t="shared" si="11"/>
        <v>14227.650000000001</v>
      </c>
      <c r="L21" s="385">
        <f>VLOOKUP($B21,APU!$K$6:$P$1690,3,FALSE)</f>
        <v>34282.600000000006</v>
      </c>
      <c r="M21" s="386">
        <f t="shared" si="12"/>
        <v>802898.4920000002</v>
      </c>
      <c r="N21" s="385">
        <f>VLOOKUP($B21,APU!$K$6:$P$1680,4,FALSE)</f>
        <v>95022.6</v>
      </c>
      <c r="O21" s="386">
        <f>N21*F21+7</f>
        <v>2225436.2920000004</v>
      </c>
      <c r="P21" s="385">
        <f>VLOOKUP($B21,APU!$K$6:$P$1680,5,FALSE)</f>
        <v>0</v>
      </c>
      <c r="Q21" s="386">
        <f t="shared" si="14"/>
        <v>0</v>
      </c>
      <c r="R21" s="387">
        <f t="shared" si="15"/>
        <v>3042562</v>
      </c>
      <c r="S21" s="388"/>
      <c r="T21" s="389">
        <f t="shared" si="16"/>
        <v>3042562</v>
      </c>
      <c r="U21" s="1003">
        <f t="shared" si="9"/>
        <v>0</v>
      </c>
      <c r="V21" s="461">
        <f t="shared" si="17"/>
        <v>0</v>
      </c>
      <c r="W21" s="390" t="e">
        <f>ROUND((Q21+M21+K21+O21)*(#REF!+#REF!),0)</f>
        <v>#REF!</v>
      </c>
      <c r="X21" s="390" t="e">
        <f>ROUND((T21)*(#REF!+#REF!),0)</f>
        <v>#REF!</v>
      </c>
      <c r="Y21" s="383" t="e">
        <f t="shared" si="18"/>
        <v>#REF!</v>
      </c>
    </row>
    <row r="22" spans="2:26" ht="15.75" thickBot="1" x14ac:dyDescent="0.3">
      <c r="B22" s="391"/>
      <c r="C22" s="491"/>
      <c r="D22" s="355"/>
      <c r="E22" s="356"/>
      <c r="F22" s="357"/>
      <c r="G22" s="1153"/>
      <c r="H22" s="395"/>
      <c r="U22" s="1003">
        <f t="shared" si="9"/>
        <v>0</v>
      </c>
      <c r="W22" s="286" t="e">
        <f>ROUND((Q22+M22+K22+O22)*(#REF!+#REF!),0)</f>
        <v>#REF!</v>
      </c>
      <c r="X22" s="286" t="e">
        <f>ROUND((T22)*(#REF!+#REF!),0)</f>
        <v>#REF!</v>
      </c>
    </row>
    <row r="23" spans="2:26" ht="18.75" thickBot="1" x14ac:dyDescent="0.3">
      <c r="B23" s="1071" t="s">
        <v>5067</v>
      </c>
      <c r="C23" s="493" t="s">
        <v>4272</v>
      </c>
      <c r="D23" s="549" t="s">
        <v>4416</v>
      </c>
      <c r="E23" s="550"/>
      <c r="F23" s="443"/>
      <c r="G23" s="1156"/>
      <c r="H23" s="369">
        <f>SUM(H24:H27)</f>
        <v>11667613</v>
      </c>
      <c r="I23" s="1207">
        <f>+H23*(1+G$116)</f>
        <v>15167896.9</v>
      </c>
      <c r="J23" s="375"/>
      <c r="K23" s="376">
        <f>SUM(K24:K27)</f>
        <v>3097874.21368</v>
      </c>
      <c r="L23" s="377"/>
      <c r="M23" s="376">
        <f>SUM(M24:M27)</f>
        <v>2480034.3073800001</v>
      </c>
      <c r="N23" s="377"/>
      <c r="O23" s="376">
        <f>SUM(O24:O27)</f>
        <v>5974902.8502578512</v>
      </c>
      <c r="P23" s="377"/>
      <c r="Q23" s="376">
        <f>SUM(Q24:Q27)</f>
        <v>114801.37894</v>
      </c>
      <c r="R23" s="376">
        <f>SUM(R24:R27)</f>
        <v>11667613</v>
      </c>
      <c r="S23" s="380"/>
      <c r="T23" s="381">
        <f>ROUND(Q23+M23+K23+O23,0)</f>
        <v>11667613</v>
      </c>
      <c r="U23" s="1003">
        <f t="shared" si="9"/>
        <v>0</v>
      </c>
      <c r="V23" s="461">
        <f>ROUND((H23-T23),0)</f>
        <v>0</v>
      </c>
      <c r="W23" s="384" t="e">
        <f>ROUND((Q23+M23+K23+O23)*(#REF!+#REF!),0)</f>
        <v>#REF!</v>
      </c>
      <c r="X23" s="384" t="e">
        <f>ROUND((T23)*(#REF!+#REF!),0)</f>
        <v>#REF!</v>
      </c>
      <c r="Y23" s="383" t="e">
        <f>+W23-X23</f>
        <v>#REF!</v>
      </c>
      <c r="Z23" s="383">
        <f>ROUND(SUM(K23:Q23),0)</f>
        <v>11667613</v>
      </c>
    </row>
    <row r="24" spans="2:26" ht="45.75" thickBot="1" x14ac:dyDescent="0.3">
      <c r="B24" s="1073" t="s">
        <v>5103</v>
      </c>
      <c r="C24" s="491" t="s">
        <v>4635</v>
      </c>
      <c r="D24" s="406" t="s">
        <v>4475</v>
      </c>
      <c r="E24" s="398" t="s">
        <v>3975</v>
      </c>
      <c r="F24" s="873">
        <f>+ITEM5.1!G2</f>
        <v>29.461999999999996</v>
      </c>
      <c r="G24" s="400">
        <f>+VLOOKUP($B24,APU!$B$5:$I$1835,6,0)</f>
        <v>140236.19969375001</v>
      </c>
      <c r="H24" s="954">
        <f t="shared" ref="H24" si="19">ROUND((F24*G24),0)</f>
        <v>4131639</v>
      </c>
      <c r="I24" s="1208"/>
      <c r="J24" s="385">
        <f>VLOOKUP($B24,APU!$K$6:$P$1687,2,FALSE)</f>
        <v>165.5</v>
      </c>
      <c r="K24" s="386">
        <f t="shared" ref="K24" si="20">J24*F24</f>
        <v>4875.9609999999993</v>
      </c>
      <c r="L24" s="385">
        <f>VLOOKUP($B24,APU!$K$6:$P$1690,3,FALSE)</f>
        <v>54079.83</v>
      </c>
      <c r="M24" s="386">
        <f t="shared" ref="M24" si="21">L24*F24</f>
        <v>1593299.9514599999</v>
      </c>
      <c r="N24" s="385">
        <f>VLOOKUP($B24,APU!$K$6:$P$1680,4,FALSE)</f>
        <v>83415.63969375001</v>
      </c>
      <c r="O24" s="386">
        <f>N24*F24</f>
        <v>2457591.5766572626</v>
      </c>
      <c r="P24" s="385">
        <f>VLOOKUP($B24,APU!$K$6:$P$1680,5,FALSE)</f>
        <v>2575.23</v>
      </c>
      <c r="Q24" s="386">
        <f t="shared" ref="Q24" si="22">P24*F24</f>
        <v>75871.426259999993</v>
      </c>
      <c r="R24" s="387">
        <f t="shared" ref="R24" si="23">ROUND((Q24+O24+M24+K24),0)</f>
        <v>4131639</v>
      </c>
      <c r="S24" s="388"/>
      <c r="T24" s="1004">
        <f t="shared" ref="T24" si="24">+H24</f>
        <v>4131639</v>
      </c>
      <c r="U24" s="1003">
        <f t="shared" ref="U24" si="25">+T24-R24</f>
        <v>0</v>
      </c>
      <c r="V24" s="461">
        <f t="shared" ref="V24" si="26">ROUND((H24-T24),0)</f>
        <v>0</v>
      </c>
      <c r="W24" s="390" t="e">
        <f>ROUND((Q24+M24+K24+O24)*(#REF!+#REF!),0)</f>
        <v>#REF!</v>
      </c>
      <c r="X24" s="390" t="e">
        <f>ROUND((T24)*(#REF!+#REF!),0)</f>
        <v>#REF!</v>
      </c>
      <c r="Y24" s="383" t="e">
        <f t="shared" ref="Y24" si="27">+W24-X24</f>
        <v>#REF!</v>
      </c>
    </row>
    <row r="25" spans="2:26" ht="30" x14ac:dyDescent="0.25">
      <c r="B25" s="1072" t="s">
        <v>5104</v>
      </c>
      <c r="C25" s="491" t="s">
        <v>4629</v>
      </c>
      <c r="D25" s="397" t="str">
        <f>+VLOOKUP($B25,APU!$B$5:$J$1835,3,0)</f>
        <v>SUMINISTRO TRANSPORTE E INSTALACIÓN VIGA CINTA DE AMARRE CULATA DE 0,13 * 0,10 M EN CONCRETO DE 3000 PSI, INCLUYE ACERO DE REFUERZO</v>
      </c>
      <c r="E25" s="398" t="str">
        <f>+VLOOKUP($B25,APU!$B$5:$I$1835,4,0)</f>
        <v>M</v>
      </c>
      <c r="F25" s="399">
        <f>+ITEM5.2!G2</f>
        <v>7.3100000000000005</v>
      </c>
      <c r="G25" s="400">
        <f>+VLOOKUP($B25,APU!$B$5:$I$1835,6,0)</f>
        <v>181330.5220017969</v>
      </c>
      <c r="H25" s="954">
        <f t="shared" ref="H25:H27" si="28">ROUND((F25*G25),0)</f>
        <v>1325526</v>
      </c>
      <c r="J25" s="385">
        <f>VLOOKUP($B25,APU!$K$6:$P$1687,2,FALSE)</f>
        <v>73203.827999999994</v>
      </c>
      <c r="K25" s="386">
        <f>J25*F25</f>
        <v>535119.98268000002</v>
      </c>
      <c r="L25" s="385">
        <f>VLOOKUP($B25,APU!$K$6:$P$1690,3,FALSE)</f>
        <v>24755.388000000003</v>
      </c>
      <c r="M25" s="386">
        <f>L25*F25</f>
        <v>180961.88628000004</v>
      </c>
      <c r="N25" s="385">
        <f>VLOOKUP($B25,APU!$K$6:$P$1680,4,FALSE)</f>
        <v>82192.478001796873</v>
      </c>
      <c r="O25" s="386">
        <f>N25*F25</f>
        <v>600827.0141931352</v>
      </c>
      <c r="P25" s="385">
        <f>VLOOKUP($B25,APU!$K$6:$P$1680,5,FALSE)</f>
        <v>1178.8280000000002</v>
      </c>
      <c r="Q25" s="386">
        <f>P25*F25</f>
        <v>8617.2326800000028</v>
      </c>
      <c r="R25" s="387">
        <f t="shared" ref="R25:R27" si="29">ROUND((Q25+O25+M25+K25),0)</f>
        <v>1325526</v>
      </c>
      <c r="S25" s="388"/>
      <c r="T25" s="1004">
        <f t="shared" ref="T25:T27" si="30">+H25</f>
        <v>1325526</v>
      </c>
      <c r="U25" s="1003">
        <f t="shared" si="9"/>
        <v>0</v>
      </c>
      <c r="V25" s="461">
        <f t="shared" ref="V25:V27" si="31">ROUND((H25-T25),0)</f>
        <v>0</v>
      </c>
      <c r="W25" s="390" t="e">
        <f>ROUND((Q25+M25+K25+O25)*(#REF!+#REF!),0)</f>
        <v>#REF!</v>
      </c>
      <c r="X25" s="390" t="e">
        <f>ROUND((T25)*(#REF!+#REF!),0)</f>
        <v>#REF!</v>
      </c>
      <c r="Y25" s="383" t="e">
        <f t="shared" ref="Y25:Y27" si="32">+W25-X25</f>
        <v>#REF!</v>
      </c>
      <c r="Z25" s="374"/>
    </row>
    <row r="26" spans="2:26" ht="45" x14ac:dyDescent="0.25">
      <c r="B26" s="391" t="s">
        <v>5105</v>
      </c>
      <c r="C26" s="491" t="s">
        <v>4636</v>
      </c>
      <c r="D26" s="397" t="str">
        <f>+VLOOKUP($B26,APU!$B$5:$J$1835,3,0)</f>
        <v xml:space="preserve">  SUMINISTRO TRANSPORTE E INSTALACIÓN COLUMNETA DE CONFINAMIENTO PARA MURO  DE 0,13 * 0,20 M EN CONCRETO DE 3000 PSI, INCLUYE ACERO DE REFUERZO</v>
      </c>
      <c r="E26" s="398" t="str">
        <f>+VLOOKUP($B26,APU!$B$5:$I$1835,4,0)</f>
        <v>M</v>
      </c>
      <c r="F26" s="399">
        <f>+ITEM5.3!G2</f>
        <v>22.5</v>
      </c>
      <c r="G26" s="400">
        <f>+VLOOKUP($B26,APU!$B$5:$I$1835,6,0)</f>
        <v>204804.70561953122</v>
      </c>
      <c r="H26" s="954">
        <f t="shared" si="28"/>
        <v>4608106</v>
      </c>
      <c r="J26" s="385">
        <f>VLOOKUP($B26,APU!$K$6:$P$1687,2,FALSE)</f>
        <v>82828.131999999998</v>
      </c>
      <c r="K26" s="386">
        <f t="shared" ref="K26:K27" si="33">J26*F26</f>
        <v>1863632.97</v>
      </c>
      <c r="L26" s="385">
        <f>VLOOKUP($B26,APU!$K$6:$P$1690,3,FALSE)</f>
        <v>28291.871999999999</v>
      </c>
      <c r="M26" s="386">
        <f t="shared" ref="M26:M27" si="34">L26*F26</f>
        <v>636567.12</v>
      </c>
      <c r="N26" s="385">
        <f>VLOOKUP($B26,APU!$K$6:$P$1680,4,FALSE)</f>
        <v>92337.469619531243</v>
      </c>
      <c r="O26" s="386">
        <f t="shared" ref="O26" si="35">N26*F26</f>
        <v>2077593.066439453</v>
      </c>
      <c r="P26" s="385">
        <f>VLOOKUP($B26,APU!$K$6:$P$1680,5,FALSE)</f>
        <v>1347.232</v>
      </c>
      <c r="Q26" s="386">
        <f t="shared" ref="Q26:Q27" si="36">P26*F26</f>
        <v>30312.720000000001</v>
      </c>
      <c r="R26" s="387">
        <f t="shared" si="29"/>
        <v>4608106</v>
      </c>
      <c r="S26" s="388"/>
      <c r="T26" s="1004">
        <f t="shared" si="30"/>
        <v>4608106</v>
      </c>
      <c r="U26" s="1003">
        <f t="shared" si="9"/>
        <v>0</v>
      </c>
      <c r="V26" s="461">
        <f t="shared" si="31"/>
        <v>0</v>
      </c>
      <c r="W26" s="390" t="e">
        <f>ROUND((Q26+M26+K26+O26)*(#REF!+#REF!),0)</f>
        <v>#REF!</v>
      </c>
      <c r="X26" s="390" t="e">
        <f>ROUND((T26)*(#REF!+#REF!),0)</f>
        <v>#REF!</v>
      </c>
      <c r="Y26" s="383" t="e">
        <f t="shared" si="32"/>
        <v>#REF!</v>
      </c>
      <c r="Z26" s="374"/>
    </row>
    <row r="27" spans="2:26" ht="45" x14ac:dyDescent="0.25">
      <c r="B27" s="405" t="s">
        <v>5106</v>
      </c>
      <c r="C27" s="494" t="s">
        <v>4637</v>
      </c>
      <c r="D27" s="397" t="s">
        <v>4896</v>
      </c>
      <c r="E27" s="398" t="str">
        <f>+VLOOKUP($B27,APU!$B$5:$I$1835,4,0)</f>
        <v>M2</v>
      </c>
      <c r="F27" s="399">
        <f>+ITEM5.4!G2</f>
        <v>13.061999999999999</v>
      </c>
      <c r="G27" s="400">
        <f>+VLOOKUP($B27,APU!$B$5:$I$1835,6,0)</f>
        <v>122672</v>
      </c>
      <c r="H27" s="954">
        <f t="shared" si="28"/>
        <v>1602342</v>
      </c>
      <c r="I27" s="1208"/>
      <c r="J27" s="385">
        <f>VLOOKUP($B27,APU!$K$6:$P$1687,2,FALSE)</f>
        <v>53150</v>
      </c>
      <c r="K27" s="386">
        <f t="shared" si="33"/>
        <v>694245.29999999993</v>
      </c>
      <c r="L27" s="385">
        <f>VLOOKUP($B27,APU!$K$6:$P$1690,3,FALSE)</f>
        <v>5298.22</v>
      </c>
      <c r="M27" s="386">
        <f t="shared" si="34"/>
        <v>69205.34964</v>
      </c>
      <c r="N27" s="385">
        <f>VLOOKUP($B27,APU!$K$6:$P$1680,4,FALSE)</f>
        <v>64223.563999999998</v>
      </c>
      <c r="O27" s="386">
        <f>N27*F27+3</f>
        <v>838891.19296799996</v>
      </c>
      <c r="P27" s="385">
        <f>VLOOKUP($B27,APU!$K$6:$P$1680,5,FALSE)</f>
        <v>0</v>
      </c>
      <c r="Q27" s="386">
        <f t="shared" si="36"/>
        <v>0</v>
      </c>
      <c r="R27" s="387">
        <f t="shared" si="29"/>
        <v>1602342</v>
      </c>
      <c r="S27" s="388"/>
      <c r="T27" s="1004">
        <f t="shared" si="30"/>
        <v>1602342</v>
      </c>
      <c r="U27" s="1003">
        <f t="shared" si="9"/>
        <v>0</v>
      </c>
      <c r="V27" s="461">
        <f t="shared" si="31"/>
        <v>0</v>
      </c>
      <c r="W27" s="390" t="e">
        <f>ROUND((Q27+M27+K27+O27)*(#REF!+#REF!),0)</f>
        <v>#REF!</v>
      </c>
      <c r="X27" s="390" t="e">
        <f>ROUND((T27)*(#REF!+#REF!),0)</f>
        <v>#REF!</v>
      </c>
      <c r="Y27" s="383" t="e">
        <f t="shared" si="32"/>
        <v>#REF!</v>
      </c>
    </row>
    <row r="28" spans="2:26" ht="15.75" thickBot="1" x14ac:dyDescent="0.3">
      <c r="B28" s="405"/>
      <c r="C28" s="494"/>
      <c r="D28" s="355"/>
      <c r="E28" s="356"/>
      <c r="F28" s="357"/>
      <c r="G28" s="1153"/>
      <c r="H28" s="410"/>
      <c r="I28" s="1208"/>
      <c r="J28" s="290"/>
      <c r="U28" s="1003">
        <f t="shared" si="9"/>
        <v>0</v>
      </c>
      <c r="W28" s="286" t="e">
        <f>ROUND((Q28+M28+K28+O28)*(#REF!+#REF!),0)</f>
        <v>#REF!</v>
      </c>
      <c r="X28" s="286" t="e">
        <f>ROUND((T28)*(#REF!+#REF!),0)</f>
        <v>#REF!</v>
      </c>
    </row>
    <row r="29" spans="2:26" ht="18.75" thickBot="1" x14ac:dyDescent="0.3">
      <c r="B29" s="346" t="s">
        <v>4167</v>
      </c>
      <c r="C29" s="346" t="s">
        <v>4571</v>
      </c>
      <c r="D29" s="551" t="s">
        <v>2482</v>
      </c>
      <c r="E29" s="349"/>
      <c r="F29" s="443"/>
      <c r="G29" s="1152"/>
      <c r="H29" s="369">
        <f>ROUND(SUM(H30:H33),0)</f>
        <v>14778827</v>
      </c>
      <c r="I29" s="1207">
        <f>+H29*(1+G$116)</f>
        <v>19212475.100000001</v>
      </c>
      <c r="J29" s="375"/>
      <c r="K29" s="376">
        <f>ROUND(SUM(K30:K33),0)</f>
        <v>221619</v>
      </c>
      <c r="L29" s="377"/>
      <c r="M29" s="376">
        <f>ROUND(SUM(M30:M33),0)</f>
        <v>5956347</v>
      </c>
      <c r="N29" s="377"/>
      <c r="O29" s="376">
        <f>ROUND(SUM(O30:O33),0)</f>
        <v>7840155</v>
      </c>
      <c r="P29" s="377"/>
      <c r="Q29" s="376">
        <f>ROUND(SUM(Q30:Q33),0)</f>
        <v>760705</v>
      </c>
      <c r="R29" s="379">
        <f>ROUND((Q29+O29+M29+K29),0)</f>
        <v>14778826</v>
      </c>
      <c r="S29" s="380"/>
      <c r="T29" s="381">
        <f>ROUND(Q29+M29+K29+O29,0)</f>
        <v>14778826</v>
      </c>
      <c r="U29" s="1003">
        <f t="shared" si="9"/>
        <v>0</v>
      </c>
      <c r="V29" s="461">
        <f>ROUND((H29-T29),0)</f>
        <v>1</v>
      </c>
      <c r="W29" s="384" t="e">
        <f>ROUND((Q29+M29+K29+O29)*(#REF!+#REF!),0)</f>
        <v>#REF!</v>
      </c>
      <c r="X29" s="384" t="e">
        <f>ROUND((T29)*(#REF!+#REF!),0)</f>
        <v>#REF!</v>
      </c>
      <c r="Y29" s="383" t="e">
        <f>+W29-X29</f>
        <v>#REF!</v>
      </c>
      <c r="Z29" s="383">
        <f>ROUND(SUM(K29:Q29),0)</f>
        <v>14778826</v>
      </c>
    </row>
    <row r="30" spans="2:26" ht="30" x14ac:dyDescent="0.25">
      <c r="B30" s="405" t="s">
        <v>5109</v>
      </c>
      <c r="C30" s="494" t="s">
        <v>4638</v>
      </c>
      <c r="D30" s="406" t="s">
        <v>4492</v>
      </c>
      <c r="E30" s="398" t="str">
        <f>+VLOOKUP($B30,APU!$B$5:$I$1835,4,0)</f>
        <v>M²</v>
      </c>
      <c r="F30" s="399">
        <f>+ITEM6.1!G7</f>
        <v>94.451000000000008</v>
      </c>
      <c r="G30" s="400">
        <f>+VLOOKUP($B30,APU!$B$5:$I$1835,6,0)</f>
        <v>72566.977400000003</v>
      </c>
      <c r="H30" s="954">
        <f t="shared" ref="H30" si="37">ROUND((F30*G30),0)</f>
        <v>6854024</v>
      </c>
      <c r="J30" s="385">
        <f>VLOOKUP($B30,APU!$K$6:$P$1687,2,FALSE)</f>
        <v>1035.75</v>
      </c>
      <c r="K30" s="386">
        <f>J30*F30</f>
        <v>97827.623250000004</v>
      </c>
      <c r="L30" s="385">
        <f>VLOOKUP($B30,APU!$K$6:$P$1690,3,FALSE)</f>
        <v>24275.94</v>
      </c>
      <c r="M30" s="386">
        <f>L30*F30</f>
        <v>2292886.8089399999</v>
      </c>
      <c r="N30" s="385">
        <f>VLOOKUP($B30,APU!$K$6:$P$1680,4,FALSE)</f>
        <v>45028.2834</v>
      </c>
      <c r="O30" s="386">
        <f>N30*F30</f>
        <v>4252966.3954134006</v>
      </c>
      <c r="P30" s="385">
        <f>VLOOKUP($B30,APU!$K$6:$P$1680,5,FALSE)</f>
        <v>2227.0039999999999</v>
      </c>
      <c r="Q30" s="386">
        <f>P30*F30</f>
        <v>210342.754804</v>
      </c>
      <c r="R30" s="387">
        <f t="shared" ref="R30" si="38">ROUND((Q30+O30+M30+K30),0)</f>
        <v>6854024</v>
      </c>
      <c r="S30" s="388"/>
      <c r="T30" s="1004">
        <f t="shared" ref="T30" si="39">+H30</f>
        <v>6854024</v>
      </c>
      <c r="U30" s="1003">
        <f t="shared" ref="U30" si="40">+T30-R30</f>
        <v>0</v>
      </c>
      <c r="V30" s="461">
        <f t="shared" ref="V30" si="41">ROUND((H30-T30),0)</f>
        <v>0</v>
      </c>
      <c r="W30" s="390" t="e">
        <f>ROUND((Q30+M30+K30+O30)*(#REF!+#REF!),0)</f>
        <v>#REF!</v>
      </c>
      <c r="X30" s="390" t="e">
        <f>ROUND((T30)*(#REF!+#REF!),0)</f>
        <v>#REF!</v>
      </c>
      <c r="Y30" s="383" t="e">
        <f t="shared" ref="Y30" si="42">+W30-X30</f>
        <v>#REF!</v>
      </c>
      <c r="Z30" s="374"/>
    </row>
    <row r="31" spans="2:26" ht="30" x14ac:dyDescent="0.25">
      <c r="B31" s="405" t="s">
        <v>4426</v>
      </c>
      <c r="C31" s="494" t="s">
        <v>4639</v>
      </c>
      <c r="D31" s="406" t="str">
        <f>+VLOOKUP($B31,APU!$B$5:$J$1835,3,0)</f>
        <v>SUMINISTRO TRANPORTE E INSTALACIÓN REVOQUE CON MORTERO 1:3 IMPERMEABILIZADO INTEGRALMENTE, E=0,02 M</v>
      </c>
      <c r="E31" s="398" t="str">
        <f>+VLOOKUP($B31,APU!$B$5:$I$1835,4,0)</f>
        <v>M²</v>
      </c>
      <c r="F31" s="399">
        <f>+ITEM6.3!G7</f>
        <v>91.851000000000013</v>
      </c>
      <c r="G31" s="400">
        <f>+VLOOKUP($B31,APU!$B$5:$I$1835,6,0)</f>
        <v>32211.957523333327</v>
      </c>
      <c r="H31" s="954">
        <f t="shared" ref="H31:H33" si="43">ROUND((F31*G31),0)</f>
        <v>2958701</v>
      </c>
      <c r="J31" s="385">
        <f>VLOOKUP($B31,APU!$K$6:$P$1687,2,FALSE)</f>
        <v>1038.8666666666666</v>
      </c>
      <c r="K31" s="386">
        <f>J31*F31</f>
        <v>95420.942200000005</v>
      </c>
      <c r="L31" s="385">
        <f>VLOOKUP($B31,APU!$K$6:$P$1690,3,FALSE)</f>
        <v>21816.199999999997</v>
      </c>
      <c r="M31" s="386">
        <f>L31*F31</f>
        <v>2003839.7862</v>
      </c>
      <c r="N31" s="385">
        <f>VLOOKUP($B31,APU!$K$6:$P$1680,4,FALSE)</f>
        <v>8318.0241900000001</v>
      </c>
      <c r="O31" s="386">
        <f>N31*F31</f>
        <v>764018.83987569017</v>
      </c>
      <c r="P31" s="385">
        <f>VLOOKUP($B31,APU!$K$6:$P$1680,5,FALSE)</f>
        <v>1038.8666666666666</v>
      </c>
      <c r="Q31" s="386">
        <f>P31*F31</f>
        <v>95420.942200000005</v>
      </c>
      <c r="R31" s="387">
        <f t="shared" ref="R31:R33" si="44">ROUND((Q31+O31+M31+K31),0)</f>
        <v>2958701</v>
      </c>
      <c r="S31" s="388"/>
      <c r="T31" s="1004">
        <f t="shared" ref="T31:T33" si="45">+H31</f>
        <v>2958701</v>
      </c>
      <c r="U31" s="1003">
        <f t="shared" si="9"/>
        <v>0</v>
      </c>
      <c r="V31" s="461">
        <f t="shared" ref="V31:V33" si="46">ROUND((H31-T31),0)</f>
        <v>0</v>
      </c>
      <c r="W31" s="390" t="e">
        <f>ROUND((Q31+M31+K31+O31)*(#REF!+#REF!),0)</f>
        <v>#REF!</v>
      </c>
      <c r="X31" s="390" t="e">
        <f>ROUND((T31)*(#REF!+#REF!),0)</f>
        <v>#REF!</v>
      </c>
      <c r="Y31" s="383" t="e">
        <f t="shared" ref="Y31:Y33" si="47">+W31-X31</f>
        <v>#REF!</v>
      </c>
      <c r="Z31" s="374"/>
    </row>
    <row r="32" spans="2:26" ht="30" x14ac:dyDescent="0.25">
      <c r="B32" s="405" t="s">
        <v>4427</v>
      </c>
      <c r="C32" s="494" t="s">
        <v>4640</v>
      </c>
      <c r="D32" s="406" t="str">
        <f>+VLOOKUP($B32,APU!$B$5:$J$1835,3,0)</f>
        <v xml:space="preserve">RESANE CON MORTERO 1:3 PARA CONFORMACIÓN DE CARTERA PARA VANO DE VENTANA </v>
      </c>
      <c r="E32" s="398" t="str">
        <f>+VLOOKUP($B32,APU!$B$5:$I$1835,4,0)</f>
        <v>M2</v>
      </c>
      <c r="F32" s="399">
        <v>2.94</v>
      </c>
      <c r="G32" s="400">
        <f>+VLOOKUP($B32,APU!$B$5:$I$1835,6,0)</f>
        <v>58788</v>
      </c>
      <c r="H32" s="954">
        <f t="shared" si="43"/>
        <v>172837</v>
      </c>
      <c r="J32" s="385">
        <f>VLOOKUP($B32,APU!$K$6:$P$1687,2,FALSE)</f>
        <v>1012.5</v>
      </c>
      <c r="K32" s="386">
        <f t="shared" ref="K32:K33" si="48">J32*F32</f>
        <v>2976.75</v>
      </c>
      <c r="L32" s="385">
        <f>VLOOKUP($B32,APU!$K$6:$P$1690,3,FALSE)</f>
        <v>46749</v>
      </c>
      <c r="M32" s="386">
        <f t="shared" ref="M32" si="49">L32*F32</f>
        <v>137442.06</v>
      </c>
      <c r="N32" s="385">
        <f>VLOOKUP($B32,APU!$K$6:$P$1680,4,FALSE)</f>
        <v>11026.32</v>
      </c>
      <c r="O32" s="386">
        <f t="shared" ref="O32:O33" si="50">N32*F32</f>
        <v>32417.380799999999</v>
      </c>
      <c r="P32" s="385">
        <f>VLOOKUP($B32,APU!$K$6:$P$1680,5,FALSE)</f>
        <v>0</v>
      </c>
      <c r="Q32" s="386">
        <f t="shared" ref="Q32:Q33" si="51">P32*F32</f>
        <v>0</v>
      </c>
      <c r="R32" s="387">
        <f t="shared" si="44"/>
        <v>172836</v>
      </c>
      <c r="S32" s="388"/>
      <c r="T32" s="1004">
        <f t="shared" si="45"/>
        <v>172837</v>
      </c>
      <c r="U32" s="1003">
        <f t="shared" si="9"/>
        <v>1</v>
      </c>
      <c r="V32" s="461">
        <f t="shared" si="46"/>
        <v>0</v>
      </c>
      <c r="W32" s="390" t="e">
        <f>ROUND((Q32+M32+K32+O32)*(#REF!+#REF!),0)</f>
        <v>#REF!</v>
      </c>
      <c r="X32" s="390" t="e">
        <f>ROUND((T32)*(#REF!+#REF!),0)</f>
        <v>#REF!</v>
      </c>
      <c r="Y32" s="383" t="e">
        <f t="shared" si="47"/>
        <v>#REF!</v>
      </c>
      <c r="Z32" s="374"/>
    </row>
    <row r="33" spans="2:26" ht="45" x14ac:dyDescent="0.25">
      <c r="B33" s="405" t="s">
        <v>4474</v>
      </c>
      <c r="C33" s="494" t="s">
        <v>4641</v>
      </c>
      <c r="D33" s="406" t="str">
        <f>+VLOOKUP($B33,APU!$B$5:$J$1835,3,0)</f>
        <v>SUMINISTRO, TRANSPORTE E INSTALACIÓN A TODO COSTO DE MURO EN SUPERBOARD 6 MM ENCINTADO Y MACILLADO (DOS CARAS). INCLUYE PERFILERÍA Y TODO LO NECESARIO PARA SU CORRECTA INSTALACIÓN</v>
      </c>
      <c r="E33" s="398" t="str">
        <f>+VLOOKUP($B33,APU!$B$5:$I$1835,4,0)</f>
        <v>M2</v>
      </c>
      <c r="F33" s="399">
        <v>25.08</v>
      </c>
      <c r="G33" s="400">
        <f>+VLOOKUP($B33,APU!$B$5:$I$1835,6,0)</f>
        <v>191119</v>
      </c>
      <c r="H33" s="954">
        <f t="shared" si="43"/>
        <v>4793265</v>
      </c>
      <c r="I33" s="1208"/>
      <c r="J33" s="385">
        <f>VLOOKUP($B33,APU!$K$6:$P$1687,2,FALSE)</f>
        <v>1012.5</v>
      </c>
      <c r="K33" s="386">
        <f t="shared" si="48"/>
        <v>25393.5</v>
      </c>
      <c r="L33" s="385">
        <f>VLOOKUP($B33,APU!$K$6:$P$1690,3,FALSE)</f>
        <v>60692.950000000004</v>
      </c>
      <c r="M33" s="386">
        <f>L33*F33-1</f>
        <v>1522178.186</v>
      </c>
      <c r="N33" s="385">
        <f>VLOOKUP($B33,APU!$K$6:$P$1680,4,FALSE)</f>
        <v>111274</v>
      </c>
      <c r="O33" s="386">
        <f t="shared" si="50"/>
        <v>2790751.92</v>
      </c>
      <c r="P33" s="385">
        <f>VLOOKUP($B33,APU!$K$6:$P$1680,5,FALSE)</f>
        <v>18139.600000000002</v>
      </c>
      <c r="Q33" s="386">
        <f t="shared" si="51"/>
        <v>454941.16800000001</v>
      </c>
      <c r="R33" s="387">
        <f t="shared" si="44"/>
        <v>4793265</v>
      </c>
      <c r="S33" s="388"/>
      <c r="T33" s="1004">
        <f t="shared" si="45"/>
        <v>4793265</v>
      </c>
      <c r="U33" s="1003">
        <f t="shared" si="9"/>
        <v>0</v>
      </c>
      <c r="V33" s="461">
        <f t="shared" si="46"/>
        <v>0</v>
      </c>
      <c r="W33" s="390" t="e">
        <f>ROUND((Q33+M33+K33+O33)*(#REF!+#REF!),0)</f>
        <v>#REF!</v>
      </c>
      <c r="X33" s="390" t="e">
        <f>ROUND((T33)*(#REF!+#REF!),0)</f>
        <v>#REF!</v>
      </c>
      <c r="Y33" s="383" t="e">
        <f t="shared" si="47"/>
        <v>#REF!</v>
      </c>
    </row>
    <row r="34" spans="2:26" ht="15.75" thickBot="1" x14ac:dyDescent="0.3">
      <c r="B34" s="405"/>
      <c r="C34" s="492"/>
      <c r="D34" s="401"/>
      <c r="E34" s="398"/>
      <c r="F34" s="399"/>
      <c r="G34" s="400"/>
      <c r="H34" s="395"/>
      <c r="U34" s="1003">
        <f t="shared" si="9"/>
        <v>0</v>
      </c>
      <c r="W34" s="286" t="e">
        <f>ROUND((Q34+M34+K34+O34)*(#REF!+#REF!),0)</f>
        <v>#REF!</v>
      </c>
      <c r="X34" s="286" t="e">
        <f>ROUND((T34)*(#REF!+#REF!),0)</f>
        <v>#REF!</v>
      </c>
    </row>
    <row r="35" spans="2:26" ht="18.75" thickBot="1" x14ac:dyDescent="0.3">
      <c r="B35" s="346" t="s">
        <v>4168</v>
      </c>
      <c r="C35" s="346" t="s">
        <v>4572</v>
      </c>
      <c r="D35" s="352" t="s">
        <v>4418</v>
      </c>
      <c r="E35" s="349"/>
      <c r="F35" s="350"/>
      <c r="G35" s="1152"/>
      <c r="H35" s="369">
        <f>SUM(H36:H36)</f>
        <v>2473373</v>
      </c>
      <c r="I35" s="1207">
        <f>+H35*(1+G$116)</f>
        <v>3215384.9</v>
      </c>
      <c r="J35" s="375"/>
      <c r="K35" s="376">
        <f>SUM(K36)</f>
        <v>93498.000000000015</v>
      </c>
      <c r="L35" s="377"/>
      <c r="M35" s="376">
        <f>SUM(M36)</f>
        <v>1963458</v>
      </c>
      <c r="N35" s="377"/>
      <c r="O35" s="376">
        <f>SUM(O36)</f>
        <v>322919.2444275</v>
      </c>
      <c r="P35" s="377"/>
      <c r="Q35" s="376">
        <f>SUM(Q36)</f>
        <v>93498.000000000015</v>
      </c>
      <c r="R35" s="379">
        <f>ROUND((Q35+O35+M35+K35),0)</f>
        <v>2473373</v>
      </c>
      <c r="S35" s="380"/>
      <c r="T35" s="381">
        <f>ROUND(Q35+M35+K35+O35,0)</f>
        <v>2473373</v>
      </c>
      <c r="U35" s="1003">
        <f t="shared" si="9"/>
        <v>0</v>
      </c>
      <c r="V35" s="461">
        <f>ROUND((H35-T35),0)</f>
        <v>0</v>
      </c>
      <c r="W35" s="384" t="e">
        <f>ROUND((Q35+M35+K35+O35)*(#REF!+#REF!),0)</f>
        <v>#REF!</v>
      </c>
      <c r="X35" s="384" t="e">
        <f>ROUND((T35)*(#REF!+#REF!),0)</f>
        <v>#REF!</v>
      </c>
      <c r="Y35" s="383" t="e">
        <f>+W35-X35</f>
        <v>#REF!</v>
      </c>
      <c r="Z35" s="383">
        <f>ROUND(SUM(K35:Q35),0)</f>
        <v>2473373</v>
      </c>
    </row>
    <row r="36" spans="2:26" ht="18" x14ac:dyDescent="0.25">
      <c r="B36" s="358" t="s">
        <v>4430</v>
      </c>
      <c r="C36" s="495" t="s">
        <v>4642</v>
      </c>
      <c r="D36" s="404" t="str">
        <f>+VLOOKUP($B36,APU!$B$5:$J$1835,3,0)</f>
        <v>SUMINISTRO E INSTALACIÓN TUBERÍA PVC PRESIÓN 1/2" RDE 9.</v>
      </c>
      <c r="E36" s="398" t="str">
        <f>+VLOOKUP($B36,APU!$B$5:$I$1835,4,0)</f>
        <v>M</v>
      </c>
      <c r="F36" s="959">
        <f>+'ITEM 8,2'!G8</f>
        <v>30</v>
      </c>
      <c r="G36" s="400">
        <f>+VLOOKUP($B36,APU!$B$5:$I$1835,6,0)</f>
        <v>82445.77481425002</v>
      </c>
      <c r="H36" s="954">
        <f t="shared" ref="H36" si="52">ROUND((F36*G36),0)</f>
        <v>2473373</v>
      </c>
      <c r="J36" s="385">
        <f>VLOOKUP($B36,APU!$K$6:$P$1687,2,FALSE)</f>
        <v>3116.6000000000004</v>
      </c>
      <c r="K36" s="386">
        <f>J36*F36</f>
        <v>93498.000000000015</v>
      </c>
      <c r="L36" s="385">
        <f>VLOOKUP($B36,APU!$K$6:$P$1690,3,FALSE)</f>
        <v>65448.6</v>
      </c>
      <c r="M36" s="386">
        <f>L36*F36</f>
        <v>1963458</v>
      </c>
      <c r="N36" s="385">
        <f>VLOOKUP($B36,APU!$K$6:$P$1680,4,FALSE)</f>
        <v>10763.974814249999</v>
      </c>
      <c r="O36" s="386">
        <f>N36*F36</f>
        <v>322919.2444275</v>
      </c>
      <c r="P36" s="385">
        <f>VLOOKUP($B36,APU!$K$6:$P$1680,5,FALSE)</f>
        <v>3116.6000000000004</v>
      </c>
      <c r="Q36" s="386">
        <f>P36*F36</f>
        <v>93498.000000000015</v>
      </c>
      <c r="R36" s="387">
        <f t="shared" ref="R36" si="53">ROUND((Q36+O36+M36+K36),0)</f>
        <v>2473373</v>
      </c>
      <c r="S36" s="388"/>
      <c r="T36" s="1004">
        <f t="shared" ref="T36" si="54">+H36</f>
        <v>2473373</v>
      </c>
      <c r="U36" s="1003">
        <f t="shared" si="9"/>
        <v>0</v>
      </c>
      <c r="V36" s="461">
        <f t="shared" ref="V36" si="55">ROUND((H36-T36),0)</f>
        <v>0</v>
      </c>
      <c r="W36" s="390" t="e">
        <f>ROUND((Q36+M36+K36+O36)*(#REF!+#REF!),0)</f>
        <v>#REF!</v>
      </c>
      <c r="X36" s="390" t="e">
        <f>ROUND((T36)*(#REF!+#REF!),0)</f>
        <v>#REF!</v>
      </c>
      <c r="Y36" s="383" t="e">
        <f t="shared" ref="Y36" si="56">+W36-X36</f>
        <v>#REF!</v>
      </c>
      <c r="Z36" s="374"/>
    </row>
    <row r="37" spans="2:26" ht="18.75" thickBot="1" x14ac:dyDescent="0.3">
      <c r="B37" s="358"/>
      <c r="C37" s="358"/>
      <c r="D37" s="397"/>
      <c r="E37" s="398"/>
      <c r="F37" s="403"/>
      <c r="G37" s="400"/>
      <c r="H37" s="395"/>
      <c r="J37" s="464"/>
      <c r="K37" s="465"/>
      <c r="L37" s="464"/>
      <c r="M37" s="465"/>
      <c r="N37" s="464"/>
      <c r="O37" s="465"/>
      <c r="P37" s="464"/>
      <c r="Q37" s="465"/>
      <c r="R37" s="466"/>
      <c r="S37" s="467"/>
      <c r="T37" s="468"/>
      <c r="U37" s="1003">
        <f t="shared" si="9"/>
        <v>0</v>
      </c>
      <c r="V37" s="469"/>
      <c r="W37" s="470" t="e">
        <f>ROUND((Q37+M37+K37+O37)*(#REF!+#REF!),0)</f>
        <v>#REF!</v>
      </c>
      <c r="X37" s="470" t="e">
        <f>ROUND((T37)*(#REF!+#REF!),0)</f>
        <v>#REF!</v>
      </c>
      <c r="Y37" s="471"/>
      <c r="Z37" s="472"/>
    </row>
    <row r="38" spans="2:26" ht="18.75" thickBot="1" x14ac:dyDescent="0.3">
      <c r="B38" s="346" t="s">
        <v>4169</v>
      </c>
      <c r="C38" s="346" t="s">
        <v>4573</v>
      </c>
      <c r="D38" s="551" t="s">
        <v>2857</v>
      </c>
      <c r="E38" s="349"/>
      <c r="F38" s="443"/>
      <c r="G38" s="1152"/>
      <c r="H38" s="369">
        <f>SUM(H39:H42)</f>
        <v>11729171</v>
      </c>
      <c r="I38" s="1207">
        <f>+H38*(1+G$116)</f>
        <v>15247922.300000001</v>
      </c>
      <c r="J38" s="375"/>
      <c r="K38" s="376">
        <f>ROUND(SUM(K39:K42),0)</f>
        <v>77999</v>
      </c>
      <c r="L38" s="377"/>
      <c r="M38" s="376">
        <f>ROUND(SUM(M39:M42),0)</f>
        <v>1644157</v>
      </c>
      <c r="N38" s="377"/>
      <c r="O38" s="376">
        <f>ROUND(SUM(O39:O42),0)</f>
        <v>9929015</v>
      </c>
      <c r="P38" s="377"/>
      <c r="Q38" s="376">
        <f>SUM(Q39:Q42)</f>
        <v>77999.366666666683</v>
      </c>
      <c r="R38" s="379">
        <f>ROUND((Q38+O38+M38+K38),0)</f>
        <v>11729170</v>
      </c>
      <c r="S38" s="380"/>
      <c r="T38" s="381">
        <f>ROUND(Q38+M38+K38+O38,0)</f>
        <v>11729170</v>
      </c>
      <c r="U38" s="1003">
        <f t="shared" si="9"/>
        <v>0</v>
      </c>
      <c r="V38" s="461">
        <f>ROUND((H38-T38),0)</f>
        <v>1</v>
      </c>
      <c r="W38" s="384" t="e">
        <f>ROUND((Q38+M38+K38+O38)*(#REF!+#REF!),0)</f>
        <v>#REF!</v>
      </c>
      <c r="X38" s="384" t="e">
        <f>ROUND((T38)*(#REF!+#REF!),0)</f>
        <v>#REF!</v>
      </c>
      <c r="Y38" s="383" t="e">
        <f>+W38-X38</f>
        <v>#REF!</v>
      </c>
      <c r="Z38" s="383">
        <f>ROUND(SUM(K38:Q38),0)</f>
        <v>11729170</v>
      </c>
    </row>
    <row r="39" spans="2:26" ht="63" customHeight="1" x14ac:dyDescent="0.25">
      <c r="B39" s="358" t="s">
        <v>4444</v>
      </c>
      <c r="C39" s="495" t="s">
        <v>4643</v>
      </c>
      <c r="D39" s="406" t="str">
        <f>+VLOOKUP($B39,APU!$B$5:$J$1835,3,0)</f>
        <v xml:space="preserve">DILIGENCIAR CADA UNO DE LOS FORMATOS PARA LA CERTIFICACIÓN DE LA OBRA  POR EL ENTE CERTIFICADOR EN RETIE Y RETILAP, PRESESENTACIÓN DE LA  DOCUMENTACIÓN EXIGIDA Y PLANOS RECORDS Y TODOS LOS TRÁMITES Y CANCELACIÓN DEL SERVICIO DE CERTIFICACIÓN.
</v>
      </c>
      <c r="E39" s="398" t="str">
        <f>+VLOOKUP($B39,APU!$B$5:$I$1835,4,0)</f>
        <v>M2</v>
      </c>
      <c r="F39" s="874">
        <v>950</v>
      </c>
      <c r="G39" s="400">
        <f>+VLOOKUP($B39,APU!$B$5:$I$1835,6,0)</f>
        <v>5655</v>
      </c>
      <c r="H39" s="954">
        <f t="shared" ref="H39:H42" si="57">ROUND((F39*G39),0)</f>
        <v>5372250</v>
      </c>
      <c r="J39" s="385">
        <f>VLOOKUP($B39,APU!$K$6:$P$1687,2,FALSE)</f>
        <v>0</v>
      </c>
      <c r="K39" s="386">
        <f>J39*F39</f>
        <v>0</v>
      </c>
      <c r="L39" s="385">
        <f>VLOOKUP($B39,APU!$K$6:$P$1690,3,FALSE)</f>
        <v>0</v>
      </c>
      <c r="M39" s="386">
        <f>L39*F39</f>
        <v>0</v>
      </c>
      <c r="N39" s="385">
        <f>VLOOKUP($B39,APU!$K$6:$P$1680,4,FALSE)</f>
        <v>5655</v>
      </c>
      <c r="O39" s="386">
        <f>N39*F39</f>
        <v>5372250</v>
      </c>
      <c r="P39" s="385">
        <f>VLOOKUP($B39,APU!$K$6:$P$1680,5,FALSE)</f>
        <v>0</v>
      </c>
      <c r="Q39" s="386">
        <f>P39*F39</f>
        <v>0</v>
      </c>
      <c r="R39" s="387">
        <f t="shared" ref="R39:R42" si="58">ROUND((Q39+O39+M39+K39),0)</f>
        <v>5372250</v>
      </c>
      <c r="S39" s="388"/>
      <c r="T39" s="1004">
        <f t="shared" ref="T39:T42" si="59">+H39</f>
        <v>5372250</v>
      </c>
      <c r="U39" s="1003">
        <f t="shared" si="9"/>
        <v>0</v>
      </c>
      <c r="V39" s="461">
        <f t="shared" ref="V39" si="60">ROUND((H39-T39),0)</f>
        <v>0</v>
      </c>
      <c r="W39" s="390" t="e">
        <f>ROUND((Q39+M39+K39+O39)*(#REF!+#REF!),0)</f>
        <v>#REF!</v>
      </c>
      <c r="X39" s="390" t="e">
        <f>ROUND((T39)*(#REF!+#REF!),0)</f>
        <v>#REF!</v>
      </c>
      <c r="Y39" s="383" t="e">
        <f t="shared" ref="Y39" si="61">+W39-X39</f>
        <v>#REF!</v>
      </c>
      <c r="Z39" s="374"/>
    </row>
    <row r="40" spans="2:26" ht="45" x14ac:dyDescent="0.25">
      <c r="B40" s="358" t="s">
        <v>4452</v>
      </c>
      <c r="C40" s="495" t="s">
        <v>4644</v>
      </c>
      <c r="D40" s="406" t="str">
        <f>+VLOOKUP($B40,APU!$B$5:$J$1835,3,0)</f>
        <v xml:space="preserve">SUMINISTRO, TRANSPORTE E INSTALACION SALIDA TOMACORRIENTE GFCI DOBLE EN TUBERIA CONDUIT EMT 3/4", ALAMBRE No 12 AWG INCLUYE TAPA DE PROTECCIÓN INTEMPERIE Y CAJA DE PASO SENCILLA </v>
      </c>
      <c r="E40" s="398" t="str">
        <f>+VLOOKUP($B40,APU!$B$5:$I$1835,4,0)</f>
        <v>UN</v>
      </c>
      <c r="F40" s="874">
        <v>10</v>
      </c>
      <c r="G40" s="400">
        <f>+VLOOKUP($B40,APU!$B$5:$I$1835,6,0)</f>
        <v>215170.79249999998</v>
      </c>
      <c r="H40" s="954">
        <f t="shared" si="57"/>
        <v>2151708</v>
      </c>
      <c r="J40" s="385">
        <f>VLOOKUP($B40,APU!$K$6:$P$1687,2,FALSE)</f>
        <v>1967.6475000000003</v>
      </c>
      <c r="K40" s="386">
        <f>J40*F40</f>
        <v>19676.475000000002</v>
      </c>
      <c r="L40" s="385">
        <f>VLOOKUP($B40,APU!$K$6:$P$1690,3,FALSE)</f>
        <v>41937.647499999999</v>
      </c>
      <c r="M40" s="386">
        <f>L40*F40</f>
        <v>419376.47499999998</v>
      </c>
      <c r="N40" s="385">
        <f>VLOOKUP($B40,APU!$K$6:$P$1680,4,FALSE)</f>
        <v>169297.85</v>
      </c>
      <c r="O40" s="386">
        <f>N40*F40</f>
        <v>1692978.5</v>
      </c>
      <c r="P40" s="385">
        <f>VLOOKUP($B40,APU!$K$6:$P$1680,5,FALSE)</f>
        <v>1967.6475000000003</v>
      </c>
      <c r="Q40" s="386">
        <f>P40*F40</f>
        <v>19676.475000000002</v>
      </c>
      <c r="R40" s="387">
        <f t="shared" si="58"/>
        <v>2151708</v>
      </c>
      <c r="S40" s="388"/>
      <c r="T40" s="1004">
        <f t="shared" si="59"/>
        <v>2151708</v>
      </c>
      <c r="U40" s="1003">
        <f t="shared" si="9"/>
        <v>0</v>
      </c>
      <c r="V40" s="461">
        <f t="shared" ref="V40:V42" si="62">ROUND((H40-T40),0)</f>
        <v>0</v>
      </c>
      <c r="W40" s="390" t="e">
        <f>ROUND((Q40+M40+K40+O40)*(#REF!+#REF!),0)</f>
        <v>#REF!</v>
      </c>
      <c r="X40" s="390" t="e">
        <f>ROUND((T40)*(#REF!+#REF!),0)</f>
        <v>#REF!</v>
      </c>
      <c r="Y40" s="383" t="e">
        <f t="shared" ref="Y40:Y42" si="63">+W40-X40</f>
        <v>#REF!</v>
      </c>
      <c r="Z40" s="374"/>
    </row>
    <row r="41" spans="2:26" ht="30" x14ac:dyDescent="0.25">
      <c r="B41" s="358" t="s">
        <v>5110</v>
      </c>
      <c r="C41" s="495" t="s">
        <v>4645</v>
      </c>
      <c r="D41" s="406" t="str">
        <f>+VLOOKUP($B41,APU!$B$5:$J$1835,3,0)</f>
        <v xml:space="preserve">SUMINISTRO E INSTALACIÓN SALIDA PUNTO ELÉCTRICO PARA LUMINARIA, INCLUYE LAMPARA HERMETICA </v>
      </c>
      <c r="E41" s="398" t="str">
        <f>+VLOOKUP($B41,APU!$B$5:$I$1835,4,0)</f>
        <v>UN</v>
      </c>
      <c r="F41" s="961">
        <v>13</v>
      </c>
      <c r="G41" s="400">
        <f>+VLOOKUP($B41,APU!$B$5:$I$1835,6,0)</f>
        <v>313477</v>
      </c>
      <c r="H41" s="954">
        <f t="shared" si="57"/>
        <v>4075201</v>
      </c>
      <c r="J41" s="385">
        <f>VLOOKUP($B41,APU!$K$6:$P$1687,2,FALSE)</f>
        <v>4163.541666666667</v>
      </c>
      <c r="K41" s="386">
        <f t="shared" ref="K41:K42" si="64">J41*F41</f>
        <v>54126.041666666672</v>
      </c>
      <c r="L41" s="385">
        <f>VLOOKUP($B41,APU!$K$6:$P$1690,3,FALSE)</f>
        <v>87434.375000000015</v>
      </c>
      <c r="M41" s="386">
        <f t="shared" ref="M41:M42" si="65">L41*F41</f>
        <v>1136646.8750000002</v>
      </c>
      <c r="N41" s="385">
        <f>VLOOKUP($B41,APU!$K$6:$P$1680,4,FALSE)</f>
        <v>217715.05000000002</v>
      </c>
      <c r="O41" s="386">
        <f>N41*F41+6</f>
        <v>2830301.6500000004</v>
      </c>
      <c r="P41" s="385">
        <f>VLOOKUP($B41,APU!$K$6:$P$1680,5,FALSE)</f>
        <v>4163.541666666667</v>
      </c>
      <c r="Q41" s="386">
        <f t="shared" ref="Q41:Q42" si="66">P41*F41</f>
        <v>54126.041666666672</v>
      </c>
      <c r="R41" s="387">
        <f t="shared" si="58"/>
        <v>4075201</v>
      </c>
      <c r="S41" s="388"/>
      <c r="T41" s="1004">
        <f t="shared" si="59"/>
        <v>4075201</v>
      </c>
      <c r="U41" s="1003">
        <f t="shared" si="9"/>
        <v>0</v>
      </c>
      <c r="V41" s="461">
        <f t="shared" si="62"/>
        <v>0</v>
      </c>
      <c r="W41" s="390" t="e">
        <f>ROUND((Q41+M41+K41+O41)*(#REF!+#REF!),0)</f>
        <v>#REF!</v>
      </c>
      <c r="X41" s="390" t="e">
        <f>ROUND((T41)*(#REF!+#REF!),0)</f>
        <v>#REF!</v>
      </c>
      <c r="Y41" s="383" t="e">
        <f t="shared" si="63"/>
        <v>#REF!</v>
      </c>
      <c r="Z41" s="374"/>
    </row>
    <row r="42" spans="2:26" ht="30" x14ac:dyDescent="0.25">
      <c r="B42" s="358" t="s">
        <v>5111</v>
      </c>
      <c r="C42" s="495" t="s">
        <v>4646</v>
      </c>
      <c r="D42" s="411" t="str">
        <f>+VLOOKUP($B42,APU!$B$5:$J$1835,3,0)</f>
        <v>SUMINISTRO E INSTALACIÓN SALIDA PUNTO ELÉCTRICO PARA INTERRUPTOR SENCILLO (INCLUYE INTERRUPTOR)</v>
      </c>
      <c r="E42" s="398" t="str">
        <f>+VLOOKUP($B42,APU!$B$5:$I$1835,4,0)</f>
        <v>UN</v>
      </c>
      <c r="F42" s="874">
        <v>1</v>
      </c>
      <c r="G42" s="400">
        <f>+VLOOKUP($B42,APU!$B$5:$I$1835,6,0)</f>
        <v>130012</v>
      </c>
      <c r="H42" s="954">
        <f t="shared" si="57"/>
        <v>130012</v>
      </c>
      <c r="J42" s="385">
        <f>VLOOKUP($B42,APU!$K$6:$P$1687,2,FALSE)</f>
        <v>4196.8500000000004</v>
      </c>
      <c r="K42" s="386">
        <f t="shared" si="64"/>
        <v>4196.8500000000004</v>
      </c>
      <c r="L42" s="385">
        <f>VLOOKUP($B42,APU!$K$6:$P$1690,3,FALSE)</f>
        <v>88133.85</v>
      </c>
      <c r="M42" s="386">
        <f t="shared" si="65"/>
        <v>88133.85</v>
      </c>
      <c r="N42" s="385">
        <f>VLOOKUP($B42,APU!$K$6:$P$1680,4,FALSE)</f>
        <v>33484.65</v>
      </c>
      <c r="O42" s="386">
        <f>N42*F42</f>
        <v>33484.65</v>
      </c>
      <c r="P42" s="385">
        <f>VLOOKUP($B42,APU!$K$6:$P$1680,5,FALSE)</f>
        <v>4196.8500000000004</v>
      </c>
      <c r="Q42" s="386">
        <f t="shared" si="66"/>
        <v>4196.8500000000004</v>
      </c>
      <c r="R42" s="387">
        <f t="shared" si="58"/>
        <v>130012</v>
      </c>
      <c r="S42" s="388"/>
      <c r="T42" s="1004">
        <f t="shared" si="59"/>
        <v>130012</v>
      </c>
      <c r="U42" s="1003">
        <f t="shared" si="9"/>
        <v>0</v>
      </c>
      <c r="V42" s="461">
        <f t="shared" si="62"/>
        <v>0</v>
      </c>
      <c r="W42" s="390" t="e">
        <f>ROUND((Q42+M42+K42+O42)*(#REF!+#REF!),0)</f>
        <v>#REF!</v>
      </c>
      <c r="X42" s="390" t="e">
        <f>ROUND((T42)*(#REF!+#REF!),0)</f>
        <v>#REF!</v>
      </c>
      <c r="Y42" s="383" t="e">
        <f t="shared" si="63"/>
        <v>#REF!</v>
      </c>
    </row>
    <row r="43" spans="2:26" ht="15.75" thickBot="1" x14ac:dyDescent="0.3">
      <c r="B43" s="405"/>
      <c r="C43" s="405"/>
      <c r="D43" s="397"/>
      <c r="E43" s="398"/>
      <c r="F43" s="403"/>
      <c r="G43" s="400"/>
      <c r="H43" s="400"/>
      <c r="U43" s="1003">
        <f t="shared" si="9"/>
        <v>0</v>
      </c>
      <c r="W43" s="286" t="e">
        <f>ROUND((Q43+M43+K43+O43)*(#REF!+#REF!),0)</f>
        <v>#REF!</v>
      </c>
      <c r="X43" s="286" t="e">
        <f>ROUND((T43)*(#REF!+#REF!),0)</f>
        <v>#REF!</v>
      </c>
    </row>
    <row r="44" spans="2:26" ht="18.75" thickBot="1" x14ac:dyDescent="0.3">
      <c r="B44" s="351" t="s">
        <v>4170</v>
      </c>
      <c r="C44" s="493" t="s">
        <v>4574</v>
      </c>
      <c r="D44" s="552" t="s">
        <v>4428</v>
      </c>
      <c r="E44" s="349"/>
      <c r="F44" s="350"/>
      <c r="G44" s="1152"/>
      <c r="H44" s="369">
        <f>SUM(H45:H46)</f>
        <v>4542657</v>
      </c>
      <c r="I44" s="1207">
        <f>+H44*(1+G$116)</f>
        <v>5905454.1000000006</v>
      </c>
      <c r="J44" s="375"/>
      <c r="K44" s="376">
        <f>SUM(K45:K47)</f>
        <v>290415.01016000001</v>
      </c>
      <c r="L44" s="377"/>
      <c r="M44" s="376">
        <f>SUM(M45:M47)</f>
        <v>1974720.5465600002</v>
      </c>
      <c r="N44" s="377"/>
      <c r="O44" s="376">
        <f>SUM(O45:O47)</f>
        <v>2183104.5405940008</v>
      </c>
      <c r="P44" s="377"/>
      <c r="Q44" s="376">
        <f>SUM(Q45:Q47)</f>
        <v>94417.338000000003</v>
      </c>
      <c r="R44" s="379">
        <f>ROUND((Q44+O44+M44+K44),0)</f>
        <v>4542657</v>
      </c>
      <c r="S44" s="380"/>
      <c r="T44" s="381">
        <f>ROUND(Q44+M44+K44+O44,0)</f>
        <v>4542657</v>
      </c>
      <c r="U44" s="1003">
        <f t="shared" si="9"/>
        <v>0</v>
      </c>
      <c r="V44" s="461">
        <f>ROUND((H44-T44),0)</f>
        <v>0</v>
      </c>
      <c r="W44" s="384" t="e">
        <f>ROUND((Q44+M44+K44+O44)*(#REF!+#REF!),0)</f>
        <v>#REF!</v>
      </c>
      <c r="X44" s="384" t="e">
        <f>ROUND((T44)*(#REF!+#REF!),0)</f>
        <v>#REF!</v>
      </c>
      <c r="Y44" s="383" t="e">
        <f>+W44-X44</f>
        <v>#REF!</v>
      </c>
      <c r="Z44" s="383">
        <f>ROUND(SUM(K44:Q44),0)</f>
        <v>4542657</v>
      </c>
    </row>
    <row r="45" spans="2:26" ht="30" x14ac:dyDescent="0.25">
      <c r="B45" s="391" t="s">
        <v>4449</v>
      </c>
      <c r="C45" s="491" t="s">
        <v>4647</v>
      </c>
      <c r="D45" s="406" t="str">
        <f>+VLOOKUP($B45,APU!$B$5:$J$1835,3,0)</f>
        <v xml:space="preserve">SUMINISTRO TRANSPORTE E INSTALACIÓN DE PÍNTURA TIPO KORAZA 3 MANOS   Y ESTUCO MUROS EXTERIORES  </v>
      </c>
      <c r="E45" s="398" t="str">
        <f>+VLOOKUP($B45,APU!$B$5:$I$1835,4,0)</f>
        <v>M²</v>
      </c>
      <c r="F45" s="874">
        <f>+'ITEM 10,01'!G8</f>
        <v>128.96</v>
      </c>
      <c r="G45" s="400">
        <f>+VLOOKUP($B45,APU!$B$5:$I$1835,6,0)</f>
        <v>32029.644749999996</v>
      </c>
      <c r="H45" s="954">
        <f t="shared" ref="H45:H46" si="67">ROUND((F45*G45),0)</f>
        <v>4130543</v>
      </c>
      <c r="J45" s="385">
        <f>VLOOKUP($B45,APU!$K$6:$P$1687,2,FALSE)</f>
        <v>1711.20525</v>
      </c>
      <c r="K45" s="386">
        <f>J45*F45</f>
        <v>220677.02904000002</v>
      </c>
      <c r="L45" s="385">
        <f>VLOOKUP($B45,APU!$K$6:$P$1690,3,FALSE)</f>
        <v>12917.75625</v>
      </c>
      <c r="M45" s="386">
        <f>L45*F45</f>
        <v>1665873.8460000001</v>
      </c>
      <c r="N45" s="385">
        <f>VLOOKUP($B45,APU!$K$6:$P$1680,4,FALSE)</f>
        <v>16785.552000000003</v>
      </c>
      <c r="O45" s="386">
        <f>N45*F45</f>
        <v>2164664.7859200006</v>
      </c>
      <c r="P45" s="385">
        <f>VLOOKUP($B45,APU!$K$6:$P$1680,5,FALSE)</f>
        <v>615.13125000000002</v>
      </c>
      <c r="Q45" s="386">
        <f>P45*F45</f>
        <v>79327.326000000001</v>
      </c>
      <c r="R45" s="387">
        <f t="shared" ref="R45" si="68">ROUND((Q45+O45+M45+K45),0)</f>
        <v>4130543</v>
      </c>
      <c r="S45" s="388"/>
      <c r="T45" s="1004">
        <f t="shared" ref="T45:T46" si="69">+H45</f>
        <v>4130543</v>
      </c>
      <c r="U45" s="1003">
        <f t="shared" si="9"/>
        <v>0</v>
      </c>
      <c r="V45" s="461">
        <f t="shared" ref="V45:V46" si="70">ROUND((H45-T45),0)</f>
        <v>0</v>
      </c>
      <c r="W45" s="390" t="e">
        <f>ROUND((Q45+M45+K45+O45)*(#REF!+#REF!),0)</f>
        <v>#REF!</v>
      </c>
      <c r="X45" s="390" t="e">
        <f>ROUND((T45)*(#REF!+#REF!),0)</f>
        <v>#REF!</v>
      </c>
      <c r="Y45" s="383" t="e">
        <f t="shared" ref="Y45:Y46" si="71">+W45-X45</f>
        <v>#REF!</v>
      </c>
      <c r="Z45" s="374"/>
    </row>
    <row r="46" spans="2:26" ht="28.5" customHeight="1" x14ac:dyDescent="0.25">
      <c r="B46" s="391" t="s">
        <v>4448</v>
      </c>
      <c r="C46" s="491" t="s">
        <v>4648</v>
      </c>
      <c r="D46" s="406" t="s">
        <v>4477</v>
      </c>
      <c r="E46" s="398" t="str">
        <f>+VLOOKUP($B46,APU!$B$5:$I$1835,4,0)</f>
        <v>ML</v>
      </c>
      <c r="F46" s="874">
        <f>+'ITEM 10,02'!G8</f>
        <v>18.64</v>
      </c>
      <c r="G46" s="400">
        <f>+VLOOKUP($B46,APU!$B$5:$I$1835,6,0)</f>
        <v>22109.144225</v>
      </c>
      <c r="H46" s="954">
        <f t="shared" si="67"/>
        <v>412114</v>
      </c>
      <c r="I46" s="1208"/>
      <c r="J46" s="385">
        <f>VLOOKUP($B46,APU!$K$6:$P$1687,2,FALSE)</f>
        <v>3741.308</v>
      </c>
      <c r="K46" s="386">
        <f t="shared" ref="K46" si="72">J46*F46</f>
        <v>69737.981119999997</v>
      </c>
      <c r="L46" s="385">
        <f>VLOOKUP($B46,APU!$K$6:$P$1690,3,FALSE)</f>
        <v>16569.028999999999</v>
      </c>
      <c r="M46" s="386">
        <f>L46*F46</f>
        <v>308846.70055999997</v>
      </c>
      <c r="N46" s="385">
        <f>VLOOKUP($B46,APU!$K$6:$P$1680,4,FALSE)</f>
        <v>989.25722499999995</v>
      </c>
      <c r="O46" s="386">
        <f t="shared" ref="O46" si="73">N46*F46</f>
        <v>18439.754674</v>
      </c>
      <c r="P46" s="385">
        <f>VLOOKUP($B46,APU!$K$6:$P$1680,5,FALSE)</f>
        <v>809.55000000000007</v>
      </c>
      <c r="Q46" s="386">
        <f t="shared" ref="Q46" si="74">P46*F46</f>
        <v>15090.012000000002</v>
      </c>
      <c r="R46" s="387">
        <f>(Q46+O46+M46+K46)</f>
        <v>412114.44835399999</v>
      </c>
      <c r="S46" s="388"/>
      <c r="T46" s="1004">
        <f t="shared" si="69"/>
        <v>412114</v>
      </c>
      <c r="U46" s="1003">
        <f t="shared" si="9"/>
        <v>-0.44835399999283254</v>
      </c>
      <c r="V46" s="461">
        <f t="shared" si="70"/>
        <v>0</v>
      </c>
      <c r="W46" s="390" t="e">
        <f>ROUND((Q46+M46+K46+O46)*(#REF!+#REF!),0)</f>
        <v>#REF!</v>
      </c>
      <c r="X46" s="390" t="e">
        <f>ROUND((T46)*(#REF!+#REF!),0)</f>
        <v>#REF!</v>
      </c>
      <c r="Y46" s="383" t="e">
        <f t="shared" si="71"/>
        <v>#REF!</v>
      </c>
      <c r="Z46" s="374"/>
    </row>
    <row r="47" spans="2:26" ht="15.75" thickBot="1" x14ac:dyDescent="0.3">
      <c r="B47" s="391"/>
      <c r="C47" s="396"/>
      <c r="D47" s="397"/>
      <c r="E47" s="398"/>
      <c r="F47" s="399"/>
      <c r="G47" s="400"/>
      <c r="H47" s="395"/>
      <c r="U47" s="1003">
        <f t="shared" si="9"/>
        <v>0</v>
      </c>
      <c r="W47" s="286" t="e">
        <f>ROUND((Q47+M47+K47+O47)*(#REF!+#REF!),0)</f>
        <v>#REF!</v>
      </c>
      <c r="X47" s="286" t="e">
        <f>ROUND((T47)*(#REF!+#REF!),0)</f>
        <v>#REF!</v>
      </c>
    </row>
    <row r="48" spans="2:26" ht="18.75" thickBot="1" x14ac:dyDescent="0.3">
      <c r="B48" s="346" t="s">
        <v>4565</v>
      </c>
      <c r="C48" s="346" t="s">
        <v>4575</v>
      </c>
      <c r="D48" s="352" t="s">
        <v>4417</v>
      </c>
      <c r="E48" s="349"/>
      <c r="F48" s="350"/>
      <c r="G48" s="1152"/>
      <c r="H48" s="441">
        <f>SUM(H49:H50)</f>
        <v>2566376</v>
      </c>
      <c r="I48" s="1207">
        <f>+H48*(1+G$116)</f>
        <v>3336288.8000000003</v>
      </c>
      <c r="J48" s="375"/>
      <c r="K48" s="376">
        <f>SUM(K49:K50)</f>
        <v>109716.50408</v>
      </c>
      <c r="L48" s="377"/>
      <c r="M48" s="376">
        <f>SUM(M49:M50)</f>
        <v>1130603.3872</v>
      </c>
      <c r="N48" s="377"/>
      <c r="O48" s="376">
        <f>ROUND(SUM(O49:O50),0)</f>
        <v>1286986</v>
      </c>
      <c r="P48" s="377"/>
      <c r="Q48" s="376">
        <f>ROUND(SUM(Q49:Q50),0)</f>
        <v>39070</v>
      </c>
      <c r="R48" s="379">
        <f>ROUND((Q48+O48+M48+K48),0)</f>
        <v>2566376</v>
      </c>
      <c r="S48" s="380"/>
      <c r="T48" s="381">
        <f>ROUND(Q48+M48+K48+O48,0)</f>
        <v>2566376</v>
      </c>
      <c r="U48" s="1003">
        <f t="shared" si="9"/>
        <v>0</v>
      </c>
      <c r="V48" s="461">
        <f>ROUND((H48-T48),0)</f>
        <v>0</v>
      </c>
      <c r="W48" s="384" t="e">
        <f>ROUND((Q48+M48+K48+O48)*(#REF!+#REF!),0)</f>
        <v>#REF!</v>
      </c>
      <c r="X48" s="384" t="e">
        <f>ROUND((T48)*(#REF!+#REF!),0)</f>
        <v>#REF!</v>
      </c>
      <c r="Y48" s="383" t="e">
        <f>+W48-X48</f>
        <v>#REF!</v>
      </c>
      <c r="Z48" s="383">
        <f>ROUND(SUM(K48:Q48),0)</f>
        <v>2566376</v>
      </c>
    </row>
    <row r="49" spans="2:26" ht="30" x14ac:dyDescent="0.25">
      <c r="B49" s="391" t="s">
        <v>4446</v>
      </c>
      <c r="C49" s="491" t="s">
        <v>4649</v>
      </c>
      <c r="D49" s="404" t="str">
        <f>+VLOOKUP($B49,APU!$B$5:$J$1835,3,0)</f>
        <v xml:space="preserve">SUMINISTRO, TRANSPORTE E INSTALACION CUBIERTA EN TEJA DE F.C PERFIL 7, INCLUYE PERFIL PARA ESTRUCTURA DE LA MISMA </v>
      </c>
      <c r="E49" s="398" t="str">
        <f>+VLOOKUP($B49,APU!$B$5:$I$1835,4,0)</f>
        <v>M²</v>
      </c>
      <c r="F49" s="874">
        <f>+'ITEM 11,1'!G8</f>
        <v>18.559999999999999</v>
      </c>
      <c r="G49" s="400">
        <f>+VLOOKUP($B49,APU!$B$5:$I$1835,6,0)</f>
        <v>105070.68382400002</v>
      </c>
      <c r="H49" s="954">
        <f t="shared" ref="H49:H50" si="75">ROUND((F49*G49),0)</f>
        <v>1950112</v>
      </c>
      <c r="J49" s="385">
        <f>VLOOKUP($B49,APU!$K$6:$P$1687,2,FALSE)</f>
        <v>3972.643</v>
      </c>
      <c r="K49" s="386">
        <f>J49*F49</f>
        <v>73732.254079999999</v>
      </c>
      <c r="L49" s="385">
        <f>VLOOKUP($B49,APU!$K$6:$P$1690,3,FALSE)</f>
        <v>44206.05</v>
      </c>
      <c r="M49" s="386">
        <f>L49*F49</f>
        <v>820464.28799999994</v>
      </c>
      <c r="N49" s="385">
        <f>VLOOKUP($B49,APU!$K$6:$P$1680,4,FALSE)</f>
        <v>54786.940824000012</v>
      </c>
      <c r="O49" s="386">
        <f>N49*F49</f>
        <v>1016845.6216934401</v>
      </c>
      <c r="P49" s="385">
        <f>VLOOKUP($B49,APU!$K$6:$P$1680,5,FALSE)</f>
        <v>2105.0500000000002</v>
      </c>
      <c r="Q49" s="386">
        <f>P49*F49</f>
        <v>39069.728000000003</v>
      </c>
      <c r="R49" s="387">
        <f t="shared" ref="R49:R50" si="76">ROUND((Q49+O49+M49+K49),0)</f>
        <v>1950112</v>
      </c>
      <c r="S49" s="388"/>
      <c r="T49" s="1004">
        <f t="shared" ref="T49:T50" si="77">+H49</f>
        <v>1950112</v>
      </c>
      <c r="U49" s="1003">
        <f t="shared" si="9"/>
        <v>0</v>
      </c>
      <c r="V49" s="461">
        <f t="shared" ref="V49:V50" si="78">ROUND((H49-T49),0)</f>
        <v>0</v>
      </c>
      <c r="W49" s="390" t="e">
        <f>ROUND((Q49+M49+K49+O49)*(#REF!+#REF!),0)</f>
        <v>#REF!</v>
      </c>
      <c r="X49" s="390" t="e">
        <f>ROUND((T49)*(#REF!+#REF!),0)</f>
        <v>#REF!</v>
      </c>
      <c r="Y49" s="383" t="e">
        <f t="shared" ref="Y49:Y50" si="79">+W49-X49</f>
        <v>#REF!</v>
      </c>
      <c r="Z49" s="374"/>
    </row>
    <row r="50" spans="2:26" ht="30" x14ac:dyDescent="0.25">
      <c r="B50" s="391" t="s">
        <v>4445</v>
      </c>
      <c r="C50" s="491" t="s">
        <v>4650</v>
      </c>
      <c r="D50" s="355" t="s">
        <v>4913</v>
      </c>
      <c r="E50" s="398" t="str">
        <f>+VLOOKUP($B50,APU!$B$5:$I$1835,4,0)</f>
        <v>M2</v>
      </c>
      <c r="F50" s="874">
        <f>+'ITEM 11,5'!G8</f>
        <v>17.77</v>
      </c>
      <c r="G50" s="400">
        <f>+VLOOKUP($B50,APU!$B$5:$I$1835,6,0)</f>
        <v>34680</v>
      </c>
      <c r="H50" s="954">
        <f t="shared" si="75"/>
        <v>616264</v>
      </c>
      <c r="J50" s="385">
        <f>VLOOKUP($B50,APU!$K$6:$P$1687,2,FALSE)</f>
        <v>2025</v>
      </c>
      <c r="K50" s="386">
        <f t="shared" ref="K50" si="80">J50*F50</f>
        <v>35984.25</v>
      </c>
      <c r="L50" s="385">
        <f>VLOOKUP($B50,APU!$K$6:$P$1690,3,FALSE)</f>
        <v>17452.960000000003</v>
      </c>
      <c r="M50" s="386">
        <f t="shared" ref="M50" si="81">L50*F50</f>
        <v>310139.09920000006</v>
      </c>
      <c r="N50" s="385">
        <f>VLOOKUP($B50,APU!$K$6:$P$1680,4,FALSE)</f>
        <v>15202.41</v>
      </c>
      <c r="O50" s="386">
        <f>N50*F50-6</f>
        <v>270140.82569999999</v>
      </c>
      <c r="P50" s="385">
        <f>VLOOKUP($B50,APU!$K$6:$P$1680,5,FALSE)</f>
        <v>0</v>
      </c>
      <c r="Q50" s="386">
        <f t="shared" ref="Q50" si="82">P50*F50</f>
        <v>0</v>
      </c>
      <c r="R50" s="387">
        <f t="shared" si="76"/>
        <v>616264</v>
      </c>
      <c r="S50" s="388"/>
      <c r="T50" s="1004">
        <f t="shared" si="77"/>
        <v>616264</v>
      </c>
      <c r="U50" s="1003">
        <f t="shared" si="9"/>
        <v>0</v>
      </c>
      <c r="V50" s="461">
        <f t="shared" si="78"/>
        <v>0</v>
      </c>
      <c r="W50" s="390" t="e">
        <f>ROUND((Q50+M50+K50+O50)*(#REF!+#REF!),0)</f>
        <v>#REF!</v>
      </c>
      <c r="X50" s="390" t="e">
        <f>ROUND((T50)*(#REF!+#REF!),0)</f>
        <v>#REF!</v>
      </c>
      <c r="Y50" s="383" t="e">
        <f t="shared" si="79"/>
        <v>#REF!</v>
      </c>
      <c r="Z50" s="374"/>
    </row>
    <row r="51" spans="2:26" ht="15.75" thickBot="1" x14ac:dyDescent="0.3">
      <c r="B51" s="396"/>
      <c r="C51" s="496"/>
      <c r="D51" s="409"/>
      <c r="E51" s="398"/>
      <c r="F51" s="399"/>
      <c r="G51" s="400"/>
      <c r="H51" s="410"/>
      <c r="I51" s="1208"/>
      <c r="J51" s="290"/>
      <c r="K51" s="291"/>
      <c r="U51" s="1003">
        <f t="shared" si="9"/>
        <v>0</v>
      </c>
      <c r="W51" s="286" t="e">
        <f>ROUND((Q51+M51+K51+O51)*(#REF!+#REF!),0)</f>
        <v>#REF!</v>
      </c>
      <c r="X51" s="286" t="e">
        <f>ROUND((T51)*(#REF!+#REF!),0)</f>
        <v>#REF!</v>
      </c>
    </row>
    <row r="52" spans="2:26" ht="18.75" thickBot="1" x14ac:dyDescent="0.3">
      <c r="B52" s="346" t="s">
        <v>4471</v>
      </c>
      <c r="C52" s="346" t="s">
        <v>4576</v>
      </c>
      <c r="D52" s="489" t="s">
        <v>4472</v>
      </c>
      <c r="E52" s="349"/>
      <c r="F52" s="349"/>
      <c r="G52" s="1152"/>
      <c r="H52" s="369">
        <f>SUM(H53)</f>
        <v>2015065</v>
      </c>
      <c r="I52" s="1207">
        <f>+H52*(1+G$116)</f>
        <v>2619584.5</v>
      </c>
      <c r="J52" s="375"/>
      <c r="K52" s="376">
        <f>SUM(K53)</f>
        <v>17992.125</v>
      </c>
      <c r="L52" s="377"/>
      <c r="M52" s="376">
        <f>SUM(M53)</f>
        <v>573260.19999999995</v>
      </c>
      <c r="N52" s="377"/>
      <c r="O52" s="376">
        <f>SUM(O53)</f>
        <v>1423812.6577000001</v>
      </c>
      <c r="P52" s="377"/>
      <c r="Q52" s="376">
        <f>SUM(Q53)</f>
        <v>0</v>
      </c>
      <c r="R52" s="379">
        <f>ROUND((Q52+O52+M52+K52),0)</f>
        <v>2015065</v>
      </c>
      <c r="S52" s="380"/>
      <c r="T52" s="381">
        <f>ROUND(Q52+M52+K52+O52,0)</f>
        <v>2015065</v>
      </c>
      <c r="U52" s="1003">
        <f t="shared" si="9"/>
        <v>0</v>
      </c>
      <c r="V52" s="461">
        <f>ROUND((H52-T52),0)</f>
        <v>0</v>
      </c>
      <c r="W52" s="384" t="e">
        <f>ROUND((Q52+M52+K52+O52)*(#REF!+#REF!),0)</f>
        <v>#REF!</v>
      </c>
      <c r="X52" s="384" t="e">
        <f>ROUND((T52)*(#REF!+#REF!),0)</f>
        <v>#REF!</v>
      </c>
      <c r="Y52" s="383" t="e">
        <f>+W52-X52</f>
        <v>#REF!</v>
      </c>
      <c r="Z52" s="383">
        <f>ROUND(SUM(K52:Q52),0)</f>
        <v>2015065</v>
      </c>
    </row>
    <row r="53" spans="2:26" ht="45" x14ac:dyDescent="0.25">
      <c r="B53" s="391" t="s">
        <v>4473</v>
      </c>
      <c r="C53" s="491" t="s">
        <v>4651</v>
      </c>
      <c r="D53" s="404" t="str">
        <f>+VLOOKUP($B53,APU!$B$5:$J$1835,3,0)</f>
        <v>SUMINISTRO, TRANSPORTE E INSTALACIÓN DE CIELO RASO EN LÁMINAS DE PVC 10MM PARA ZONA DE DESPACHO.  INCLUYE. ESTRUCTURA METÁLICA Y PERIMETRALES. TEXTURA SEGÚN DISEÑO</v>
      </c>
      <c r="E53" s="398" t="str">
        <f>+VLOOKUP($B53,APU!$B$5:$I$1835,4,0)</f>
        <v>M2</v>
      </c>
      <c r="F53" s="874">
        <f>+'ITEM 12,1'!G8</f>
        <v>17.77</v>
      </c>
      <c r="G53" s="400">
        <f>+VLOOKUP($B53,APU!$B$5:$I$1835,6,0)</f>
        <v>113397</v>
      </c>
      <c r="H53" s="954">
        <f t="shared" ref="H53" si="83">ROUND((F53*G53),0)</f>
        <v>2015065</v>
      </c>
      <c r="I53" s="1208"/>
      <c r="J53" s="385">
        <f>VLOOKUP($B53,APU!$K$6:$P$1687,2,FALSE)</f>
        <v>1012.5</v>
      </c>
      <c r="K53" s="386">
        <f>J53*F53</f>
        <v>17992.125</v>
      </c>
      <c r="L53" s="385">
        <f>VLOOKUP($B53,APU!$K$6:$P$1690,3,FALSE)</f>
        <v>32260</v>
      </c>
      <c r="M53" s="386">
        <f>L53*F53</f>
        <v>573260.19999999995</v>
      </c>
      <c r="N53" s="385">
        <f>VLOOKUP($B53,APU!$K$6:$P$1680,4,FALSE)</f>
        <v>80124.010000000009</v>
      </c>
      <c r="O53" s="386">
        <f>N53*F53+9</f>
        <v>1423812.6577000001</v>
      </c>
      <c r="P53" s="385">
        <f>VLOOKUP($B53,APU!$K$6:$P$1680,5,FALSE)</f>
        <v>0</v>
      </c>
      <c r="Q53" s="386">
        <f>P53*F53</f>
        <v>0</v>
      </c>
      <c r="R53" s="387">
        <f t="shared" ref="R53" si="84">ROUND((Q53+O53+M53+K53),0)</f>
        <v>2015065</v>
      </c>
      <c r="S53" s="388"/>
      <c r="T53" s="1004">
        <f t="shared" ref="T53" si="85">+H53</f>
        <v>2015065</v>
      </c>
      <c r="U53" s="1003">
        <f t="shared" si="9"/>
        <v>0</v>
      </c>
      <c r="V53" s="461">
        <f t="shared" ref="V53:V54" si="86">ROUND((H53-T53),0)</f>
        <v>0</v>
      </c>
      <c r="W53" s="390" t="e">
        <f>ROUND((Q53+M53+K53+O53)*(#REF!+#REF!),0)</f>
        <v>#REF!</v>
      </c>
      <c r="X53" s="390" t="e">
        <f>ROUND((T53)*(#REF!+#REF!),0)</f>
        <v>#REF!</v>
      </c>
      <c r="Y53" s="383" t="e">
        <f t="shared" ref="Y53:Y54" si="87">+W53-X53</f>
        <v>#REF!</v>
      </c>
      <c r="Z53" s="374"/>
    </row>
    <row r="54" spans="2:26" ht="18.75" thickBot="1" x14ac:dyDescent="0.3">
      <c r="B54" s="396"/>
      <c r="C54" s="496"/>
      <c r="D54" s="409"/>
      <c r="E54" s="398"/>
      <c r="F54" s="399"/>
      <c r="G54" s="400"/>
      <c r="H54" s="410"/>
      <c r="I54" s="1208"/>
      <c r="J54" s="290"/>
      <c r="K54" s="291"/>
      <c r="U54" s="1003">
        <f t="shared" si="9"/>
        <v>0</v>
      </c>
      <c r="V54" s="461">
        <f t="shared" si="86"/>
        <v>0</v>
      </c>
      <c r="W54" s="390" t="e">
        <f>ROUND((Q54+M54+K54+O54)*(#REF!+#REF!),0)</f>
        <v>#REF!</v>
      </c>
      <c r="X54" s="390" t="e">
        <f>ROUND((T54)*(#REF!+#REF!),0)</f>
        <v>#REF!</v>
      </c>
      <c r="Y54" s="383" t="e">
        <f t="shared" si="87"/>
        <v>#REF!</v>
      </c>
      <c r="Z54" s="374"/>
    </row>
    <row r="55" spans="2:26" ht="18.75" thickBot="1" x14ac:dyDescent="0.3">
      <c r="B55" s="346" t="s">
        <v>4239</v>
      </c>
      <c r="C55" s="346" t="s">
        <v>4577</v>
      </c>
      <c r="D55" s="488" t="s">
        <v>4568</v>
      </c>
      <c r="E55" s="349"/>
      <c r="F55" s="350"/>
      <c r="G55" s="1152"/>
      <c r="H55" s="369">
        <f>SUM(H56:H56)</f>
        <v>309891</v>
      </c>
      <c r="I55" s="1207">
        <f>+H55*(1+G$116)</f>
        <v>402858.3</v>
      </c>
      <c r="J55" s="375"/>
      <c r="K55" s="376">
        <f>SUM(K56)</f>
        <v>17992</v>
      </c>
      <c r="L55" s="377"/>
      <c r="M55" s="376">
        <f>SUM(M56)</f>
        <v>68791</v>
      </c>
      <c r="N55" s="377"/>
      <c r="O55" s="376">
        <f>SUM(O56)</f>
        <v>223108</v>
      </c>
      <c r="P55" s="377"/>
      <c r="Q55" s="378">
        <f>SUM(Q56)</f>
        <v>0</v>
      </c>
      <c r="R55" s="379">
        <f>ROUND((Q55+O55+M55+K55),0)</f>
        <v>309891</v>
      </c>
      <c r="S55" s="380"/>
      <c r="T55" s="381">
        <f>ROUND(Q55+M55+K55+O55,0)</f>
        <v>309891</v>
      </c>
      <c r="U55" s="1003">
        <f t="shared" si="9"/>
        <v>0</v>
      </c>
      <c r="V55" s="461">
        <f>ROUND((H55-T55),0)</f>
        <v>0</v>
      </c>
      <c r="W55" s="384" t="e">
        <f>ROUND((Q55+M55+K55+O55)*(#REF!+#REF!),0)</f>
        <v>#REF!</v>
      </c>
      <c r="X55" s="384" t="e">
        <f>ROUND((T55)*(#REF!+#REF!),0)</f>
        <v>#REF!</v>
      </c>
      <c r="Y55" s="383" t="e">
        <f>+W55-X55</f>
        <v>#REF!</v>
      </c>
      <c r="Z55" s="383">
        <f>ROUND(SUM(K55:Q55),0)</f>
        <v>309891</v>
      </c>
    </row>
    <row r="56" spans="2:26" ht="18" x14ac:dyDescent="0.25">
      <c r="B56" s="391" t="s">
        <v>4447</v>
      </c>
      <c r="C56" s="491" t="s">
        <v>4655</v>
      </c>
      <c r="D56" s="958" t="str">
        <f>+VLOOKUP($B56,APU!$B$5:$J$1835,3,0)</f>
        <v xml:space="preserve">ENDURECEDOR DE PISO EN CONCRETO </v>
      </c>
      <c r="E56" s="960" t="str">
        <f>+VLOOKUP($B56,APU!$B$5:$I$1835,4,0)</f>
        <v>M2</v>
      </c>
      <c r="F56" s="961">
        <f>+'ITEM 13,01'!G8</f>
        <v>17.77</v>
      </c>
      <c r="G56" s="400">
        <f>+VLOOKUP($B56,APU!$B$5:$I$1835,6,0)</f>
        <v>17439</v>
      </c>
      <c r="H56" s="954">
        <f t="shared" ref="H56" si="88">ROUND((F56*G56),0)</f>
        <v>309891</v>
      </c>
      <c r="J56" s="385">
        <f>VLOOKUP($B56,APU!$K$6:$P$1687,2,FALSE)</f>
        <v>1012.5</v>
      </c>
      <c r="K56" s="386">
        <f>ROUND(J56*$F56,0)</f>
        <v>17992</v>
      </c>
      <c r="L56" s="385">
        <f>VLOOKUP($B56,APU!$K$6:$P$1690,3,FALSE)</f>
        <v>3871.2</v>
      </c>
      <c r="M56" s="386">
        <f>ROUND(L56*$F56,0)</f>
        <v>68791</v>
      </c>
      <c r="N56" s="385">
        <f>VLOOKUP($B56,APU!$K$6:$P$1680,4,FALSE)</f>
        <v>12555.2</v>
      </c>
      <c r="O56" s="386">
        <f>ROUND(N56*$F56,0)+2</f>
        <v>223108</v>
      </c>
      <c r="P56" s="385">
        <f>VLOOKUP($B56,APU!$K$6:$P$1680,5,FALSE)</f>
        <v>0</v>
      </c>
      <c r="Q56" s="386">
        <f>P56*F56</f>
        <v>0</v>
      </c>
      <c r="R56" s="387">
        <f>ROUND((Q56+O56+M56+K56),0)</f>
        <v>309891</v>
      </c>
      <c r="S56" s="388"/>
      <c r="T56" s="1004">
        <f t="shared" ref="T56" si="89">+H56</f>
        <v>309891</v>
      </c>
      <c r="U56" s="1003">
        <f t="shared" si="9"/>
        <v>0</v>
      </c>
      <c r="V56" s="461">
        <f t="shared" ref="V56:V57" si="90">ROUND((H56-T56),0)</f>
        <v>0</v>
      </c>
      <c r="W56" s="390" t="e">
        <f>ROUND((Q56+M56+K56+O56)*(#REF!+#REF!),0)</f>
        <v>#REF!</v>
      </c>
      <c r="X56" s="390" t="e">
        <f>ROUND((T56)*(#REF!+#REF!),0)</f>
        <v>#REF!</v>
      </c>
      <c r="Y56" s="383" t="e">
        <f t="shared" ref="Y56:Y57" si="91">+W56-X56</f>
        <v>#REF!</v>
      </c>
      <c r="Z56" s="374"/>
    </row>
    <row r="57" spans="2:26" ht="18.75" thickBot="1" x14ac:dyDescent="0.3">
      <c r="B57" s="405"/>
      <c r="C57" s="494"/>
      <c r="D57" s="355"/>
      <c r="E57" s="356"/>
      <c r="F57" s="357"/>
      <c r="G57" s="1153"/>
      <c r="H57" s="410"/>
      <c r="I57" s="1208"/>
      <c r="J57" s="290"/>
      <c r="K57" s="291"/>
      <c r="U57" s="1003">
        <f t="shared" si="9"/>
        <v>0</v>
      </c>
      <c r="V57" s="461">
        <f t="shared" si="90"/>
        <v>0</v>
      </c>
      <c r="W57" s="390" t="e">
        <f>ROUND((Q57+M57+K57+O57)*(#REF!+#REF!),0)</f>
        <v>#REF!</v>
      </c>
      <c r="X57" s="390" t="e">
        <f>ROUND((T57)*(#REF!+#REF!),0)</f>
        <v>#REF!</v>
      </c>
      <c r="Y57" s="383" t="e">
        <f t="shared" si="91"/>
        <v>#REF!</v>
      </c>
      <c r="Z57" s="374"/>
    </row>
    <row r="58" spans="2:26" ht="19.5" thickBot="1" x14ac:dyDescent="0.3">
      <c r="B58" s="413" t="s">
        <v>4478</v>
      </c>
      <c r="C58" s="500" t="s">
        <v>4578</v>
      </c>
      <c r="D58" s="414" t="s">
        <v>4569</v>
      </c>
      <c r="E58" s="415"/>
      <c r="F58" s="416"/>
      <c r="G58" s="1157"/>
      <c r="H58" s="417">
        <f>SUM(H59:H61)</f>
        <v>3059739</v>
      </c>
      <c r="I58" s="1207">
        <f>+H58*(1+G$116)</f>
        <v>3977660.7</v>
      </c>
      <c r="J58" s="375"/>
      <c r="K58" s="376">
        <f>ROUND(SUM(K59:K62),0)</f>
        <v>68902</v>
      </c>
      <c r="L58" s="377"/>
      <c r="M58" s="378">
        <f>ROUND(SUM(M59:M62),0)</f>
        <v>1446938</v>
      </c>
      <c r="N58" s="377"/>
      <c r="O58" s="376">
        <f>ROUND(SUM(O59:O62),0)</f>
        <v>1474999</v>
      </c>
      <c r="P58" s="377"/>
      <c r="Q58" s="376">
        <f>ROUND(SUM(Q59:Q62),0)</f>
        <v>68902</v>
      </c>
      <c r="R58" s="379">
        <f>ROUND((Q58+O58+M58+K58),0)</f>
        <v>3059741</v>
      </c>
      <c r="S58" s="380"/>
      <c r="T58" s="381">
        <f>ROUND(Q58+M58+K58+O58,0)</f>
        <v>3059741</v>
      </c>
      <c r="U58" s="1003">
        <f t="shared" si="9"/>
        <v>0</v>
      </c>
      <c r="V58" s="461">
        <f>ROUND((H58-T58),0)</f>
        <v>-2</v>
      </c>
      <c r="W58" s="384" t="e">
        <f>ROUND((Q58+M58+K58+O58)*(#REF!+#REF!),0)</f>
        <v>#REF!</v>
      </c>
      <c r="X58" s="384" t="e">
        <f>ROUND((T58)*(#REF!+#REF!),0)</f>
        <v>#REF!</v>
      </c>
      <c r="Y58" s="383" t="e">
        <f>+W58-X58</f>
        <v>#REF!</v>
      </c>
      <c r="Z58" s="383">
        <f>ROUND(SUM(K58:Q58),0)</f>
        <v>3059741</v>
      </c>
    </row>
    <row r="59" spans="2:26" ht="18" x14ac:dyDescent="0.25">
      <c r="B59" s="391" t="s">
        <v>4479</v>
      </c>
      <c r="C59" s="396" t="s">
        <v>4652</v>
      </c>
      <c r="D59" s="406" t="str">
        <f>+VLOOKUP($B59,APU!$B$5:$J$1835,3,0)</f>
        <v xml:space="preserve">SUMINISTRO, TRASPORTE E INSTALACIÓN ENCHAPE EN PISOS PARA VESTIER </v>
      </c>
      <c r="E59" s="398" t="str">
        <f>+VLOOKUP($B59,APU!$B$5:$I$1835,4,0)</f>
        <v>M²</v>
      </c>
      <c r="F59" s="961">
        <f>+'ITEM 14,01'!G8</f>
        <v>4.71</v>
      </c>
      <c r="G59" s="400">
        <f>+VLOOKUP($B59,APU!$B$5:$I$1835,6,0)</f>
        <v>81601.794919000007</v>
      </c>
      <c r="H59" s="954">
        <f t="shared" ref="H59:H61" si="92">ROUND((F59*G59),0)</f>
        <v>384344</v>
      </c>
      <c r="I59" s="1208"/>
      <c r="J59" s="385">
        <f>VLOOKUP($B59,APU!$K$6:$P$1687,2,FALSE)</f>
        <v>1246.6400000000003</v>
      </c>
      <c r="K59" s="386">
        <f>J59*F59</f>
        <v>5871.6744000000017</v>
      </c>
      <c r="L59" s="385">
        <f>VLOOKUP($B59,APU!$K$6:$P$1690,3,FALSE)</f>
        <v>26179.440000000002</v>
      </c>
      <c r="M59" s="386">
        <f>L59*F59</f>
        <v>123305.16240000002</v>
      </c>
      <c r="N59" s="385">
        <f>VLOOKUP($B59,APU!$K$6:$P$1680,4,FALSE)</f>
        <v>52929.074919000006</v>
      </c>
      <c r="O59" s="386">
        <f>N59*F59</f>
        <v>249295.94286849003</v>
      </c>
      <c r="P59" s="385">
        <f>VLOOKUP($B59,APU!$K$6:$P$1680,5,FALSE)</f>
        <v>1246.6400000000003</v>
      </c>
      <c r="Q59" s="386">
        <f>P59*F59</f>
        <v>5871.6744000000017</v>
      </c>
      <c r="R59" s="387">
        <f t="shared" ref="R59:R61" si="93">ROUND((Q59+O59+M59+K59),0)</f>
        <v>384344</v>
      </c>
      <c r="S59" s="388"/>
      <c r="T59" s="1004">
        <f t="shared" ref="T59:T61" si="94">+H59</f>
        <v>384344</v>
      </c>
      <c r="U59" s="1003">
        <f t="shared" si="9"/>
        <v>0</v>
      </c>
      <c r="V59" s="461">
        <f t="shared" ref="V59:V61" si="95">ROUND((H59-T59),0)</f>
        <v>0</v>
      </c>
      <c r="W59" s="390" t="e">
        <f>ROUND((Q59+M59+K59+O59)*(#REF!+#REF!),0)</f>
        <v>#REF!</v>
      </c>
      <c r="X59" s="390" t="e">
        <f>ROUND((T59)*(#REF!+#REF!),0)</f>
        <v>#REF!</v>
      </c>
      <c r="Y59" s="383" t="e">
        <f t="shared" ref="Y59:Y61" si="96">+W59-X59</f>
        <v>#REF!</v>
      </c>
      <c r="Z59" s="374"/>
    </row>
    <row r="60" spans="2:26" ht="18" x14ac:dyDescent="0.25">
      <c r="B60" s="391" t="s">
        <v>4480</v>
      </c>
      <c r="C60" s="396" t="s">
        <v>4653</v>
      </c>
      <c r="D60" s="406" t="str">
        <f>+VLOOKUP($B60,APU!$B$5:$J$1835,3,0)</f>
        <v>SUMINISTRO, TRASPORTE E INSTALACIÓN ENCHAPE EN  PARED VESTIER</v>
      </c>
      <c r="E60" s="398" t="str">
        <f>+VLOOKUP($B60,APU!$B$5:$I$1835,4,0)</f>
        <v>M²</v>
      </c>
      <c r="F60" s="961">
        <f>+'ITEM 14,02'!G8</f>
        <v>19.57</v>
      </c>
      <c r="G60" s="400">
        <f>+VLOOKUP($B60,APU!$B$5:$I$1835,6,0)</f>
        <v>87676.044918999993</v>
      </c>
      <c r="H60" s="954">
        <f t="shared" si="92"/>
        <v>1715820</v>
      </c>
      <c r="I60" s="1208"/>
      <c r="J60" s="385">
        <f>VLOOKUP($B60,APU!$K$6:$P$1687,2,FALSE)</f>
        <v>1246.6400000000003</v>
      </c>
      <c r="K60" s="386">
        <f t="shared" ref="K60:K61" si="97">J60*F60</f>
        <v>24396.744800000008</v>
      </c>
      <c r="L60" s="385">
        <f>VLOOKUP($B60,APU!$K$6:$P$1690,3,FALSE)</f>
        <v>26179.440000000002</v>
      </c>
      <c r="M60" s="386">
        <f t="shared" ref="M60:M61" si="98">L60*F60</f>
        <v>512331.64080000005</v>
      </c>
      <c r="N60" s="385">
        <f>VLOOKUP($B60,APU!$K$6:$P$1680,4,FALSE)</f>
        <v>59003.324919000006</v>
      </c>
      <c r="O60" s="386">
        <f t="shared" ref="O60:O61" si="99">N60*F60</f>
        <v>1154695.0686648302</v>
      </c>
      <c r="P60" s="385">
        <f>VLOOKUP($B60,APU!$K$6:$P$1680,5,FALSE)</f>
        <v>1246.6400000000003</v>
      </c>
      <c r="Q60" s="386">
        <f t="shared" ref="Q60:Q61" si="100">P60*F60</f>
        <v>24396.744800000008</v>
      </c>
      <c r="R60" s="387">
        <f t="shared" si="93"/>
        <v>1715820</v>
      </c>
      <c r="S60" s="388"/>
      <c r="T60" s="1004">
        <f t="shared" si="94"/>
        <v>1715820</v>
      </c>
      <c r="U60" s="1003">
        <f t="shared" si="9"/>
        <v>0</v>
      </c>
      <c r="V60" s="461">
        <f t="shared" si="95"/>
        <v>0</v>
      </c>
      <c r="W60" s="390" t="e">
        <f>ROUND((Q60+M60+K60+O60)*(#REF!+#REF!),0)</f>
        <v>#REF!</v>
      </c>
      <c r="X60" s="390" t="e">
        <f>ROUND((T60)*(#REF!+#REF!),0)</f>
        <v>#REF!</v>
      </c>
      <c r="Y60" s="383" t="e">
        <f t="shared" si="96"/>
        <v>#REF!</v>
      </c>
      <c r="Z60" s="374"/>
    </row>
    <row r="61" spans="2:26" ht="30" x14ac:dyDescent="0.25">
      <c r="B61" s="391" t="s">
        <v>4481</v>
      </c>
      <c r="C61" s="396" t="s">
        <v>4654</v>
      </c>
      <c r="D61" s="406" t="str">
        <f>+VLOOKUP($B61,APU!$B$5:$J$1835,3,0)</f>
        <v>SUMINISTRO TRANPORTE E INSTALACIÓN DE MEDIA CAÑA EN MORTERO CON CABADO LISO, H=0,10 M</v>
      </c>
      <c r="E61" s="398" t="str">
        <f>+VLOOKUP($B61,APU!$B$5:$I$1835,4,0)</f>
        <v>M</v>
      </c>
      <c r="F61" s="961">
        <f>+'ITEM 14,03'!G8</f>
        <v>30.99</v>
      </c>
      <c r="G61" s="400">
        <f>+VLOOKUP($B61,APU!$B$5:$I$1835,6,0)</f>
        <v>30964.030000000002</v>
      </c>
      <c r="H61" s="954">
        <f t="shared" si="92"/>
        <v>959575</v>
      </c>
      <c r="I61" s="1208"/>
      <c r="J61" s="385">
        <f>VLOOKUP($B61,APU!$K$6:$P$1687,2,FALSE)</f>
        <v>1246.6400000000003</v>
      </c>
      <c r="K61" s="386">
        <f t="shared" si="97"/>
        <v>38633.373600000006</v>
      </c>
      <c r="L61" s="385">
        <f>VLOOKUP($B61,APU!$K$6:$P$1690,3,FALSE)</f>
        <v>26179.440000000002</v>
      </c>
      <c r="M61" s="386">
        <f t="shared" si="98"/>
        <v>811300.8456</v>
      </c>
      <c r="N61" s="385">
        <f>VLOOKUP($B61,APU!$K$6:$P$1680,4,FALSE)</f>
        <v>2291.31</v>
      </c>
      <c r="O61" s="386">
        <f t="shared" si="99"/>
        <v>71007.696899999995</v>
      </c>
      <c r="P61" s="385">
        <f>VLOOKUP($B61,APU!$K$6:$P$1680,5,FALSE)</f>
        <v>1246.6400000000003</v>
      </c>
      <c r="Q61" s="386">
        <f t="shared" si="100"/>
        <v>38633.373600000006</v>
      </c>
      <c r="R61" s="387">
        <f t="shared" si="93"/>
        <v>959575</v>
      </c>
      <c r="S61" s="388"/>
      <c r="T61" s="1004">
        <f t="shared" si="94"/>
        <v>959575</v>
      </c>
      <c r="U61" s="1003">
        <f t="shared" si="9"/>
        <v>0</v>
      </c>
      <c r="V61" s="461">
        <f t="shared" si="95"/>
        <v>0</v>
      </c>
      <c r="W61" s="390" t="e">
        <f>ROUND((Q61+M61+K61+O61)*(#REF!+#REF!),0)</f>
        <v>#REF!</v>
      </c>
      <c r="X61" s="390" t="e">
        <f>ROUND((T61)*(#REF!+#REF!),0)</f>
        <v>#REF!</v>
      </c>
      <c r="Y61" s="383" t="e">
        <f t="shared" si="96"/>
        <v>#REF!</v>
      </c>
    </row>
    <row r="62" spans="2:26" x14ac:dyDescent="0.25">
      <c r="B62" s="396"/>
      <c r="C62" s="491"/>
      <c r="D62" s="355"/>
      <c r="E62" s="356"/>
      <c r="F62" s="357"/>
      <c r="G62" s="1153"/>
      <c r="H62" s="410"/>
      <c r="I62" s="1208"/>
      <c r="J62" s="290"/>
      <c r="U62" s="1003">
        <f t="shared" si="9"/>
        <v>0</v>
      </c>
      <c r="W62" s="286" t="e">
        <f>ROUND((Q62+M62+K62+O62)*(#REF!+#REF!),0)</f>
        <v>#REF!</v>
      </c>
      <c r="X62" s="286" t="e">
        <f>ROUND((T62)*(#REF!+#REF!),0)</f>
        <v>#REF!</v>
      </c>
    </row>
    <row r="63" spans="2:26" ht="15.75" thickBot="1" x14ac:dyDescent="0.3">
      <c r="B63" s="405"/>
      <c r="C63" s="494"/>
      <c r="D63" s="355"/>
      <c r="E63" s="356"/>
      <c r="F63" s="357"/>
      <c r="G63" s="1153"/>
      <c r="H63" s="410"/>
      <c r="I63" s="1208"/>
      <c r="J63" s="290"/>
      <c r="U63" s="1003">
        <f t="shared" si="9"/>
        <v>0</v>
      </c>
      <c r="W63" s="286" t="e">
        <f>ROUND((Q63+M63+K63+O63)*(#REF!+#REF!),0)</f>
        <v>#REF!</v>
      </c>
      <c r="X63" s="286" t="e">
        <f>ROUND((T63)*(#REF!+#REF!),0)</f>
        <v>#REF!</v>
      </c>
    </row>
    <row r="64" spans="2:26" ht="18.75" thickBot="1" x14ac:dyDescent="0.3">
      <c r="B64" s="346" t="s">
        <v>4560</v>
      </c>
      <c r="C64" s="346" t="s">
        <v>4579</v>
      </c>
      <c r="D64" s="488" t="s">
        <v>578</v>
      </c>
      <c r="E64" s="349"/>
      <c r="F64" s="350"/>
      <c r="G64" s="1152"/>
      <c r="H64" s="369">
        <f>SUM(H65:H67)</f>
        <v>2511325</v>
      </c>
      <c r="I64" s="1207">
        <f>+H64*(1+G$116)</f>
        <v>3264722.5</v>
      </c>
      <c r="J64" s="375"/>
      <c r="K64" s="376">
        <f>ROUND(SUM(K65:K67),0)</f>
        <v>7988</v>
      </c>
      <c r="L64" s="377"/>
      <c r="M64" s="376">
        <f>ROUND(SUM(M65:M67),0)</f>
        <v>455281</v>
      </c>
      <c r="N64" s="377"/>
      <c r="O64" s="376">
        <f>SUM(O65:O67)</f>
        <v>2044079.1680000001</v>
      </c>
      <c r="P64" s="377"/>
      <c r="Q64" s="376">
        <f>SUM(Q65:Q67)</f>
        <v>3978.5445</v>
      </c>
      <c r="R64" s="379">
        <f>ROUNDUP((Q64+O64+M64+K64),0)</f>
        <v>2511327</v>
      </c>
      <c r="S64" s="380"/>
      <c r="T64" s="381">
        <f>ROUND(Q64+M64+K64+O64,0)</f>
        <v>2511327</v>
      </c>
      <c r="U64" s="1003">
        <f t="shared" si="9"/>
        <v>0</v>
      </c>
      <c r="V64" s="461">
        <f>ROUND((H64-T64),0)</f>
        <v>-2</v>
      </c>
      <c r="W64" s="384" t="e">
        <f>ROUND((Q64+M64+K64+O64)*(#REF!+#REF!),0)</f>
        <v>#REF!</v>
      </c>
      <c r="X64" s="384" t="e">
        <f>ROUND((T64)*(#REF!+#REF!),0)</f>
        <v>#REF!</v>
      </c>
      <c r="Y64" s="383" t="e">
        <f>+W64-X64</f>
        <v>#REF!</v>
      </c>
      <c r="Z64" s="383">
        <f>ROUND(SUM(K64:Q64),0)</f>
        <v>2511327</v>
      </c>
    </row>
    <row r="65" spans="1:26" ht="18" x14ac:dyDescent="0.25">
      <c r="B65" s="358" t="s">
        <v>4451</v>
      </c>
      <c r="C65" s="358" t="s">
        <v>4656</v>
      </c>
      <c r="D65" s="442" t="str">
        <f>+VLOOKUP($B65,APU!$B$5:$J$1835,3,0)</f>
        <v xml:space="preserve">DESMONTE Y REINSTALACIÓN DE PUERTA </v>
      </c>
      <c r="E65" s="402" t="str">
        <f>+VLOOKUP($B65,APU!$B$5:$I$1835,4,0)</f>
        <v>M²</v>
      </c>
      <c r="F65" s="963">
        <f>+'ITEM 15,02'!G8</f>
        <v>1.89</v>
      </c>
      <c r="G65" s="400">
        <f>+VLOOKUP($B65,APU!$B$5:$I$1835,6,0)</f>
        <v>132618.15</v>
      </c>
      <c r="H65" s="954">
        <f t="shared" ref="H65:H67" si="101">ROUND((F65*G65),0)</f>
        <v>250648</v>
      </c>
      <c r="J65" s="385">
        <f>VLOOKUP($B65,APU!$K$6:$P$1687,2,FALSE)</f>
        <v>2105.0500000000002</v>
      </c>
      <c r="K65" s="386">
        <f>J65*F65</f>
        <v>3978.5445</v>
      </c>
      <c r="L65" s="385">
        <f>VLOOKUP($B65,APU!$K$6:$P$1690,3,FALSE)</f>
        <v>128408.05</v>
      </c>
      <c r="M65" s="386">
        <f>L65*F65</f>
        <v>242691.2145</v>
      </c>
      <c r="N65" s="385">
        <f>VLOOKUP($B65,APU!$K$6:$P$1680,4,FALSE)</f>
        <v>0</v>
      </c>
      <c r="O65" s="386">
        <f>N65*F65</f>
        <v>0</v>
      </c>
      <c r="P65" s="385">
        <f>VLOOKUP($B65,APU!$K$6:$P$1680,5,FALSE)</f>
        <v>2105.0500000000002</v>
      </c>
      <c r="Q65" s="386">
        <f>P65*F65</f>
        <v>3978.5445</v>
      </c>
      <c r="R65" s="387">
        <f t="shared" ref="R65:R67" si="102">ROUND((Q65+O65+M65+K65),0)</f>
        <v>250648</v>
      </c>
      <c r="S65" s="388"/>
      <c r="T65" s="1004">
        <f t="shared" ref="T65:T67" si="103">+H65</f>
        <v>250648</v>
      </c>
      <c r="U65" s="1003">
        <f t="shared" si="9"/>
        <v>0</v>
      </c>
      <c r="V65" s="461">
        <f t="shared" ref="V65:V67" si="104">ROUND((H65-T65),0)</f>
        <v>0</v>
      </c>
      <c r="W65" s="390" t="e">
        <f>ROUND((Q65+M65+K65+O65)*(#REF!+#REF!),0)</f>
        <v>#REF!</v>
      </c>
      <c r="X65" s="390" t="e">
        <f>ROUND((T65)*(#REF!+#REF!),0)</f>
        <v>#REF!</v>
      </c>
      <c r="Y65" s="383" t="e">
        <f t="shared" ref="Y65:Y67" si="105">+W65-X65</f>
        <v>#REF!</v>
      </c>
      <c r="Z65" s="374"/>
    </row>
    <row r="66" spans="1:26" ht="30" x14ac:dyDescent="0.25">
      <c r="B66" s="405" t="s">
        <v>4465</v>
      </c>
      <c r="C66" s="491" t="s">
        <v>4658</v>
      </c>
      <c r="D66" s="406" t="s">
        <v>4469</v>
      </c>
      <c r="E66" s="402" t="str">
        <f>+VLOOKUP($B66,APU!$B$5:$I$1835,4,0)</f>
        <v>M2</v>
      </c>
      <c r="F66" s="961">
        <f>+'ITEM 15,03'!G8</f>
        <v>1.96</v>
      </c>
      <c r="G66" s="400">
        <f>+VLOOKUP($B66,APU!$B$5:$I$1835,6,0)</f>
        <v>654474</v>
      </c>
      <c r="H66" s="954">
        <f t="shared" si="101"/>
        <v>1282769</v>
      </c>
      <c r="I66" s="1208"/>
      <c r="J66" s="385">
        <f>VLOOKUP($B66,APU!$K$6:$P$1687,2,FALSE)</f>
        <v>1012.5</v>
      </c>
      <c r="K66" s="386">
        <f t="shared" ref="K66:K67" si="106">J66*F66</f>
        <v>1984.5</v>
      </c>
      <c r="L66" s="385">
        <f>VLOOKUP($B66,APU!$K$6:$P$1690,3,FALSE)</f>
        <v>98421</v>
      </c>
      <c r="M66" s="386">
        <f t="shared" ref="M66:M67" si="107">L66*F66</f>
        <v>192905.16</v>
      </c>
      <c r="N66" s="385">
        <f>VLOOKUP($B66,APU!$K$6:$P$1680,4,FALSE)</f>
        <v>555040.80000000005</v>
      </c>
      <c r="O66" s="386">
        <f t="shared" ref="O66" si="108">N66*F66</f>
        <v>1087879.9680000001</v>
      </c>
      <c r="P66" s="385">
        <f>VLOOKUP($B66,APU!$K$6:$P$1680,5,FALSE)</f>
        <v>0</v>
      </c>
      <c r="Q66" s="386">
        <f t="shared" ref="Q66:Q67" si="109">P66*F66</f>
        <v>0</v>
      </c>
      <c r="R66" s="387">
        <f t="shared" si="102"/>
        <v>1282770</v>
      </c>
      <c r="S66" s="388"/>
      <c r="T66" s="1004">
        <f t="shared" si="103"/>
        <v>1282769</v>
      </c>
      <c r="U66" s="1003">
        <f t="shared" si="9"/>
        <v>-1</v>
      </c>
      <c r="V66" s="461">
        <f t="shared" si="104"/>
        <v>0</v>
      </c>
      <c r="W66" s="390" t="e">
        <f>ROUND((Q66+M66+K66+O66)*(#REF!+#REF!),0)</f>
        <v>#REF!</v>
      </c>
      <c r="X66" s="390" t="e">
        <f>ROUND((T66)*(#REF!+#REF!),0)</f>
        <v>#REF!</v>
      </c>
      <c r="Y66" s="383" t="e">
        <f t="shared" si="105"/>
        <v>#REF!</v>
      </c>
      <c r="Z66" s="374"/>
    </row>
    <row r="67" spans="1:26" ht="45" x14ac:dyDescent="0.25">
      <c r="B67" s="405" t="s">
        <v>4467</v>
      </c>
      <c r="C67" s="405" t="s">
        <v>4659</v>
      </c>
      <c r="D67" s="975" t="s">
        <v>4468</v>
      </c>
      <c r="E67" s="402" t="s">
        <v>4016</v>
      </c>
      <c r="F67" s="961">
        <f>+'ITEM 15,04'!E7</f>
        <v>2</v>
      </c>
      <c r="G67" s="400">
        <f>+VLOOKUP($B67,APU!$B$5:$I$1835,6,0)</f>
        <v>488954</v>
      </c>
      <c r="H67" s="954">
        <f t="shared" si="101"/>
        <v>977908</v>
      </c>
      <c r="I67" s="1208"/>
      <c r="J67" s="385">
        <f>VLOOKUP($B67,APU!$K$6:$P$1687,2,FALSE)</f>
        <v>1012.5</v>
      </c>
      <c r="K67" s="386">
        <f t="shared" si="106"/>
        <v>2025</v>
      </c>
      <c r="L67" s="385">
        <f>VLOOKUP($B67,APU!$K$6:$P$1690,3,FALSE)</f>
        <v>9842.1</v>
      </c>
      <c r="M67" s="386">
        <f t="shared" si="107"/>
        <v>19684.2</v>
      </c>
      <c r="N67" s="385">
        <f>VLOOKUP($B67,APU!$K$6:$P$1680,4,FALSE)</f>
        <v>478099.6</v>
      </c>
      <c r="O67" s="386">
        <f>N67*F67</f>
        <v>956199.2</v>
      </c>
      <c r="P67" s="385">
        <f>VLOOKUP($B67,APU!$K$6:$P$1680,5,FALSE)</f>
        <v>0</v>
      </c>
      <c r="Q67" s="386">
        <f t="shared" si="109"/>
        <v>0</v>
      </c>
      <c r="R67" s="387">
        <f t="shared" si="102"/>
        <v>977908</v>
      </c>
      <c r="S67" s="388"/>
      <c r="T67" s="1004">
        <f t="shared" si="103"/>
        <v>977908</v>
      </c>
      <c r="U67" s="1003">
        <f t="shared" si="9"/>
        <v>0</v>
      </c>
      <c r="V67" s="461">
        <f t="shared" si="104"/>
        <v>0</v>
      </c>
      <c r="W67" s="390" t="e">
        <f>ROUND((Q67+M67+K67+O67)*(#REF!+#REF!),0)</f>
        <v>#REF!</v>
      </c>
      <c r="X67" s="390" t="e">
        <f>ROUND((T67)*(#REF!+#REF!),0)</f>
        <v>#REF!</v>
      </c>
      <c r="Y67" s="383" t="e">
        <f t="shared" si="105"/>
        <v>#REF!</v>
      </c>
    </row>
    <row r="68" spans="1:26" ht="18.75" thickBot="1" x14ac:dyDescent="0.3">
      <c r="B68" s="405"/>
      <c r="C68" s="405"/>
      <c r="D68" s="406"/>
      <c r="E68" s="402"/>
      <c r="F68" s="449"/>
      <c r="G68" s="400"/>
      <c r="H68" s="410"/>
      <c r="I68" s="1208"/>
      <c r="J68" s="385"/>
      <c r="K68" s="386"/>
      <c r="L68" s="385"/>
      <c r="M68" s="386"/>
      <c r="N68" s="385"/>
      <c r="O68" s="386"/>
      <c r="P68" s="385"/>
      <c r="Q68" s="386"/>
      <c r="R68" s="387"/>
      <c r="S68" s="388"/>
      <c r="T68" s="389"/>
      <c r="U68" s="1003">
        <f t="shared" si="9"/>
        <v>0</v>
      </c>
      <c r="V68" s="461"/>
      <c r="W68" s="390"/>
      <c r="X68" s="390"/>
      <c r="Y68" s="383"/>
    </row>
    <row r="69" spans="1:26" ht="18.75" thickBot="1" x14ac:dyDescent="0.3">
      <c r="B69" s="446" t="s">
        <v>4242</v>
      </c>
      <c r="C69" s="497" t="s">
        <v>4580</v>
      </c>
      <c r="D69" s="490" t="s">
        <v>4567</v>
      </c>
      <c r="E69" s="447"/>
      <c r="F69" s="448"/>
      <c r="G69" s="1158"/>
      <c r="H69" s="369">
        <f>SUM(H70)</f>
        <v>3168250</v>
      </c>
      <c r="I69" s="1207">
        <f>+H69*(1+G$116)</f>
        <v>4118725</v>
      </c>
      <c r="J69" s="375"/>
      <c r="K69" s="376">
        <f>SUM(K70:K72)</f>
        <v>0</v>
      </c>
      <c r="L69" s="377"/>
      <c r="M69" s="376">
        <f>SUM(M70:M72)</f>
        <v>3168250</v>
      </c>
      <c r="N69" s="377"/>
      <c r="O69" s="376">
        <f>SUM(O70:O72)</f>
        <v>0</v>
      </c>
      <c r="P69" s="377"/>
      <c r="Q69" s="376">
        <f>SUM(Q70:Q72)</f>
        <v>0</v>
      </c>
      <c r="R69" s="379">
        <f>ROUND((Q69+O69+M69+K69),0)</f>
        <v>3168250</v>
      </c>
      <c r="S69" s="380"/>
      <c r="T69" s="381">
        <f>ROUND(Q69+M69+K69+O69,0)</f>
        <v>3168250</v>
      </c>
      <c r="U69" s="1003">
        <f t="shared" si="9"/>
        <v>0</v>
      </c>
      <c r="V69" s="461">
        <f>ROUND((H69-T69),0)</f>
        <v>0</v>
      </c>
      <c r="W69" s="384" t="e">
        <f>ROUND((Q69+M69+K69+O69)*(#REF!+#REF!),0)</f>
        <v>#REF!</v>
      </c>
      <c r="X69" s="384" t="e">
        <f>ROUND((T69)*(#REF!+#REF!),0)</f>
        <v>#REF!</v>
      </c>
      <c r="Y69" s="383" t="e">
        <f>+W69-X69</f>
        <v>#REF!</v>
      </c>
      <c r="Z69" s="383">
        <f>ROUND(SUM(K69:Q69),0)</f>
        <v>3168250</v>
      </c>
    </row>
    <row r="70" spans="1:26" ht="18" x14ac:dyDescent="0.25">
      <c r="B70" s="408" t="s">
        <v>4566</v>
      </c>
      <c r="C70" s="405" t="s">
        <v>4660</v>
      </c>
      <c r="D70" s="392" t="str">
        <f>+VLOOKUP($B70,APU!$B$5:$J$1835,3,0)</f>
        <v>ASEO GENERAL</v>
      </c>
      <c r="E70" s="407" t="str">
        <f>+VLOOKUP($B70,APU!$B$5:$I$1835,4,0)</f>
        <v>M2</v>
      </c>
      <c r="F70" s="962">
        <v>950</v>
      </c>
      <c r="G70" s="1154">
        <f>+VLOOKUP($B70,APU!$B$5:$I$1835,6,0)</f>
        <v>3335</v>
      </c>
      <c r="H70" s="954">
        <f t="shared" ref="H70" si="110">ROUND((F70*G70),0)</f>
        <v>3168250</v>
      </c>
      <c r="I70" s="1208"/>
      <c r="J70" s="385">
        <f>VLOOKUP($B70,APU!$K$6:$P$1687,2,FALSE)</f>
        <v>0</v>
      </c>
      <c r="K70" s="386">
        <f>J70*F70</f>
        <v>0</v>
      </c>
      <c r="L70" s="385">
        <f>VLOOKUP($B70,APU!$K$6:$P$1690,3,FALSE)</f>
        <v>3335</v>
      </c>
      <c r="M70" s="386">
        <f>ROUND(L70*F70,0)</f>
        <v>3168250</v>
      </c>
      <c r="N70" s="385">
        <f>VLOOKUP($B70,APU!$K$6:$P$1680,4,FALSE)</f>
        <v>0</v>
      </c>
      <c r="O70" s="386">
        <f>N70*F70</f>
        <v>0</v>
      </c>
      <c r="P70" s="385">
        <f>VLOOKUP($B70,APU!$K$6:$P$1680,5,FALSE)</f>
        <v>0</v>
      </c>
      <c r="Q70" s="386">
        <f>P70*F70</f>
        <v>0</v>
      </c>
      <c r="R70" s="387">
        <f>ROUND((Q70+O70+M70+K70),0)</f>
        <v>3168250</v>
      </c>
      <c r="S70" s="388"/>
      <c r="T70" s="1004">
        <f t="shared" ref="T70" si="111">+H70</f>
        <v>3168250</v>
      </c>
      <c r="U70" s="1003">
        <f t="shared" si="9"/>
        <v>0</v>
      </c>
      <c r="V70" s="461">
        <f t="shared" ref="V70" si="112">ROUND((H70-T70),0)</f>
        <v>0</v>
      </c>
      <c r="W70" s="390" t="e">
        <f>ROUND((Q70+M70+K70+O70)*(#REF!+#REF!),0)</f>
        <v>#REF!</v>
      </c>
      <c r="X70" s="390" t="e">
        <f>ROUND((T70)*(#REF!+#REF!),0)</f>
        <v>#REF!</v>
      </c>
      <c r="Y70" s="383" t="e">
        <f t="shared" ref="Y70" si="113">+W70-X70</f>
        <v>#REF!</v>
      </c>
      <c r="Z70" s="374"/>
    </row>
    <row r="71" spans="1:26" x14ac:dyDescent="0.25">
      <c r="B71" s="292"/>
      <c r="C71" s="501"/>
      <c r="D71" s="353"/>
      <c r="E71" s="293"/>
      <c r="F71" s="354"/>
      <c r="G71" s="1159"/>
      <c r="H71" s="297"/>
    </row>
    <row r="72" spans="1:26" ht="18" x14ac:dyDescent="0.25">
      <c r="B72" s="370"/>
      <c r="C72" s="498"/>
      <c r="D72" s="452" t="s">
        <v>4552</v>
      </c>
      <c r="E72" s="453"/>
      <c r="F72" s="454"/>
      <c r="G72" s="1160"/>
      <c r="H72" s="546">
        <f>SUM(H9:H70)/2</f>
        <v>71531258</v>
      </c>
      <c r="I72" s="1207"/>
      <c r="T72" s="455"/>
    </row>
    <row r="73" spans="1:26" ht="15.75" thickBot="1" x14ac:dyDescent="0.3">
      <c r="G73" s="296"/>
      <c r="H73" s="294"/>
    </row>
    <row r="74" spans="1:26" ht="28.5" customHeight="1" thickBot="1" x14ac:dyDescent="0.3">
      <c r="B74" s="458" t="s">
        <v>10</v>
      </c>
      <c r="C74" s="506" t="s">
        <v>4581</v>
      </c>
      <c r="D74" s="459" t="s">
        <v>4582</v>
      </c>
      <c r="E74" s="460" t="s">
        <v>11</v>
      </c>
      <c r="F74" s="456" t="s">
        <v>2</v>
      </c>
      <c r="G74" s="1161" t="s">
        <v>4554</v>
      </c>
      <c r="H74" s="457">
        <f>SUM(H75:H109)</f>
        <v>312936918</v>
      </c>
      <c r="I74" s="1207">
        <f>+H74*(1+G$115)</f>
        <v>391171147.5</v>
      </c>
      <c r="J74" s="375"/>
      <c r="K74" s="376">
        <f>ROUND(SUM(K75:K109),0)</f>
        <v>312936918</v>
      </c>
      <c r="L74" s="377"/>
      <c r="M74" s="378">
        <f>SUM(M75:M78)</f>
        <v>0</v>
      </c>
      <c r="N74" s="377"/>
      <c r="O74" s="378">
        <f>SUM(O75:O78)</f>
        <v>0</v>
      </c>
      <c r="P74" s="377"/>
      <c r="Q74" s="378">
        <f>SUM(Q75:Q78)</f>
        <v>0</v>
      </c>
      <c r="R74" s="379">
        <f>Q74+O74+M74+K74</f>
        <v>312936918</v>
      </c>
      <c r="S74" s="380"/>
      <c r="T74" s="381">
        <f>Q74+M74+K74+O74</f>
        <v>312936918</v>
      </c>
      <c r="U74" s="382"/>
      <c r="V74" s="461">
        <f>ROUND((H110-T74),0)</f>
        <v>0</v>
      </c>
      <c r="W74" s="384" t="e">
        <f>ROUND((Q74+M74+K74+O74)*(#REF!+#REF!),0)</f>
        <v>#REF!</v>
      </c>
      <c r="X74" s="384" t="e">
        <f>ROUND((T74)*(#REF!+#REF!),0)</f>
        <v>#REF!</v>
      </c>
      <c r="Y74" s="383" t="e">
        <f>+W74-X74</f>
        <v>#REF!</v>
      </c>
      <c r="Z74" s="383">
        <f>ROUND(SUM(K74:Q74),0)</f>
        <v>312936918</v>
      </c>
    </row>
    <row r="75" spans="1:26" ht="40.5" x14ac:dyDescent="0.25">
      <c r="A75" s="418"/>
      <c r="B75" s="295" t="s">
        <v>4176</v>
      </c>
      <c r="C75" s="502" t="s">
        <v>4657</v>
      </c>
      <c r="D75" s="421" t="s">
        <v>4495</v>
      </c>
      <c r="E75" s="422" t="s">
        <v>3986</v>
      </c>
      <c r="F75" s="422">
        <v>5</v>
      </c>
      <c r="G75" s="400">
        <f>+'Analisis de mercado 2025'!H8</f>
        <v>4292733.333333333</v>
      </c>
      <c r="H75" s="395">
        <f t="shared" ref="H75:H109" si="114">ROUND((F75*G75),0)</f>
        <v>21463667</v>
      </c>
      <c r="J75" s="462">
        <f t="shared" ref="J75:J109" si="115">+G75</f>
        <v>4292733.333333333</v>
      </c>
      <c r="K75" s="386">
        <f>ROUND(J75*F75,0)</f>
        <v>21463667</v>
      </c>
      <c r="L75" s="385"/>
      <c r="M75" s="386"/>
      <c r="N75" s="385"/>
      <c r="O75" s="386"/>
      <c r="P75" s="385"/>
      <c r="Q75" s="386"/>
      <c r="R75" s="387">
        <f>Q75+O75+M75+K75</f>
        <v>21463667</v>
      </c>
      <c r="S75" s="388"/>
      <c r="T75" s="389">
        <f>Q75+M75+K75+O75</f>
        <v>21463667</v>
      </c>
      <c r="U75" s="388"/>
      <c r="V75" s="461">
        <f t="shared" ref="V75:V102" si="116">ROUND((H75-T75),0)</f>
        <v>0</v>
      </c>
      <c r="W75" s="390" t="e">
        <f>ROUND((Q75+M75+K75+O75)*(#REF!+#REF!),0)</f>
        <v>#REF!</v>
      </c>
      <c r="X75" s="390" t="e">
        <f>ROUND((T75)*(#REF!+#REF!),0)</f>
        <v>#REF!</v>
      </c>
      <c r="Y75" s="383" t="e">
        <f t="shared" ref="Y75:Y102" si="117">+W75-X75</f>
        <v>#REF!</v>
      </c>
      <c r="Z75" s="374"/>
    </row>
    <row r="76" spans="1:26" ht="27" x14ac:dyDescent="0.25">
      <c r="A76" s="418"/>
      <c r="B76" s="345" t="s">
        <v>4496</v>
      </c>
      <c r="C76" s="345" t="s">
        <v>4661</v>
      </c>
      <c r="D76" s="419" t="s">
        <v>4497</v>
      </c>
      <c r="E76" s="345" t="s">
        <v>3986</v>
      </c>
      <c r="F76" s="345">
        <v>1</v>
      </c>
      <c r="G76" s="400">
        <f>+'Analisis de mercado 2025'!H9</f>
        <v>6802991.666666667</v>
      </c>
      <c r="H76" s="954">
        <f t="shared" si="114"/>
        <v>6802992</v>
      </c>
      <c r="J76" s="462">
        <f t="shared" si="115"/>
        <v>6802991.666666667</v>
      </c>
      <c r="K76" s="386">
        <f t="shared" ref="K76:K109" si="118">ROUND(J76*F76,0)</f>
        <v>6802992</v>
      </c>
      <c r="L76" s="385"/>
      <c r="M76" s="386"/>
      <c r="N76" s="385"/>
      <c r="O76" s="386"/>
      <c r="P76" s="385"/>
      <c r="Q76" s="386"/>
      <c r="R76" s="387">
        <f t="shared" ref="R76:R109" si="119">Q76+O76+M76+K76</f>
        <v>6802992</v>
      </c>
      <c r="S76" s="388"/>
      <c r="T76" s="389">
        <f t="shared" ref="T76:T109" si="120">Q76+M76+K76+O76</f>
        <v>6802992</v>
      </c>
      <c r="U76" s="388"/>
      <c r="V76" s="461">
        <f t="shared" si="116"/>
        <v>0</v>
      </c>
      <c r="W76" s="390" t="e">
        <f>ROUND((Q76+M76+K76+O76)*(#REF!+#REF!),0)</f>
        <v>#REF!</v>
      </c>
      <c r="X76" s="390" t="e">
        <f>ROUND((T76)*(#REF!+#REF!),0)</f>
        <v>#REF!</v>
      </c>
      <c r="Y76" s="383" t="e">
        <f t="shared" si="117"/>
        <v>#REF!</v>
      </c>
      <c r="Z76" s="374"/>
    </row>
    <row r="77" spans="1:26" ht="81" x14ac:dyDescent="0.25">
      <c r="A77" s="418"/>
      <c r="B77" s="420" t="s">
        <v>4178</v>
      </c>
      <c r="C77" s="420" t="s">
        <v>4662</v>
      </c>
      <c r="D77" s="421" t="s">
        <v>4498</v>
      </c>
      <c r="E77" s="422" t="s">
        <v>3986</v>
      </c>
      <c r="F77" s="422">
        <v>2</v>
      </c>
      <c r="G77" s="400">
        <f>+'Analisis de mercado 2025'!H10</f>
        <v>17315525</v>
      </c>
      <c r="H77" s="954">
        <f t="shared" si="114"/>
        <v>34631050</v>
      </c>
      <c r="J77" s="462">
        <f t="shared" si="115"/>
        <v>17315525</v>
      </c>
      <c r="K77" s="386">
        <f t="shared" si="118"/>
        <v>34631050</v>
      </c>
      <c r="R77" s="387">
        <f t="shared" si="119"/>
        <v>34631050</v>
      </c>
      <c r="S77" s="388"/>
      <c r="T77" s="389">
        <f t="shared" si="120"/>
        <v>34631050</v>
      </c>
      <c r="U77" s="388"/>
      <c r="V77" s="461">
        <f t="shared" si="116"/>
        <v>0</v>
      </c>
      <c r="W77" s="390" t="e">
        <f>ROUND((Q77+M77+K77+O77)*(#REF!+#REF!),0)</f>
        <v>#REF!</v>
      </c>
      <c r="X77" s="390" t="e">
        <f>ROUND((T77)*(#REF!+#REF!),0)</f>
        <v>#REF!</v>
      </c>
      <c r="Y77" s="383" t="e">
        <f t="shared" si="117"/>
        <v>#REF!</v>
      </c>
    </row>
    <row r="78" spans="1:26" ht="27" x14ac:dyDescent="0.25">
      <c r="A78" s="418"/>
      <c r="B78" s="420" t="s">
        <v>4180</v>
      </c>
      <c r="C78" s="420" t="s">
        <v>4663</v>
      </c>
      <c r="D78" s="336" t="s">
        <v>4499</v>
      </c>
      <c r="E78" s="422" t="s">
        <v>3986</v>
      </c>
      <c r="F78" s="422">
        <v>1</v>
      </c>
      <c r="G78" s="400">
        <f>+'Analisis de mercado 2025'!H12</f>
        <v>3848832.3333333335</v>
      </c>
      <c r="H78" s="954">
        <f t="shared" si="114"/>
        <v>3848832</v>
      </c>
      <c r="J78" s="462">
        <f t="shared" si="115"/>
        <v>3848832.3333333335</v>
      </c>
      <c r="K78" s="386">
        <f t="shared" si="118"/>
        <v>3848832</v>
      </c>
      <c r="R78" s="387">
        <f t="shared" si="119"/>
        <v>3848832</v>
      </c>
      <c r="S78" s="388"/>
      <c r="T78" s="389">
        <f t="shared" si="120"/>
        <v>3848832</v>
      </c>
      <c r="U78" s="388"/>
      <c r="V78" s="461">
        <f t="shared" si="116"/>
        <v>0</v>
      </c>
      <c r="W78" s="390" t="e">
        <f>ROUND((Q78+M78+K78+O78)*(#REF!+#REF!),0)</f>
        <v>#REF!</v>
      </c>
      <c r="X78" s="390" t="e">
        <f>ROUND((T78)*(#REF!+#REF!),0)</f>
        <v>#REF!</v>
      </c>
      <c r="Y78" s="383" t="e">
        <f t="shared" si="117"/>
        <v>#REF!</v>
      </c>
    </row>
    <row r="79" spans="1:26" ht="40.5" x14ac:dyDescent="0.25">
      <c r="A79" s="418"/>
      <c r="B79" s="345" t="s">
        <v>4183</v>
      </c>
      <c r="C79" s="345" t="s">
        <v>4664</v>
      </c>
      <c r="D79" s="419" t="s">
        <v>4797</v>
      </c>
      <c r="E79" s="422" t="s">
        <v>3986</v>
      </c>
      <c r="F79" s="422">
        <v>6</v>
      </c>
      <c r="G79" s="400">
        <f>+'Analisis de mercado 2025'!H16</f>
        <v>223060.33333333334</v>
      </c>
      <c r="H79" s="954">
        <f t="shared" si="114"/>
        <v>1338362</v>
      </c>
      <c r="J79" s="462">
        <f t="shared" si="115"/>
        <v>223060.33333333334</v>
      </c>
      <c r="K79" s="386">
        <f t="shared" si="118"/>
        <v>1338362</v>
      </c>
      <c r="R79" s="387">
        <f t="shared" si="119"/>
        <v>1338362</v>
      </c>
      <c r="S79" s="388"/>
      <c r="T79" s="389">
        <f t="shared" si="120"/>
        <v>1338362</v>
      </c>
      <c r="U79" s="388"/>
      <c r="V79" s="461">
        <f t="shared" si="116"/>
        <v>0</v>
      </c>
      <c r="W79" s="390" t="e">
        <f>ROUND((Q79+M79+K79+O79)*(#REF!+#REF!),0)</f>
        <v>#REF!</v>
      </c>
      <c r="X79" s="390" t="e">
        <f>ROUND((T79)*(#REF!+#REF!),0)</f>
        <v>#REF!</v>
      </c>
      <c r="Y79" s="383" t="e">
        <f t="shared" si="117"/>
        <v>#REF!</v>
      </c>
    </row>
    <row r="80" spans="1:26" ht="40.5" x14ac:dyDescent="0.25">
      <c r="A80" s="418"/>
      <c r="B80" s="345" t="s">
        <v>4183</v>
      </c>
      <c r="C80" s="345" t="s">
        <v>4665</v>
      </c>
      <c r="D80" s="419" t="s">
        <v>4500</v>
      </c>
      <c r="E80" s="422" t="s">
        <v>3986</v>
      </c>
      <c r="F80" s="422">
        <v>22</v>
      </c>
      <c r="G80" s="400">
        <f>+'Analisis de mercado 2025'!H15</f>
        <v>547963.66666666663</v>
      </c>
      <c r="H80" s="954">
        <f t="shared" si="114"/>
        <v>12055201</v>
      </c>
      <c r="J80" s="462">
        <f t="shared" si="115"/>
        <v>547963.66666666663</v>
      </c>
      <c r="K80" s="386">
        <f t="shared" si="118"/>
        <v>12055201</v>
      </c>
      <c r="R80" s="387">
        <f t="shared" si="119"/>
        <v>12055201</v>
      </c>
      <c r="S80" s="388"/>
      <c r="T80" s="389">
        <f t="shared" si="120"/>
        <v>12055201</v>
      </c>
      <c r="U80" s="388"/>
      <c r="V80" s="461">
        <f t="shared" si="116"/>
        <v>0</v>
      </c>
      <c r="W80" s="390" t="e">
        <f>ROUND((Q80+M80+K80+O80)*(#REF!+#REF!),0)</f>
        <v>#REF!</v>
      </c>
      <c r="X80" s="390" t="e">
        <f>ROUND((T80)*(#REF!+#REF!),0)</f>
        <v>#REF!</v>
      </c>
      <c r="Y80" s="383" t="e">
        <f t="shared" si="117"/>
        <v>#REF!</v>
      </c>
    </row>
    <row r="81" spans="1:25" ht="84.75" customHeight="1" x14ac:dyDescent="0.25">
      <c r="A81" s="418"/>
      <c r="B81" s="422" t="s">
        <v>4185</v>
      </c>
      <c r="C81" s="422" t="s">
        <v>4666</v>
      </c>
      <c r="D81" s="421" t="s">
        <v>4501</v>
      </c>
      <c r="E81" s="422" t="s">
        <v>3986</v>
      </c>
      <c r="F81" s="422">
        <v>1</v>
      </c>
      <c r="G81" s="400">
        <f>+'Analisis de mercado 2025'!H17</f>
        <v>12513276</v>
      </c>
      <c r="H81" s="954">
        <f t="shared" si="114"/>
        <v>12513276</v>
      </c>
      <c r="J81" s="462">
        <f t="shared" si="115"/>
        <v>12513276</v>
      </c>
      <c r="K81" s="386">
        <f t="shared" si="118"/>
        <v>12513276</v>
      </c>
      <c r="R81" s="387">
        <f t="shared" si="119"/>
        <v>12513276</v>
      </c>
      <c r="S81" s="388"/>
      <c r="T81" s="389">
        <f t="shared" si="120"/>
        <v>12513276</v>
      </c>
      <c r="U81" s="388"/>
      <c r="V81" s="461">
        <f t="shared" si="116"/>
        <v>0</v>
      </c>
      <c r="W81" s="390" t="e">
        <f>ROUND((Q81+M81+K81+O81)*(#REF!+#REF!),0)</f>
        <v>#REF!</v>
      </c>
      <c r="X81" s="390" t="e">
        <f>ROUND((T81)*(#REF!+#REF!),0)</f>
        <v>#REF!</v>
      </c>
      <c r="Y81" s="383" t="e">
        <f t="shared" si="117"/>
        <v>#REF!</v>
      </c>
    </row>
    <row r="82" spans="1:25" ht="94.5" x14ac:dyDescent="0.25">
      <c r="A82" s="418"/>
      <c r="B82" s="343" t="s">
        <v>4187</v>
      </c>
      <c r="C82" s="343" t="s">
        <v>4667</v>
      </c>
      <c r="D82" s="423" t="s">
        <v>4502</v>
      </c>
      <c r="E82" s="343" t="s">
        <v>3986</v>
      </c>
      <c r="F82" s="343">
        <v>1</v>
      </c>
      <c r="G82" s="400">
        <f>+'Analisis de mercado 2025'!H19</f>
        <v>18110625.333333332</v>
      </c>
      <c r="H82" s="954">
        <f t="shared" si="114"/>
        <v>18110625</v>
      </c>
      <c r="J82" s="462">
        <f t="shared" si="115"/>
        <v>18110625.333333332</v>
      </c>
      <c r="K82" s="386">
        <f t="shared" si="118"/>
        <v>18110625</v>
      </c>
      <c r="R82" s="387">
        <f t="shared" si="119"/>
        <v>18110625</v>
      </c>
      <c r="S82" s="388"/>
      <c r="T82" s="389">
        <f t="shared" si="120"/>
        <v>18110625</v>
      </c>
      <c r="U82" s="388"/>
      <c r="V82" s="461">
        <f t="shared" si="116"/>
        <v>0</v>
      </c>
      <c r="W82" s="390" t="e">
        <f>ROUND((Q82+M82+K82+O82)*(#REF!+#REF!),0)</f>
        <v>#REF!</v>
      </c>
      <c r="X82" s="390" t="e">
        <f>ROUND((T82)*(#REF!+#REF!),0)</f>
        <v>#REF!</v>
      </c>
      <c r="Y82" s="383" t="e">
        <f t="shared" si="117"/>
        <v>#REF!</v>
      </c>
    </row>
    <row r="83" spans="1:25" ht="67.5" x14ac:dyDescent="0.25">
      <c r="A83" s="418"/>
      <c r="B83" s="422" t="s">
        <v>4189</v>
      </c>
      <c r="C83" s="422" t="s">
        <v>4668</v>
      </c>
      <c r="D83" s="421" t="s">
        <v>4503</v>
      </c>
      <c r="E83" s="422" t="s">
        <v>3986</v>
      </c>
      <c r="F83" s="422">
        <v>4</v>
      </c>
      <c r="G83" s="400">
        <f>+'Analisis de mercado 2025'!H20</f>
        <v>5735508.666666667</v>
      </c>
      <c r="H83" s="954">
        <f t="shared" si="114"/>
        <v>22942035</v>
      </c>
      <c r="J83" s="462">
        <f t="shared" si="115"/>
        <v>5735508.666666667</v>
      </c>
      <c r="K83" s="386">
        <f t="shared" si="118"/>
        <v>22942035</v>
      </c>
      <c r="R83" s="387">
        <f t="shared" si="119"/>
        <v>22942035</v>
      </c>
      <c r="S83" s="388"/>
      <c r="T83" s="389">
        <f t="shared" si="120"/>
        <v>22942035</v>
      </c>
      <c r="U83" s="388"/>
      <c r="V83" s="461">
        <f t="shared" si="116"/>
        <v>0</v>
      </c>
      <c r="W83" s="390" t="e">
        <f>ROUND((Q83+M83+K83+O83)*(#REF!+#REF!),0)</f>
        <v>#REF!</v>
      </c>
      <c r="X83" s="390" t="e">
        <f>ROUND((T83)*(#REF!+#REF!),0)</f>
        <v>#REF!</v>
      </c>
      <c r="Y83" s="383" t="e">
        <f t="shared" si="117"/>
        <v>#REF!</v>
      </c>
    </row>
    <row r="84" spans="1:25" ht="54" x14ac:dyDescent="0.25">
      <c r="A84" s="424"/>
      <c r="B84" s="425" t="s">
        <v>4191</v>
      </c>
      <c r="C84" s="425" t="s">
        <v>4669</v>
      </c>
      <c r="D84" s="421" t="s">
        <v>4504</v>
      </c>
      <c r="E84" s="426" t="s">
        <v>3986</v>
      </c>
      <c r="F84" s="427">
        <v>2</v>
      </c>
      <c r="G84" s="400">
        <f>+'Analisis de mercado 2025'!H21</f>
        <v>5058212</v>
      </c>
      <c r="H84" s="954">
        <f t="shared" si="114"/>
        <v>10116424</v>
      </c>
      <c r="J84" s="462">
        <f t="shared" si="115"/>
        <v>5058212</v>
      </c>
      <c r="K84" s="386">
        <f t="shared" si="118"/>
        <v>10116424</v>
      </c>
      <c r="R84" s="387">
        <f t="shared" si="119"/>
        <v>10116424</v>
      </c>
      <c r="S84" s="388"/>
      <c r="T84" s="389">
        <f t="shared" si="120"/>
        <v>10116424</v>
      </c>
      <c r="U84" s="388"/>
      <c r="V84" s="461">
        <f t="shared" si="116"/>
        <v>0</v>
      </c>
      <c r="W84" s="390" t="e">
        <f>ROUND((Q84+M84+K84+O84)*(#REF!+#REF!),0)</f>
        <v>#REF!</v>
      </c>
      <c r="X84" s="390" t="e">
        <f>ROUND((T84)*(#REF!+#REF!),0)</f>
        <v>#REF!</v>
      </c>
      <c r="Y84" s="383" t="e">
        <f t="shared" si="117"/>
        <v>#REF!</v>
      </c>
    </row>
    <row r="85" spans="1:25" ht="94.5" x14ac:dyDescent="0.25">
      <c r="A85" s="418"/>
      <c r="B85" s="422" t="s">
        <v>4193</v>
      </c>
      <c r="C85" s="422" t="s">
        <v>4670</v>
      </c>
      <c r="D85" s="421" t="s">
        <v>4505</v>
      </c>
      <c r="E85" s="422" t="s">
        <v>3986</v>
      </c>
      <c r="F85" s="422">
        <v>1</v>
      </c>
      <c r="G85" s="400">
        <f>+'Analisis de mercado 2025'!H22</f>
        <v>6352274.333333333</v>
      </c>
      <c r="H85" s="954">
        <f t="shared" si="114"/>
        <v>6352274</v>
      </c>
      <c r="J85" s="462">
        <f t="shared" si="115"/>
        <v>6352274.333333333</v>
      </c>
      <c r="K85" s="386">
        <f t="shared" si="118"/>
        <v>6352274</v>
      </c>
      <c r="R85" s="387">
        <f t="shared" si="119"/>
        <v>6352274</v>
      </c>
      <c r="S85" s="388"/>
      <c r="T85" s="389">
        <f t="shared" si="120"/>
        <v>6352274</v>
      </c>
      <c r="U85" s="388"/>
      <c r="V85" s="461">
        <f t="shared" si="116"/>
        <v>0</v>
      </c>
      <c r="W85" s="390" t="e">
        <f>ROUND((Q85+M85+K85+O85)*(#REF!+#REF!),0)</f>
        <v>#REF!</v>
      </c>
      <c r="X85" s="390" t="e">
        <f>ROUND((T85)*(#REF!+#REF!),0)</f>
        <v>#REF!</v>
      </c>
      <c r="Y85" s="383" t="e">
        <f t="shared" si="117"/>
        <v>#REF!</v>
      </c>
    </row>
    <row r="86" spans="1:25" ht="67.5" x14ac:dyDescent="0.25">
      <c r="A86" s="418"/>
      <c r="B86" s="428" t="s">
        <v>4197</v>
      </c>
      <c r="C86" s="428" t="s">
        <v>4671</v>
      </c>
      <c r="D86" s="429" t="s">
        <v>4506</v>
      </c>
      <c r="E86" s="426" t="s">
        <v>3986</v>
      </c>
      <c r="F86" s="426">
        <v>1</v>
      </c>
      <c r="G86" s="400">
        <f>+'Analisis de mercado 2025'!H24</f>
        <v>7126476.333333333</v>
      </c>
      <c r="H86" s="954">
        <f t="shared" si="114"/>
        <v>7126476</v>
      </c>
      <c r="J86" s="462">
        <f t="shared" si="115"/>
        <v>7126476.333333333</v>
      </c>
      <c r="K86" s="386">
        <f t="shared" si="118"/>
        <v>7126476</v>
      </c>
      <c r="R86" s="387">
        <f t="shared" si="119"/>
        <v>7126476</v>
      </c>
      <c r="S86" s="388"/>
      <c r="T86" s="389">
        <f t="shared" si="120"/>
        <v>7126476</v>
      </c>
      <c r="U86" s="388"/>
      <c r="V86" s="461">
        <f t="shared" si="116"/>
        <v>0</v>
      </c>
      <c r="W86" s="390" t="e">
        <f>ROUND((Q86+M86+K86+O86)*(#REF!+#REF!),0)</f>
        <v>#REF!</v>
      </c>
      <c r="X86" s="390" t="e">
        <f>ROUND((T86)*(#REF!+#REF!),0)</f>
        <v>#REF!</v>
      </c>
      <c r="Y86" s="383" t="e">
        <f t="shared" si="117"/>
        <v>#REF!</v>
      </c>
    </row>
    <row r="87" spans="1:25" ht="40.5" x14ac:dyDescent="0.25">
      <c r="A87" s="418"/>
      <c r="B87" s="430" t="s">
        <v>4507</v>
      </c>
      <c r="C87" s="430" t="s">
        <v>4672</v>
      </c>
      <c r="D87" s="421" t="s">
        <v>4508</v>
      </c>
      <c r="E87" s="430" t="s">
        <v>3986</v>
      </c>
      <c r="F87" s="420">
        <v>2</v>
      </c>
      <c r="G87" s="400">
        <f>+'Analisis de mercado 2025'!H25</f>
        <v>4976249.333333333</v>
      </c>
      <c r="H87" s="954">
        <f t="shared" si="114"/>
        <v>9952499</v>
      </c>
      <c r="J87" s="462">
        <f t="shared" si="115"/>
        <v>4976249.333333333</v>
      </c>
      <c r="K87" s="386">
        <f t="shared" si="118"/>
        <v>9952499</v>
      </c>
      <c r="R87" s="387">
        <f t="shared" si="119"/>
        <v>9952499</v>
      </c>
      <c r="S87" s="388"/>
      <c r="T87" s="389">
        <f t="shared" si="120"/>
        <v>9952499</v>
      </c>
      <c r="U87" s="388"/>
      <c r="V87" s="461">
        <f t="shared" si="116"/>
        <v>0</v>
      </c>
      <c r="W87" s="390" t="e">
        <f>ROUND((Q87+M87+K87+O87)*(#REF!+#REF!),0)</f>
        <v>#REF!</v>
      </c>
      <c r="X87" s="390" t="e">
        <f>ROUND((T87)*(#REF!+#REF!),0)</f>
        <v>#REF!</v>
      </c>
      <c r="Y87" s="383" t="e">
        <f t="shared" si="117"/>
        <v>#REF!</v>
      </c>
    </row>
    <row r="88" spans="1:25" ht="27" x14ac:dyDescent="0.25">
      <c r="A88" s="424"/>
      <c r="B88" s="425" t="s">
        <v>4509</v>
      </c>
      <c r="C88" s="425" t="s">
        <v>4673</v>
      </c>
      <c r="D88" s="419" t="s">
        <v>4510</v>
      </c>
      <c r="E88" s="425" t="s">
        <v>4021</v>
      </c>
      <c r="F88" s="431">
        <v>16</v>
      </c>
      <c r="G88" s="400">
        <f>+'Analisis de mercado 2025'!H29</f>
        <v>1700748</v>
      </c>
      <c r="H88" s="954">
        <f t="shared" si="114"/>
        <v>27211968</v>
      </c>
      <c r="J88" s="462">
        <f t="shared" si="115"/>
        <v>1700748</v>
      </c>
      <c r="K88" s="386">
        <f t="shared" si="118"/>
        <v>27211968</v>
      </c>
      <c r="R88" s="387">
        <f t="shared" si="119"/>
        <v>27211968</v>
      </c>
      <c r="S88" s="388"/>
      <c r="T88" s="389">
        <f t="shared" si="120"/>
        <v>27211968</v>
      </c>
      <c r="U88" s="388"/>
      <c r="V88" s="461">
        <f t="shared" si="116"/>
        <v>0</v>
      </c>
      <c r="W88" s="390" t="e">
        <f>ROUND((Q88+M88+K88+O88)*(#REF!+#REF!),0)</f>
        <v>#REF!</v>
      </c>
      <c r="X88" s="390" t="e">
        <f>ROUND((T88)*(#REF!+#REF!),0)</f>
        <v>#REF!</v>
      </c>
      <c r="Y88" s="383" t="e">
        <f t="shared" si="117"/>
        <v>#REF!</v>
      </c>
    </row>
    <row r="89" spans="1:25" ht="27" x14ac:dyDescent="0.25">
      <c r="A89" s="432"/>
      <c r="B89" s="428" t="s">
        <v>4209</v>
      </c>
      <c r="C89" s="428" t="s">
        <v>4674</v>
      </c>
      <c r="D89" s="429" t="s">
        <v>4511</v>
      </c>
      <c r="E89" s="426" t="s">
        <v>3986</v>
      </c>
      <c r="F89" s="426">
        <v>3</v>
      </c>
      <c r="G89" s="400">
        <f>+'Analisis de mercado 2025'!H35</f>
        <v>2318770.6666666665</v>
      </c>
      <c r="H89" s="954">
        <f t="shared" si="114"/>
        <v>6956312</v>
      </c>
      <c r="J89" s="462">
        <f t="shared" si="115"/>
        <v>2318770.6666666665</v>
      </c>
      <c r="K89" s="386">
        <f t="shared" si="118"/>
        <v>6956312</v>
      </c>
      <c r="R89" s="387">
        <f t="shared" si="119"/>
        <v>6956312</v>
      </c>
      <c r="S89" s="388"/>
      <c r="T89" s="389">
        <f t="shared" si="120"/>
        <v>6956312</v>
      </c>
      <c r="U89" s="388"/>
      <c r="V89" s="461">
        <f t="shared" si="116"/>
        <v>0</v>
      </c>
      <c r="W89" s="390" t="e">
        <f>ROUND((Q89+M89+K89+O89)*(#REF!+#REF!),0)</f>
        <v>#REF!</v>
      </c>
      <c r="X89" s="390" t="e">
        <f>ROUND((T89)*(#REF!+#REF!),0)</f>
        <v>#REF!</v>
      </c>
      <c r="Y89" s="383" t="e">
        <f t="shared" si="117"/>
        <v>#REF!</v>
      </c>
    </row>
    <row r="90" spans="1:25" ht="40.5" x14ac:dyDescent="0.25">
      <c r="A90" s="433"/>
      <c r="B90" s="428" t="s">
        <v>4212</v>
      </c>
      <c r="C90" s="428" t="s">
        <v>4675</v>
      </c>
      <c r="D90" s="429" t="s">
        <v>4512</v>
      </c>
      <c r="E90" s="426" t="s">
        <v>3986</v>
      </c>
      <c r="F90" s="426">
        <v>3</v>
      </c>
      <c r="G90" s="400">
        <f>+'Analisis de mercado 2025'!H36</f>
        <v>70900</v>
      </c>
      <c r="H90" s="954">
        <f t="shared" si="114"/>
        <v>212700</v>
      </c>
      <c r="J90" s="462">
        <f t="shared" si="115"/>
        <v>70900</v>
      </c>
      <c r="K90" s="386">
        <f t="shared" si="118"/>
        <v>212700</v>
      </c>
      <c r="R90" s="387">
        <f t="shared" si="119"/>
        <v>212700</v>
      </c>
      <c r="S90" s="388"/>
      <c r="T90" s="389">
        <f t="shared" si="120"/>
        <v>212700</v>
      </c>
      <c r="U90" s="388"/>
      <c r="V90" s="461">
        <f t="shared" si="116"/>
        <v>0</v>
      </c>
      <c r="W90" s="390" t="e">
        <f>ROUND((Q90+M90+K90+O90)*(#REF!+#REF!),0)</f>
        <v>#REF!</v>
      </c>
      <c r="X90" s="390" t="e">
        <f>ROUND((T90)*(#REF!+#REF!),0)</f>
        <v>#REF!</v>
      </c>
      <c r="Y90" s="383" t="e">
        <f t="shared" si="117"/>
        <v>#REF!</v>
      </c>
    </row>
    <row r="91" spans="1:25" ht="54" x14ac:dyDescent="0.25">
      <c r="A91" s="424"/>
      <c r="B91" s="425" t="s">
        <v>4215</v>
      </c>
      <c r="C91" s="425" t="s">
        <v>4676</v>
      </c>
      <c r="D91" s="419" t="s">
        <v>4513</v>
      </c>
      <c r="E91" s="426" t="s">
        <v>3986</v>
      </c>
      <c r="F91" s="427">
        <v>1</v>
      </c>
      <c r="G91" s="400">
        <f>+'Analisis de mercado 2025'!H38</f>
        <v>3391485.3333333335</v>
      </c>
      <c r="H91" s="954">
        <f t="shared" si="114"/>
        <v>3391485</v>
      </c>
      <c r="J91" s="462">
        <f t="shared" si="115"/>
        <v>3391485.3333333335</v>
      </c>
      <c r="K91" s="386">
        <f t="shared" si="118"/>
        <v>3391485</v>
      </c>
      <c r="R91" s="387">
        <f t="shared" si="119"/>
        <v>3391485</v>
      </c>
      <c r="S91" s="388"/>
      <c r="T91" s="389">
        <f t="shared" si="120"/>
        <v>3391485</v>
      </c>
      <c r="U91" s="388"/>
      <c r="V91" s="461">
        <f t="shared" si="116"/>
        <v>0</v>
      </c>
      <c r="W91" s="390" t="e">
        <f>ROUND((Q91+M91+K91+O91)*(#REF!+#REF!),0)</f>
        <v>#REF!</v>
      </c>
      <c r="X91" s="390" t="e">
        <f>ROUND((T91)*(#REF!+#REF!),0)</f>
        <v>#REF!</v>
      </c>
      <c r="Y91" s="383" t="e">
        <f t="shared" si="117"/>
        <v>#REF!</v>
      </c>
    </row>
    <row r="92" spans="1:25" ht="67.5" x14ac:dyDescent="0.25">
      <c r="A92" s="424"/>
      <c r="B92" s="428" t="s">
        <v>4217</v>
      </c>
      <c r="C92" s="428" t="s">
        <v>4677</v>
      </c>
      <c r="D92" s="429" t="s">
        <v>4514</v>
      </c>
      <c r="E92" s="426" t="s">
        <v>3986</v>
      </c>
      <c r="F92" s="345">
        <v>1</v>
      </c>
      <c r="G92" s="400">
        <f>+'Analisis de mercado 2025'!H40</f>
        <v>6704344.333333333</v>
      </c>
      <c r="H92" s="954">
        <f t="shared" si="114"/>
        <v>6704344</v>
      </c>
      <c r="J92" s="462">
        <f t="shared" si="115"/>
        <v>6704344.333333333</v>
      </c>
      <c r="K92" s="386">
        <f t="shared" si="118"/>
        <v>6704344</v>
      </c>
      <c r="R92" s="387">
        <f t="shared" si="119"/>
        <v>6704344</v>
      </c>
      <c r="S92" s="388"/>
      <c r="T92" s="389">
        <f t="shared" si="120"/>
        <v>6704344</v>
      </c>
      <c r="U92" s="388"/>
      <c r="V92" s="461">
        <f t="shared" si="116"/>
        <v>0</v>
      </c>
      <c r="W92" s="390" t="e">
        <f>ROUND((Q92+M92+K92+O92)*(#REF!+#REF!),0)</f>
        <v>#REF!</v>
      </c>
      <c r="X92" s="390" t="e">
        <f>ROUND((T92)*(#REF!+#REF!),0)</f>
        <v>#REF!</v>
      </c>
      <c r="Y92" s="383" t="e">
        <f t="shared" si="117"/>
        <v>#REF!</v>
      </c>
    </row>
    <row r="93" spans="1:25" ht="40.5" x14ac:dyDescent="0.25">
      <c r="A93" s="424"/>
      <c r="B93" s="425" t="s">
        <v>4515</v>
      </c>
      <c r="C93" s="425" t="s">
        <v>4678</v>
      </c>
      <c r="D93" s="336" t="s">
        <v>4516</v>
      </c>
      <c r="E93" s="425" t="s">
        <v>3986</v>
      </c>
      <c r="F93" s="422">
        <v>30</v>
      </c>
      <c r="G93" s="400">
        <f>+'Analisis de mercado 2025'!H43</f>
        <v>344695</v>
      </c>
      <c r="H93" s="954">
        <f t="shared" si="114"/>
        <v>10340850</v>
      </c>
      <c r="J93" s="462">
        <f t="shared" si="115"/>
        <v>344695</v>
      </c>
      <c r="K93" s="386">
        <f t="shared" si="118"/>
        <v>10340850</v>
      </c>
      <c r="R93" s="387">
        <f t="shared" si="119"/>
        <v>10340850</v>
      </c>
      <c r="S93" s="388"/>
      <c r="T93" s="389">
        <f t="shared" si="120"/>
        <v>10340850</v>
      </c>
      <c r="U93" s="388"/>
      <c r="V93" s="461">
        <f t="shared" si="116"/>
        <v>0</v>
      </c>
      <c r="W93" s="390" t="e">
        <f>ROUND((Q93+M93+K93+O93)*(#REF!+#REF!),0)</f>
        <v>#REF!</v>
      </c>
      <c r="X93" s="390" t="e">
        <f>ROUND((T93)*(#REF!+#REF!),0)</f>
        <v>#REF!</v>
      </c>
      <c r="Y93" s="383" t="e">
        <f t="shared" si="117"/>
        <v>#REF!</v>
      </c>
    </row>
    <row r="94" spans="1:25" ht="48" customHeight="1" x14ac:dyDescent="0.25">
      <c r="A94" s="424"/>
      <c r="B94" s="425" t="s">
        <v>4221</v>
      </c>
      <c r="C94" s="425" t="s">
        <v>4679</v>
      </c>
      <c r="D94" s="421" t="s">
        <v>4517</v>
      </c>
      <c r="E94" s="425" t="s">
        <v>3986</v>
      </c>
      <c r="F94" s="422">
        <v>7</v>
      </c>
      <c r="G94" s="400">
        <f>+'Analisis de mercado 2025'!H46</f>
        <v>1236743.6666666667</v>
      </c>
      <c r="H94" s="954">
        <f t="shared" si="114"/>
        <v>8657206</v>
      </c>
      <c r="J94" s="462">
        <f t="shared" si="115"/>
        <v>1236743.6666666667</v>
      </c>
      <c r="K94" s="386">
        <f t="shared" si="118"/>
        <v>8657206</v>
      </c>
      <c r="R94" s="387">
        <f t="shared" si="119"/>
        <v>8657206</v>
      </c>
      <c r="S94" s="388"/>
      <c r="T94" s="389">
        <f t="shared" si="120"/>
        <v>8657206</v>
      </c>
      <c r="U94" s="388"/>
      <c r="V94" s="461">
        <f t="shared" si="116"/>
        <v>0</v>
      </c>
      <c r="W94" s="390" t="e">
        <f>ROUND((Q94+M94+K94+O94)*(#REF!+#REF!),0)</f>
        <v>#REF!</v>
      </c>
      <c r="X94" s="390" t="e">
        <f>ROUND((T94)*(#REF!+#REF!),0)</f>
        <v>#REF!</v>
      </c>
      <c r="Y94" s="383" t="e">
        <f t="shared" si="117"/>
        <v>#REF!</v>
      </c>
    </row>
    <row r="95" spans="1:25" ht="27" x14ac:dyDescent="0.25">
      <c r="A95" s="418"/>
      <c r="B95" s="434" t="s">
        <v>4223</v>
      </c>
      <c r="C95" s="434" t="s">
        <v>4680</v>
      </c>
      <c r="D95" s="435" t="s">
        <v>4518</v>
      </c>
      <c r="E95" s="345" t="s">
        <v>3986</v>
      </c>
      <c r="F95" s="345">
        <v>2</v>
      </c>
      <c r="G95" s="400">
        <f>+'Analisis de mercado 2025'!H52</f>
        <v>3170640.3333333335</v>
      </c>
      <c r="H95" s="954">
        <f t="shared" si="114"/>
        <v>6341281</v>
      </c>
      <c r="J95" s="462">
        <f t="shared" si="115"/>
        <v>3170640.3333333335</v>
      </c>
      <c r="K95" s="386">
        <f t="shared" si="118"/>
        <v>6341281</v>
      </c>
      <c r="R95" s="387">
        <f t="shared" si="119"/>
        <v>6341281</v>
      </c>
      <c r="S95" s="388"/>
      <c r="T95" s="389">
        <f t="shared" si="120"/>
        <v>6341281</v>
      </c>
      <c r="U95" s="388"/>
      <c r="V95" s="461">
        <f t="shared" si="116"/>
        <v>0</v>
      </c>
      <c r="W95" s="390" t="e">
        <f>ROUND((Q95+M95+K95+O95)*(#REF!+#REF!),0)</f>
        <v>#REF!</v>
      </c>
      <c r="X95" s="390" t="e">
        <f>ROUND((T95)*(#REF!+#REF!),0)</f>
        <v>#REF!</v>
      </c>
      <c r="Y95" s="383" t="e">
        <f t="shared" si="117"/>
        <v>#REF!</v>
      </c>
    </row>
    <row r="96" spans="1:25" ht="27" x14ac:dyDescent="0.25">
      <c r="A96" s="432"/>
      <c r="B96" s="426" t="s">
        <v>4227</v>
      </c>
      <c r="C96" s="426" t="s">
        <v>4681</v>
      </c>
      <c r="D96" s="419" t="s">
        <v>4519</v>
      </c>
      <c r="E96" s="426" t="s">
        <v>3986</v>
      </c>
      <c r="F96" s="426">
        <v>5</v>
      </c>
      <c r="G96" s="400">
        <f>+'Analisis de mercado 2025'!H55</f>
        <v>719456.33333333337</v>
      </c>
      <c r="H96" s="954">
        <f t="shared" si="114"/>
        <v>3597282</v>
      </c>
      <c r="J96" s="462">
        <f t="shared" si="115"/>
        <v>719456.33333333337</v>
      </c>
      <c r="K96" s="386">
        <f t="shared" si="118"/>
        <v>3597282</v>
      </c>
      <c r="R96" s="387">
        <f t="shared" si="119"/>
        <v>3597282</v>
      </c>
      <c r="S96" s="388"/>
      <c r="T96" s="389">
        <f t="shared" si="120"/>
        <v>3597282</v>
      </c>
      <c r="U96" s="388"/>
      <c r="V96" s="461">
        <f t="shared" si="116"/>
        <v>0</v>
      </c>
      <c r="W96" s="390" t="e">
        <f>ROUND((Q96+M96+K96+O96)*(#REF!+#REF!),0)</f>
        <v>#REF!</v>
      </c>
      <c r="X96" s="390" t="e">
        <f>ROUND((T96)*(#REF!+#REF!),0)</f>
        <v>#REF!</v>
      </c>
      <c r="Y96" s="383" t="e">
        <f t="shared" si="117"/>
        <v>#REF!</v>
      </c>
    </row>
    <row r="97" spans="1:25" ht="27" x14ac:dyDescent="0.25">
      <c r="A97" s="424"/>
      <c r="B97" s="426" t="s">
        <v>4520</v>
      </c>
      <c r="C97" s="426" t="s">
        <v>4682</v>
      </c>
      <c r="D97" s="419" t="s">
        <v>4521</v>
      </c>
      <c r="E97" s="426" t="s">
        <v>3986</v>
      </c>
      <c r="F97" s="345">
        <v>4</v>
      </c>
      <c r="G97" s="400">
        <f>+'Analisis de mercado 2025'!H56</f>
        <v>108101</v>
      </c>
      <c r="H97" s="954">
        <f t="shared" si="114"/>
        <v>432404</v>
      </c>
      <c r="J97" s="462">
        <f t="shared" si="115"/>
        <v>108101</v>
      </c>
      <c r="K97" s="386">
        <f t="shared" si="118"/>
        <v>432404</v>
      </c>
      <c r="R97" s="387">
        <f t="shared" si="119"/>
        <v>432404</v>
      </c>
      <c r="S97" s="388"/>
      <c r="T97" s="389">
        <f t="shared" si="120"/>
        <v>432404</v>
      </c>
      <c r="U97" s="388"/>
      <c r="V97" s="461">
        <f t="shared" si="116"/>
        <v>0</v>
      </c>
      <c r="W97" s="390" t="e">
        <f>ROUND((Q97+M97+K97+O97)*(#REF!+#REF!),0)</f>
        <v>#REF!</v>
      </c>
      <c r="X97" s="390" t="e">
        <f>ROUND((T97)*(#REF!+#REF!),0)</f>
        <v>#REF!</v>
      </c>
      <c r="Y97" s="383" t="e">
        <f t="shared" si="117"/>
        <v>#REF!</v>
      </c>
    </row>
    <row r="98" spans="1:25" ht="27" x14ac:dyDescent="0.25">
      <c r="A98" s="418"/>
      <c r="B98" s="345" t="s">
        <v>3989</v>
      </c>
      <c r="C98" s="345" t="s">
        <v>4683</v>
      </c>
      <c r="D98" s="419" t="s">
        <v>4522</v>
      </c>
      <c r="E98" s="345" t="s">
        <v>3986</v>
      </c>
      <c r="F98" s="345">
        <v>1</v>
      </c>
      <c r="G98" s="400">
        <f>+'Analisis de mercado 2025'!H57</f>
        <v>3090265</v>
      </c>
      <c r="H98" s="954">
        <f t="shared" si="114"/>
        <v>3090265</v>
      </c>
      <c r="J98" s="462">
        <f t="shared" si="115"/>
        <v>3090265</v>
      </c>
      <c r="K98" s="386">
        <f t="shared" si="118"/>
        <v>3090265</v>
      </c>
      <c r="R98" s="387">
        <f t="shared" si="119"/>
        <v>3090265</v>
      </c>
      <c r="S98" s="388"/>
      <c r="T98" s="389">
        <f t="shared" si="120"/>
        <v>3090265</v>
      </c>
      <c r="U98" s="388"/>
      <c r="V98" s="461">
        <f t="shared" si="116"/>
        <v>0</v>
      </c>
      <c r="W98" s="390" t="e">
        <f>ROUND((Q98+M98+K98+O98)*(#REF!+#REF!),0)</f>
        <v>#REF!</v>
      </c>
      <c r="X98" s="390" t="e">
        <f>ROUND((T98)*(#REF!+#REF!),0)</f>
        <v>#REF!</v>
      </c>
      <c r="Y98" s="383" t="e">
        <f t="shared" si="117"/>
        <v>#REF!</v>
      </c>
    </row>
    <row r="99" spans="1:25" ht="18" x14ac:dyDescent="0.25">
      <c r="A99" s="418"/>
      <c r="B99" s="345" t="s">
        <v>3990</v>
      </c>
      <c r="C99" s="345" t="s">
        <v>4684</v>
      </c>
      <c r="D99" s="419" t="s">
        <v>4523</v>
      </c>
      <c r="E99" s="345" t="s">
        <v>3986</v>
      </c>
      <c r="F99" s="345">
        <v>1</v>
      </c>
      <c r="G99" s="400">
        <f>+'Analisis de mercado 2025'!H58</f>
        <v>2255984</v>
      </c>
      <c r="H99" s="954">
        <f t="shared" si="114"/>
        <v>2255984</v>
      </c>
      <c r="J99" s="462">
        <f t="shared" si="115"/>
        <v>2255984</v>
      </c>
      <c r="K99" s="386">
        <f t="shared" si="118"/>
        <v>2255984</v>
      </c>
      <c r="R99" s="387">
        <f t="shared" si="119"/>
        <v>2255984</v>
      </c>
      <c r="S99" s="388"/>
      <c r="T99" s="389">
        <f t="shared" si="120"/>
        <v>2255984</v>
      </c>
      <c r="U99" s="388"/>
      <c r="V99" s="461">
        <f t="shared" si="116"/>
        <v>0</v>
      </c>
      <c r="W99" s="390" t="e">
        <f>ROUND((Q99+M99+K99+O99)*(#REF!+#REF!),0)</f>
        <v>#REF!</v>
      </c>
      <c r="X99" s="390" t="e">
        <f>ROUND((T99)*(#REF!+#REF!),0)</f>
        <v>#REF!</v>
      </c>
      <c r="Y99" s="383" t="e">
        <f t="shared" si="117"/>
        <v>#REF!</v>
      </c>
    </row>
    <row r="100" spans="1:25" ht="40.5" x14ac:dyDescent="0.25">
      <c r="A100" s="418"/>
      <c r="B100" s="345" t="s">
        <v>4231</v>
      </c>
      <c r="C100" s="345" t="s">
        <v>4685</v>
      </c>
      <c r="D100" s="419" t="s">
        <v>4524</v>
      </c>
      <c r="E100" s="345" t="s">
        <v>3986</v>
      </c>
      <c r="F100" s="345">
        <v>1</v>
      </c>
      <c r="G100" s="400">
        <f>+'Analisis de mercado 2025'!H59</f>
        <v>2955381</v>
      </c>
      <c r="H100" s="954">
        <f t="shared" si="114"/>
        <v>2955381</v>
      </c>
      <c r="J100" s="462">
        <f t="shared" si="115"/>
        <v>2955381</v>
      </c>
      <c r="K100" s="386">
        <f t="shared" si="118"/>
        <v>2955381</v>
      </c>
      <c r="R100" s="387">
        <f t="shared" si="119"/>
        <v>2955381</v>
      </c>
      <c r="S100" s="388"/>
      <c r="T100" s="389">
        <f t="shared" si="120"/>
        <v>2955381</v>
      </c>
      <c r="U100" s="388"/>
      <c r="V100" s="461">
        <f t="shared" si="116"/>
        <v>0</v>
      </c>
      <c r="W100" s="390" t="e">
        <f>ROUND((Q100+M100+K100+O100)*(#REF!+#REF!),0)</f>
        <v>#REF!</v>
      </c>
      <c r="X100" s="390" t="e">
        <f>ROUND((T100)*(#REF!+#REF!),0)</f>
        <v>#REF!</v>
      </c>
      <c r="Y100" s="383" t="e">
        <f t="shared" si="117"/>
        <v>#REF!</v>
      </c>
    </row>
    <row r="101" spans="1:25" ht="27" x14ac:dyDescent="0.25">
      <c r="A101" s="424"/>
      <c r="B101" s="436" t="s">
        <v>3991</v>
      </c>
      <c r="C101" s="436" t="s">
        <v>4686</v>
      </c>
      <c r="D101" s="437" t="s">
        <v>4525</v>
      </c>
      <c r="E101" s="430" t="s">
        <v>3986</v>
      </c>
      <c r="F101" s="420">
        <v>5</v>
      </c>
      <c r="G101" s="400">
        <f>+'Analisis de mercado 2025'!H62</f>
        <v>199843.33333333334</v>
      </c>
      <c r="H101" s="954">
        <f t="shared" si="114"/>
        <v>999217</v>
      </c>
      <c r="J101" s="462">
        <f t="shared" si="115"/>
        <v>199843.33333333334</v>
      </c>
      <c r="K101" s="386">
        <f t="shared" si="118"/>
        <v>999217</v>
      </c>
      <c r="R101" s="387">
        <f t="shared" si="119"/>
        <v>999217</v>
      </c>
      <c r="S101" s="388"/>
      <c r="T101" s="389">
        <f t="shared" si="120"/>
        <v>999217</v>
      </c>
      <c r="U101" s="388"/>
      <c r="V101" s="461">
        <f t="shared" si="116"/>
        <v>0</v>
      </c>
      <c r="W101" s="390" t="e">
        <f>ROUND((Q101+M101+K101+O101)*(#REF!+#REF!),0)</f>
        <v>#REF!</v>
      </c>
      <c r="X101" s="390" t="e">
        <f>ROUND((T101)*(#REF!+#REF!),0)</f>
        <v>#REF!</v>
      </c>
      <c r="Y101" s="383" t="e">
        <f t="shared" si="117"/>
        <v>#REF!</v>
      </c>
    </row>
    <row r="102" spans="1:25" ht="54" x14ac:dyDescent="0.25">
      <c r="A102" s="424"/>
      <c r="B102" s="436" t="s">
        <v>4526</v>
      </c>
      <c r="C102" s="436" t="s">
        <v>4687</v>
      </c>
      <c r="D102" s="437" t="s">
        <v>4527</v>
      </c>
      <c r="E102" s="430" t="s">
        <v>3986</v>
      </c>
      <c r="F102" s="420">
        <v>1</v>
      </c>
      <c r="G102" s="400">
        <f>+'Analisis de mercado 2025'!H67</f>
        <v>13891805.666666666</v>
      </c>
      <c r="H102" s="954">
        <f t="shared" si="114"/>
        <v>13891806</v>
      </c>
      <c r="J102" s="462">
        <f t="shared" si="115"/>
        <v>13891805.666666666</v>
      </c>
      <c r="K102" s="386">
        <f t="shared" si="118"/>
        <v>13891806</v>
      </c>
      <c r="R102" s="387">
        <f t="shared" si="119"/>
        <v>13891806</v>
      </c>
      <c r="S102" s="388"/>
      <c r="T102" s="389">
        <f t="shared" si="120"/>
        <v>13891806</v>
      </c>
      <c r="U102" s="388"/>
      <c r="V102" s="461">
        <f t="shared" si="116"/>
        <v>0</v>
      </c>
      <c r="W102" s="390" t="e">
        <f>ROUND((Q102+M102+K102+O102)*(#REF!+#REF!),0)</f>
        <v>#REF!</v>
      </c>
      <c r="X102" s="390" t="e">
        <f>ROUND((T102)*(#REF!+#REF!),0)</f>
        <v>#REF!</v>
      </c>
      <c r="Y102" s="383" t="e">
        <f t="shared" si="117"/>
        <v>#REF!</v>
      </c>
    </row>
    <row r="103" spans="1:25" ht="27" x14ac:dyDescent="0.25">
      <c r="A103" s="424"/>
      <c r="B103" s="436" t="s">
        <v>4962</v>
      </c>
      <c r="C103" s="436" t="s">
        <v>4969</v>
      </c>
      <c r="D103" s="943" t="str">
        <f>+'Analisis de mercado 2025'!C72</f>
        <v xml:space="preserve">TRASLADO, MANTENIMIENTO Y PUESTA EN FUNCIONAMIENTO EL ESCALDADOR, INCLUYE SUMINISTRO DE REPUESTOS, </v>
      </c>
      <c r="E103" s="430" t="s">
        <v>3986</v>
      </c>
      <c r="F103" s="420">
        <v>1</v>
      </c>
      <c r="G103" s="400">
        <f>+'Analisis de mercado 2025'!H72</f>
        <v>6562475</v>
      </c>
      <c r="H103" s="954">
        <f t="shared" si="114"/>
        <v>6562475</v>
      </c>
      <c r="J103" s="462">
        <f t="shared" si="115"/>
        <v>6562475</v>
      </c>
      <c r="K103" s="386">
        <f t="shared" si="118"/>
        <v>6562475</v>
      </c>
      <c r="R103" s="387">
        <f t="shared" si="119"/>
        <v>6562475</v>
      </c>
      <c r="S103" s="388"/>
      <c r="T103" s="389">
        <f t="shared" si="120"/>
        <v>6562475</v>
      </c>
      <c r="U103" s="388"/>
      <c r="V103" s="461"/>
      <c r="W103" s="390"/>
      <c r="X103" s="390"/>
      <c r="Y103" s="383"/>
    </row>
    <row r="104" spans="1:25" ht="27" x14ac:dyDescent="0.25">
      <c r="A104" s="424"/>
      <c r="B104" s="436" t="s">
        <v>4963</v>
      </c>
      <c r="C104" s="436" t="s">
        <v>4970</v>
      </c>
      <c r="D104" s="943" t="str">
        <f>+'Analisis de mercado 2025'!C73</f>
        <v xml:space="preserve">TRASLADO, MANTENIMIENTO Y PUESTA EN FUNCIONAMIENTO BOX PORCINOS,  INCLUYE SUMINISTRO DE REPUESTOS, </v>
      </c>
      <c r="E104" s="430" t="s">
        <v>3986</v>
      </c>
      <c r="F104" s="420">
        <v>1</v>
      </c>
      <c r="G104" s="400">
        <f>+'Analisis de mercado 2025'!H73</f>
        <v>2381075</v>
      </c>
      <c r="H104" s="954">
        <f t="shared" si="114"/>
        <v>2381075</v>
      </c>
      <c r="J104" s="462">
        <f t="shared" si="115"/>
        <v>2381075</v>
      </c>
      <c r="K104" s="386">
        <f t="shared" si="118"/>
        <v>2381075</v>
      </c>
      <c r="R104" s="387">
        <f t="shared" si="119"/>
        <v>2381075</v>
      </c>
      <c r="S104" s="388"/>
      <c r="T104" s="389">
        <f t="shared" si="120"/>
        <v>2381075</v>
      </c>
      <c r="U104" s="388"/>
      <c r="V104" s="461"/>
      <c r="W104" s="390"/>
      <c r="X104" s="390"/>
      <c r="Y104" s="383"/>
    </row>
    <row r="105" spans="1:25" ht="18" x14ac:dyDescent="0.25">
      <c r="A105" s="424"/>
      <c r="B105" s="436" t="s">
        <v>4964</v>
      </c>
      <c r="C105" s="436" t="s">
        <v>4971</v>
      </c>
      <c r="D105" s="943" t="str">
        <f>+'Analisis de mercado 2025'!C74</f>
        <v xml:space="preserve">TRASLADO Y CONEXIÓN DEL ESTERCOLERO </v>
      </c>
      <c r="E105" s="430" t="s">
        <v>3986</v>
      </c>
      <c r="F105" s="420">
        <v>1</v>
      </c>
      <c r="G105" s="400">
        <f>+'Analisis de mercado 2025'!H74</f>
        <v>13073200</v>
      </c>
      <c r="H105" s="954">
        <f t="shared" si="114"/>
        <v>13073200</v>
      </c>
      <c r="J105" s="462">
        <f t="shared" si="115"/>
        <v>13073200</v>
      </c>
      <c r="K105" s="386">
        <f t="shared" si="118"/>
        <v>13073200</v>
      </c>
      <c r="R105" s="387">
        <f t="shared" si="119"/>
        <v>13073200</v>
      </c>
      <c r="S105" s="388"/>
      <c r="T105" s="389">
        <f t="shared" si="120"/>
        <v>13073200</v>
      </c>
      <c r="U105" s="388"/>
      <c r="V105" s="461"/>
      <c r="W105" s="390"/>
      <c r="X105" s="390"/>
      <c r="Y105" s="383"/>
    </row>
    <row r="106" spans="1:25" ht="18" x14ac:dyDescent="0.25">
      <c r="A106" s="424"/>
      <c r="B106" s="436" t="s">
        <v>4965</v>
      </c>
      <c r="C106" s="436" t="s">
        <v>4972</v>
      </c>
      <c r="D106" s="943" t="str">
        <f>+'Analisis de mercado 2025'!C75</f>
        <v xml:space="preserve">MANTENIMIENTO Y PUESTA EN FUNCIONAMIENTO CALDERA </v>
      </c>
      <c r="E106" s="430" t="s">
        <v>3986</v>
      </c>
      <c r="F106" s="420">
        <v>1</v>
      </c>
      <c r="G106" s="400">
        <f>+'Analisis de mercado 2025'!H75</f>
        <v>5894612.5</v>
      </c>
      <c r="H106" s="954">
        <f t="shared" si="114"/>
        <v>5894613</v>
      </c>
      <c r="J106" s="462">
        <f t="shared" si="115"/>
        <v>5894612.5</v>
      </c>
      <c r="K106" s="386">
        <f t="shared" si="118"/>
        <v>5894613</v>
      </c>
      <c r="R106" s="387">
        <f t="shared" si="119"/>
        <v>5894613</v>
      </c>
      <c r="S106" s="388"/>
      <c r="T106" s="389">
        <f t="shared" si="120"/>
        <v>5894613</v>
      </c>
      <c r="U106" s="388"/>
      <c r="V106" s="461"/>
      <c r="W106" s="390"/>
      <c r="X106" s="390"/>
      <c r="Y106" s="383"/>
    </row>
    <row r="107" spans="1:25" ht="18" x14ac:dyDescent="0.25">
      <c r="A107" s="424"/>
      <c r="B107" s="436" t="s">
        <v>4966</v>
      </c>
      <c r="C107" s="436" t="s">
        <v>4973</v>
      </c>
      <c r="D107" s="943" t="str">
        <f>+'Analisis de mercado 2025'!C76</f>
        <v>MANTENIMIENTO Y PUESTA EN FUNCIONAMIENTO CUARTO FRIOS</v>
      </c>
      <c r="E107" s="430" t="s">
        <v>3986</v>
      </c>
      <c r="F107" s="420">
        <v>1</v>
      </c>
      <c r="G107" s="400">
        <f>+'Analisis de mercado 2025'!H76</f>
        <v>4936956</v>
      </c>
      <c r="H107" s="954">
        <f t="shared" si="114"/>
        <v>4936956</v>
      </c>
      <c r="J107" s="462">
        <f t="shared" si="115"/>
        <v>4936956</v>
      </c>
      <c r="K107" s="386">
        <f t="shared" si="118"/>
        <v>4936956</v>
      </c>
      <c r="R107" s="387">
        <f t="shared" si="119"/>
        <v>4936956</v>
      </c>
      <c r="S107" s="388"/>
      <c r="T107" s="389">
        <f t="shared" si="120"/>
        <v>4936956</v>
      </c>
      <c r="U107" s="388"/>
      <c r="V107" s="461"/>
      <c r="W107" s="390"/>
      <c r="X107" s="390"/>
      <c r="Y107" s="383"/>
    </row>
    <row r="108" spans="1:25" ht="18" x14ac:dyDescent="0.25">
      <c r="A108" s="424"/>
      <c r="B108" s="436" t="s">
        <v>4967</v>
      </c>
      <c r="C108" s="436" t="s">
        <v>4974</v>
      </c>
      <c r="D108" s="943" t="str">
        <f>+'Analisis de mercado 2025'!C77</f>
        <v>MANTENIMIENTO Y PUESTA EN FUNCIONAMIENTO LAVAPANZAS</v>
      </c>
      <c r="E108" s="430" t="s">
        <v>3986</v>
      </c>
      <c r="F108" s="420">
        <v>1</v>
      </c>
      <c r="G108" s="400">
        <f>+'Analisis de mercado 2025'!H77</f>
        <v>5197712.5</v>
      </c>
      <c r="H108" s="954">
        <f t="shared" si="114"/>
        <v>5197713</v>
      </c>
      <c r="J108" s="462">
        <f t="shared" si="115"/>
        <v>5197712.5</v>
      </c>
      <c r="K108" s="386">
        <f t="shared" si="118"/>
        <v>5197713</v>
      </c>
      <c r="R108" s="387">
        <f t="shared" si="119"/>
        <v>5197713</v>
      </c>
      <c r="S108" s="388"/>
      <c r="T108" s="389">
        <f t="shared" si="120"/>
        <v>5197713</v>
      </c>
      <c r="U108" s="388"/>
      <c r="V108" s="461"/>
      <c r="W108" s="390"/>
      <c r="X108" s="390"/>
      <c r="Y108" s="383"/>
    </row>
    <row r="109" spans="1:25" ht="18" x14ac:dyDescent="0.25">
      <c r="A109" s="424"/>
      <c r="B109" s="436" t="s">
        <v>4968</v>
      </c>
      <c r="C109" s="436" t="s">
        <v>4975</v>
      </c>
      <c r="D109" s="943" t="str">
        <f>+'Analisis de mercado 2025'!C78</f>
        <v>MANTENIMIENTO Y PUESTA EN FUNCIONAMIENTO  DE LA PTAR</v>
      </c>
      <c r="E109" s="430" t="s">
        <v>3986</v>
      </c>
      <c r="F109" s="420">
        <v>1</v>
      </c>
      <c r="G109" s="400">
        <f>+'Analisis de mercado 2025'!H78</f>
        <v>10598687.5</v>
      </c>
      <c r="H109" s="954">
        <f t="shared" si="114"/>
        <v>10598688</v>
      </c>
      <c r="J109" s="462">
        <f t="shared" si="115"/>
        <v>10598687.5</v>
      </c>
      <c r="K109" s="386">
        <f t="shared" si="118"/>
        <v>10598688</v>
      </c>
      <c r="R109" s="387">
        <f t="shared" si="119"/>
        <v>10598688</v>
      </c>
      <c r="S109" s="388"/>
      <c r="T109" s="389">
        <f t="shared" si="120"/>
        <v>10598688</v>
      </c>
      <c r="U109" s="388"/>
      <c r="V109" s="461"/>
      <c r="W109" s="390"/>
      <c r="X109" s="390"/>
      <c r="Y109" s="383"/>
    </row>
    <row r="110" spans="1:25" ht="18" x14ac:dyDescent="0.25">
      <c r="A110" s="418"/>
      <c r="B110" s="503"/>
      <c r="C110" s="505"/>
      <c r="D110" s="503" t="s">
        <v>4553</v>
      </c>
      <c r="E110" s="504"/>
      <c r="F110" s="504"/>
      <c r="G110" s="1162"/>
      <c r="H110" s="964">
        <f>SUM(H75:H109)</f>
        <v>312936918</v>
      </c>
      <c r="I110" s="1214">
        <f>+H110*(1++G116)</f>
        <v>406817993.40000004</v>
      </c>
      <c r="R110" s="1167">
        <f>SUM(R9:R109)/2</f>
        <v>384468177.224177</v>
      </c>
    </row>
    <row r="111" spans="1:25" x14ac:dyDescent="0.25">
      <c r="A111" s="418"/>
      <c r="B111" s="418"/>
      <c r="C111" s="418"/>
      <c r="D111" s="439"/>
      <c r="E111" s="418"/>
      <c r="F111" s="440"/>
      <c r="G111" s="438"/>
      <c r="H111" s="438"/>
    </row>
    <row r="112" spans="1:25" ht="18" x14ac:dyDescent="0.25">
      <c r="A112" s="418"/>
      <c r="B112" s="1279" t="s">
        <v>5243</v>
      </c>
      <c r="C112" s="1280"/>
      <c r="D112" s="1280"/>
      <c r="E112" s="1280"/>
      <c r="F112" s="1280"/>
      <c r="G112" s="1281"/>
      <c r="H112" s="964">
        <f>+H72</f>
        <v>71531258</v>
      </c>
      <c r="I112" s="1214">
        <f>+H112*(1++G116)</f>
        <v>92990635.400000006</v>
      </c>
    </row>
    <row r="113" spans="1:21" ht="18" x14ac:dyDescent="0.25">
      <c r="A113" s="418"/>
      <c r="B113" s="1276" t="s">
        <v>5016</v>
      </c>
      <c r="C113" s="1277"/>
      <c r="D113" s="1277"/>
      <c r="E113" s="1277"/>
      <c r="F113" s="1277"/>
      <c r="G113" s="1278"/>
      <c r="H113" s="951">
        <f>+H110</f>
        <v>312936918</v>
      </c>
      <c r="I113" s="1207">
        <f>+H113*(1+G115)</f>
        <v>391171147.5</v>
      </c>
    </row>
    <row r="114" spans="1:21" ht="18" x14ac:dyDescent="0.25">
      <c r="A114" s="418"/>
      <c r="B114" s="1276" t="s">
        <v>5017</v>
      </c>
      <c r="C114" s="1277"/>
      <c r="D114" s="1277"/>
      <c r="E114" s="1277"/>
      <c r="F114" s="1277"/>
      <c r="G114" s="1278"/>
      <c r="H114" s="951">
        <f>SUM(H112:H113)</f>
        <v>384468176</v>
      </c>
      <c r="I114" s="1209">
        <f>SUM(I9:I74)</f>
        <v>484161782.89999998</v>
      </c>
    </row>
    <row r="115" spans="1:21" ht="18" x14ac:dyDescent="0.25">
      <c r="A115" s="418"/>
      <c r="B115" s="1276" t="s">
        <v>5014</v>
      </c>
      <c r="C115" s="1277"/>
      <c r="D115" s="1277"/>
      <c r="E115" s="1277"/>
      <c r="F115" s="1278"/>
      <c r="G115" s="1163">
        <f>+AIU!I11</f>
        <v>0.25</v>
      </c>
      <c r="H115" s="951">
        <f>ROUND(+G115*H113,0)</f>
        <v>78234230</v>
      </c>
    </row>
    <row r="116" spans="1:21" ht="18" x14ac:dyDescent="0.25">
      <c r="A116" s="418"/>
      <c r="B116" s="1276" t="s">
        <v>5015</v>
      </c>
      <c r="C116" s="1277"/>
      <c r="D116" s="1277"/>
      <c r="E116" s="1277"/>
      <c r="F116" s="1278"/>
      <c r="G116" s="1163">
        <f>+AIU!I46</f>
        <v>0.3</v>
      </c>
      <c r="H116" s="951">
        <f>ROUND(+G116*H112,0)</f>
        <v>21459377</v>
      </c>
    </row>
    <row r="117" spans="1:21" ht="18" x14ac:dyDescent="0.25">
      <c r="A117" s="418"/>
      <c r="B117" s="1285" t="s">
        <v>5317</v>
      </c>
      <c r="C117" s="1286"/>
      <c r="D117" s="1286"/>
      <c r="E117" s="1286"/>
      <c r="F117" s="1286"/>
      <c r="G117" s="1287"/>
      <c r="H117" s="1215">
        <f>SUM(H114:H116)</f>
        <v>484161783</v>
      </c>
    </row>
    <row r="118" spans="1:21" ht="18.75" thickBot="1" x14ac:dyDescent="0.3">
      <c r="A118" s="418"/>
      <c r="B118" s="1272" t="s">
        <v>5250</v>
      </c>
      <c r="C118" s="1273"/>
      <c r="D118" s="1273"/>
      <c r="E118" s="1273"/>
      <c r="F118" s="1273"/>
      <c r="G118" s="1274"/>
      <c r="H118" s="952">
        <f>+H$191*0.58</f>
        <v>38238072.379999995</v>
      </c>
    </row>
    <row r="119" spans="1:21" ht="21" thickBot="1" x14ac:dyDescent="0.3">
      <c r="A119" s="418"/>
      <c r="B119" s="1259" t="s">
        <v>5244</v>
      </c>
      <c r="C119" s="1260"/>
      <c r="D119" s="1260"/>
      <c r="E119" s="1261"/>
      <c r="F119" s="1144"/>
      <c r="G119" s="1145"/>
      <c r="H119" s="1146">
        <f>SUM(H117:H118)</f>
        <v>522399855.38</v>
      </c>
    </row>
    <row r="120" spans="1:21" ht="15.75" thickBot="1" x14ac:dyDescent="0.3">
      <c r="A120" s="418"/>
      <c r="B120" s="418"/>
      <c r="C120" s="418"/>
      <c r="D120" s="439"/>
      <c r="E120" s="418"/>
      <c r="F120" s="440"/>
      <c r="G120" s="438"/>
      <c r="H120" s="438"/>
    </row>
    <row r="121" spans="1:21" ht="18.75" thickBot="1" x14ac:dyDescent="0.3">
      <c r="A121" s="418"/>
      <c r="B121" s="1035"/>
      <c r="C121" s="1034"/>
      <c r="D121" s="1036" t="s">
        <v>5256</v>
      </c>
      <c r="E121" s="1031"/>
      <c r="F121" s="1032"/>
      <c r="G121" s="1151"/>
      <c r="H121" s="1033"/>
      <c r="J121" s="375"/>
      <c r="K121" s="376"/>
      <c r="L121" s="377"/>
      <c r="M121" s="376"/>
      <c r="N121" s="377"/>
      <c r="O121" s="376"/>
      <c r="P121" s="377"/>
      <c r="Q121" s="376"/>
      <c r="R121" s="379"/>
      <c r="S121" s="380"/>
      <c r="T121" s="381"/>
      <c r="U121" s="1003"/>
    </row>
    <row r="122" spans="1:21" ht="18.75" thickBot="1" x14ac:dyDescent="0.3">
      <c r="A122" s="418"/>
      <c r="B122" s="458" t="s">
        <v>10</v>
      </c>
      <c r="C122" s="506" t="s">
        <v>5258</v>
      </c>
      <c r="D122" s="459" t="s">
        <v>5061</v>
      </c>
      <c r="E122" s="460" t="s">
        <v>11</v>
      </c>
      <c r="F122" s="456" t="s">
        <v>2</v>
      </c>
      <c r="G122" s="1161" t="s">
        <v>4554</v>
      </c>
      <c r="H122" s="457">
        <f>SUM(H123:H125)</f>
        <v>3769007</v>
      </c>
      <c r="I122" s="1207">
        <f>+H122*(1+$G$116)</f>
        <v>4899709.1000000006</v>
      </c>
      <c r="J122" s="375"/>
      <c r="K122" s="376">
        <f>SUM(K123:K125)</f>
        <v>263088.86912400002</v>
      </c>
      <c r="L122" s="377"/>
      <c r="M122" s="376">
        <f>SUM(M123:M125)</f>
        <v>2265217</v>
      </c>
      <c r="N122" s="377"/>
      <c r="O122" s="376">
        <f>SUM(O123:O125)</f>
        <v>963170.57571999985</v>
      </c>
      <c r="P122" s="377"/>
      <c r="Q122" s="376">
        <f>SUM(Q123:Q125)</f>
        <v>277532.32285</v>
      </c>
      <c r="R122" s="379">
        <f>ROUND((Q122+O122+M122+K122),0)</f>
        <v>3769009</v>
      </c>
      <c r="S122" s="380"/>
      <c r="T122" s="381">
        <f>ROUND(Q122+M122+K122+O122,0)</f>
        <v>3769009</v>
      </c>
      <c r="U122" s="1003">
        <f t="shared" ref="U122" si="121">+T122-R122</f>
        <v>0</v>
      </c>
    </row>
    <row r="123" spans="1:21" x14ac:dyDescent="0.25">
      <c r="A123" s="418"/>
      <c r="B123" s="345" t="s">
        <v>4420</v>
      </c>
      <c r="C123" s="345" t="s">
        <v>5280</v>
      </c>
      <c r="D123" s="1" t="s">
        <v>5022</v>
      </c>
      <c r="E123" s="1020" t="s">
        <v>3975</v>
      </c>
      <c r="F123" s="1021">
        <f>'[102]ÍTEM 1,0'!$F$7</f>
        <v>503.44299999999998</v>
      </c>
      <c r="G123" s="400">
        <f>+VLOOKUP($B123,APU!$B$5:$I$1835,6,0)</f>
        <v>4197.598</v>
      </c>
      <c r="H123" s="954">
        <f t="shared" ref="H123" si="122">ROUND((F123*G123),0)</f>
        <v>2113251</v>
      </c>
      <c r="J123" s="385">
        <f>VLOOKUP($B123,APU!$K$6:$P$1687,2,FALSE)</f>
        <v>331.05799999999999</v>
      </c>
      <c r="K123" s="386">
        <f>J123*F123</f>
        <v>166668.83269399998</v>
      </c>
      <c r="L123" s="385">
        <f>VLOOKUP($B123,APU!$K$6:$P$1690,3,FALSE)</f>
        <v>2074</v>
      </c>
      <c r="M123" s="386">
        <f>ROUND(L123*F123,0)</f>
        <v>1044141</v>
      </c>
      <c r="N123" s="385">
        <f>VLOOKUP($B123,APU!$K$6:$P$1680,4,FALSE)</f>
        <v>1792.54</v>
      </c>
      <c r="O123" s="386">
        <f>N123*F123</f>
        <v>902441.7152199999</v>
      </c>
      <c r="P123" s="385">
        <f>VLOOKUP($B123,APU!$K$6:$P$1680,5,FALSE)</f>
        <v>0</v>
      </c>
      <c r="Q123" s="386">
        <f>P123*F123</f>
        <v>0</v>
      </c>
      <c r="R123" s="387">
        <f>ROUND((Q123+O123+M123+K123),0)</f>
        <v>2113252</v>
      </c>
      <c r="S123" s="388"/>
      <c r="T123" s="1004">
        <f t="shared" ref="T123" si="123">+H123</f>
        <v>2113251</v>
      </c>
      <c r="U123" s="1003">
        <f t="shared" ref="U123" si="124">+T123-R123</f>
        <v>-1</v>
      </c>
    </row>
    <row r="124" spans="1:21" x14ac:dyDescent="0.25">
      <c r="A124" s="418"/>
      <c r="B124" s="345" t="s">
        <v>4422</v>
      </c>
      <c r="C124" s="345" t="s">
        <v>5281</v>
      </c>
      <c r="D124" s="193" t="s">
        <v>5023</v>
      </c>
      <c r="E124" s="1022" t="s">
        <v>3975</v>
      </c>
      <c r="F124" s="1023">
        <v>43.290000000000006</v>
      </c>
      <c r="G124" s="400">
        <f>+VLOOKUP($B124,APU!$B$5:$I$1835,6,0)</f>
        <v>26286.722999999994</v>
      </c>
      <c r="H124" s="954">
        <f t="shared" ref="H124:H170" si="125">ROUND((F124*G124),0)</f>
        <v>1137952</v>
      </c>
      <c r="J124" s="385">
        <f>VLOOKUP($B124,APU!$K$6:$P$1687,2,FALSE)</f>
        <v>1768.242</v>
      </c>
      <c r="K124" s="386">
        <f t="shared" ref="K124:K177" si="126">J124*F124</f>
        <v>76547.196180000014</v>
      </c>
      <c r="L124" s="385">
        <f>VLOOKUP($B124,APU!$K$6:$P$1690,3,FALSE)</f>
        <v>18566.540999999997</v>
      </c>
      <c r="M124" s="386">
        <f t="shared" ref="M124:M177" si="127">ROUND(L124*F124,0)</f>
        <v>803746</v>
      </c>
      <c r="N124" s="385">
        <f>VLOOKUP($B124,APU!$K$6:$P$1680,4,FALSE)</f>
        <v>0</v>
      </c>
      <c r="O124" s="386">
        <f t="shared" ref="O124:O177" si="128">N124*F124</f>
        <v>0</v>
      </c>
      <c r="P124" s="385">
        <f>VLOOKUP($B124,APU!$K$6:$P$1680,5,FALSE)</f>
        <v>5951.94</v>
      </c>
      <c r="Q124" s="386">
        <f t="shared" ref="Q124:Q177" si="129">P124*F124</f>
        <v>257659.48260000002</v>
      </c>
      <c r="R124" s="387">
        <f t="shared" ref="R124:R177" si="130">ROUND((Q124+O124+M124+K124),0)</f>
        <v>1137953</v>
      </c>
      <c r="S124" s="388"/>
      <c r="T124" s="1004">
        <f t="shared" ref="T124:T177" si="131">+H124</f>
        <v>1137952</v>
      </c>
      <c r="U124" s="1003">
        <f t="shared" ref="U124:U177" si="132">+T124-R124</f>
        <v>-1</v>
      </c>
    </row>
    <row r="125" spans="1:21" x14ac:dyDescent="0.25">
      <c r="A125" s="418"/>
      <c r="B125" s="345" t="s">
        <v>4429</v>
      </c>
      <c r="C125" s="345" t="s">
        <v>5282</v>
      </c>
      <c r="D125" s="193" t="s">
        <v>5024</v>
      </c>
      <c r="E125" s="1022" t="s">
        <v>1027</v>
      </c>
      <c r="F125" s="1023">
        <v>24.23</v>
      </c>
      <c r="G125" s="400">
        <f>+VLOOKUP($B125,APU!$B$5:$I$1835,6,0)</f>
        <v>21370.374999999996</v>
      </c>
      <c r="H125" s="954">
        <f t="shared" si="125"/>
        <v>517804</v>
      </c>
      <c r="J125" s="385">
        <f>VLOOKUP($B125,APU!$K$6:$P$1687,2,FALSE)</f>
        <v>820.17500000000007</v>
      </c>
      <c r="K125" s="386">
        <f t="shared" si="126"/>
        <v>19872.840250000001</v>
      </c>
      <c r="L125" s="385">
        <f>VLOOKUP($B125,APU!$K$6:$P$1690,3,FALSE)</f>
        <v>17223.674999999999</v>
      </c>
      <c r="M125" s="386">
        <f t="shared" si="127"/>
        <v>417330</v>
      </c>
      <c r="N125" s="385">
        <f>VLOOKUP($B125,APU!$K$6:$P$1680,4,FALSE)</f>
        <v>2506.35</v>
      </c>
      <c r="O125" s="386">
        <f t="shared" si="128"/>
        <v>60728.860499999995</v>
      </c>
      <c r="P125" s="385">
        <f>VLOOKUP($B125,APU!$K$6:$P$1680,5,FALSE)</f>
        <v>820.17500000000007</v>
      </c>
      <c r="Q125" s="386">
        <f t="shared" si="129"/>
        <v>19872.840250000001</v>
      </c>
      <c r="R125" s="387">
        <f t="shared" si="130"/>
        <v>517805</v>
      </c>
      <c r="S125" s="388"/>
      <c r="T125" s="1004">
        <f t="shared" si="131"/>
        <v>517804</v>
      </c>
      <c r="U125" s="1003">
        <f t="shared" si="132"/>
        <v>-1</v>
      </c>
    </row>
    <row r="126" spans="1:21" ht="15.75" thickBot="1" x14ac:dyDescent="0.3">
      <c r="A126" s="418"/>
      <c r="G126" s="296"/>
      <c r="H126" s="294"/>
      <c r="J126" s="385"/>
      <c r="K126" s="386"/>
      <c r="L126" s="385"/>
      <c r="M126" s="386"/>
      <c r="N126" s="385"/>
      <c r="O126" s="386"/>
      <c r="P126" s="385"/>
      <c r="Q126" s="386"/>
      <c r="R126" s="387"/>
      <c r="S126" s="388"/>
      <c r="T126" s="1004"/>
      <c r="U126" s="1003"/>
    </row>
    <row r="127" spans="1:21" ht="18.75" thickBot="1" x14ac:dyDescent="0.3">
      <c r="A127" s="418"/>
      <c r="B127" s="458" t="s">
        <v>10</v>
      </c>
      <c r="C127" s="506" t="s">
        <v>5259</v>
      </c>
      <c r="D127" s="459" t="s">
        <v>5063</v>
      </c>
      <c r="E127" s="460" t="s">
        <v>11</v>
      </c>
      <c r="F127" s="456" t="s">
        <v>2</v>
      </c>
      <c r="G127" s="1161" t="s">
        <v>4554</v>
      </c>
      <c r="H127" s="457">
        <f>+H128</f>
        <v>2246303</v>
      </c>
      <c r="I127" s="1207">
        <f>+H127*(1+$G$116)</f>
        <v>2920193.9</v>
      </c>
      <c r="J127" s="385"/>
      <c r="K127" s="376">
        <f>SUM(K128)</f>
        <v>64291.463599999995</v>
      </c>
      <c r="L127" s="377"/>
      <c r="M127" s="376">
        <f>SUM(M128)</f>
        <v>2182012</v>
      </c>
      <c r="N127" s="377"/>
      <c r="O127" s="376">
        <f>SUM(O128)</f>
        <v>0</v>
      </c>
      <c r="P127" s="377"/>
      <c r="Q127" s="376">
        <f>SUM(Q128)</f>
        <v>0</v>
      </c>
      <c r="R127" s="379">
        <f>ROUND((Q127+O127+M127+K127),0)</f>
        <v>2246303</v>
      </c>
      <c r="S127" s="380"/>
      <c r="T127" s="381">
        <f>ROUND(Q127+M127+K127+O127,0)</f>
        <v>2246303</v>
      </c>
      <c r="U127" s="1003">
        <f t="shared" ref="U127" si="133">+T127-R127</f>
        <v>0</v>
      </c>
    </row>
    <row r="128" spans="1:21" x14ac:dyDescent="0.25">
      <c r="A128" s="418"/>
      <c r="B128" s="345" t="s">
        <v>5130</v>
      </c>
      <c r="C128" s="345" t="s">
        <v>5283</v>
      </c>
      <c r="D128" s="1024" t="s">
        <v>5030</v>
      </c>
      <c r="E128" s="5" t="s">
        <v>3980</v>
      </c>
      <c r="F128" s="1023">
        <v>48.55</v>
      </c>
      <c r="G128" s="400">
        <f>+VLOOKUP($B128,APU!$B$5:$I$1835,6,0)</f>
        <v>46267.831999999995</v>
      </c>
      <c r="H128" s="954">
        <f t="shared" si="125"/>
        <v>2246303</v>
      </c>
      <c r="J128" s="385">
        <f>VLOOKUP($B128,APU!$K$6:$P$1687,2,FALSE)</f>
        <v>1324.232</v>
      </c>
      <c r="K128" s="386">
        <f t="shared" si="126"/>
        <v>64291.463599999995</v>
      </c>
      <c r="L128" s="385">
        <f>VLOOKUP($B128,APU!$K$6:$P$1690,3,FALSE)</f>
        <v>44943.6</v>
      </c>
      <c r="M128" s="386">
        <f t="shared" si="127"/>
        <v>2182012</v>
      </c>
      <c r="N128" s="385">
        <f>VLOOKUP($B128,APU!$K$6:$P$1680,4,FALSE)</f>
        <v>0</v>
      </c>
      <c r="O128" s="386">
        <f t="shared" si="128"/>
        <v>0</v>
      </c>
      <c r="P128" s="385">
        <f>VLOOKUP($B128,APU!$K$6:$P$1680,5,FALSE)</f>
        <v>0</v>
      </c>
      <c r="Q128" s="386">
        <f t="shared" si="129"/>
        <v>0</v>
      </c>
      <c r="R128" s="387">
        <f t="shared" si="130"/>
        <v>2246303</v>
      </c>
      <c r="S128" s="388"/>
      <c r="T128" s="1004">
        <f t="shared" si="131"/>
        <v>2246303</v>
      </c>
      <c r="U128" s="1003">
        <f t="shared" si="132"/>
        <v>0</v>
      </c>
    </row>
    <row r="129" spans="1:21" ht="15.75" thickBot="1" x14ac:dyDescent="0.3">
      <c r="A129" s="418"/>
      <c r="G129" s="296"/>
      <c r="H129" s="294"/>
      <c r="J129" s="385"/>
      <c r="K129" s="386"/>
      <c r="L129" s="385"/>
      <c r="M129" s="386"/>
      <c r="N129" s="385"/>
      <c r="O129" s="386"/>
      <c r="P129" s="385"/>
      <c r="Q129" s="386"/>
      <c r="R129" s="387"/>
      <c r="S129" s="388"/>
      <c r="T129" s="1004"/>
      <c r="U129" s="1003"/>
    </row>
    <row r="130" spans="1:21" ht="18.75" thickBot="1" x14ac:dyDescent="0.3">
      <c r="A130" s="418"/>
      <c r="B130" s="458" t="s">
        <v>10</v>
      </c>
      <c r="C130" s="506" t="s">
        <v>5260</v>
      </c>
      <c r="D130" s="459" t="s">
        <v>5065</v>
      </c>
      <c r="E130" s="460" t="s">
        <v>11</v>
      </c>
      <c r="F130" s="456" t="s">
        <v>2</v>
      </c>
      <c r="G130" s="1161" t="s">
        <v>4554</v>
      </c>
      <c r="H130" s="457">
        <f>+H131</f>
        <v>7147757</v>
      </c>
      <c r="I130" s="1207">
        <f>+H130*(1+$G$116)</f>
        <v>9292084.0999999996</v>
      </c>
      <c r="J130" s="385"/>
      <c r="K130" s="376">
        <f>SUM(K131)</f>
        <v>32957.4</v>
      </c>
      <c r="L130" s="377"/>
      <c r="M130" s="376">
        <f>SUM(M131)</f>
        <v>976441</v>
      </c>
      <c r="N130" s="377"/>
      <c r="O130" s="376">
        <f>SUM(O131)</f>
        <v>6009998.2923750002</v>
      </c>
      <c r="P130" s="377"/>
      <c r="Q130" s="376">
        <f>SUM(Q131)</f>
        <v>128360.40000000001</v>
      </c>
      <c r="R130" s="379">
        <f>ROUND((Q130+O130+M130+K130),0)</f>
        <v>7147757</v>
      </c>
      <c r="S130" s="380"/>
      <c r="T130" s="381">
        <f>ROUND(Q130+M130+K130+O130,0)</f>
        <v>7147757</v>
      </c>
      <c r="U130" s="1003">
        <f t="shared" ref="U130" si="134">+T130-R130</f>
        <v>0</v>
      </c>
    </row>
    <row r="131" spans="1:21" ht="30" x14ac:dyDescent="0.25">
      <c r="A131" s="418"/>
      <c r="B131" s="345" t="s">
        <v>5125</v>
      </c>
      <c r="C131" s="345" t="s">
        <v>5284</v>
      </c>
      <c r="D131" s="1024" t="s">
        <v>5025</v>
      </c>
      <c r="E131" s="1022" t="s">
        <v>3980</v>
      </c>
      <c r="F131" s="1023">
        <v>7</v>
      </c>
      <c r="G131" s="400">
        <f>+VLOOKUP($B131,APU!$B$5:$I$1835,6,0)</f>
        <v>1021108.2096250001</v>
      </c>
      <c r="H131" s="954">
        <f t="shared" si="125"/>
        <v>7147757</v>
      </c>
      <c r="J131" s="385">
        <f>VLOOKUP($B131,APU!$K$6:$P$1687,2,FALSE)</f>
        <v>4708.2</v>
      </c>
      <c r="K131" s="386">
        <f t="shared" si="126"/>
        <v>32957.4</v>
      </c>
      <c r="L131" s="385">
        <f>VLOOKUP($B131,APU!$K$6:$P$1690,3,FALSE)</f>
        <v>139491.625</v>
      </c>
      <c r="M131" s="386">
        <f t="shared" si="127"/>
        <v>976441</v>
      </c>
      <c r="N131" s="385">
        <f>VLOOKUP($B131,APU!$K$6:$P$1680,4,FALSE)</f>
        <v>858571.18462499999</v>
      </c>
      <c r="O131" s="386">
        <f t="shared" si="128"/>
        <v>6009998.2923750002</v>
      </c>
      <c r="P131" s="385">
        <f>VLOOKUP($B131,APU!$K$6:$P$1680,5,FALSE)</f>
        <v>18337.2</v>
      </c>
      <c r="Q131" s="386">
        <f t="shared" si="129"/>
        <v>128360.40000000001</v>
      </c>
      <c r="R131" s="387">
        <f t="shared" si="130"/>
        <v>7147757</v>
      </c>
      <c r="S131" s="388"/>
      <c r="T131" s="1004">
        <f t="shared" si="131"/>
        <v>7147757</v>
      </c>
      <c r="U131" s="1003">
        <f t="shared" si="132"/>
        <v>0</v>
      </c>
    </row>
    <row r="132" spans="1:21" ht="15.75" thickBot="1" x14ac:dyDescent="0.3">
      <c r="A132" s="418"/>
      <c r="G132" s="296"/>
      <c r="H132" s="294"/>
      <c r="J132" s="385"/>
      <c r="K132" s="386"/>
      <c r="L132" s="385"/>
      <c r="M132" s="386"/>
      <c r="N132" s="385"/>
      <c r="O132" s="386"/>
      <c r="P132" s="385"/>
      <c r="Q132" s="386"/>
      <c r="R132" s="387"/>
      <c r="S132" s="388"/>
      <c r="T132" s="1004"/>
      <c r="U132" s="1003"/>
    </row>
    <row r="133" spans="1:21" ht="18.75" thickBot="1" x14ac:dyDescent="0.3">
      <c r="A133" s="418"/>
      <c r="B133" s="458" t="s">
        <v>10</v>
      </c>
      <c r="C133" s="506" t="s">
        <v>5261</v>
      </c>
      <c r="D133" s="459" t="s">
        <v>5068</v>
      </c>
      <c r="E133" s="460" t="s">
        <v>11</v>
      </c>
      <c r="F133" s="456" t="s">
        <v>2</v>
      </c>
      <c r="G133" s="1161" t="s">
        <v>4554</v>
      </c>
      <c r="H133" s="457">
        <f>SUM(H134:H140)</f>
        <v>53301722</v>
      </c>
      <c r="I133" s="1207">
        <f>+H133*(1+$G$116)</f>
        <v>69292238.600000009</v>
      </c>
      <c r="J133" s="385"/>
      <c r="K133" s="376">
        <f>SUM(K134:K140)</f>
        <v>8102067.4474600013</v>
      </c>
      <c r="L133" s="377"/>
      <c r="M133" s="376">
        <f>SUM(M134:M140)</f>
        <v>13620992</v>
      </c>
      <c r="N133" s="377"/>
      <c r="O133" s="376">
        <f>SUM(O134:O140)</f>
        <v>30876221.13802566</v>
      </c>
      <c r="P133" s="377"/>
      <c r="Q133" s="376">
        <f>SUM(Q134:Q140)</f>
        <v>702440.90778699983</v>
      </c>
      <c r="R133" s="379">
        <f>ROUND((Q133+O133+M133+K133),0)</f>
        <v>53301721</v>
      </c>
      <c r="S133" s="380"/>
      <c r="T133" s="381">
        <f>ROUND(Q133+M133+K133+O133,0)</f>
        <v>53301721</v>
      </c>
      <c r="U133" s="1003">
        <f t="shared" ref="U133" si="135">+T133-R133</f>
        <v>0</v>
      </c>
    </row>
    <row r="134" spans="1:21" ht="45" x14ac:dyDescent="0.25">
      <c r="A134" s="418"/>
      <c r="B134" s="345" t="s">
        <v>5103</v>
      </c>
      <c r="C134" s="345" t="s">
        <v>5285</v>
      </c>
      <c r="D134" s="193" t="s">
        <v>5252</v>
      </c>
      <c r="E134" s="5" t="s">
        <v>3975</v>
      </c>
      <c r="F134" s="1023">
        <v>122.03999999999999</v>
      </c>
      <c r="G134" s="400">
        <f>+VLOOKUP($B134,APU!$B$5:$I$1835,6,0)</f>
        <v>140236.19969375001</v>
      </c>
      <c r="H134" s="954">
        <f t="shared" si="125"/>
        <v>17114426</v>
      </c>
      <c r="J134" s="385">
        <f>VLOOKUP($B134,APU!$K$6:$P$1687,2,FALSE)</f>
        <v>165.5</v>
      </c>
      <c r="K134" s="386">
        <f t="shared" si="126"/>
        <v>20197.62</v>
      </c>
      <c r="L134" s="385">
        <f>VLOOKUP($B134,APU!$K$6:$P$1690,3,FALSE)</f>
        <v>54079.83</v>
      </c>
      <c r="M134" s="386">
        <f t="shared" si="127"/>
        <v>6599902</v>
      </c>
      <c r="N134" s="385">
        <f>VLOOKUP($B134,APU!$K$6:$P$1680,4,FALSE)</f>
        <v>83415.63969375001</v>
      </c>
      <c r="O134" s="386">
        <f t="shared" si="128"/>
        <v>10180044.668225251</v>
      </c>
      <c r="P134" s="385">
        <f>VLOOKUP($B134,APU!$K$6:$P$1680,5,FALSE)</f>
        <v>2575.23</v>
      </c>
      <c r="Q134" s="386">
        <f t="shared" si="129"/>
        <v>314281.06919999997</v>
      </c>
      <c r="R134" s="387">
        <f t="shared" si="130"/>
        <v>17114425</v>
      </c>
      <c r="S134" s="388"/>
      <c r="T134" s="1004">
        <f t="shared" si="131"/>
        <v>17114426</v>
      </c>
      <c r="U134" s="1003">
        <f t="shared" si="132"/>
        <v>1</v>
      </c>
    </row>
    <row r="135" spans="1:21" ht="39" customHeight="1" x14ac:dyDescent="0.25">
      <c r="A135" s="418"/>
      <c r="B135" s="345" t="s">
        <v>5104</v>
      </c>
      <c r="C135" s="345" t="s">
        <v>5286</v>
      </c>
      <c r="D135" s="1024" t="s">
        <v>5028</v>
      </c>
      <c r="E135" s="1022" t="s">
        <v>1027</v>
      </c>
      <c r="F135" s="1023">
        <v>34.174200000000006</v>
      </c>
      <c r="G135" s="400">
        <f>+VLOOKUP($B135,APU!$B$5:$I$1835,6,0)</f>
        <v>181330.5220017969</v>
      </c>
      <c r="H135" s="954">
        <f t="shared" si="125"/>
        <v>6196826</v>
      </c>
      <c r="J135" s="385">
        <f>VLOOKUP($B135,APU!$K$6:$P$1687,2,FALSE)</f>
        <v>73203.827999999994</v>
      </c>
      <c r="K135" s="386">
        <f t="shared" si="126"/>
        <v>2501682.2588376002</v>
      </c>
      <c r="L135" s="385">
        <f>VLOOKUP($B135,APU!$K$6:$P$1690,3,FALSE)</f>
        <v>24755.388000000003</v>
      </c>
      <c r="M135" s="386">
        <f t="shared" si="127"/>
        <v>845996</v>
      </c>
      <c r="N135" s="385">
        <f>VLOOKUP($B135,APU!$K$6:$P$1680,4,FALSE)</f>
        <v>82192.478001796873</v>
      </c>
      <c r="O135" s="386">
        <f t="shared" si="128"/>
        <v>2808862.181729007</v>
      </c>
      <c r="P135" s="385">
        <f>VLOOKUP($B135,APU!$K$6:$P$1680,5,FALSE)</f>
        <v>1178.8280000000002</v>
      </c>
      <c r="Q135" s="386">
        <f t="shared" si="129"/>
        <v>40285.503837600016</v>
      </c>
      <c r="R135" s="387">
        <f t="shared" si="130"/>
        <v>6196826</v>
      </c>
      <c r="S135" s="388"/>
      <c r="T135" s="1004">
        <f t="shared" si="131"/>
        <v>6196826</v>
      </c>
      <c r="U135" s="1003">
        <f t="shared" si="132"/>
        <v>0</v>
      </c>
    </row>
    <row r="136" spans="1:21" ht="30" x14ac:dyDescent="0.25">
      <c r="A136" s="418"/>
      <c r="B136" s="345" t="s">
        <v>5105</v>
      </c>
      <c r="C136" s="345" t="s">
        <v>5287</v>
      </c>
      <c r="D136" s="193" t="s">
        <v>5026</v>
      </c>
      <c r="E136" s="1022" t="s">
        <v>1027</v>
      </c>
      <c r="F136" s="1023">
        <v>32.4</v>
      </c>
      <c r="G136" s="400">
        <f>+VLOOKUP($B136,APU!$B$5:$I$1835,6,0)</f>
        <v>204804.70561953122</v>
      </c>
      <c r="H136" s="954">
        <f t="shared" si="125"/>
        <v>6635672</v>
      </c>
      <c r="J136" s="385">
        <f>VLOOKUP($B136,APU!$K$6:$P$1687,2,FALSE)</f>
        <v>82828.131999999998</v>
      </c>
      <c r="K136" s="386">
        <f t="shared" si="126"/>
        <v>2683631.4767999998</v>
      </c>
      <c r="L136" s="385">
        <f>VLOOKUP($B136,APU!$K$6:$P$1690,3,FALSE)</f>
        <v>28291.871999999999</v>
      </c>
      <c r="M136" s="386">
        <f t="shared" si="127"/>
        <v>916657</v>
      </c>
      <c r="N136" s="385">
        <f>VLOOKUP($B136,APU!$K$6:$P$1680,4,FALSE)</f>
        <v>92337.469619531243</v>
      </c>
      <c r="O136" s="386">
        <f t="shared" si="128"/>
        <v>2991734.0156728122</v>
      </c>
      <c r="P136" s="385">
        <f>VLOOKUP($B136,APU!$K$6:$P$1680,5,FALSE)</f>
        <v>1347.232</v>
      </c>
      <c r="Q136" s="386">
        <f t="shared" si="129"/>
        <v>43650.316800000001</v>
      </c>
      <c r="R136" s="387">
        <f t="shared" si="130"/>
        <v>6635673</v>
      </c>
      <c r="S136" s="388"/>
      <c r="T136" s="1004">
        <f t="shared" si="131"/>
        <v>6635672</v>
      </c>
      <c r="U136" s="1003">
        <f t="shared" si="132"/>
        <v>-1</v>
      </c>
    </row>
    <row r="137" spans="1:21" ht="30" x14ac:dyDescent="0.25">
      <c r="A137" s="418"/>
      <c r="B137" s="345" t="s">
        <v>5132</v>
      </c>
      <c r="C137" s="345" t="s">
        <v>5288</v>
      </c>
      <c r="D137" s="1024" t="s">
        <v>5029</v>
      </c>
      <c r="E137" s="5" t="s">
        <v>1027</v>
      </c>
      <c r="F137" s="1023">
        <v>17.8032</v>
      </c>
      <c r="G137" s="400">
        <f>+VLOOKUP($B137,APU!$B$5:$I$1835,6,0)</f>
        <v>219338.27847749996</v>
      </c>
      <c r="H137" s="954">
        <f t="shared" si="125"/>
        <v>3904923</v>
      </c>
      <c r="J137" s="385">
        <f>VLOOKUP($B137,APU!$K$6:$P$1687,2,FALSE)</f>
        <v>64279.131999999998</v>
      </c>
      <c r="K137" s="386">
        <f t="shared" si="126"/>
        <v>1144374.2428224001</v>
      </c>
      <c r="L137" s="385">
        <f>VLOOKUP($B137,APU!$K$6:$P$1690,3,FALSE)</f>
        <v>32922.982000000004</v>
      </c>
      <c r="M137" s="386">
        <f t="shared" si="127"/>
        <v>586134</v>
      </c>
      <c r="N137" s="385">
        <f>VLOOKUP($B137,APU!$K$6:$P$1680,4,FALSE)</f>
        <v>120788.93247750001</v>
      </c>
      <c r="O137" s="386">
        <f t="shared" si="128"/>
        <v>2150429.5226834281</v>
      </c>
      <c r="P137" s="385">
        <f>VLOOKUP($B137,APU!$K$6:$P$1680,5,FALSE)</f>
        <v>1347.232</v>
      </c>
      <c r="Q137" s="386">
        <f t="shared" si="129"/>
        <v>23985.0407424</v>
      </c>
      <c r="R137" s="387">
        <f t="shared" si="130"/>
        <v>3904923</v>
      </c>
      <c r="S137" s="388"/>
      <c r="T137" s="1004">
        <f t="shared" si="131"/>
        <v>3904923</v>
      </c>
      <c r="U137" s="1003">
        <f t="shared" si="132"/>
        <v>0</v>
      </c>
    </row>
    <row r="138" spans="1:21" ht="30" x14ac:dyDescent="0.25">
      <c r="A138" s="418"/>
      <c r="B138" s="345" t="s">
        <v>5134</v>
      </c>
      <c r="C138" s="345" t="s">
        <v>5289</v>
      </c>
      <c r="D138" s="1024" t="s">
        <v>5027</v>
      </c>
      <c r="E138" s="5" t="s">
        <v>1027</v>
      </c>
      <c r="F138" s="1023">
        <v>25.2</v>
      </c>
      <c r="G138" s="400">
        <f>+VLOOKUP($B138,APU!$B$5:$I$1835,6,0)</f>
        <v>201589.51847749995</v>
      </c>
      <c r="H138" s="954">
        <f t="shared" si="125"/>
        <v>5080056</v>
      </c>
      <c r="J138" s="385">
        <f>VLOOKUP($B138,APU!$K$6:$P$1687,2,FALSE)</f>
        <v>64279.131999999998</v>
      </c>
      <c r="K138" s="386">
        <f t="shared" si="126"/>
        <v>1619834.1264</v>
      </c>
      <c r="L138" s="385">
        <f>VLOOKUP($B138,APU!$K$6:$P$1690,3,FALSE)</f>
        <v>28291.871999999999</v>
      </c>
      <c r="M138" s="386">
        <f t="shared" si="127"/>
        <v>712955</v>
      </c>
      <c r="N138" s="385">
        <f>VLOOKUP($B138,APU!$K$6:$P$1680,4,FALSE)</f>
        <v>107671.2824775</v>
      </c>
      <c r="O138" s="386">
        <f t="shared" si="128"/>
        <v>2713316.3184330002</v>
      </c>
      <c r="P138" s="385">
        <f>VLOOKUP($B138,APU!$K$6:$P$1680,5,FALSE)</f>
        <v>1347.232</v>
      </c>
      <c r="Q138" s="386">
        <f t="shared" si="129"/>
        <v>33950.246399999996</v>
      </c>
      <c r="R138" s="387">
        <f t="shared" si="130"/>
        <v>5080056</v>
      </c>
      <c r="S138" s="388"/>
      <c r="T138" s="1004">
        <f t="shared" si="131"/>
        <v>5080056</v>
      </c>
      <c r="U138" s="1003">
        <f t="shared" si="132"/>
        <v>0</v>
      </c>
    </row>
    <row r="139" spans="1:21" ht="30" x14ac:dyDescent="0.25">
      <c r="A139" s="418"/>
      <c r="B139" s="426" t="s">
        <v>5107</v>
      </c>
      <c r="C139" s="345" t="s">
        <v>5290</v>
      </c>
      <c r="D139" s="193" t="s">
        <v>5166</v>
      </c>
      <c r="E139" s="5" t="s">
        <v>3975</v>
      </c>
      <c r="F139" s="1023">
        <v>47.872199999999999</v>
      </c>
      <c r="G139" s="400">
        <f>+VLOOKUP($B139,APU!$B$5:$I$1835,6,0)</f>
        <v>243854.63792500002</v>
      </c>
      <c r="H139" s="954">
        <f t="shared" si="125"/>
        <v>11673858</v>
      </c>
      <c r="J139" s="385">
        <f>VLOOKUP($B139,APU!$K$6:$P$1687,2,FALSE)</f>
        <v>1733</v>
      </c>
      <c r="K139" s="386">
        <f t="shared" si="126"/>
        <v>82962.522599999997</v>
      </c>
      <c r="L139" s="385">
        <f>VLOOKUP($B139,APU!$K$6:$P$1690,3,FALSE)</f>
        <v>60233.7</v>
      </c>
      <c r="M139" s="386">
        <f t="shared" si="127"/>
        <v>2883520</v>
      </c>
      <c r="N139" s="385">
        <f>VLOOKUP($B139,APU!$K$6:$P$1680,4,FALSE)</f>
        <v>178883.50292500004</v>
      </c>
      <c r="O139" s="386">
        <f t="shared" si="128"/>
        <v>8563546.8287261873</v>
      </c>
      <c r="P139" s="385">
        <f>VLOOKUP($B139,APU!$K$6:$P$1680,5,FALSE)</f>
        <v>3004.4349999999999</v>
      </c>
      <c r="Q139" s="386">
        <f t="shared" si="129"/>
        <v>143828.91320700001</v>
      </c>
      <c r="R139" s="387">
        <f t="shared" si="130"/>
        <v>11673858</v>
      </c>
      <c r="S139" s="388"/>
      <c r="T139" s="1004">
        <f t="shared" si="131"/>
        <v>11673858</v>
      </c>
      <c r="U139" s="1003">
        <f t="shared" si="132"/>
        <v>0</v>
      </c>
    </row>
    <row r="140" spans="1:21" ht="30" x14ac:dyDescent="0.25">
      <c r="A140" s="418"/>
      <c r="B140" s="345" t="s">
        <v>5175</v>
      </c>
      <c r="C140" s="345" t="s">
        <v>5291</v>
      </c>
      <c r="D140" s="1024" t="s">
        <v>5033</v>
      </c>
      <c r="E140" s="5" t="s">
        <v>3975</v>
      </c>
      <c r="F140" s="1023">
        <v>14.92</v>
      </c>
      <c r="G140" s="400">
        <f>+VLOOKUP($B140,APU!$B$5:$I$1835,6,0)</f>
        <v>180694.41722225002</v>
      </c>
      <c r="H140" s="954">
        <f t="shared" si="125"/>
        <v>2695961</v>
      </c>
      <c r="J140" s="385">
        <f>VLOOKUP($B140,APU!$K$6:$P$1687,2,FALSE)</f>
        <v>3310</v>
      </c>
      <c r="K140" s="386">
        <f t="shared" si="126"/>
        <v>49385.2</v>
      </c>
      <c r="L140" s="385">
        <f>VLOOKUP($B140,APU!$K$6:$P$1690,3,FALSE)</f>
        <v>72106.44</v>
      </c>
      <c r="M140" s="386">
        <f t="shared" si="127"/>
        <v>1075828</v>
      </c>
      <c r="N140" s="385">
        <f>VLOOKUP($B140,APU!$K$6:$P$1680,4,FALSE)</f>
        <v>98410.697222250019</v>
      </c>
      <c r="O140" s="386">
        <f t="shared" si="128"/>
        <v>1468287.6025559702</v>
      </c>
      <c r="P140" s="385">
        <f>VLOOKUP($B140,APU!$K$6:$P$1680,5,FALSE)</f>
        <v>6867.2800000000007</v>
      </c>
      <c r="Q140" s="386">
        <f t="shared" si="129"/>
        <v>102459.81760000001</v>
      </c>
      <c r="R140" s="387">
        <f t="shared" si="130"/>
        <v>2695961</v>
      </c>
      <c r="S140" s="388"/>
      <c r="T140" s="1004">
        <f t="shared" si="131"/>
        <v>2695961</v>
      </c>
      <c r="U140" s="1003">
        <f t="shared" si="132"/>
        <v>0</v>
      </c>
    </row>
    <row r="141" spans="1:21" ht="15.75" thickBot="1" x14ac:dyDescent="0.3">
      <c r="A141" s="418"/>
      <c r="G141" s="296"/>
      <c r="H141" s="294"/>
      <c r="J141" s="385"/>
      <c r="K141" s="386"/>
      <c r="L141" s="385"/>
      <c r="M141" s="386"/>
      <c r="N141" s="385"/>
      <c r="O141" s="386"/>
      <c r="P141" s="385"/>
      <c r="Q141" s="386"/>
      <c r="R141" s="387"/>
      <c r="S141" s="388"/>
      <c r="T141" s="1004"/>
      <c r="U141" s="1003"/>
    </row>
    <row r="142" spans="1:21" ht="18.75" thickBot="1" x14ac:dyDescent="0.3">
      <c r="A142" s="418"/>
      <c r="B142" s="458" t="s">
        <v>10</v>
      </c>
      <c r="C142" s="506" t="s">
        <v>5262</v>
      </c>
      <c r="D142" s="459" t="s">
        <v>2482</v>
      </c>
      <c r="E142" s="460" t="s">
        <v>11</v>
      </c>
      <c r="F142" s="456" t="s">
        <v>2</v>
      </c>
      <c r="G142" s="1161" t="s">
        <v>4554</v>
      </c>
      <c r="H142" s="457">
        <f>+H143</f>
        <v>3169030</v>
      </c>
      <c r="I142" s="1207">
        <f>+H142*(1+$G$116)</f>
        <v>4119739</v>
      </c>
      <c r="J142" s="385"/>
      <c r="K142" s="376">
        <f>SUM(K143)</f>
        <v>45231.627157500006</v>
      </c>
      <c r="L142" s="377"/>
      <c r="M142" s="376">
        <f>SUM(M143)</f>
        <v>1060140</v>
      </c>
      <c r="N142" s="377"/>
      <c r="O142" s="376">
        <f>SUM(O143)</f>
        <v>1966403.5976741943</v>
      </c>
      <c r="P142" s="377"/>
      <c r="Q142" s="376">
        <f>SUM(Q143)</f>
        <v>97254.177751640003</v>
      </c>
      <c r="R142" s="379">
        <f>ROUND((Q142+O142+M142+K142),0)</f>
        <v>3169029</v>
      </c>
      <c r="S142" s="380"/>
      <c r="T142" s="381">
        <f>ROUND(Q142+M142+K142+O142,0)</f>
        <v>3169029</v>
      </c>
      <c r="U142" s="1003">
        <f t="shared" ref="U142" si="136">+T142-R142</f>
        <v>0</v>
      </c>
    </row>
    <row r="143" spans="1:21" ht="30" x14ac:dyDescent="0.25">
      <c r="A143" s="418"/>
      <c r="B143" s="345" t="s">
        <v>5109</v>
      </c>
      <c r="C143" s="345" t="s">
        <v>5292</v>
      </c>
      <c r="D143" s="193" t="s">
        <v>5031</v>
      </c>
      <c r="E143" s="5" t="s">
        <v>3975</v>
      </c>
      <c r="F143" s="1023">
        <v>43.670410000000004</v>
      </c>
      <c r="G143" s="400">
        <f>+VLOOKUP($B143,APU!$B$5:$I$1835,6,0)</f>
        <v>72566.977400000003</v>
      </c>
      <c r="H143" s="954">
        <f t="shared" si="125"/>
        <v>3169030</v>
      </c>
      <c r="J143" s="385">
        <f>VLOOKUP($B143,APU!$K$6:$P$1687,2,FALSE)</f>
        <v>1035.75</v>
      </c>
      <c r="K143" s="386">
        <f t="shared" si="126"/>
        <v>45231.627157500006</v>
      </c>
      <c r="L143" s="385">
        <f>VLOOKUP($B143,APU!$K$6:$P$1690,3,FALSE)</f>
        <v>24275.94</v>
      </c>
      <c r="M143" s="386">
        <f t="shared" si="127"/>
        <v>1060140</v>
      </c>
      <c r="N143" s="385">
        <f>VLOOKUP($B143,APU!$K$6:$P$1680,4,FALSE)</f>
        <v>45028.2834</v>
      </c>
      <c r="O143" s="386">
        <f t="shared" si="128"/>
        <v>1966403.5976741943</v>
      </c>
      <c r="P143" s="385">
        <f>VLOOKUP($B143,APU!$K$6:$P$1680,5,FALSE)</f>
        <v>2227.0039999999999</v>
      </c>
      <c r="Q143" s="386">
        <f t="shared" si="129"/>
        <v>97254.177751640003</v>
      </c>
      <c r="R143" s="387">
        <f t="shared" si="130"/>
        <v>3169029</v>
      </c>
      <c r="S143" s="388"/>
      <c r="T143" s="1004">
        <f t="shared" si="131"/>
        <v>3169030</v>
      </c>
      <c r="U143" s="1003">
        <f t="shared" si="132"/>
        <v>1</v>
      </c>
    </row>
    <row r="144" spans="1:21" ht="15.75" thickBot="1" x14ac:dyDescent="0.3">
      <c r="A144" s="418"/>
      <c r="G144" s="296"/>
      <c r="H144" s="294"/>
      <c r="J144" s="385"/>
      <c r="K144" s="386"/>
      <c r="L144" s="385"/>
      <c r="M144" s="386"/>
      <c r="N144" s="385"/>
      <c r="O144" s="386"/>
      <c r="P144" s="385"/>
      <c r="Q144" s="386"/>
      <c r="R144" s="387"/>
      <c r="S144" s="388"/>
      <c r="T144" s="1004"/>
      <c r="U144" s="1003"/>
    </row>
    <row r="145" spans="1:21" ht="18.75" thickBot="1" x14ac:dyDescent="0.3">
      <c r="A145" s="418"/>
      <c r="B145" s="458" t="s">
        <v>10</v>
      </c>
      <c r="C145" s="506" t="s">
        <v>5263</v>
      </c>
      <c r="D145" s="459" t="s">
        <v>5069</v>
      </c>
      <c r="E145" s="460" t="s">
        <v>11</v>
      </c>
      <c r="F145" s="456" t="s">
        <v>2</v>
      </c>
      <c r="G145" s="1161" t="s">
        <v>4554</v>
      </c>
      <c r="H145" s="457">
        <f>SUM(H146:H147)</f>
        <v>7588755</v>
      </c>
      <c r="I145" s="1207">
        <f>+H145*(1+$G$116)</f>
        <v>9865381.5</v>
      </c>
      <c r="J145" s="385"/>
      <c r="K145" s="376">
        <f>SUM(K146:K147)</f>
        <v>243784.64430000001</v>
      </c>
      <c r="L145" s="377"/>
      <c r="M145" s="376">
        <f>SUM(M146:M147)</f>
        <v>237837</v>
      </c>
      <c r="N145" s="377"/>
      <c r="O145" s="376">
        <f>SUM(O146:O147)</f>
        <v>6993336.4154913761</v>
      </c>
      <c r="P145" s="377"/>
      <c r="Q145" s="376">
        <f>SUM(Q146:Q147)</f>
        <v>113795.6217</v>
      </c>
      <c r="R145" s="379">
        <f>ROUND((Q145+O145+M145+K145),0)</f>
        <v>7588754</v>
      </c>
      <c r="S145" s="380"/>
      <c r="T145" s="381">
        <f>ROUND(Q145+M145+K145+O145,0)</f>
        <v>7588754</v>
      </c>
      <c r="U145" s="1003">
        <f t="shared" ref="U145" si="137">+T145-R145</f>
        <v>0</v>
      </c>
    </row>
    <row r="146" spans="1:21" ht="30" x14ac:dyDescent="0.25">
      <c r="A146" s="418"/>
      <c r="B146" s="345" t="s">
        <v>5141</v>
      </c>
      <c r="C146" s="345" t="s">
        <v>5293</v>
      </c>
      <c r="D146" s="193" t="s">
        <v>5044</v>
      </c>
      <c r="E146" s="5" t="s">
        <v>4016</v>
      </c>
      <c r="F146" s="1023">
        <v>27</v>
      </c>
      <c r="G146" s="400">
        <f>+VLOOKUP($B146,APU!$B$5:$I$1835,6,0)</f>
        <v>16696</v>
      </c>
      <c r="H146" s="954">
        <f t="shared" si="125"/>
        <v>450792</v>
      </c>
      <c r="J146" s="385">
        <f>VLOOKUP($B146,APU!$K$6:$P$1687,2,FALSE)</f>
        <v>405</v>
      </c>
      <c r="K146" s="386">
        <f t="shared" si="126"/>
        <v>10935</v>
      </c>
      <c r="L146" s="385">
        <f>VLOOKUP($B146,APU!$K$6:$P$1690,3,FALSE)</f>
        <v>4674.8999999999996</v>
      </c>
      <c r="M146" s="386">
        <f t="shared" si="127"/>
        <v>126222</v>
      </c>
      <c r="N146" s="385">
        <f>VLOOKUP($B146,APU!$K$6:$P$1680,4,FALSE)</f>
        <v>11616.541000000001</v>
      </c>
      <c r="O146" s="386">
        <f>N146*F146-12</f>
        <v>313634.60700000002</v>
      </c>
      <c r="P146" s="385">
        <f>VLOOKUP($B146,APU!$K$6:$P$1680,5,FALSE)</f>
        <v>0</v>
      </c>
      <c r="Q146" s="386">
        <f t="shared" si="129"/>
        <v>0</v>
      </c>
      <c r="R146" s="387">
        <f t="shared" si="130"/>
        <v>450792</v>
      </c>
      <c r="S146" s="388"/>
      <c r="T146" s="1004">
        <f t="shared" si="131"/>
        <v>450792</v>
      </c>
      <c r="U146" s="1003">
        <f t="shared" si="132"/>
        <v>0</v>
      </c>
    </row>
    <row r="147" spans="1:21" ht="60" x14ac:dyDescent="0.25">
      <c r="A147" s="418"/>
      <c r="B147" s="345" t="s">
        <v>5142</v>
      </c>
      <c r="C147" s="345" t="s">
        <v>5294</v>
      </c>
      <c r="D147" s="193" t="s">
        <v>5048</v>
      </c>
      <c r="E147" s="5" t="s">
        <v>3975</v>
      </c>
      <c r="F147" s="1023">
        <v>7.8150000000000004</v>
      </c>
      <c r="G147" s="400">
        <f>+VLOOKUP($B147,APU!$B$5:$I$1835,6,0)</f>
        <v>913367</v>
      </c>
      <c r="H147" s="954">
        <f t="shared" si="125"/>
        <v>7137963</v>
      </c>
      <c r="J147" s="385">
        <f>VLOOKUP($B147,APU!$K$6:$P$1687,2,FALSE)</f>
        <v>29795.22</v>
      </c>
      <c r="K147" s="386">
        <f t="shared" si="126"/>
        <v>232849.64430000001</v>
      </c>
      <c r="L147" s="385">
        <f>VLOOKUP($B147,APU!$K$6:$P$1690,3,FALSE)</f>
        <v>14282.11</v>
      </c>
      <c r="M147" s="386">
        <f t="shared" si="127"/>
        <v>111615</v>
      </c>
      <c r="N147" s="385">
        <f>VLOOKUP($B147,APU!$K$6:$P$1680,4,FALSE)</f>
        <v>854728.31842500006</v>
      </c>
      <c r="O147" s="386">
        <f t="shared" si="128"/>
        <v>6679701.8084913762</v>
      </c>
      <c r="P147" s="385">
        <f>VLOOKUP($B147,APU!$K$6:$P$1680,5,FALSE)</f>
        <v>14561.18</v>
      </c>
      <c r="Q147" s="386">
        <f t="shared" si="129"/>
        <v>113795.6217</v>
      </c>
      <c r="R147" s="387">
        <f t="shared" si="130"/>
        <v>7137962</v>
      </c>
      <c r="S147" s="388"/>
      <c r="T147" s="1004">
        <f t="shared" si="131"/>
        <v>7137963</v>
      </c>
      <c r="U147" s="1003">
        <f t="shared" si="132"/>
        <v>1</v>
      </c>
    </row>
    <row r="148" spans="1:21" ht="15.75" thickBot="1" x14ac:dyDescent="0.3">
      <c r="A148" s="418"/>
      <c r="G148" s="296"/>
      <c r="H148" s="294"/>
      <c r="J148" s="385"/>
      <c r="K148" s="386"/>
      <c r="L148" s="385"/>
      <c r="M148" s="386"/>
      <c r="N148" s="385"/>
      <c r="O148" s="386"/>
      <c r="P148" s="385"/>
      <c r="Q148" s="386"/>
      <c r="R148" s="387"/>
      <c r="S148" s="388"/>
      <c r="T148" s="1004"/>
      <c r="U148" s="1003"/>
    </row>
    <row r="149" spans="1:21" ht="18.75" thickBot="1" x14ac:dyDescent="0.3">
      <c r="A149" s="418"/>
      <c r="B149" s="458" t="s">
        <v>10</v>
      </c>
      <c r="C149" s="506" t="s">
        <v>5264</v>
      </c>
      <c r="D149" s="459" t="s">
        <v>4428</v>
      </c>
      <c r="E149" s="460" t="s">
        <v>11</v>
      </c>
      <c r="F149" s="456" t="s">
        <v>2</v>
      </c>
      <c r="G149" s="1161" t="s">
        <v>4554</v>
      </c>
      <c r="H149" s="457">
        <f>SUM(H150:H151)</f>
        <v>16654816</v>
      </c>
      <c r="I149" s="1207">
        <f>+H149*(1+$G$116)</f>
        <v>21651260.800000001</v>
      </c>
      <c r="J149" s="385"/>
      <c r="K149" s="376">
        <f>SUM(K150:K151)</f>
        <v>2170465.2469899999</v>
      </c>
      <c r="L149" s="377"/>
      <c r="M149" s="376">
        <f>SUM(M150:M151)</f>
        <v>10544965</v>
      </c>
      <c r="N149" s="377"/>
      <c r="O149" s="376">
        <f>SUM(O150:O151)</f>
        <v>3426966.2575940005</v>
      </c>
      <c r="P149" s="377"/>
      <c r="Q149" s="376">
        <f>SUM(Q150:Q151)</f>
        <v>512420.41875000001</v>
      </c>
      <c r="R149" s="379">
        <f>ROUND((Q149+O149+M149+K149),0)</f>
        <v>16654817</v>
      </c>
      <c r="S149" s="380"/>
      <c r="T149" s="381">
        <f>ROUND(Q149+M149+K149+O149,0)</f>
        <v>16654817</v>
      </c>
      <c r="U149" s="1003">
        <f t="shared" ref="U149" si="138">+T149-R149</f>
        <v>0</v>
      </c>
    </row>
    <row r="150" spans="1:21" ht="30" x14ac:dyDescent="0.25">
      <c r="A150" s="418"/>
      <c r="B150" s="345" t="s">
        <v>4449</v>
      </c>
      <c r="C150" s="345" t="s">
        <v>5295</v>
      </c>
      <c r="D150" s="193" t="s">
        <v>5032</v>
      </c>
      <c r="E150" s="5" t="s">
        <v>3975</v>
      </c>
      <c r="F150" s="1023">
        <v>174.68</v>
      </c>
      <c r="G150" s="400">
        <f>+VLOOKUP($B150,APU!$B$5:$I$1835,6,0)</f>
        <v>32029.644749999996</v>
      </c>
      <c r="H150" s="954">
        <f t="shared" si="125"/>
        <v>5594938</v>
      </c>
      <c r="J150" s="385">
        <f>VLOOKUP($B150,APU!$K$6:$P$1687,2,FALSE)</f>
        <v>1711.20525</v>
      </c>
      <c r="K150" s="386">
        <f t="shared" si="126"/>
        <v>298913.33306999999</v>
      </c>
      <c r="L150" s="385">
        <f>VLOOKUP($B150,APU!$K$6:$P$1690,3,FALSE)</f>
        <v>12917.75625</v>
      </c>
      <c r="M150" s="386">
        <f t="shared" si="127"/>
        <v>2256474</v>
      </c>
      <c r="N150" s="385">
        <f>VLOOKUP($B150,APU!$K$6:$P$1680,4,FALSE)</f>
        <v>16785.552000000003</v>
      </c>
      <c r="O150" s="386">
        <f t="shared" si="128"/>
        <v>2932100.2233600006</v>
      </c>
      <c r="P150" s="385">
        <f>VLOOKUP($B150,APU!$K$6:$P$1680,5,FALSE)</f>
        <v>615.13125000000002</v>
      </c>
      <c r="Q150" s="386">
        <f t="shared" si="129"/>
        <v>107451.12675000001</v>
      </c>
      <c r="R150" s="387">
        <f t="shared" si="130"/>
        <v>5594939</v>
      </c>
      <c r="S150" s="388"/>
      <c r="T150" s="1004">
        <f t="shared" si="131"/>
        <v>5594938</v>
      </c>
      <c r="U150" s="1003">
        <f t="shared" si="132"/>
        <v>-1</v>
      </c>
    </row>
    <row r="151" spans="1:21" ht="30" x14ac:dyDescent="0.25">
      <c r="A151" s="418"/>
      <c r="B151" s="345" t="s">
        <v>4448</v>
      </c>
      <c r="C151" s="345" t="s">
        <v>5296</v>
      </c>
      <c r="D151" s="193" t="s">
        <v>5037</v>
      </c>
      <c r="E151" s="5" t="s">
        <v>1027</v>
      </c>
      <c r="F151" s="1023">
        <v>500.24</v>
      </c>
      <c r="G151" s="400">
        <f>+VLOOKUP($B151,APU!$B$5:$I$1835,6,0)</f>
        <v>22109.144225</v>
      </c>
      <c r="H151" s="954">
        <f t="shared" si="125"/>
        <v>11059878</v>
      </c>
      <c r="J151" s="385">
        <f>VLOOKUP($B151,APU!$K$6:$P$1687,2,FALSE)</f>
        <v>3741.308</v>
      </c>
      <c r="K151" s="386">
        <f t="shared" si="126"/>
        <v>1871551.91392</v>
      </c>
      <c r="L151" s="385">
        <f>VLOOKUP($B151,APU!$K$6:$P$1690,3,FALSE)</f>
        <v>16569.028999999999</v>
      </c>
      <c r="M151" s="386">
        <f t="shared" si="127"/>
        <v>8288491</v>
      </c>
      <c r="N151" s="385">
        <f>VLOOKUP($B151,APU!$K$6:$P$1680,4,FALSE)</f>
        <v>989.25722499999995</v>
      </c>
      <c r="O151" s="386">
        <f t="shared" si="128"/>
        <v>494866.03423399996</v>
      </c>
      <c r="P151" s="385">
        <f>VLOOKUP($B151,APU!$K$6:$P$1680,5,FALSE)</f>
        <v>809.55000000000007</v>
      </c>
      <c r="Q151" s="386">
        <f t="shared" si="129"/>
        <v>404969.29200000002</v>
      </c>
      <c r="R151" s="387">
        <f t="shared" si="130"/>
        <v>11059878</v>
      </c>
      <c r="S151" s="388"/>
      <c r="T151" s="1004">
        <f t="shared" si="131"/>
        <v>11059878</v>
      </c>
      <c r="U151" s="1003">
        <f t="shared" si="132"/>
        <v>0</v>
      </c>
    </row>
    <row r="152" spans="1:21" ht="15.75" thickBot="1" x14ac:dyDescent="0.3">
      <c r="A152" s="418"/>
      <c r="G152" s="296"/>
      <c r="H152" s="294"/>
      <c r="J152" s="385"/>
      <c r="K152" s="386"/>
      <c r="L152" s="385"/>
      <c r="M152" s="386"/>
      <c r="N152" s="385"/>
      <c r="O152" s="386"/>
      <c r="P152" s="385"/>
      <c r="Q152" s="386"/>
      <c r="R152" s="387"/>
      <c r="S152" s="388"/>
      <c r="T152" s="1004"/>
      <c r="U152" s="1003"/>
    </row>
    <row r="153" spans="1:21" ht="18.75" thickBot="1" x14ac:dyDescent="0.3">
      <c r="A153" s="418"/>
      <c r="B153" s="458" t="s">
        <v>10</v>
      </c>
      <c r="C153" s="506" t="s">
        <v>5265</v>
      </c>
      <c r="D153" s="459" t="s">
        <v>4417</v>
      </c>
      <c r="E153" s="460" t="s">
        <v>11</v>
      </c>
      <c r="F153" s="456" t="s">
        <v>2</v>
      </c>
      <c r="G153" s="1161" t="s">
        <v>4554</v>
      </c>
      <c r="H153" s="457">
        <f>+H154</f>
        <v>234090</v>
      </c>
      <c r="I153" s="1207">
        <f>+H153*(1+$G$116)</f>
        <v>304317</v>
      </c>
      <c r="J153" s="385"/>
      <c r="K153" s="376">
        <f>SUM(K154)</f>
        <v>13668.75</v>
      </c>
      <c r="L153" s="377"/>
      <c r="M153" s="376">
        <f>SUM(M154)</f>
        <v>117807</v>
      </c>
      <c r="N153" s="377"/>
      <c r="O153" s="376">
        <f>SUM(O154)</f>
        <v>102616.2675</v>
      </c>
      <c r="P153" s="377"/>
      <c r="Q153" s="376">
        <f>SUM(Q154)</f>
        <v>0</v>
      </c>
      <c r="R153" s="379">
        <f>ROUND((Q153+O153+M153+K153),0)</f>
        <v>234092</v>
      </c>
      <c r="S153" s="380"/>
      <c r="T153" s="381">
        <f>ROUND(Q153+M153+K153+O153,0)</f>
        <v>234092</v>
      </c>
      <c r="U153" s="1003">
        <f t="shared" ref="U153" si="139">+T153-R153</f>
        <v>0</v>
      </c>
    </row>
    <row r="154" spans="1:21" x14ac:dyDescent="0.25">
      <c r="A154" s="418"/>
      <c r="B154" s="345" t="s">
        <v>4445</v>
      </c>
      <c r="C154" s="345" t="s">
        <v>5297</v>
      </c>
      <c r="D154" s="193" t="s">
        <v>5041</v>
      </c>
      <c r="E154" s="5" t="s">
        <v>1027</v>
      </c>
      <c r="F154" s="1023">
        <v>6.75</v>
      </c>
      <c r="G154" s="400">
        <f>+VLOOKUP($B154,APU!$B$5:$I$1835,6,0)</f>
        <v>34680</v>
      </c>
      <c r="H154" s="954">
        <f t="shared" si="125"/>
        <v>234090</v>
      </c>
      <c r="J154" s="385">
        <f>VLOOKUP($B154,APU!$K$6:$P$1687,2,FALSE)</f>
        <v>2025</v>
      </c>
      <c r="K154" s="386">
        <f t="shared" si="126"/>
        <v>13668.75</v>
      </c>
      <c r="L154" s="385">
        <f>VLOOKUP($B154,APU!$K$6:$P$1690,3,FALSE)</f>
        <v>17452.960000000003</v>
      </c>
      <c r="M154" s="386">
        <f t="shared" si="127"/>
        <v>117807</v>
      </c>
      <c r="N154" s="385">
        <f>VLOOKUP($B154,APU!$K$6:$P$1680,4,FALSE)</f>
        <v>15202.41</v>
      </c>
      <c r="O154" s="386">
        <f t="shared" si="128"/>
        <v>102616.2675</v>
      </c>
      <c r="P154" s="385">
        <f>VLOOKUP($B154,APU!$K$6:$P$1680,5,FALSE)</f>
        <v>0</v>
      </c>
      <c r="Q154" s="386">
        <f t="shared" si="129"/>
        <v>0</v>
      </c>
      <c r="R154" s="387">
        <f t="shared" si="130"/>
        <v>234092</v>
      </c>
      <c r="S154" s="388"/>
      <c r="T154" s="1004">
        <f t="shared" si="131"/>
        <v>234090</v>
      </c>
      <c r="U154" s="1003">
        <f t="shared" si="132"/>
        <v>-2</v>
      </c>
    </row>
    <row r="155" spans="1:21" ht="15.75" thickBot="1" x14ac:dyDescent="0.3">
      <c r="A155" s="418"/>
      <c r="G155" s="296"/>
      <c r="H155" s="294"/>
      <c r="J155" s="385"/>
      <c r="K155" s="386"/>
      <c r="L155" s="385"/>
      <c r="M155" s="386"/>
      <c r="N155" s="385"/>
      <c r="O155" s="386"/>
      <c r="P155" s="385"/>
      <c r="Q155" s="386"/>
      <c r="R155" s="387"/>
      <c r="S155" s="388"/>
      <c r="T155" s="1004"/>
      <c r="U155" s="1003"/>
    </row>
    <row r="156" spans="1:21" ht="18.75" thickBot="1" x14ac:dyDescent="0.3">
      <c r="A156" s="418"/>
      <c r="B156" s="458" t="s">
        <v>10</v>
      </c>
      <c r="C156" s="506" t="s">
        <v>5266</v>
      </c>
      <c r="D156" s="459" t="s">
        <v>578</v>
      </c>
      <c r="E156" s="460" t="s">
        <v>11</v>
      </c>
      <c r="F156" s="456" t="s">
        <v>2</v>
      </c>
      <c r="G156" s="1161" t="s">
        <v>4554</v>
      </c>
      <c r="H156" s="457">
        <f>SUM(H157:H161)</f>
        <v>96074987</v>
      </c>
      <c r="I156" s="1207">
        <f>+H156*(1+$G$116)</f>
        <v>124897483.10000001</v>
      </c>
      <c r="J156" s="385"/>
      <c r="K156" s="376">
        <f>SUM(K157:K161)</f>
        <v>3542123.5471999999</v>
      </c>
      <c r="L156" s="377"/>
      <c r="M156" s="376">
        <f>SUM(M157:M161)</f>
        <v>24637538</v>
      </c>
      <c r="N156" s="377"/>
      <c r="O156" s="376">
        <f>SUM(O157:O161)</f>
        <v>62816510.089960009</v>
      </c>
      <c r="P156" s="377"/>
      <c r="Q156" s="376">
        <f>SUM(Q157:Q161)</f>
        <v>5078817.0422400003</v>
      </c>
      <c r="R156" s="379">
        <f>ROUND((Q156+O156+M156+K156),0)</f>
        <v>96074989</v>
      </c>
      <c r="S156" s="380"/>
      <c r="T156" s="381">
        <f>ROUND(Q156+M156+K156+O156,0)</f>
        <v>96074989</v>
      </c>
      <c r="U156" s="1003">
        <f t="shared" ref="U156" si="140">+T156-R156</f>
        <v>0</v>
      </c>
    </row>
    <row r="157" spans="1:21" ht="30" x14ac:dyDescent="0.25">
      <c r="A157" s="418"/>
      <c r="B157" s="345" t="s">
        <v>5167</v>
      </c>
      <c r="C157" s="345" t="s">
        <v>5298</v>
      </c>
      <c r="D157" s="193" t="s">
        <v>5034</v>
      </c>
      <c r="E157" s="5" t="s">
        <v>4016</v>
      </c>
      <c r="F157" s="1023">
        <v>63</v>
      </c>
      <c r="G157" s="400">
        <f>+VLOOKUP($B157,APU!$B$5:$I$1835,6,0)</f>
        <v>374072.97312000004</v>
      </c>
      <c r="H157" s="954">
        <f t="shared" si="125"/>
        <v>23566597</v>
      </c>
      <c r="J157" s="385">
        <f>VLOOKUP($B157,APU!$K$6:$P$1687,2,FALSE)</f>
        <v>3310.58</v>
      </c>
      <c r="K157" s="386">
        <f t="shared" si="126"/>
        <v>208566.54</v>
      </c>
      <c r="L157" s="385">
        <f>VLOOKUP($B157,APU!$K$6:$P$1690,3,FALSE)</f>
        <v>48166.200000000004</v>
      </c>
      <c r="M157" s="386">
        <f t="shared" si="127"/>
        <v>3034471</v>
      </c>
      <c r="N157" s="385">
        <f>VLOOKUP($B157,APU!$K$6:$P$1680,4,FALSE)</f>
        <v>319683.95712000004</v>
      </c>
      <c r="O157" s="386">
        <f t="shared" si="128"/>
        <v>20140089.298560001</v>
      </c>
      <c r="P157" s="385">
        <f>VLOOKUP($B157,APU!$K$6:$P$1680,5,FALSE)</f>
        <v>2912.2360000000003</v>
      </c>
      <c r="Q157" s="386">
        <f t="shared" si="129"/>
        <v>183470.86800000002</v>
      </c>
      <c r="R157" s="387">
        <f t="shared" si="130"/>
        <v>23566598</v>
      </c>
      <c r="S157" s="388"/>
      <c r="T157" s="1004">
        <f t="shared" si="131"/>
        <v>23566597</v>
      </c>
      <c r="U157" s="1003">
        <f t="shared" si="132"/>
        <v>-1</v>
      </c>
    </row>
    <row r="158" spans="1:21" ht="30" x14ac:dyDescent="0.25">
      <c r="A158" s="418"/>
      <c r="B158" s="345" t="s">
        <v>5168</v>
      </c>
      <c r="C158" s="345" t="s">
        <v>5299</v>
      </c>
      <c r="D158" s="193" t="s">
        <v>5035</v>
      </c>
      <c r="E158" s="5" t="s">
        <v>1027</v>
      </c>
      <c r="F158" s="1023">
        <v>386.84</v>
      </c>
      <c r="G158" s="400">
        <f>+VLOOKUP($B158,APU!$B$5:$I$1835,6,0)</f>
        <v>97642.415999999997</v>
      </c>
      <c r="H158" s="954">
        <f t="shared" si="125"/>
        <v>37771992</v>
      </c>
      <c r="J158" s="385">
        <f>VLOOKUP($B158,APU!$K$6:$P$1687,2,FALSE)</f>
        <v>3310.58</v>
      </c>
      <c r="K158" s="386">
        <f t="shared" si="126"/>
        <v>1280664.7671999999</v>
      </c>
      <c r="L158" s="385">
        <f>VLOOKUP($B158,APU!$K$6:$P$1690,3,FALSE)</f>
        <v>42370.299999999996</v>
      </c>
      <c r="M158" s="386">
        <f t="shared" si="127"/>
        <v>16390527</v>
      </c>
      <c r="N158" s="385">
        <f>VLOOKUP($B158,APU!$K$6:$P$1680,4,FALSE)</f>
        <v>49049.3</v>
      </c>
      <c r="O158" s="386">
        <f t="shared" si="128"/>
        <v>18974231.212000001</v>
      </c>
      <c r="P158" s="385">
        <f>VLOOKUP($B158,APU!$K$6:$P$1680,5,FALSE)</f>
        <v>2912.2360000000003</v>
      </c>
      <c r="Q158" s="386">
        <f t="shared" si="129"/>
        <v>1126569.37424</v>
      </c>
      <c r="R158" s="387">
        <f t="shared" si="130"/>
        <v>37771992</v>
      </c>
      <c r="S158" s="388"/>
      <c r="T158" s="1004">
        <f t="shared" si="131"/>
        <v>37771992</v>
      </c>
      <c r="U158" s="1003">
        <f t="shared" si="132"/>
        <v>0</v>
      </c>
    </row>
    <row r="159" spans="1:21" ht="30" x14ac:dyDescent="0.25">
      <c r="A159" s="418"/>
      <c r="B159" s="345" t="s">
        <v>5169</v>
      </c>
      <c r="C159" s="345" t="s">
        <v>5300</v>
      </c>
      <c r="D159" s="193" t="s">
        <v>5036</v>
      </c>
      <c r="E159" s="5" t="s">
        <v>3975</v>
      </c>
      <c r="F159" s="1023">
        <v>1</v>
      </c>
      <c r="G159" s="400">
        <f>+VLOOKUP($B159,APU!$B$5:$I$1835,6,0)</f>
        <v>728507.57940000005</v>
      </c>
      <c r="H159" s="954">
        <f t="shared" si="125"/>
        <v>728508</v>
      </c>
      <c r="J159" s="385">
        <f>VLOOKUP($B159,APU!$K$6:$P$1687,2,FALSE)</f>
        <v>0</v>
      </c>
      <c r="K159" s="386">
        <f t="shared" si="126"/>
        <v>0</v>
      </c>
      <c r="L159" s="385">
        <f>VLOOKUP($B159,APU!$K$6:$P$1690,3,FALSE)</f>
        <v>0</v>
      </c>
      <c r="M159" s="386">
        <f t="shared" si="127"/>
        <v>0</v>
      </c>
      <c r="N159" s="385">
        <f>VLOOKUP($B159,APU!$K$6:$P$1680,4,FALSE)</f>
        <v>728507.57940000005</v>
      </c>
      <c r="O159" s="386">
        <f t="shared" si="128"/>
        <v>728507.57940000005</v>
      </c>
      <c r="P159" s="385">
        <f>VLOOKUP($B159,APU!$K$6:$P$1680,5,FALSE)</f>
        <v>0</v>
      </c>
      <c r="Q159" s="386">
        <f t="shared" si="129"/>
        <v>0</v>
      </c>
      <c r="R159" s="387">
        <f t="shared" si="130"/>
        <v>728508</v>
      </c>
      <c r="S159" s="388"/>
      <c r="T159" s="1004">
        <f t="shared" si="131"/>
        <v>728508</v>
      </c>
      <c r="U159" s="1003">
        <f t="shared" si="132"/>
        <v>0</v>
      </c>
    </row>
    <row r="160" spans="1:21" ht="30" x14ac:dyDescent="0.25">
      <c r="A160" s="418"/>
      <c r="B160" s="345" t="s">
        <v>5170</v>
      </c>
      <c r="C160" s="345" t="s">
        <v>5301</v>
      </c>
      <c r="D160" s="193" t="s">
        <v>5171</v>
      </c>
      <c r="E160" s="5" t="s">
        <v>3975</v>
      </c>
      <c r="F160" s="1023">
        <v>2</v>
      </c>
      <c r="G160" s="400">
        <f>+VLOOKUP($B160,APU!$B$5:$I$1835,6,0)</f>
        <v>3557621</v>
      </c>
      <c r="H160" s="954">
        <f t="shared" si="125"/>
        <v>7115242</v>
      </c>
      <c r="J160" s="385">
        <f>VLOOKUP($B160,APU!$K$6:$P$1687,2,FALSE)</f>
        <v>205289</v>
      </c>
      <c r="K160" s="386">
        <f t="shared" si="126"/>
        <v>410578</v>
      </c>
      <c r="L160" s="385">
        <f>VLOOKUP($B160,APU!$K$6:$P$1690,3,FALSE)</f>
        <v>521254</v>
      </c>
      <c r="M160" s="386">
        <f t="shared" si="127"/>
        <v>1042508</v>
      </c>
      <c r="N160" s="385">
        <f>VLOOKUP($B160,APU!$K$6:$P$1680,4,FALSE)</f>
        <v>2454200.2000000002</v>
      </c>
      <c r="O160" s="386">
        <f t="shared" si="128"/>
        <v>4908400.4000000004</v>
      </c>
      <c r="P160" s="385">
        <f>VLOOKUP($B160,APU!$K$6:$P$1680,5,FALSE)</f>
        <v>376878</v>
      </c>
      <c r="Q160" s="386">
        <f t="shared" si="129"/>
        <v>753756</v>
      </c>
      <c r="R160" s="387">
        <f t="shared" si="130"/>
        <v>7115242</v>
      </c>
      <c r="S160" s="388"/>
      <c r="T160" s="1004">
        <f t="shared" si="131"/>
        <v>7115242</v>
      </c>
      <c r="U160" s="1003">
        <f t="shared" si="132"/>
        <v>0</v>
      </c>
    </row>
    <row r="161" spans="1:21" ht="30" x14ac:dyDescent="0.25">
      <c r="A161" s="418"/>
      <c r="B161" s="345" t="s">
        <v>5173</v>
      </c>
      <c r="C161" s="345" t="s">
        <v>5302</v>
      </c>
      <c r="D161" s="193" t="s">
        <v>5172</v>
      </c>
      <c r="E161" s="5" t="s">
        <v>5046</v>
      </c>
      <c r="F161" s="1023">
        <v>8</v>
      </c>
      <c r="G161" s="400">
        <f>+VLOOKUP($B161,APU!$B$5:$I$1835,6,0)</f>
        <v>3361581</v>
      </c>
      <c r="H161" s="954">
        <f t="shared" si="125"/>
        <v>26892648</v>
      </c>
      <c r="J161" s="385">
        <f>VLOOKUP($B161,APU!$K$6:$P$1687,2,FALSE)</f>
        <v>205289.28</v>
      </c>
      <c r="K161" s="386">
        <f t="shared" si="126"/>
        <v>1642314.24</v>
      </c>
      <c r="L161" s="385">
        <f>VLOOKUP($B161,APU!$K$6:$P$1690,3,FALSE)</f>
        <v>521254</v>
      </c>
      <c r="M161" s="386">
        <f t="shared" si="127"/>
        <v>4170032</v>
      </c>
      <c r="N161" s="385">
        <f>VLOOKUP($B161,APU!$K$6:$P$1680,4,FALSE)</f>
        <v>2258160.2000000002</v>
      </c>
      <c r="O161" s="386">
        <f t="shared" si="128"/>
        <v>18065281.600000001</v>
      </c>
      <c r="P161" s="385">
        <f>VLOOKUP($B161,APU!$K$6:$P$1680,5,FALSE)</f>
        <v>376877.60000000003</v>
      </c>
      <c r="Q161" s="386">
        <f t="shared" si="129"/>
        <v>3015020.8000000003</v>
      </c>
      <c r="R161" s="387">
        <f t="shared" si="130"/>
        <v>26892649</v>
      </c>
      <c r="S161" s="388"/>
      <c r="T161" s="1004">
        <f t="shared" si="131"/>
        <v>26892648</v>
      </c>
      <c r="U161" s="1003">
        <f t="shared" si="132"/>
        <v>-1</v>
      </c>
    </row>
    <row r="162" spans="1:21" ht="15.75" thickBot="1" x14ac:dyDescent="0.3">
      <c r="A162" s="418"/>
      <c r="G162" s="296"/>
      <c r="H162" s="294"/>
      <c r="J162" s="385"/>
      <c r="K162" s="386"/>
      <c r="L162" s="385"/>
      <c r="M162" s="386"/>
      <c r="N162" s="385"/>
      <c r="O162" s="386"/>
      <c r="P162" s="385"/>
      <c r="Q162" s="386"/>
      <c r="R162" s="387"/>
      <c r="S162" s="388"/>
      <c r="T162" s="1004"/>
      <c r="U162" s="1003"/>
    </row>
    <row r="163" spans="1:21" ht="18.75" thickBot="1" x14ac:dyDescent="0.3">
      <c r="A163" s="418"/>
      <c r="B163" s="458" t="s">
        <v>10</v>
      </c>
      <c r="C163" s="506" t="s">
        <v>5267</v>
      </c>
      <c r="D163" s="459" t="s">
        <v>5274</v>
      </c>
      <c r="E163" s="460" t="s">
        <v>11</v>
      </c>
      <c r="F163" s="456" t="s">
        <v>2</v>
      </c>
      <c r="G163" s="1161" t="s">
        <v>4554</v>
      </c>
      <c r="H163" s="457">
        <f>SUM(H164:H170)</f>
        <v>72525594</v>
      </c>
      <c r="I163" s="1207">
        <f>+H163*(1+$G$116)</f>
        <v>94283272.200000003</v>
      </c>
      <c r="J163" s="385"/>
      <c r="K163" s="376">
        <f>SUM(K164:K170)</f>
        <v>1260570.584</v>
      </c>
      <c r="L163" s="377"/>
      <c r="M163" s="376">
        <f>SUM(M164:M170)</f>
        <v>12469545</v>
      </c>
      <c r="N163" s="377"/>
      <c r="O163" s="376">
        <f>SUM(O164:O170)</f>
        <v>57633321.295769393</v>
      </c>
      <c r="P163" s="377"/>
      <c r="Q163" s="376">
        <f>SUM(Q164:Q170)</f>
        <v>1162156.8981600001</v>
      </c>
      <c r="R163" s="379">
        <f>ROUND((Q163+O163+M163+K163),0)</f>
        <v>72525594</v>
      </c>
      <c r="S163" s="380"/>
      <c r="T163" s="381">
        <f>ROUND(Q163+M163+K163+O163,0)</f>
        <v>72525594</v>
      </c>
      <c r="U163" s="1003">
        <f t="shared" ref="U163" si="141">+T163-R163</f>
        <v>0</v>
      </c>
    </row>
    <row r="164" spans="1:21" ht="30" x14ac:dyDescent="0.25">
      <c r="A164" s="418"/>
      <c r="B164" s="345" t="s">
        <v>5207</v>
      </c>
      <c r="C164" s="345" t="s">
        <v>5303</v>
      </c>
      <c r="D164" s="193" t="s">
        <v>5038</v>
      </c>
      <c r="E164" s="5" t="s">
        <v>4016</v>
      </c>
      <c r="F164" s="1023">
        <v>25</v>
      </c>
      <c r="G164" s="400">
        <f>+VLOOKUP($B164,APU!$B$5:$I$1835,6,0)</f>
        <v>262367</v>
      </c>
      <c r="H164" s="954">
        <f t="shared" si="125"/>
        <v>6559175</v>
      </c>
      <c r="J164" s="385">
        <f>VLOOKUP($B164,APU!$K$6:$P$1687,2,FALSE)</f>
        <v>0</v>
      </c>
      <c r="K164" s="386">
        <f t="shared" si="126"/>
        <v>0</v>
      </c>
      <c r="L164" s="385">
        <f>VLOOKUP($B164,APU!$K$6:$P$1690,3,FALSE)</f>
        <v>56373</v>
      </c>
      <c r="M164" s="386">
        <f t="shared" si="127"/>
        <v>1409325</v>
      </c>
      <c r="N164" s="385">
        <f>VLOOKUP($B164,APU!$K$6:$P$1680,4,FALSE)</f>
        <v>205994</v>
      </c>
      <c r="O164" s="386">
        <f t="shared" si="128"/>
        <v>5149850</v>
      </c>
      <c r="P164" s="385">
        <f>VLOOKUP($B164,APU!$K$6:$P$1680,5,FALSE)</f>
        <v>0</v>
      </c>
      <c r="Q164" s="386">
        <f t="shared" si="129"/>
        <v>0</v>
      </c>
      <c r="R164" s="387">
        <f t="shared" si="130"/>
        <v>6559175</v>
      </c>
      <c r="S164" s="388"/>
      <c r="T164" s="1004">
        <f t="shared" si="131"/>
        <v>6559175</v>
      </c>
      <c r="U164" s="1003">
        <f t="shared" si="132"/>
        <v>0</v>
      </c>
    </row>
    <row r="165" spans="1:21" ht="75" x14ac:dyDescent="0.25">
      <c r="A165" s="418"/>
      <c r="B165" s="345" t="s">
        <v>5214</v>
      </c>
      <c r="C165" s="345" t="s">
        <v>5304</v>
      </c>
      <c r="D165" s="193" t="s">
        <v>5039</v>
      </c>
      <c r="E165" s="5" t="s">
        <v>4016</v>
      </c>
      <c r="F165" s="1023">
        <v>20</v>
      </c>
      <c r="G165" s="1149">
        <f>+VLOOKUP($B165,APU!$B$5:$I$1835,6,0)</f>
        <v>818863.93160000013</v>
      </c>
      <c r="H165" s="954">
        <f t="shared" si="125"/>
        <v>16377279</v>
      </c>
      <c r="J165" s="385">
        <f>VLOOKUP($B165,APU!$K$6:$P$1687,2,FALSE)</f>
        <v>6622</v>
      </c>
      <c r="K165" s="386">
        <f t="shared" si="126"/>
        <v>132440</v>
      </c>
      <c r="L165" s="385">
        <f>VLOOKUP($B165,APU!$K$6:$P$1690,3,FALSE)</f>
        <v>69861.3</v>
      </c>
      <c r="M165" s="386">
        <f t="shared" si="127"/>
        <v>1397226</v>
      </c>
      <c r="N165" s="385">
        <f>VLOOKUP($B165,APU!$K$6:$P$1680,4,FALSE)</f>
        <v>728813.03800000006</v>
      </c>
      <c r="O165" s="386">
        <f t="shared" si="128"/>
        <v>14576260.760000002</v>
      </c>
      <c r="P165" s="385">
        <f>VLOOKUP($B165,APU!$K$6:$P$1680,5,FALSE)</f>
        <v>13567.593600000002</v>
      </c>
      <c r="Q165" s="386">
        <f t="shared" si="129"/>
        <v>271351.87200000003</v>
      </c>
      <c r="R165" s="387">
        <f t="shared" si="130"/>
        <v>16377279</v>
      </c>
      <c r="S165" s="388"/>
      <c r="T165" s="1004">
        <f t="shared" si="131"/>
        <v>16377279</v>
      </c>
      <c r="U165" s="1003">
        <f t="shared" si="132"/>
        <v>0</v>
      </c>
    </row>
    <row r="166" spans="1:21" ht="45" x14ac:dyDescent="0.25">
      <c r="A166" s="418"/>
      <c r="B166" s="345" t="s">
        <v>5219</v>
      </c>
      <c r="C166" s="345" t="s">
        <v>5305</v>
      </c>
      <c r="D166" s="193" t="s">
        <v>5040</v>
      </c>
      <c r="E166" s="5" t="s">
        <v>3975</v>
      </c>
      <c r="F166" s="1023">
        <v>17.66</v>
      </c>
      <c r="G166" s="1149">
        <f>+VLOOKUP($B166,APU!$B$5:$I$1835,6,0)</f>
        <v>159110.84487999999</v>
      </c>
      <c r="H166" s="954">
        <f t="shared" si="125"/>
        <v>2809898</v>
      </c>
      <c r="J166" s="385">
        <f>VLOOKUP($B166,APU!$K$6:$P$1687,2,FALSE)</f>
        <v>2514.75</v>
      </c>
      <c r="K166" s="386">
        <f t="shared" si="126"/>
        <v>44410.485000000001</v>
      </c>
      <c r="L166" s="385">
        <f>VLOOKUP($B166,APU!$K$6:$P$1690,3,FALSE)</f>
        <v>13274.975999999999</v>
      </c>
      <c r="M166" s="386">
        <f t="shared" si="127"/>
        <v>234436</v>
      </c>
      <c r="N166" s="385">
        <f>VLOOKUP($B166,APU!$K$6:$P$1680,4,FALSE)</f>
        <v>141608.03888000001</v>
      </c>
      <c r="O166" s="386">
        <f t="shared" si="128"/>
        <v>2500797.9666208001</v>
      </c>
      <c r="P166" s="385">
        <f>VLOOKUP($B166,APU!$K$6:$P$1680,5,FALSE)</f>
        <v>1713.08</v>
      </c>
      <c r="Q166" s="386">
        <f t="shared" si="129"/>
        <v>30252.9928</v>
      </c>
      <c r="R166" s="387">
        <f t="shared" si="130"/>
        <v>2809897</v>
      </c>
      <c r="S166" s="388"/>
      <c r="T166" s="1004">
        <f t="shared" si="131"/>
        <v>2809898</v>
      </c>
      <c r="U166" s="1003">
        <f t="shared" si="132"/>
        <v>1</v>
      </c>
    </row>
    <row r="167" spans="1:21" ht="45" x14ac:dyDescent="0.25">
      <c r="A167" s="418"/>
      <c r="B167" s="345" t="s">
        <v>5232</v>
      </c>
      <c r="C167" s="345" t="s">
        <v>5306</v>
      </c>
      <c r="D167" s="193" t="s">
        <v>5042</v>
      </c>
      <c r="E167" s="5" t="s">
        <v>1027</v>
      </c>
      <c r="F167" s="1023">
        <v>70.569999999999993</v>
      </c>
      <c r="G167" s="400">
        <f>+VLOOKUP($B167,APU!$B$5:$I$1835,6,0)</f>
        <v>417381.04598</v>
      </c>
      <c r="H167" s="954">
        <f t="shared" si="125"/>
        <v>29454580</v>
      </c>
      <c r="J167" s="385">
        <f>VLOOKUP($B167,APU!$K$6:$P$1687,2,FALSE)</f>
        <v>13244</v>
      </c>
      <c r="K167" s="386">
        <f t="shared" si="126"/>
        <v>934629.08</v>
      </c>
      <c r="L167" s="385">
        <f>VLOOKUP($B167,APU!$K$6:$P$1690,3,FALSE)</f>
        <v>101848.7</v>
      </c>
      <c r="M167" s="386">
        <f t="shared" si="127"/>
        <v>7187463</v>
      </c>
      <c r="N167" s="385">
        <f>VLOOKUP($B167,APU!$K$6:$P$1680,4,FALSE)</f>
        <v>296121.25797999999</v>
      </c>
      <c r="O167" s="386">
        <f t="shared" si="128"/>
        <v>20897277.175648596</v>
      </c>
      <c r="P167" s="385">
        <f>VLOOKUP($B167,APU!$K$6:$P$1680,5,FALSE)</f>
        <v>6167.0879999999997</v>
      </c>
      <c r="Q167" s="386">
        <f t="shared" si="129"/>
        <v>435211.40015999996</v>
      </c>
      <c r="R167" s="387">
        <f t="shared" si="130"/>
        <v>29454581</v>
      </c>
      <c r="S167" s="388"/>
      <c r="T167" s="1004">
        <f t="shared" si="131"/>
        <v>29454580</v>
      </c>
      <c r="U167" s="1003">
        <f t="shared" si="132"/>
        <v>-1</v>
      </c>
    </row>
    <row r="168" spans="1:21" ht="30" x14ac:dyDescent="0.25">
      <c r="A168" s="418"/>
      <c r="B168" s="345" t="s">
        <v>5233</v>
      </c>
      <c r="C168" s="345" t="s">
        <v>5307</v>
      </c>
      <c r="D168" s="193" t="s">
        <v>5043</v>
      </c>
      <c r="E168" s="5" t="s">
        <v>3975</v>
      </c>
      <c r="F168" s="1023">
        <v>248.29000000000002</v>
      </c>
      <c r="G168" s="400">
        <f>+VLOOKUP($B168,APU!$B$5:$I$1835,6,0)</f>
        <v>27274</v>
      </c>
      <c r="H168" s="954">
        <f t="shared" si="125"/>
        <v>6771861</v>
      </c>
      <c r="J168" s="385">
        <f>VLOOKUP($B168,APU!$K$6:$P$1687,2,FALSE)</f>
        <v>331.1</v>
      </c>
      <c r="K168" s="386">
        <f t="shared" si="126"/>
        <v>82208.819000000018</v>
      </c>
      <c r="L168" s="385">
        <f>VLOOKUP($B168,APU!$K$6:$P$1690,3,FALSE)</f>
        <v>5094.3500000000004</v>
      </c>
      <c r="M168" s="386">
        <f t="shared" si="127"/>
        <v>1264876</v>
      </c>
      <c r="N168" s="385">
        <f>VLOOKUP($B168,APU!$K$6:$P$1680,4,FALSE)</f>
        <v>20135.150000000001</v>
      </c>
      <c r="O168" s="386">
        <f>N168*F168+79</f>
        <v>4999435.3935000012</v>
      </c>
      <c r="P168" s="385">
        <f>VLOOKUP($B168,APU!$K$6:$P$1680,5,FALSE)</f>
        <v>1713.08</v>
      </c>
      <c r="Q168" s="386">
        <f t="shared" si="129"/>
        <v>425340.63320000004</v>
      </c>
      <c r="R168" s="387">
        <f t="shared" si="130"/>
        <v>6771861</v>
      </c>
      <c r="S168" s="388"/>
      <c r="T168" s="1004">
        <f t="shared" si="131"/>
        <v>6771861</v>
      </c>
      <c r="U168" s="1003">
        <f t="shared" si="132"/>
        <v>0</v>
      </c>
    </row>
    <row r="169" spans="1:21" ht="30" x14ac:dyDescent="0.25">
      <c r="A169" s="418"/>
      <c r="B169" s="345" t="s">
        <v>5239</v>
      </c>
      <c r="C169" s="345" t="s">
        <v>5308</v>
      </c>
      <c r="D169" s="193" t="s">
        <v>5047</v>
      </c>
      <c r="E169" s="5" t="s">
        <v>4016</v>
      </c>
      <c r="F169" s="1023">
        <v>2</v>
      </c>
      <c r="G169" s="400">
        <f>+VLOOKUP($B169,APU!$B$5:$I$1835,6,0)</f>
        <v>2532938.1</v>
      </c>
      <c r="H169" s="954">
        <f t="shared" si="125"/>
        <v>5065876</v>
      </c>
      <c r="J169" s="385">
        <f>VLOOKUP($B169,APU!$K$6:$P$1687,2,FALSE)</f>
        <v>331.1</v>
      </c>
      <c r="K169" s="386">
        <f t="shared" si="126"/>
        <v>662.2</v>
      </c>
      <c r="L169" s="385">
        <f>VLOOKUP($B169,APU!$K$6:$P$1690,3,FALSE)</f>
        <v>32807</v>
      </c>
      <c r="M169" s="386">
        <f t="shared" si="127"/>
        <v>65614</v>
      </c>
      <c r="N169" s="385">
        <f>VLOOKUP($B169,APU!$K$6:$P$1680,4,FALSE)</f>
        <v>2499800</v>
      </c>
      <c r="O169" s="386">
        <f t="shared" si="128"/>
        <v>4999600</v>
      </c>
      <c r="P169" s="385">
        <f>VLOOKUP($B169,APU!$K$6:$P$1680,5,FALSE)</f>
        <v>0</v>
      </c>
      <c r="Q169" s="386">
        <f t="shared" si="129"/>
        <v>0</v>
      </c>
      <c r="R169" s="387">
        <f t="shared" si="130"/>
        <v>5065876</v>
      </c>
      <c r="S169" s="388"/>
      <c r="T169" s="1004">
        <f t="shared" si="131"/>
        <v>5065876</v>
      </c>
      <c r="U169" s="1003">
        <f t="shared" si="132"/>
        <v>0</v>
      </c>
    </row>
    <row r="170" spans="1:21" x14ac:dyDescent="0.25">
      <c r="A170" s="418"/>
      <c r="B170" s="345" t="s">
        <v>5241</v>
      </c>
      <c r="C170" s="345" t="s">
        <v>5309</v>
      </c>
      <c r="D170" s="1024" t="s">
        <v>5049</v>
      </c>
      <c r="E170" s="5" t="s">
        <v>4016</v>
      </c>
      <c r="F170" s="1023">
        <v>1</v>
      </c>
      <c r="G170" s="400">
        <f>+VLOOKUP($B170,APU!$B$5:$I$1835,6,0)</f>
        <v>5486925</v>
      </c>
      <c r="H170" s="954">
        <f t="shared" si="125"/>
        <v>5486925</v>
      </c>
      <c r="J170" s="385">
        <f>VLOOKUP($B170,APU!$K$6:$P$1687,2,FALSE)</f>
        <v>66220</v>
      </c>
      <c r="K170" s="386">
        <f t="shared" si="126"/>
        <v>66220</v>
      </c>
      <c r="L170" s="385">
        <f>VLOOKUP($B170,APU!$K$6:$P$1690,3,FALSE)</f>
        <v>910605</v>
      </c>
      <c r="M170" s="386">
        <f t="shared" si="127"/>
        <v>910605</v>
      </c>
      <c r="N170" s="385">
        <f>VLOOKUP($B170,APU!$K$6:$P$1680,4,FALSE)</f>
        <v>4510100</v>
      </c>
      <c r="O170" s="386">
        <f t="shared" si="128"/>
        <v>4510100</v>
      </c>
      <c r="P170" s="385">
        <f>VLOOKUP($B170,APU!$K$6:$P$1680,5,FALSE)</f>
        <v>0</v>
      </c>
      <c r="Q170" s="386">
        <f t="shared" si="129"/>
        <v>0</v>
      </c>
      <c r="R170" s="387">
        <f t="shared" si="130"/>
        <v>5486925</v>
      </c>
      <c r="S170" s="388"/>
      <c r="T170" s="1004">
        <f t="shared" si="131"/>
        <v>5486925</v>
      </c>
      <c r="U170" s="1003">
        <f t="shared" si="132"/>
        <v>0</v>
      </c>
    </row>
    <row r="171" spans="1:21" ht="15.75" thickBot="1" x14ac:dyDescent="0.3">
      <c r="A171" s="418"/>
      <c r="G171" s="296"/>
      <c r="H171" s="294"/>
      <c r="J171" s="385"/>
      <c r="K171" s="386"/>
      <c r="L171" s="385"/>
      <c r="M171" s="386"/>
      <c r="N171" s="385"/>
      <c r="O171" s="386"/>
      <c r="P171" s="385"/>
      <c r="Q171" s="386"/>
      <c r="R171" s="387"/>
      <c r="S171" s="388"/>
      <c r="T171" s="1004"/>
      <c r="U171" s="1003"/>
    </row>
    <row r="172" spans="1:21" ht="18.75" thickBot="1" x14ac:dyDescent="0.3">
      <c r="A172" s="418"/>
      <c r="B172" s="458" t="s">
        <v>10</v>
      </c>
      <c r="C172" s="506" t="s">
        <v>5268</v>
      </c>
      <c r="D172" s="459" t="s">
        <v>5140</v>
      </c>
      <c r="E172" s="460"/>
      <c r="F172" s="456"/>
      <c r="G172" s="1161"/>
      <c r="H172" s="457">
        <f>SUM(H173:H177)</f>
        <v>12720561</v>
      </c>
      <c r="I172" s="1207">
        <f>+H172*(1+$G$116)</f>
        <v>16536729.300000001</v>
      </c>
      <c r="J172" s="385"/>
      <c r="K172" s="376">
        <f>SUM(K173:K177)</f>
        <v>188679.52633333334</v>
      </c>
      <c r="L172" s="377"/>
      <c r="M172" s="376">
        <f>SUM(M173:M177)</f>
        <v>4253485</v>
      </c>
      <c r="N172" s="377"/>
      <c r="O172" s="376">
        <f>SUM(O173:O177)</f>
        <v>8076606.6550155021</v>
      </c>
      <c r="P172" s="377"/>
      <c r="Q172" s="376">
        <f>SUM(Q173:Q177)</f>
        <v>201790.53000000003</v>
      </c>
      <c r="R172" s="379">
        <f>ROUND((Q172+O172+M172+K172),0)</f>
        <v>12720562</v>
      </c>
      <c r="S172" s="380"/>
      <c r="T172" s="381">
        <f>ROUND(Q172+M172+K172+O172,0)</f>
        <v>12720562</v>
      </c>
      <c r="U172" s="1003">
        <f t="shared" ref="U172" si="142">+T172-R172</f>
        <v>0</v>
      </c>
    </row>
    <row r="173" spans="1:21" x14ac:dyDescent="0.25">
      <c r="A173" s="418"/>
      <c r="B173" s="345" t="s">
        <v>4421</v>
      </c>
      <c r="C173" s="345" t="s">
        <v>5269</v>
      </c>
      <c r="D173" s="1074" t="s">
        <v>5137</v>
      </c>
      <c r="E173" s="345" t="s">
        <v>3975</v>
      </c>
      <c r="F173" s="434">
        <v>6</v>
      </c>
      <c r="G173" s="400">
        <f>+VLOOKUP($B173,APU!$B$5:$I$1835,6,0)</f>
        <v>72624.224999999991</v>
      </c>
      <c r="H173" s="954">
        <f>ROUND((F173*G173),0)</f>
        <v>435745</v>
      </c>
      <c r="J173" s="385">
        <f>VLOOKUP($B173,APU!$K$6:$P$1687,2,FALSE)</f>
        <v>3157.5750000000003</v>
      </c>
      <c r="K173" s="386">
        <f t="shared" si="126"/>
        <v>18945.45</v>
      </c>
      <c r="L173" s="385">
        <f>VLOOKUP($B173,APU!$K$6:$P$1690,3,FALSE)</f>
        <v>66309.074999999997</v>
      </c>
      <c r="M173" s="386">
        <f t="shared" si="127"/>
        <v>397854</v>
      </c>
      <c r="N173" s="385">
        <f>VLOOKUP($B173,APU!$K$6:$P$1680,4,FALSE)</f>
        <v>0</v>
      </c>
      <c r="O173" s="386">
        <f t="shared" si="128"/>
        <v>0</v>
      </c>
      <c r="P173" s="385">
        <f>VLOOKUP($B173,APU!$K$6:$P$1680,5,FALSE)</f>
        <v>3157.5750000000003</v>
      </c>
      <c r="Q173" s="386">
        <f t="shared" si="129"/>
        <v>18945.45</v>
      </c>
      <c r="R173" s="387">
        <f t="shared" si="130"/>
        <v>435745</v>
      </c>
      <c r="S173" s="388"/>
      <c r="T173" s="1004">
        <f t="shared" si="131"/>
        <v>435745</v>
      </c>
      <c r="U173" s="1003">
        <f t="shared" si="132"/>
        <v>0</v>
      </c>
    </row>
    <row r="174" spans="1:21" x14ac:dyDescent="0.25">
      <c r="A174" s="418"/>
      <c r="B174" s="345" t="s">
        <v>4432</v>
      </c>
      <c r="C174" s="345" t="s">
        <v>5270</v>
      </c>
      <c r="D174" s="1074" t="s">
        <v>5136</v>
      </c>
      <c r="E174" s="345" t="s">
        <v>4021</v>
      </c>
      <c r="F174" s="434">
        <v>50</v>
      </c>
      <c r="G174" s="400">
        <f>+VLOOKUP($B174,APU!$B$5:$I$1835,6,0)</f>
        <v>186526.58400000006</v>
      </c>
      <c r="H174" s="954">
        <f>ROUND((F174*G174),0)</f>
        <v>9326329</v>
      </c>
      <c r="J174" s="385">
        <f>VLOOKUP($B174,APU!$K$6:$P$1687,2,FALSE)</f>
        <v>2337.4500000000003</v>
      </c>
      <c r="K174" s="386">
        <f t="shared" si="126"/>
        <v>116872.50000000001</v>
      </c>
      <c r="L174" s="385">
        <f>VLOOKUP($B174,APU!$K$6:$P$1690,3,FALSE)</f>
        <v>49086.45</v>
      </c>
      <c r="M174" s="386">
        <f t="shared" si="127"/>
        <v>2454323</v>
      </c>
      <c r="N174" s="385">
        <f>VLOOKUP($B174,APU!$K$6:$P$1680,4,FALSE)</f>
        <v>132765.23400000003</v>
      </c>
      <c r="O174" s="386">
        <f t="shared" si="128"/>
        <v>6638261.7000000011</v>
      </c>
      <c r="P174" s="385">
        <f>VLOOKUP($B174,APU!$K$6:$P$1680,5,FALSE)</f>
        <v>2337.4500000000003</v>
      </c>
      <c r="Q174" s="386">
        <f t="shared" si="129"/>
        <v>116872.50000000001</v>
      </c>
      <c r="R174" s="387">
        <f t="shared" si="130"/>
        <v>9326330</v>
      </c>
      <c r="S174" s="388"/>
      <c r="T174" s="1004">
        <f t="shared" si="131"/>
        <v>9326329</v>
      </c>
      <c r="U174" s="1003">
        <f t="shared" si="132"/>
        <v>-1</v>
      </c>
    </row>
    <row r="175" spans="1:21" ht="27" x14ac:dyDescent="0.25">
      <c r="A175" s="418"/>
      <c r="B175" s="345" t="s">
        <v>4438</v>
      </c>
      <c r="C175" s="345" t="s">
        <v>5271</v>
      </c>
      <c r="D175" s="1074" t="s">
        <v>5135</v>
      </c>
      <c r="E175" s="345" t="s">
        <v>4016</v>
      </c>
      <c r="F175" s="434">
        <v>4</v>
      </c>
      <c r="G175" s="400">
        <f>+VLOOKUP($B175,APU!$B$5:$I$1835,6,0)</f>
        <v>496052.33921324997</v>
      </c>
      <c r="H175" s="954">
        <f t="shared" ref="H175" si="143">ROUND((F175*G175),0)</f>
        <v>1984209</v>
      </c>
      <c r="J175" s="385">
        <f>VLOOKUP($B175,APU!$K$6:$P$1687,2,FALSE)</f>
        <v>12630.300000000001</v>
      </c>
      <c r="K175" s="386">
        <f t="shared" si="126"/>
        <v>50521.200000000004</v>
      </c>
      <c r="L175" s="385">
        <f>VLOOKUP($B175,APU!$K$6:$P$1690,3,FALSE)</f>
        <v>265236.3</v>
      </c>
      <c r="M175" s="386">
        <f t="shared" si="127"/>
        <v>1060945</v>
      </c>
      <c r="N175" s="385">
        <f>VLOOKUP($B175,APU!$K$6:$P$1680,4,FALSE)</f>
        <v>205555.43921325004</v>
      </c>
      <c r="O175" s="386">
        <f t="shared" si="128"/>
        <v>822221.75685300014</v>
      </c>
      <c r="P175" s="385">
        <f>VLOOKUP($B175,APU!$K$6:$P$1680,5,FALSE)</f>
        <v>12630.300000000001</v>
      </c>
      <c r="Q175" s="386">
        <f t="shared" si="129"/>
        <v>50521.200000000004</v>
      </c>
      <c r="R175" s="387">
        <f t="shared" si="130"/>
        <v>1984209</v>
      </c>
      <c r="S175" s="388"/>
      <c r="T175" s="1004">
        <f t="shared" si="131"/>
        <v>1984209</v>
      </c>
      <c r="U175" s="1003">
        <f t="shared" si="132"/>
        <v>0</v>
      </c>
    </row>
    <row r="176" spans="1:21" x14ac:dyDescent="0.25">
      <c r="A176" s="418"/>
      <c r="B176" s="345" t="s">
        <v>4439</v>
      </c>
      <c r="C176" s="345" t="s">
        <v>5272</v>
      </c>
      <c r="D176" s="1074" t="s">
        <v>5139</v>
      </c>
      <c r="E176" s="345" t="s">
        <v>4016</v>
      </c>
      <c r="F176" s="434">
        <v>1</v>
      </c>
      <c r="G176" s="400">
        <f>+VLOOKUP($B176,APU!$B$5:$I$1835,6,0)</f>
        <v>132860.78633333332</v>
      </c>
      <c r="H176" s="954">
        <f>ROUND((F176*G176),0)</f>
        <v>132861</v>
      </c>
      <c r="J176" s="385">
        <f>VLOOKUP($B176,APU!$K$6:$P$1687,2,FALSE)</f>
        <v>1347.3763333333332</v>
      </c>
      <c r="K176" s="386">
        <f t="shared" si="126"/>
        <v>1347.3763333333332</v>
      </c>
      <c r="L176" s="385">
        <f>VLOOKUP($B176,APU!$K$6:$P$1690,3,FALSE)</f>
        <v>15884.05</v>
      </c>
      <c r="M176" s="386">
        <f t="shared" si="127"/>
        <v>15884</v>
      </c>
      <c r="N176" s="385">
        <f>VLOOKUP($B176,APU!$K$6:$P$1680,4,FALSE)</f>
        <v>115629.36</v>
      </c>
      <c r="O176" s="386">
        <f t="shared" si="128"/>
        <v>115629.36</v>
      </c>
      <c r="P176" s="385">
        <f>VLOOKUP($B176,APU!$K$6:$P$1680,5,FALSE)</f>
        <v>0</v>
      </c>
      <c r="Q176" s="386">
        <f t="shared" si="129"/>
        <v>0</v>
      </c>
      <c r="R176" s="387">
        <f t="shared" si="130"/>
        <v>132861</v>
      </c>
      <c r="S176" s="388"/>
      <c r="T176" s="1004">
        <f t="shared" si="131"/>
        <v>132861</v>
      </c>
      <c r="U176" s="1003">
        <f t="shared" si="132"/>
        <v>0</v>
      </c>
    </row>
    <row r="177" spans="1:21" ht="28.5" customHeight="1" x14ac:dyDescent="0.25">
      <c r="A177" s="418"/>
      <c r="B177" s="345" t="s">
        <v>5103</v>
      </c>
      <c r="C177" s="345" t="s">
        <v>5273</v>
      </c>
      <c r="D177" s="1074" t="s">
        <v>5138</v>
      </c>
      <c r="E177" s="345" t="s">
        <v>3975</v>
      </c>
      <c r="F177" s="434">
        <v>6</v>
      </c>
      <c r="G177" s="400">
        <f>+VLOOKUP($B177,APU!$B$5:$I$1835,6,0)</f>
        <v>140236.19969375001</v>
      </c>
      <c r="H177" s="954">
        <f>ROUND((F177*G177),0)</f>
        <v>841417</v>
      </c>
      <c r="J177" s="385">
        <f>VLOOKUP($B177,APU!$K$6:$P$1687,2,FALSE)</f>
        <v>165.5</v>
      </c>
      <c r="K177" s="386">
        <f t="shared" si="126"/>
        <v>993</v>
      </c>
      <c r="L177" s="385">
        <f>VLOOKUP($B177,APU!$K$6:$P$1690,3,FALSE)</f>
        <v>54079.83</v>
      </c>
      <c r="M177" s="386">
        <f t="shared" si="127"/>
        <v>324479</v>
      </c>
      <c r="N177" s="385">
        <f>VLOOKUP($B177,APU!$K$6:$P$1680,4,FALSE)</f>
        <v>83415.63969375001</v>
      </c>
      <c r="O177" s="386">
        <f t="shared" si="128"/>
        <v>500493.83816250006</v>
      </c>
      <c r="P177" s="385">
        <f>VLOOKUP($B177,APU!$K$6:$P$1680,5,FALSE)</f>
        <v>2575.23</v>
      </c>
      <c r="Q177" s="386">
        <f t="shared" si="129"/>
        <v>15451.380000000001</v>
      </c>
      <c r="R177" s="387">
        <f t="shared" si="130"/>
        <v>841417</v>
      </c>
      <c r="S177" s="388"/>
      <c r="T177" s="1004">
        <f t="shared" si="131"/>
        <v>841417</v>
      </c>
      <c r="U177" s="1003">
        <f t="shared" si="132"/>
        <v>0</v>
      </c>
    </row>
    <row r="178" spans="1:21" x14ac:dyDescent="0.25">
      <c r="A178" s="418"/>
      <c r="B178" s="418"/>
      <c r="C178" s="418"/>
      <c r="D178" s="439"/>
      <c r="E178" s="418"/>
      <c r="F178" s="440"/>
      <c r="G178" s="438"/>
      <c r="H178" s="438"/>
      <c r="I178" s="1209">
        <f>SUM(I122:I177)</f>
        <v>358062408.60000002</v>
      </c>
      <c r="T178" s="1167">
        <f>SUM(T122:T177)/2</f>
        <v>275432624.5</v>
      </c>
    </row>
    <row r="179" spans="1:21" ht="23.25" customHeight="1" x14ac:dyDescent="0.25">
      <c r="A179" s="418"/>
      <c r="B179" s="418"/>
      <c r="C179" s="418"/>
      <c r="D179" s="439"/>
      <c r="E179" s="418"/>
      <c r="F179" s="440"/>
      <c r="G179" s="438"/>
      <c r="H179" s="438"/>
    </row>
    <row r="180" spans="1:21" ht="29.25" customHeight="1" x14ac:dyDescent="0.25">
      <c r="A180" s="418"/>
      <c r="B180" s="1279" t="s">
        <v>5242</v>
      </c>
      <c r="C180" s="1280"/>
      <c r="D180" s="1280"/>
      <c r="E180" s="1280"/>
      <c r="F180" s="1280"/>
      <c r="G180" s="1281"/>
      <c r="H180" s="964">
        <f>SUM(H122:H177)/2</f>
        <v>275432622</v>
      </c>
      <c r="I180" s="1207">
        <f>+H180*(1+$G$116)</f>
        <v>358062408.60000002</v>
      </c>
    </row>
    <row r="181" spans="1:21" ht="18" x14ac:dyDescent="0.25">
      <c r="A181" s="418"/>
      <c r="B181" s="1276" t="s">
        <v>5249</v>
      </c>
      <c r="C181" s="1277"/>
      <c r="D181" s="1277"/>
      <c r="E181" s="1277"/>
      <c r="F181" s="1278"/>
      <c r="G181" s="1163">
        <f>+AIU!I46</f>
        <v>0.3</v>
      </c>
      <c r="H181" s="951">
        <f>ROUND(+G181*H$180,0)</f>
        <v>82629787</v>
      </c>
    </row>
    <row r="182" spans="1:21" ht="18" x14ac:dyDescent="0.25">
      <c r="A182" s="418"/>
      <c r="B182" s="1282" t="s">
        <v>5316</v>
      </c>
      <c r="C182" s="1283"/>
      <c r="D182" s="1283"/>
      <c r="E182" s="1283"/>
      <c r="F182" s="1283"/>
      <c r="G182" s="1284"/>
      <c r="H182" s="1215">
        <f>SUM(H180:H181)</f>
        <v>358062409</v>
      </c>
    </row>
    <row r="183" spans="1:21" ht="18.75" thickBot="1" x14ac:dyDescent="0.3">
      <c r="A183" s="418"/>
      <c r="B183" s="1272" t="s">
        <v>5250</v>
      </c>
      <c r="C183" s="1273"/>
      <c r="D183" s="1273"/>
      <c r="E183" s="1273"/>
      <c r="F183" s="1273"/>
      <c r="G183" s="1274"/>
      <c r="H183" s="952">
        <f>+H$191*0.42</f>
        <v>27689638.619999997</v>
      </c>
      <c r="I183" s="1210">
        <f>+H180/H188</f>
        <v>0.41738489002403056</v>
      </c>
    </row>
    <row r="184" spans="1:21" ht="21" thickBot="1" x14ac:dyDescent="0.3">
      <c r="A184" s="418"/>
      <c r="B184" s="1262" t="s">
        <v>5254</v>
      </c>
      <c r="C184" s="1263"/>
      <c r="D184" s="1263"/>
      <c r="E184" s="1263"/>
      <c r="F184" s="1263"/>
      <c r="G184" s="1264"/>
      <c r="H184" s="1146">
        <f>SUM(H182:H183)</f>
        <v>385752047.62</v>
      </c>
    </row>
    <row r="185" spans="1:21" ht="18" customHeight="1" x14ac:dyDescent="0.25">
      <c r="A185" s="418"/>
      <c r="B185" s="418"/>
      <c r="C185" s="418"/>
      <c r="D185" s="439"/>
      <c r="E185" s="418"/>
      <c r="F185" s="440"/>
      <c r="G185" s="438"/>
      <c r="H185" s="438"/>
      <c r="J185" s="1216"/>
    </row>
    <row r="186" spans="1:21" ht="18" customHeight="1" x14ac:dyDescent="0.3">
      <c r="A186" s="418"/>
      <c r="B186" s="1173"/>
      <c r="C186" s="1174"/>
      <c r="D186" s="1175" t="s">
        <v>5251</v>
      </c>
      <c r="E186" s="1175"/>
      <c r="F186" s="1175"/>
      <c r="G186" s="1176"/>
      <c r="H186" s="1177">
        <f>+H180+H112</f>
        <v>346963880</v>
      </c>
      <c r="J186" s="1217"/>
    </row>
    <row r="187" spans="1:21" ht="18" customHeight="1" x14ac:dyDescent="0.3">
      <c r="A187" s="418"/>
      <c r="B187" s="1173"/>
      <c r="C187" s="1174"/>
      <c r="D187" s="1175" t="s">
        <v>5245</v>
      </c>
      <c r="E187" s="1175"/>
      <c r="F187" s="1175"/>
      <c r="G187" s="1176"/>
      <c r="H187" s="1177">
        <f>+H113</f>
        <v>312936918</v>
      </c>
    </row>
    <row r="188" spans="1:21" ht="20.25" x14ac:dyDescent="0.3">
      <c r="A188" s="418"/>
      <c r="B188" s="1178"/>
      <c r="C188" s="1179"/>
      <c r="D188" s="1180" t="s">
        <v>5246</v>
      </c>
      <c r="E188" s="1175"/>
      <c r="F188" s="1175"/>
      <c r="G188" s="1176"/>
      <c r="H188" s="1177">
        <f>SUM(H186:H187)</f>
        <v>659900798</v>
      </c>
      <c r="K188" s="1219" t="s">
        <v>5320</v>
      </c>
      <c r="L188" s="1220">
        <v>913260148</v>
      </c>
    </row>
    <row r="189" spans="1:21" ht="20.25" x14ac:dyDescent="0.3">
      <c r="B189" s="1173"/>
      <c r="C189" s="1174"/>
      <c r="D189" s="1175" t="s">
        <v>5253</v>
      </c>
      <c r="E189" s="1175"/>
      <c r="F189" s="1175"/>
      <c r="G189" s="1176"/>
      <c r="H189" s="1177">
        <f>+H181+H115+H116</f>
        <v>182323394</v>
      </c>
      <c r="K189" s="1219" t="s">
        <v>5318</v>
      </c>
      <c r="L189" s="1220">
        <v>522399855</v>
      </c>
    </row>
    <row r="190" spans="1:21" ht="18" x14ac:dyDescent="0.25">
      <c r="B190" s="1275" t="s">
        <v>5018</v>
      </c>
      <c r="C190" s="1275"/>
      <c r="D190" s="1275"/>
      <c r="E190" s="1275"/>
      <c r="F190" s="1275"/>
      <c r="G190" s="1275"/>
      <c r="H190" s="952">
        <f>+PGIO!F49</f>
        <v>5108244.5</v>
      </c>
      <c r="K190" s="1219" t="s">
        <v>5319</v>
      </c>
      <c r="L190" s="1220">
        <v>390860293</v>
      </c>
    </row>
    <row r="191" spans="1:21" ht="18" x14ac:dyDescent="0.25">
      <c r="B191" s="1272" t="s">
        <v>5250</v>
      </c>
      <c r="C191" s="1273"/>
      <c r="D191" s="1273"/>
      <c r="E191" s="1273"/>
      <c r="F191" s="1273"/>
      <c r="G191" s="1274"/>
      <c r="H191" s="952">
        <f>+Interventoria!K43</f>
        <v>65927711</v>
      </c>
      <c r="I191" s="1211">
        <f>+H191/(H188+H189)</f>
        <v>7.827810175274566E-2</v>
      </c>
      <c r="J191" s="1148"/>
    </row>
    <row r="192" spans="1:21" ht="18" x14ac:dyDescent="0.25">
      <c r="B192" s="1256" t="s">
        <v>5019</v>
      </c>
      <c r="C192" s="1257"/>
      <c r="D192" s="1257"/>
      <c r="E192" s="1257"/>
      <c r="F192" s="1257"/>
      <c r="G192" s="1258"/>
      <c r="H192" s="953">
        <f>SUM(H188:H191)</f>
        <v>913260147.5</v>
      </c>
    </row>
    <row r="193" spans="4:12" x14ac:dyDescent="0.25">
      <c r="K193" s="1221" t="s">
        <v>5322</v>
      </c>
      <c r="L193" s="1220">
        <v>847332437</v>
      </c>
    </row>
    <row r="194" spans="4:12" x14ac:dyDescent="0.25">
      <c r="K194" s="1221" t="s">
        <v>5321</v>
      </c>
      <c r="L194" s="1220">
        <v>65927711</v>
      </c>
    </row>
    <row r="195" spans="4:12" ht="18" x14ac:dyDescent="0.25">
      <c r="D195" s="485" t="s">
        <v>4562</v>
      </c>
    </row>
    <row r="196" spans="4:12" ht="36.75" customHeight="1" x14ac:dyDescent="0.25">
      <c r="D196" s="485"/>
    </row>
    <row r="198" spans="4:12" ht="18" x14ac:dyDescent="0.25">
      <c r="D198" s="485" t="s">
        <v>4563</v>
      </c>
    </row>
    <row r="199" spans="4:12" ht="18" x14ac:dyDescent="0.25">
      <c r="D199" s="485" t="s">
        <v>4564</v>
      </c>
    </row>
    <row r="200" spans="4:12" ht="18" x14ac:dyDescent="0.25">
      <c r="D200" s="486" t="s">
        <v>5011</v>
      </c>
    </row>
    <row r="202" spans="4:12" ht="18" customHeight="1" x14ac:dyDescent="0.25">
      <c r="D202" s="463" t="s">
        <v>4623</v>
      </c>
      <c r="E202"/>
      <c r="F202" s="1001"/>
      <c r="G202" s="1165"/>
      <c r="H202" s="1001"/>
    </row>
    <row r="203" spans="4:12" ht="18" x14ac:dyDescent="0.25">
      <c r="D203" s="463"/>
      <c r="E203" t="s">
        <v>4551</v>
      </c>
      <c r="F203" s="1002" t="s">
        <v>5009</v>
      </c>
      <c r="G203" s="1165"/>
      <c r="H203" s="1001"/>
    </row>
    <row r="204" spans="4:12" ht="18" x14ac:dyDescent="0.25">
      <c r="D204" s="463"/>
      <c r="E204"/>
      <c r="F204" s="1002" t="s">
        <v>5010</v>
      </c>
      <c r="G204" s="1165"/>
      <c r="H204" s="1001"/>
    </row>
    <row r="205" spans="4:12" ht="18" x14ac:dyDescent="0.25">
      <c r="D205" s="463"/>
      <c r="E205"/>
      <c r="F205" s="1001"/>
      <c r="G205" s="1165"/>
      <c r="H205" s="1001"/>
    </row>
    <row r="206" spans="4:12" ht="18" x14ac:dyDescent="0.25">
      <c r="D206" s="463"/>
      <c r="E206"/>
      <c r="F206" s="1001"/>
      <c r="G206" s="1165"/>
      <c r="H206" s="1001"/>
    </row>
    <row r="207" spans="4:12" ht="18" x14ac:dyDescent="0.25">
      <c r="D207" s="463"/>
      <c r="F207" s="1001"/>
      <c r="G207" s="1165"/>
      <c r="H207" s="1001"/>
    </row>
    <row r="208" spans="4:12" ht="18" x14ac:dyDescent="0.25">
      <c r="D208" s="463" t="s">
        <v>4563</v>
      </c>
      <c r="E208"/>
    </row>
    <row r="209" spans="4:5" ht="18" x14ac:dyDescent="0.25">
      <c r="D209" s="463" t="s">
        <v>4564</v>
      </c>
      <c r="E209"/>
    </row>
    <row r="210" spans="4:5" ht="18" x14ac:dyDescent="0.25">
      <c r="D210" s="486" t="s">
        <v>5011</v>
      </c>
      <c r="E210"/>
    </row>
  </sheetData>
  <sortState ref="B174:H177">
    <sortCondition ref="C173:C177"/>
  </sortState>
  <mergeCells count="18">
    <mergeCell ref="B182:G182"/>
    <mergeCell ref="B117:G117"/>
    <mergeCell ref="B192:G192"/>
    <mergeCell ref="B119:E119"/>
    <mergeCell ref="B184:G184"/>
    <mergeCell ref="B1:H1"/>
    <mergeCell ref="B4:H4"/>
    <mergeCell ref="B191:G191"/>
    <mergeCell ref="B190:G190"/>
    <mergeCell ref="B181:F181"/>
    <mergeCell ref="B180:G180"/>
    <mergeCell ref="B112:G112"/>
    <mergeCell ref="B113:G113"/>
    <mergeCell ref="B114:G114"/>
    <mergeCell ref="B115:F115"/>
    <mergeCell ref="B116:F116"/>
    <mergeCell ref="B183:G183"/>
    <mergeCell ref="B118:G118"/>
  </mergeCells>
  <phoneticPr fontId="42" type="noConversion"/>
  <pageMargins left="0.31496062992125984" right="0.31496062992125984" top="0.74803149606299213" bottom="0.74803149606299213" header="0.31496062992125984" footer="0.31496062992125984"/>
  <pageSetup paperSize="5" scale="2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
  <sheetViews>
    <sheetView topLeftCell="A9" zoomScale="69" zoomScaleNormal="69" workbookViewId="0">
      <selection activeCell="J46" sqref="J46"/>
    </sheetView>
  </sheetViews>
  <sheetFormatPr baseColWidth="10" defaultColWidth="11.42578125" defaultRowHeight="18.75" x14ac:dyDescent="0.3"/>
  <cols>
    <col min="1" max="1" width="6.7109375" style="476" customWidth="1"/>
    <col min="2" max="2" width="7.85546875" style="463" hidden="1" customWidth="1"/>
    <col min="3" max="3" width="46.7109375" style="463" bestFit="1" customWidth="1"/>
    <col min="4" max="4" width="25" style="463" bestFit="1" customWidth="1"/>
    <col min="5" max="5" width="24.7109375" style="463" customWidth="1"/>
    <col min="6" max="6" width="23.42578125" style="463" bestFit="1" customWidth="1"/>
    <col min="7" max="7" width="23.42578125" style="463" customWidth="1"/>
    <col min="8" max="9" width="23.7109375" style="463" customWidth="1"/>
    <col min="10" max="10" width="21.85546875" style="463" bestFit="1" customWidth="1"/>
    <col min="11" max="11" width="21.85546875" style="463" customWidth="1"/>
    <col min="12" max="12" width="27.42578125" style="463" bestFit="1" customWidth="1"/>
    <col min="13" max="13" width="3.7109375" style="463" customWidth="1"/>
    <col min="14" max="14" width="24.7109375" style="476" hidden="1" customWidth="1"/>
    <col min="15" max="15" width="25" style="476" hidden="1" customWidth="1"/>
    <col min="16" max="16" width="23.140625" style="476" hidden="1" customWidth="1"/>
    <col min="17" max="17" width="25.5703125" style="509" customWidth="1"/>
    <col min="18" max="18" width="14.5703125" style="476" customWidth="1"/>
    <col min="19" max="16384" width="11.42578125" style="476"/>
  </cols>
  <sheetData>
    <row r="1" spans="1:18" ht="19.5" thickBot="1" x14ac:dyDescent="0.35"/>
    <row r="2" spans="1:18" ht="82.5" customHeight="1" thickBot="1" x14ac:dyDescent="0.35">
      <c r="C2" s="1290" t="s">
        <v>4555</v>
      </c>
      <c r="D2" s="1291"/>
      <c r="E2" s="1291"/>
      <c r="F2" s="1291"/>
      <c r="G2" s="1291"/>
      <c r="H2" s="1291"/>
      <c r="I2" s="1291"/>
      <c r="J2" s="1292"/>
      <c r="K2" s="948"/>
      <c r="L2" s="875"/>
    </row>
    <row r="4" spans="1:18" x14ac:dyDescent="0.3">
      <c r="C4" s="1288" t="s">
        <v>4557</v>
      </c>
      <c r="D4" s="1288"/>
      <c r="E4" s="1288"/>
      <c r="F4" s="1288"/>
      <c r="G4" s="1288"/>
      <c r="H4" s="1288"/>
      <c r="I4" s="1288"/>
      <c r="J4" s="1288"/>
      <c r="K4" s="1288"/>
      <c r="L4" s="1288"/>
    </row>
    <row r="5" spans="1:18" ht="30" customHeight="1" x14ac:dyDescent="0.3">
      <c r="C5" s="1289" t="s">
        <v>4692</v>
      </c>
      <c r="D5" s="1289"/>
      <c r="E5" s="1289"/>
      <c r="F5" s="1289"/>
      <c r="G5" s="1289"/>
      <c r="H5" s="1289"/>
      <c r="I5" s="1289"/>
      <c r="J5" s="1289"/>
      <c r="K5" s="1289"/>
      <c r="L5" s="1289"/>
    </row>
    <row r="6" spans="1:18" x14ac:dyDescent="0.3">
      <c r="C6" s="481"/>
      <c r="J6" s="482"/>
      <c r="K6" s="482"/>
      <c r="L6" s="483"/>
      <c r="O6" s="509" t="e">
        <f>+PRESUPUESTO!#REF!-PRESUPUESTO!#REF!</f>
        <v>#REF!</v>
      </c>
    </row>
    <row r="7" spans="1:18" ht="54" x14ac:dyDescent="0.3">
      <c r="C7" s="477" t="s">
        <v>4558</v>
      </c>
      <c r="D7" s="477" t="s">
        <v>4459</v>
      </c>
      <c r="E7" s="477" t="s">
        <v>4977</v>
      </c>
      <c r="F7" s="477" t="s">
        <v>15</v>
      </c>
      <c r="G7" s="477" t="s">
        <v>4978</v>
      </c>
      <c r="H7" s="477" t="s">
        <v>4462</v>
      </c>
      <c r="I7" s="477" t="s">
        <v>4979</v>
      </c>
      <c r="J7" s="477" t="s">
        <v>4559</v>
      </c>
      <c r="K7" s="477" t="s">
        <v>4980</v>
      </c>
      <c r="L7" s="477" t="s">
        <v>4235</v>
      </c>
      <c r="O7" s="480" t="e">
        <f>+O6-#REF!</f>
        <v>#REF!</v>
      </c>
    </row>
    <row r="8" spans="1:18" x14ac:dyDescent="0.3">
      <c r="A8" s="476" t="s">
        <v>4164</v>
      </c>
      <c r="B8" s="476" t="s">
        <v>4269</v>
      </c>
      <c r="C8" s="478" t="str">
        <f>VLOOKUP($B8,PRESUPUESTO!$C$3:$H$256,2,FALSE)</f>
        <v>PRELIMINARES</v>
      </c>
      <c r="D8" s="955">
        <f>VLOOKUP($B8,PRESUPUESTO!$C$3:$S$251,9,FALSE)</f>
        <v>433074.27899999998</v>
      </c>
      <c r="E8" s="955">
        <f t="shared" ref="E8:E20" si="0">ROUND(D8*(1+$D$43),0)</f>
        <v>562997</v>
      </c>
      <c r="F8" s="478">
        <f>VLOOKUP($B8,PRESUPUESTO!$C$3:$S$251,11,FALSE)</f>
        <v>5293060.5892499993</v>
      </c>
      <c r="G8" s="955">
        <f>ROUND(F8*(1+$D$43),0)</f>
        <v>6880979</v>
      </c>
      <c r="H8" s="478">
        <f>VLOOKUP($B8,PRESUPUESTO!$C$3:$S$251,13,FALSE)</f>
        <v>15188.480999999998</v>
      </c>
      <c r="I8" s="955">
        <f>ROUND(H8*(1+$D$43),0)</f>
        <v>19745</v>
      </c>
      <c r="J8" s="478">
        <f>VLOOKUP($B8,PRESUPUESTO!$C$3:$S$251,15,FALSE)</f>
        <v>1289686.4445</v>
      </c>
      <c r="K8" s="955">
        <f>ROUND(J8*(1+$D$43),0)</f>
        <v>1676592</v>
      </c>
      <c r="L8" s="1218">
        <f>ROUND((E8+G8+I8+K8),0)</f>
        <v>9140313</v>
      </c>
      <c r="N8" s="487">
        <f>VLOOKUP($B8,PRESUPUESTO!$C$3:$S$251,6,FALSE)</f>
        <v>7031010</v>
      </c>
      <c r="O8" s="487" t="e">
        <f>ROUND(N8*#REF!,0)</f>
        <v>#REF!</v>
      </c>
      <c r="P8" s="480" t="e">
        <f t="shared" ref="P8:P21" si="1">+L8-O8</f>
        <v>#REF!</v>
      </c>
      <c r="Q8" s="509">
        <f>+VLOOKUP(B8,PRESUPUESTO!C9:I110,7,0)</f>
        <v>9140313</v>
      </c>
      <c r="R8" s="480">
        <f>+L8-Q8</f>
        <v>0</v>
      </c>
    </row>
    <row r="9" spans="1:18" ht="36.75" x14ac:dyDescent="0.3">
      <c r="A9" s="476" t="s">
        <v>4166</v>
      </c>
      <c r="B9" s="476" t="s">
        <v>4270</v>
      </c>
      <c r="C9" s="507" t="str">
        <f>VLOOKUP($B9,PRESUPUESTO!$C$3:$H$256,2,FALSE)</f>
        <v>DESAGUES E INSTALACIONES SANITARIAS</v>
      </c>
      <c r="D9" s="955">
        <f>VLOOKUP($B9,PRESUPUESTO!$C$3:$S$251,9,FALSE)</f>
        <v>163414.19280000002</v>
      </c>
      <c r="E9" s="955">
        <f t="shared" si="0"/>
        <v>212438</v>
      </c>
      <c r="F9" s="478">
        <f>VLOOKUP($B9,PRESUPUESTO!$C$3:$S$251,11,FALSE)</f>
        <v>2308511.5840000003</v>
      </c>
      <c r="G9" s="478">
        <f>F9*(1+$D$43)</f>
        <v>3001065.0592000005</v>
      </c>
      <c r="H9" s="478">
        <f>VLOOKUP($B9,PRESUPUESTO!$C$3:$S$251,13,FALSE)-2</f>
        <v>3187335.2068735007</v>
      </c>
      <c r="I9" s="955">
        <f>ROUND(H9*(1+$D$43),0)</f>
        <v>4143536</v>
      </c>
      <c r="J9" s="478">
        <f>VLOOKUP($B9,PRESUPUESTO!$C$3:$S$251,15,FALSE)</f>
        <v>18699.600000000002</v>
      </c>
      <c r="K9" s="478">
        <f t="shared" ref="K9" si="2">J9*(1+$D$43)</f>
        <v>24309.480000000003</v>
      </c>
      <c r="L9" s="1218">
        <f>ROUND((E9+G9+I9+K9),0)</f>
        <v>7381349</v>
      </c>
      <c r="N9" s="487">
        <f>VLOOKUP($B9,PRESUPUESTO!$C$3:$S$251,6,FALSE)</f>
        <v>5677961</v>
      </c>
      <c r="O9" s="487" t="e">
        <f>ROUND(N9*#REF!,0)</f>
        <v>#REF!</v>
      </c>
      <c r="P9" s="480" t="e">
        <f t="shared" si="1"/>
        <v>#REF!</v>
      </c>
      <c r="Q9" s="509">
        <f>+VLOOKUP(B9,PRESUPUESTO!C10:I111,7,0)</f>
        <v>7381349.2999999998</v>
      </c>
      <c r="R9" s="480">
        <f t="shared" ref="R9:R22" si="3">+L9-Q9</f>
        <v>-0.29999999981373549</v>
      </c>
    </row>
    <row r="10" spans="1:18" ht="36.75" x14ac:dyDescent="0.3">
      <c r="A10" s="476" t="s">
        <v>4167</v>
      </c>
      <c r="B10" s="476" t="s">
        <v>4272</v>
      </c>
      <c r="C10" s="478" t="str">
        <f>VLOOKUP($B10,PRESUPUESTO!$C$3:$H$256,2,FALSE)</f>
        <v>ESTRUCTURAS EN CONCRETO, METALICAS Y DE MADERA</v>
      </c>
      <c r="D10" s="955">
        <f>VLOOKUP($B10,PRESUPUESTO!$C$3:$S$251,9,FALSE)</f>
        <v>3097874.21368</v>
      </c>
      <c r="E10" s="955">
        <f t="shared" si="0"/>
        <v>4027236</v>
      </c>
      <c r="F10" s="478">
        <f>VLOOKUP($B10,PRESUPUESTO!$C$3:$S$251,11,FALSE)</f>
        <v>2480034.3073800001</v>
      </c>
      <c r="G10" s="955">
        <f>ROUND(F10*(1+$D$43),0)</f>
        <v>3224045</v>
      </c>
      <c r="H10" s="478">
        <f>VLOOKUP($B10,PRESUPUESTO!$C$3:$S$251,13,FALSE)</f>
        <v>5974902.8502578512</v>
      </c>
      <c r="I10" s="955">
        <f>ROUND(H10*(1+$D$43),0)</f>
        <v>7767374</v>
      </c>
      <c r="J10" s="478">
        <f>VLOOKUP($B10,PRESUPUESTO!$C$3:$S$251,15,FALSE)</f>
        <v>114801.37894</v>
      </c>
      <c r="K10" s="478">
        <f t="shared" ref="K10" si="4">J10*(1+$D$43)</f>
        <v>149241.79262200001</v>
      </c>
      <c r="L10" s="1218">
        <f t="shared" ref="L10:L20" si="5">ROUND((E10+G10+I10+K10),0)</f>
        <v>15167897</v>
      </c>
      <c r="N10" s="487">
        <f>VLOOKUP($B10,PRESUPUESTO!$C$3:$S$251,6,FALSE)</f>
        <v>11667613</v>
      </c>
      <c r="O10" s="487" t="e">
        <f>ROUND(N10*#REF!,0)</f>
        <v>#REF!</v>
      </c>
      <c r="P10" s="480" t="e">
        <f t="shared" si="1"/>
        <v>#REF!</v>
      </c>
      <c r="Q10" s="509">
        <f>+VLOOKUP(B10,PRESUPUESTO!C11:I112,7,0)</f>
        <v>15167896.9</v>
      </c>
      <c r="R10" s="480">
        <f t="shared" si="3"/>
        <v>9.999999962747097E-2</v>
      </c>
    </row>
    <row r="11" spans="1:18" x14ac:dyDescent="0.3">
      <c r="A11" s="476" t="s">
        <v>4168</v>
      </c>
      <c r="B11" s="476" t="s">
        <v>4571</v>
      </c>
      <c r="C11" s="478" t="str">
        <f>VLOOKUP($B11,PRESUPUESTO!$C$3:$H$256,2,FALSE)</f>
        <v>MAMPOSTERIA</v>
      </c>
      <c r="D11" s="955">
        <f>VLOOKUP($B11,PRESUPUESTO!$C$3:$S$251,9,FALSE)</f>
        <v>221619</v>
      </c>
      <c r="E11" s="955">
        <f t="shared" si="0"/>
        <v>288105</v>
      </c>
      <c r="F11" s="478">
        <f>VLOOKUP($B11,PRESUPUESTO!$C$3:$S$251,11,FALSE)</f>
        <v>5956347</v>
      </c>
      <c r="G11" s="955">
        <f>ROUND(F11*(1+$D$43),0)</f>
        <v>7743251</v>
      </c>
      <c r="H11" s="478">
        <f>VLOOKUP($B11,PRESUPUESTO!$C$3:$S$251,13,FALSE)</f>
        <v>7840155</v>
      </c>
      <c r="I11" s="955">
        <f>ROUND(H11*(1+$D$43),0)</f>
        <v>10192202</v>
      </c>
      <c r="J11" s="478">
        <f>VLOOKUP($B11,PRESUPUESTO!$C$3:$S$251,15,FALSE)</f>
        <v>760705</v>
      </c>
      <c r="K11" s="478">
        <f t="shared" ref="K11" si="6">J11*(1+$D$43)</f>
        <v>988916.5</v>
      </c>
      <c r="L11" s="1218">
        <f t="shared" si="5"/>
        <v>19212475</v>
      </c>
      <c r="N11" s="487">
        <f>VLOOKUP($B11,PRESUPUESTO!$C$3:$S$251,6,FALSE)</f>
        <v>14778827</v>
      </c>
      <c r="O11" s="487" t="e">
        <f>ROUND(N11*#REF!,0)</f>
        <v>#REF!</v>
      </c>
      <c r="P11" s="480" t="e">
        <f t="shared" si="1"/>
        <v>#REF!</v>
      </c>
      <c r="Q11" s="509">
        <f>+VLOOKUP(B11,PRESUPUESTO!C12:I113,7,0)</f>
        <v>19212475.100000001</v>
      </c>
      <c r="R11" s="480">
        <f t="shared" si="3"/>
        <v>-0.10000000149011612</v>
      </c>
    </row>
    <row r="12" spans="1:18" x14ac:dyDescent="0.3">
      <c r="A12" s="476" t="s">
        <v>4169</v>
      </c>
      <c r="B12" s="476" t="s">
        <v>4572</v>
      </c>
      <c r="C12" s="478" t="str">
        <f>VLOOKUP($B12,PRESUPUESTO!$C$3:$H$256,2,FALSE)</f>
        <v>INSTALACIONES HIDRÁULICAS</v>
      </c>
      <c r="D12" s="955">
        <f>VLOOKUP($B12,PRESUPUESTO!$C$3:$S$251,9,FALSE)</f>
        <v>93498.000000000015</v>
      </c>
      <c r="E12" s="955">
        <f t="shared" si="0"/>
        <v>121547</v>
      </c>
      <c r="F12" s="478">
        <f>VLOOKUP($B12,PRESUPUESTO!$C$3:$S$251,11,FALSE)</f>
        <v>1963458</v>
      </c>
      <c r="G12" s="478">
        <f>F12*(1+$D$43)</f>
        <v>2552495.4</v>
      </c>
      <c r="H12" s="478">
        <f>VLOOKUP($B12,PRESUPUESTO!$C$3:$S$251,13,FALSE)</f>
        <v>322919.2444275</v>
      </c>
      <c r="I12" s="478">
        <f t="shared" ref="I12" si="7">H12*(1+$D$43)</f>
        <v>419795.01775575004</v>
      </c>
      <c r="J12" s="478">
        <f>VLOOKUP($B12,PRESUPUESTO!$C$3:$S$251,15,FALSE)</f>
        <v>93498.000000000015</v>
      </c>
      <c r="K12" s="478">
        <f t="shared" ref="K12" si="8">J12*(1+$D$43)</f>
        <v>121547.40000000002</v>
      </c>
      <c r="L12" s="1218">
        <f t="shared" si="5"/>
        <v>3215385</v>
      </c>
      <c r="N12" s="487">
        <f>VLOOKUP($B12,PRESUPUESTO!$C$3:$S$251,6,FALSE)</f>
        <v>2473373</v>
      </c>
      <c r="O12" s="487" t="e">
        <f>ROUND(N12*#REF!,0)</f>
        <v>#REF!</v>
      </c>
      <c r="P12" s="480" t="e">
        <f t="shared" si="1"/>
        <v>#REF!</v>
      </c>
      <c r="Q12" s="509">
        <f>+VLOOKUP(B12,PRESUPUESTO!C13:I114,7,0)</f>
        <v>3215384.9</v>
      </c>
      <c r="R12" s="480">
        <f t="shared" si="3"/>
        <v>0.10000000009313226</v>
      </c>
    </row>
    <row r="13" spans="1:18" x14ac:dyDescent="0.3">
      <c r="A13" s="476" t="s">
        <v>4170</v>
      </c>
      <c r="B13" s="476" t="s">
        <v>4573</v>
      </c>
      <c r="C13" s="478" t="str">
        <f>VLOOKUP($B13,PRESUPUESTO!$C$3:$H$256,2,FALSE)</f>
        <v>INSTALACIONES ELECTRICAS</v>
      </c>
      <c r="D13" s="955">
        <f>VLOOKUP($B13,PRESUPUESTO!$C$3:$S$251,9,FALSE)</f>
        <v>77999</v>
      </c>
      <c r="E13" s="955">
        <f t="shared" si="0"/>
        <v>101399</v>
      </c>
      <c r="F13" s="478">
        <f>VLOOKUP($B13,PRESUPUESTO!$C$3:$S$251,11,FALSE)</f>
        <v>1644157</v>
      </c>
      <c r="G13" s="955">
        <f>ROUND(F13*(1+$D$43),0)</f>
        <v>2137404</v>
      </c>
      <c r="H13" s="478">
        <f>VLOOKUP($B13,PRESUPUESTO!$C$3:$S$251,13,FALSE)</f>
        <v>9929015</v>
      </c>
      <c r="I13" s="478">
        <f t="shared" ref="I13" si="9">H13*(1+$D$43)</f>
        <v>12907719.5</v>
      </c>
      <c r="J13" s="478">
        <f>VLOOKUP($B13,PRESUPUESTO!$C$3:$S$251,15,FALSE)</f>
        <v>77999.366666666683</v>
      </c>
      <c r="K13" s="478">
        <f t="shared" ref="K13" si="10">J13*(1+$D$43)</f>
        <v>101399.1766666667</v>
      </c>
      <c r="L13" s="1218">
        <f t="shared" si="5"/>
        <v>15247922</v>
      </c>
      <c r="N13" s="487">
        <f>VLOOKUP($B13,PRESUPUESTO!$C$3:$S$251,6,FALSE)</f>
        <v>11729171</v>
      </c>
      <c r="O13" s="487" t="e">
        <f>ROUND(N13*#REF!,0)</f>
        <v>#REF!</v>
      </c>
      <c r="P13" s="480" t="e">
        <f t="shared" si="1"/>
        <v>#REF!</v>
      </c>
      <c r="Q13" s="509">
        <f>+VLOOKUP(B13,PRESUPUESTO!C14:I115,7,0)</f>
        <v>15247922.300000001</v>
      </c>
      <c r="R13" s="480">
        <f t="shared" si="3"/>
        <v>-0.30000000074505806</v>
      </c>
    </row>
    <row r="14" spans="1:18" x14ac:dyDescent="0.3">
      <c r="A14" s="476" t="s">
        <v>4565</v>
      </c>
      <c r="B14" s="476" t="s">
        <v>4574</v>
      </c>
      <c r="C14" s="478" t="str">
        <f>VLOOKUP($B14,PRESUPUESTO!$C$3:$H$256,2,FALSE)</f>
        <v>PINTURA</v>
      </c>
      <c r="D14" s="955">
        <f>VLOOKUP($B14,PRESUPUESTO!$C$3:$S$251,9,FALSE)</f>
        <v>290415.01016000001</v>
      </c>
      <c r="E14" s="955">
        <f t="shared" si="0"/>
        <v>377540</v>
      </c>
      <c r="F14" s="478">
        <f>VLOOKUP($B14,PRESUPUESTO!$C$3:$S$251,11,FALSE)</f>
        <v>1974720.5465600002</v>
      </c>
      <c r="G14" s="478">
        <f>F14*(1+$D$43)</f>
        <v>2567136.7105280003</v>
      </c>
      <c r="H14" s="478">
        <f>VLOOKUP($B14,PRESUPUESTO!$C$3:$S$251,13,FALSE)</f>
        <v>2183104.5405940008</v>
      </c>
      <c r="I14" s="478">
        <f>H14*(1+$D$43)-1</f>
        <v>2838034.9027722012</v>
      </c>
      <c r="J14" s="478">
        <f>VLOOKUP($B14,PRESUPUESTO!$C$3:$S$251,15,FALSE)</f>
        <v>94417.338000000003</v>
      </c>
      <c r="K14" s="478">
        <f t="shared" ref="K14" si="11">J14*(1+$D$43)</f>
        <v>122742.53940000001</v>
      </c>
      <c r="L14" s="1218">
        <f t="shared" si="5"/>
        <v>5905454</v>
      </c>
      <c r="N14" s="487">
        <f>VLOOKUP($B14,PRESUPUESTO!$C$3:$S$251,6,FALSE)</f>
        <v>4542657</v>
      </c>
      <c r="O14" s="487" t="e">
        <f>ROUND(N14*#REF!,0)</f>
        <v>#REF!</v>
      </c>
      <c r="P14" s="480" t="e">
        <f t="shared" si="1"/>
        <v>#REF!</v>
      </c>
      <c r="Q14" s="509">
        <f>+VLOOKUP(B14,PRESUPUESTO!C15:I116,7,0)</f>
        <v>5905454.1000000006</v>
      </c>
      <c r="R14" s="480">
        <f t="shared" si="3"/>
        <v>-0.10000000055879354</v>
      </c>
    </row>
    <row r="15" spans="1:18" x14ac:dyDescent="0.3">
      <c r="A15" s="476" t="s">
        <v>4238</v>
      </c>
      <c r="B15" s="476" t="s">
        <v>4575</v>
      </c>
      <c r="C15" s="478" t="str">
        <f>VLOOKUP($B15,PRESUPUESTO!$C$3:$H$256,2,FALSE)</f>
        <v>CUBIERTAS</v>
      </c>
      <c r="D15" s="955">
        <f>VLOOKUP($B15,PRESUPUESTO!$C$3:$S$251,9,FALSE)</f>
        <v>109716.50408</v>
      </c>
      <c r="E15" s="955">
        <f t="shared" si="0"/>
        <v>142631</v>
      </c>
      <c r="F15" s="478">
        <f>VLOOKUP($B15,PRESUPUESTO!$C$3:$S$251,11,FALSE)</f>
        <v>1130603.3872</v>
      </c>
      <c r="G15" s="478">
        <f>F15*(1+$D$43)</f>
        <v>1469784.4033600001</v>
      </c>
      <c r="H15" s="478">
        <f>VLOOKUP($B15,PRESUPUESTO!$C$3:$S$251,13,FALSE)</f>
        <v>1286986</v>
      </c>
      <c r="I15" s="955">
        <f>ROUND(H15*(1+$D$43),0)</f>
        <v>1673082</v>
      </c>
      <c r="J15" s="478">
        <f>VLOOKUP($B15,PRESUPUESTO!$C$3:$S$251,15,FALSE)</f>
        <v>39070</v>
      </c>
      <c r="K15" s="478">
        <f t="shared" ref="K15" si="12">J15*(1+$D$43)</f>
        <v>50791</v>
      </c>
      <c r="L15" s="1218">
        <f t="shared" si="5"/>
        <v>3336288</v>
      </c>
      <c r="N15" s="487">
        <f>VLOOKUP($B15,PRESUPUESTO!$C$3:$S$251,6,FALSE)</f>
        <v>2566376</v>
      </c>
      <c r="O15" s="487" t="e">
        <f>ROUND(N15*#REF!,0)</f>
        <v>#REF!</v>
      </c>
      <c r="P15" s="480" t="e">
        <f t="shared" si="1"/>
        <v>#REF!</v>
      </c>
      <c r="Q15" s="509">
        <f>+VLOOKUP(B15,PRESUPUESTO!C16:I119,7,0)</f>
        <v>3336288.8000000003</v>
      </c>
      <c r="R15" s="480">
        <f t="shared" si="3"/>
        <v>-0.80000000027939677</v>
      </c>
    </row>
    <row r="16" spans="1:18" x14ac:dyDescent="0.3">
      <c r="A16" s="476" t="s">
        <v>4471</v>
      </c>
      <c r="B16" s="476" t="s">
        <v>4576</v>
      </c>
      <c r="C16" s="478" t="str">
        <f>VLOOKUP($B16,PRESUPUESTO!$C$3:$H$256,2,FALSE)</f>
        <v>CIELO RASO</v>
      </c>
      <c r="D16" s="955">
        <f>VLOOKUP($B16,PRESUPUESTO!$C$3:$S$251,9,FALSE)</f>
        <v>17992.125</v>
      </c>
      <c r="E16" s="955">
        <f t="shared" si="0"/>
        <v>23390</v>
      </c>
      <c r="F16" s="478">
        <f>VLOOKUP($B16,PRESUPUESTO!$C$3:$S$251,11,FALSE)</f>
        <v>573260.19999999995</v>
      </c>
      <c r="G16" s="478">
        <f>F16*(1+$D$43)</f>
        <v>745238.26</v>
      </c>
      <c r="H16" s="478">
        <f>VLOOKUP($B16,PRESUPUESTO!$C$3:$S$251,13,FALSE)</f>
        <v>1423812.6577000001</v>
      </c>
      <c r="I16" s="478">
        <f t="shared" ref="I16" si="13">H16*(1+$D$43)</f>
        <v>1850956.4550100002</v>
      </c>
      <c r="J16" s="478">
        <f>VLOOKUP($B16,PRESUPUESTO!$C$3:$S$251,15,FALSE)</f>
        <v>0</v>
      </c>
      <c r="K16" s="478">
        <f t="shared" ref="K16" si="14">J16*(1+$D$43)</f>
        <v>0</v>
      </c>
      <c r="L16" s="1218">
        <f t="shared" si="5"/>
        <v>2619585</v>
      </c>
      <c r="N16" s="487">
        <f>VLOOKUP($B16,PRESUPUESTO!$C$3:$S$251,6,FALSE)</f>
        <v>2015065</v>
      </c>
      <c r="O16" s="487" t="e">
        <f>ROUND(N16*#REF!,0)</f>
        <v>#REF!</v>
      </c>
      <c r="P16" s="480" t="e">
        <f t="shared" si="1"/>
        <v>#REF!</v>
      </c>
      <c r="Q16" s="509">
        <f>+VLOOKUP(B16,PRESUPUESTO!C17:I120,7,0)</f>
        <v>2619584.5</v>
      </c>
      <c r="R16" s="480">
        <f t="shared" si="3"/>
        <v>0.5</v>
      </c>
    </row>
    <row r="17" spans="1:18" x14ac:dyDescent="0.3">
      <c r="A17" s="476" t="s">
        <v>4239</v>
      </c>
      <c r="B17" s="476" t="s">
        <v>4577</v>
      </c>
      <c r="C17" s="478" t="str">
        <f>VLOOKUP($B17,PRESUPUESTO!$C$3:$H$256,2,FALSE)</f>
        <v>PISOS Y ACABADOS</v>
      </c>
      <c r="D17" s="955">
        <f>VLOOKUP($B17,PRESUPUESTO!$C$3:$S$251,9,FALSE)</f>
        <v>17992</v>
      </c>
      <c r="E17" s="955">
        <f t="shared" si="0"/>
        <v>23390</v>
      </c>
      <c r="F17" s="478">
        <f>VLOOKUP($B17,PRESUPUESTO!$C$3:$S$251,11,FALSE)</f>
        <v>68791</v>
      </c>
      <c r="G17" s="478">
        <f>F17*(1+$D$43)</f>
        <v>89428.3</v>
      </c>
      <c r="H17" s="478">
        <f>VLOOKUP($B17,PRESUPUESTO!$C$3:$S$251,13,FALSE)</f>
        <v>223108</v>
      </c>
      <c r="I17" s="478">
        <f t="shared" ref="I17" si="15">H17*(1+$D$43)</f>
        <v>290040.40000000002</v>
      </c>
      <c r="J17" s="478">
        <f>VLOOKUP($B17,PRESUPUESTO!$C$3:$S$251,15,FALSE)</f>
        <v>0</v>
      </c>
      <c r="K17" s="478">
        <f t="shared" ref="K17" si="16">J17*(1+$D$43)</f>
        <v>0</v>
      </c>
      <c r="L17" s="1218">
        <f t="shared" si="5"/>
        <v>402859</v>
      </c>
      <c r="N17" s="487">
        <f>VLOOKUP($B17,PRESUPUESTO!$C$3:$S$251,6,FALSE)</f>
        <v>309891</v>
      </c>
      <c r="O17" s="487" t="e">
        <f>ROUND(N17*#REF!,0)</f>
        <v>#REF!</v>
      </c>
      <c r="P17" s="480" t="e">
        <f t="shared" si="1"/>
        <v>#REF!</v>
      </c>
      <c r="Q17" s="509">
        <f>+VLOOKUP(B17,PRESUPUESTO!C18:I121,7,0)</f>
        <v>402858.3</v>
      </c>
      <c r="R17" s="480">
        <f t="shared" si="3"/>
        <v>0.70000000001164153</v>
      </c>
    </row>
    <row r="18" spans="1:18" x14ac:dyDescent="0.3">
      <c r="A18" s="476" t="s">
        <v>4478</v>
      </c>
      <c r="B18" s="476" t="s">
        <v>4578</v>
      </c>
      <c r="C18" s="478" t="str">
        <f>VLOOKUP($B18,PRESUPUESTO!$C$3:$H$256,2,FALSE)</f>
        <v>ENCHAPES Y ACCESORIOS</v>
      </c>
      <c r="D18" s="955">
        <f>VLOOKUP($B18,PRESUPUESTO!$C$3:$S$251,9,FALSE)</f>
        <v>68902</v>
      </c>
      <c r="E18" s="955">
        <f t="shared" si="0"/>
        <v>89573</v>
      </c>
      <c r="F18" s="478">
        <f>VLOOKUP($B18,PRESUPUESTO!$C$3:$S$251,11,FALSE)</f>
        <v>1446938</v>
      </c>
      <c r="G18" s="478">
        <f>F18*(1+$D$43)</f>
        <v>1881019.4000000001</v>
      </c>
      <c r="H18" s="478">
        <f>VLOOKUP($B18,PRESUPUESTO!$C$3:$S$251,13,FALSE)-4</f>
        <v>1474995</v>
      </c>
      <c r="I18" s="955">
        <f>ROUND(H18*(1+$D$43),0)</f>
        <v>1917494</v>
      </c>
      <c r="J18" s="478">
        <f>VLOOKUP($B18,PRESUPUESTO!$C$3:$S$251,15,FALSE)</f>
        <v>68902</v>
      </c>
      <c r="K18" s="478">
        <f t="shared" ref="K18" si="17">J18*(1+$D$43)</f>
        <v>89572.6</v>
      </c>
      <c r="L18" s="1218">
        <f t="shared" si="5"/>
        <v>3977659</v>
      </c>
      <c r="N18" s="487">
        <f>VLOOKUP($B18,PRESUPUESTO!$C$3:$S$251,6,FALSE)</f>
        <v>3059739</v>
      </c>
      <c r="O18" s="487" t="e">
        <f>ROUND(N18*#REF!,0)</f>
        <v>#REF!</v>
      </c>
      <c r="P18" s="480" t="e">
        <f t="shared" si="1"/>
        <v>#REF!</v>
      </c>
      <c r="Q18" s="509">
        <f>+VLOOKUP(B18,PRESUPUESTO!C19:I123,7,0)</f>
        <v>3977660.7</v>
      </c>
      <c r="R18" s="480">
        <f t="shared" si="3"/>
        <v>-1.7000000001862645</v>
      </c>
    </row>
    <row r="19" spans="1:18" x14ac:dyDescent="0.3">
      <c r="A19" s="476" t="s">
        <v>4560</v>
      </c>
      <c r="B19" s="476" t="s">
        <v>4579</v>
      </c>
      <c r="C19" s="478" t="str">
        <f>VLOOKUP($B19,PRESUPUESTO!$C$3:$H$256,2,FALSE)</f>
        <v>CARPINTERIA METALICA</v>
      </c>
      <c r="D19" s="955">
        <f>VLOOKUP($B19,PRESUPUESTO!$C$3:$S$251,9,FALSE)</f>
        <v>7988</v>
      </c>
      <c r="E19" s="955">
        <f t="shared" si="0"/>
        <v>10384</v>
      </c>
      <c r="F19" s="478">
        <f>VLOOKUP($B19,PRESUPUESTO!$C$3:$S$251,11,FALSE)</f>
        <v>455281</v>
      </c>
      <c r="G19" s="955">
        <f>ROUND(F19*(1+$D$43),0)</f>
        <v>591865</v>
      </c>
      <c r="H19" s="478">
        <f>VLOOKUP($B19,PRESUPUESTO!$C$3:$S$251,13,FALSE)</f>
        <v>2044079.1680000001</v>
      </c>
      <c r="I19" s="478">
        <f>H19*(1+$D$43)</f>
        <v>2657302.9184000003</v>
      </c>
      <c r="J19" s="478">
        <f>VLOOKUP($B19,PRESUPUESTO!$C$3:$S$251,15,FALSE)</f>
        <v>3978.5445</v>
      </c>
      <c r="K19" s="478">
        <f t="shared" ref="K19" si="18">J19*(1+$D$43)</f>
        <v>5172.1078500000003</v>
      </c>
      <c r="L19" s="1218">
        <f t="shared" si="5"/>
        <v>3264724</v>
      </c>
      <c r="N19" s="487">
        <f>VLOOKUP($B19,PRESUPUESTO!$C$3:$S$251,6,FALSE)</f>
        <v>2511325</v>
      </c>
      <c r="O19" s="487" t="e">
        <f>ROUND(N19*#REF!,0)</f>
        <v>#REF!</v>
      </c>
      <c r="P19" s="480" t="e">
        <f t="shared" si="1"/>
        <v>#REF!</v>
      </c>
      <c r="Q19" s="509">
        <f>+VLOOKUP(B19,PRESUPUESTO!C20:I124,7,0)</f>
        <v>3264722.5</v>
      </c>
      <c r="R19" s="480">
        <f t="shared" si="3"/>
        <v>1.5</v>
      </c>
    </row>
    <row r="20" spans="1:18" x14ac:dyDescent="0.3">
      <c r="A20" s="476" t="s">
        <v>4242</v>
      </c>
      <c r="B20" s="476" t="s">
        <v>4580</v>
      </c>
      <c r="C20" s="478" t="str">
        <f>VLOOKUP($B20,PRESUPUESTO!$C$3:$H$256,2,FALSE)</f>
        <v>ASEO GENERAL</v>
      </c>
      <c r="D20" s="955">
        <f>VLOOKUP($B20,PRESUPUESTO!$C$3:$S$251,9,FALSE)</f>
        <v>0</v>
      </c>
      <c r="E20" s="955">
        <f t="shared" si="0"/>
        <v>0</v>
      </c>
      <c r="F20" s="478">
        <f>VLOOKUP($B20,PRESUPUESTO!$C$3:$S$251,11,FALSE)</f>
        <v>3168250</v>
      </c>
      <c r="G20" s="478">
        <f>F20*(1+$D$43)</f>
        <v>4118725</v>
      </c>
      <c r="H20" s="478">
        <f>VLOOKUP($B20,PRESUPUESTO!$C$3:$S$251,13,FALSE)</f>
        <v>0</v>
      </c>
      <c r="I20" s="478">
        <f t="shared" ref="I20" si="19">H20*(1+$D$43)</f>
        <v>0</v>
      </c>
      <c r="J20" s="478">
        <f>VLOOKUP($B20,PRESUPUESTO!$C$3:$S$251,15,FALSE)</f>
        <v>0</v>
      </c>
      <c r="K20" s="478">
        <f t="shared" ref="K20" si="20">J20*(1+$D$43)</f>
        <v>0</v>
      </c>
      <c r="L20" s="1218">
        <f t="shared" si="5"/>
        <v>4118725</v>
      </c>
      <c r="N20" s="487">
        <f>VLOOKUP($B20,PRESUPUESTO!$C$3:$S$251,6,FALSE)</f>
        <v>3168250</v>
      </c>
      <c r="O20" s="487" t="e">
        <f>ROUND(N20*#REF!,0)</f>
        <v>#REF!</v>
      </c>
      <c r="P20" s="480" t="e">
        <f t="shared" si="1"/>
        <v>#REF!</v>
      </c>
      <c r="Q20" s="509">
        <f>+VLOOKUP(B20,PRESUPUESTO!C21:I125,7,0)</f>
        <v>4118725</v>
      </c>
      <c r="R20" s="480">
        <f t="shared" si="3"/>
        <v>0</v>
      </c>
    </row>
    <row r="21" spans="1:18" ht="34.5" customHeight="1" x14ac:dyDescent="0.3">
      <c r="A21" s="476" t="s">
        <v>1027</v>
      </c>
      <c r="B21" s="476" t="s">
        <v>4581</v>
      </c>
      <c r="C21" s="508" t="str">
        <f>VLOOKUP($B21,PRESUPUESTO!$C$3:$H$256,2,FALSE)</f>
        <v>EQUIPOS PALESTINA</v>
      </c>
      <c r="D21" s="955">
        <f>VLOOKUP($B21,PRESUPUESTO!$C$3:$S$251,9,FALSE)</f>
        <v>312936918</v>
      </c>
      <c r="E21" s="955">
        <f>ROUND(D21*(1+$D$44),0)</f>
        <v>391171148</v>
      </c>
      <c r="F21" s="478">
        <f>VLOOKUP($B21,PRESUPUESTO!$C$3:$S$251,11,FALSE)</f>
        <v>0</v>
      </c>
      <c r="G21" s="478">
        <f>F21*(1+$D$43)</f>
        <v>0</v>
      </c>
      <c r="H21" s="478">
        <f>VLOOKUP($B21,PRESUPUESTO!$C$3:$S$251,13,FALSE)</f>
        <v>0</v>
      </c>
      <c r="I21" s="478">
        <f t="shared" ref="I21" si="21">H21*(1+$D$43)</f>
        <v>0</v>
      </c>
      <c r="J21" s="478">
        <f>VLOOKUP($B21,PRESUPUESTO!$C$3:$S$251,15,FALSE)</f>
        <v>0</v>
      </c>
      <c r="K21" s="478">
        <f t="shared" ref="K21" si="22">J21*(1+$D$43)</f>
        <v>0</v>
      </c>
      <c r="L21" s="1218">
        <f t="shared" ref="L21" si="23">E21+G21+I21+K21</f>
        <v>391171148</v>
      </c>
      <c r="N21" s="487">
        <f>+PRESUPUESTO!H110</f>
        <v>312936918</v>
      </c>
      <c r="O21" s="487" t="e">
        <f>ROUND(N21*#REF!,0)</f>
        <v>#REF!</v>
      </c>
      <c r="P21" s="480" t="e">
        <f t="shared" si="1"/>
        <v>#REF!</v>
      </c>
      <c r="Q21" s="509">
        <f>+VLOOKUP(B21,PRESUPUESTO!C22:I128,7,0)</f>
        <v>391171147.5</v>
      </c>
      <c r="R21" s="480">
        <f t="shared" si="3"/>
        <v>0.5</v>
      </c>
    </row>
    <row r="22" spans="1:18" x14ac:dyDescent="0.3">
      <c r="C22" s="481"/>
      <c r="J22" s="482"/>
      <c r="K22" s="482"/>
      <c r="L22" s="483"/>
      <c r="R22" s="480">
        <f t="shared" si="3"/>
        <v>0</v>
      </c>
    </row>
    <row r="23" spans="1:18" x14ac:dyDescent="0.3">
      <c r="A23" s="476" t="s">
        <v>4164</v>
      </c>
      <c r="B23" s="463" t="s">
        <v>5258</v>
      </c>
      <c r="C23" s="478" t="str">
        <f>VLOOKUP($B23,PRESUPUESTO!$C$3:$H$256,2,FALSE)</f>
        <v>OBRAS PRELIMINARES</v>
      </c>
      <c r="D23" s="955">
        <f>VLOOKUP($B23,PRESUPUESTO!$C$3:$S$251,9,FALSE)</f>
        <v>263088.86912400002</v>
      </c>
      <c r="E23" s="955">
        <f t="shared" ref="E23:E33" si="24">ROUND(D23*(1+$D$43),0)</f>
        <v>342016</v>
      </c>
      <c r="F23" s="478">
        <f>VLOOKUP($B23,PRESUPUESTO!$C$3:$S$251,11,FALSE)</f>
        <v>2265217</v>
      </c>
      <c r="G23" s="478">
        <f t="shared" ref="G23:G33" si="25">F23*(1+$D$43)</f>
        <v>2944782.1</v>
      </c>
      <c r="H23" s="478">
        <f>VLOOKUP($B23,PRESUPUESTO!$C$3:$S$251,13,FALSE)</f>
        <v>963170.57571999985</v>
      </c>
      <c r="I23" s="478">
        <f t="shared" ref="I23:I33" si="26">H23*(1+$D$43)</f>
        <v>1252121.7484359997</v>
      </c>
      <c r="J23" s="478">
        <f>VLOOKUP($B23,PRESUPUESTO!$C$3:$S$251,15,FALSE)-3</f>
        <v>277529.32285</v>
      </c>
      <c r="K23" s="478">
        <f>J23*(1+$D$43)</f>
        <v>360788.11970500002</v>
      </c>
      <c r="L23" s="1218">
        <f t="shared" ref="L23:L33" si="27">ROUND((E23+G23+I23+K23),0)</f>
        <v>4899708</v>
      </c>
      <c r="N23" s="487">
        <f>VLOOKUP($B23,PRESUPUESTO!$C$3:$S$251,6,FALSE)</f>
        <v>3769007</v>
      </c>
      <c r="O23" s="487" t="e">
        <f>ROUND(N23*#REF!,0)</f>
        <v>#REF!</v>
      </c>
      <c r="P23" s="480" t="e">
        <f t="shared" ref="P23:P33" si="28">+L23-O23</f>
        <v>#REF!</v>
      </c>
      <c r="Q23" s="509">
        <f>+VLOOKUP(B23,PRESUPUESTO!C24:I128,7,0)</f>
        <v>4899709.1000000006</v>
      </c>
      <c r="R23" s="480">
        <f t="shared" ref="R23:R33" si="29">+L23-Q23</f>
        <v>-1.1000000005587935</v>
      </c>
    </row>
    <row r="24" spans="1:18" x14ac:dyDescent="0.3">
      <c r="A24" s="476" t="s">
        <v>5062</v>
      </c>
      <c r="B24" s="463" t="s">
        <v>5259</v>
      </c>
      <c r="C24" s="478" t="str">
        <f>VLOOKUP($B24,PRESUPUESTO!$C$3:$H$256,2,FALSE)</f>
        <v>MOVIMIENTO DE TIERRAS</v>
      </c>
      <c r="D24" s="955">
        <f>VLOOKUP($B24,PRESUPUESTO!$C$3:$S$251,9,FALSE)</f>
        <v>64291.463599999995</v>
      </c>
      <c r="E24" s="955">
        <f t="shared" si="24"/>
        <v>83579</v>
      </c>
      <c r="F24" s="478">
        <f>VLOOKUP($B24,PRESUPUESTO!$C$3:$S$251,11,FALSE)</f>
        <v>2182012</v>
      </c>
      <c r="G24" s="478">
        <f t="shared" si="25"/>
        <v>2836615.6</v>
      </c>
      <c r="H24" s="478">
        <f>VLOOKUP($B24,PRESUPUESTO!$C$3:$S$251,13,FALSE)</f>
        <v>0</v>
      </c>
      <c r="I24" s="478">
        <f t="shared" si="26"/>
        <v>0</v>
      </c>
      <c r="J24" s="478">
        <f>VLOOKUP($B24,PRESUPUESTO!$C$3:$S$251,15,FALSE)</f>
        <v>0</v>
      </c>
      <c r="K24" s="478">
        <f>J24*(1+$D$43)</f>
        <v>0</v>
      </c>
      <c r="L24" s="1218">
        <f t="shared" si="27"/>
        <v>2920195</v>
      </c>
      <c r="N24" s="487">
        <f>VLOOKUP($B24,PRESUPUESTO!$C$3:$S$251,6,FALSE)</f>
        <v>2246303</v>
      </c>
      <c r="O24" s="487" t="e">
        <f>ROUND(N24*#REF!,0)</f>
        <v>#REF!</v>
      </c>
      <c r="P24" s="480" t="e">
        <f t="shared" si="28"/>
        <v>#REF!</v>
      </c>
      <c r="Q24" s="509">
        <f>+VLOOKUP(B24,PRESUPUESTO!C25:I129,7,0)</f>
        <v>2920193.9</v>
      </c>
      <c r="R24" s="480">
        <f t="shared" si="29"/>
        <v>1.1000000000931323</v>
      </c>
    </row>
    <row r="25" spans="1:18" x14ac:dyDescent="0.3">
      <c r="A25" s="476" t="s">
        <v>5064</v>
      </c>
      <c r="B25" s="463" t="s">
        <v>5260</v>
      </c>
      <c r="C25" s="478" t="str">
        <f>VLOOKUP($B25,PRESUPUESTO!$C$3:$H$256,2,FALSE)</f>
        <v>CIMENTACIONES</v>
      </c>
      <c r="D25" s="955">
        <f>VLOOKUP($B25,PRESUPUESTO!$C$3:$S$251,9,FALSE)</f>
        <v>32957.4</v>
      </c>
      <c r="E25" s="955">
        <f t="shared" si="24"/>
        <v>42845</v>
      </c>
      <c r="F25" s="478">
        <f>VLOOKUP($B25,PRESUPUESTO!$C$3:$S$251,11,FALSE)</f>
        <v>976441</v>
      </c>
      <c r="G25" s="478">
        <f t="shared" si="25"/>
        <v>1269373.3</v>
      </c>
      <c r="H25" s="478">
        <f>VLOOKUP($B25,PRESUPUESTO!$C$3:$S$251,13,FALSE)</f>
        <v>6009998.2923750002</v>
      </c>
      <c r="I25" s="478">
        <f t="shared" si="26"/>
        <v>7812997.7800875008</v>
      </c>
      <c r="J25" s="478">
        <f>VLOOKUP($B25,PRESUPUESTO!$C$3:$S$251,15,FALSE)</f>
        <v>128360.40000000001</v>
      </c>
      <c r="K25" s="478">
        <f>J25*(1+$D$43)</f>
        <v>166868.52000000002</v>
      </c>
      <c r="L25" s="1218">
        <f t="shared" si="27"/>
        <v>9292085</v>
      </c>
      <c r="N25" s="487">
        <f>VLOOKUP($B25,PRESUPUESTO!$C$3:$S$251,6,FALSE)</f>
        <v>7147757</v>
      </c>
      <c r="O25" s="487" t="e">
        <f>ROUND(N25*#REF!,0)</f>
        <v>#REF!</v>
      </c>
      <c r="P25" s="480" t="e">
        <f t="shared" si="28"/>
        <v>#REF!</v>
      </c>
      <c r="Q25" s="509">
        <f>+VLOOKUP(B25,PRESUPUESTO!C26:I130,7,0)</f>
        <v>9292084.0999999996</v>
      </c>
      <c r="R25" s="480">
        <f t="shared" si="29"/>
        <v>0.90000000037252903</v>
      </c>
    </row>
    <row r="26" spans="1:18" ht="36.75" x14ac:dyDescent="0.3">
      <c r="A26" s="476" t="s">
        <v>5067</v>
      </c>
      <c r="B26" s="463" t="s">
        <v>5261</v>
      </c>
      <c r="C26" s="478" t="str">
        <f>VLOOKUP($B26,PRESUPUESTO!$C$3:$H$256,2,FALSE)</f>
        <v>ESTRUCTURAS DE CONCRETO, METALICAS Y MADERA</v>
      </c>
      <c r="D26" s="955">
        <f>VLOOKUP($B26,PRESUPUESTO!$C$3:$S$251,9,FALSE)</f>
        <v>8102067.4474600013</v>
      </c>
      <c r="E26" s="955">
        <f t="shared" si="24"/>
        <v>10532688</v>
      </c>
      <c r="F26" s="478">
        <f>VLOOKUP($B26,PRESUPUESTO!$C$3:$S$251,11,FALSE)</f>
        <v>13620992</v>
      </c>
      <c r="G26" s="478">
        <f t="shared" si="25"/>
        <v>17707289.600000001</v>
      </c>
      <c r="H26" s="478">
        <f>VLOOKUP($B26,PRESUPUESTO!$C$3:$S$251,13,FALSE)</f>
        <v>30876221.13802566</v>
      </c>
      <c r="I26" s="478">
        <f t="shared" si="26"/>
        <v>40139087.479433358</v>
      </c>
      <c r="J26" s="478">
        <f>VLOOKUP($B26,PRESUPUESTO!$C$3:$S$251,15,FALSE)</f>
        <v>702440.90778699983</v>
      </c>
      <c r="K26" s="478">
        <f>J26*(1+$D$43)</f>
        <v>913173.18012309982</v>
      </c>
      <c r="L26" s="1218">
        <f t="shared" si="27"/>
        <v>69292238</v>
      </c>
      <c r="N26" s="487">
        <f>VLOOKUP($B26,PRESUPUESTO!$C$3:$S$251,6,FALSE)</f>
        <v>53301722</v>
      </c>
      <c r="O26" s="487" t="e">
        <f>ROUND(N26*#REF!,0)</f>
        <v>#REF!</v>
      </c>
      <c r="P26" s="480" t="e">
        <f t="shared" si="28"/>
        <v>#REF!</v>
      </c>
      <c r="Q26" s="509">
        <f>+VLOOKUP(B26,PRESUPUESTO!C27:I177,7,0)</f>
        <v>69292238.600000009</v>
      </c>
      <c r="R26" s="480">
        <f t="shared" si="29"/>
        <v>-0.60000000894069672</v>
      </c>
    </row>
    <row r="27" spans="1:18" x14ac:dyDescent="0.3">
      <c r="A27" s="476" t="s">
        <v>4167</v>
      </c>
      <c r="B27" s="463" t="s">
        <v>5262</v>
      </c>
      <c r="C27" s="478" t="str">
        <f>VLOOKUP($B27,PRESUPUESTO!$C$3:$H$256,2,FALSE)</f>
        <v>MAMPOSTERIA</v>
      </c>
      <c r="D27" s="955">
        <f>VLOOKUP($B27,PRESUPUESTO!$C$3:$S$251,9,FALSE)</f>
        <v>45231.627157500006</v>
      </c>
      <c r="E27" s="955">
        <f t="shared" si="24"/>
        <v>58801</v>
      </c>
      <c r="F27" s="478">
        <f>VLOOKUP($B27,PRESUPUESTO!$C$3:$S$251,11,FALSE)</f>
        <v>1060140</v>
      </c>
      <c r="G27" s="478">
        <f t="shared" si="25"/>
        <v>1378182</v>
      </c>
      <c r="H27" s="478">
        <f>VLOOKUP($B27,PRESUPUESTO!$C$3:$S$251,13,FALSE)</f>
        <v>1966403.5976741943</v>
      </c>
      <c r="I27" s="478">
        <f t="shared" si="26"/>
        <v>2556324.6769764526</v>
      </c>
      <c r="J27" s="478">
        <f>VLOOKUP($B27,PRESUPUESTO!$C$3:$S$251,15,FALSE)</f>
        <v>97254.177751640003</v>
      </c>
      <c r="K27" s="478">
        <f>J27*(1+$D$43)+1</f>
        <v>126431.431077132</v>
      </c>
      <c r="L27" s="1218">
        <f t="shared" si="27"/>
        <v>4119739</v>
      </c>
      <c r="N27" s="487">
        <f>VLOOKUP($B27,PRESUPUESTO!$C$3:$S$251,6,FALSE)</f>
        <v>3169030</v>
      </c>
      <c r="O27" s="487" t="e">
        <f>ROUND(N27*#REF!,0)</f>
        <v>#REF!</v>
      </c>
      <c r="P27" s="480" t="e">
        <f t="shared" si="28"/>
        <v>#REF!</v>
      </c>
      <c r="Q27" s="509">
        <f>+VLOOKUP(B27,PRESUPUESTO!C28:I178,7,0)</f>
        <v>4119739</v>
      </c>
      <c r="R27" s="480">
        <f t="shared" si="29"/>
        <v>0</v>
      </c>
    </row>
    <row r="28" spans="1:18" x14ac:dyDescent="0.3">
      <c r="A28" s="476" t="s">
        <v>4168</v>
      </c>
      <c r="B28" s="463" t="s">
        <v>5263</v>
      </c>
      <c r="C28" s="478" t="str">
        <f>VLOOKUP($B28,PRESUPUESTO!$C$3:$H$256,2,FALSE)</f>
        <v>INSTALACIONES HIDRAULICAS</v>
      </c>
      <c r="D28" s="955">
        <f>VLOOKUP($B28,PRESUPUESTO!$C$3:$S$251,9,FALSE)</f>
        <v>243784.64430000001</v>
      </c>
      <c r="E28" s="955">
        <f t="shared" si="24"/>
        <v>316920</v>
      </c>
      <c r="F28" s="478">
        <f>VLOOKUP($B28,PRESUPUESTO!$C$3:$S$251,11,FALSE)</f>
        <v>237837</v>
      </c>
      <c r="G28" s="478">
        <f t="shared" si="25"/>
        <v>309188.10000000003</v>
      </c>
      <c r="H28" s="478">
        <f>VLOOKUP($B28,PRESUPUESTO!$C$3:$S$251,13,FALSE)</f>
        <v>6993336.4154913761</v>
      </c>
      <c r="I28" s="478">
        <f t="shared" si="26"/>
        <v>9091337.3401387893</v>
      </c>
      <c r="J28" s="478">
        <f>VLOOKUP($B28,PRESUPUESTO!$C$3:$S$251,15,FALSE)</f>
        <v>113795.6217</v>
      </c>
      <c r="K28" s="478">
        <f>J28*(1+$D$43)-2</f>
        <v>147932.30821000002</v>
      </c>
      <c r="L28" s="1218">
        <f t="shared" si="27"/>
        <v>9865378</v>
      </c>
      <c r="N28" s="487">
        <f>VLOOKUP($B28,PRESUPUESTO!$C$3:$S$251,6,FALSE)</f>
        <v>7588755</v>
      </c>
      <c r="O28" s="487" t="e">
        <f>ROUND(N28*#REF!,0)</f>
        <v>#REF!</v>
      </c>
      <c r="P28" s="480" t="e">
        <f t="shared" si="28"/>
        <v>#REF!</v>
      </c>
      <c r="Q28" s="509">
        <f>+VLOOKUP(B28,PRESUPUESTO!C29:I179,7,0)</f>
        <v>9865381.5</v>
      </c>
      <c r="R28" s="480">
        <f t="shared" si="29"/>
        <v>-3.5</v>
      </c>
    </row>
    <row r="29" spans="1:18" x14ac:dyDescent="0.3">
      <c r="A29" s="476" t="s">
        <v>4170</v>
      </c>
      <c r="B29" s="463" t="s">
        <v>5264</v>
      </c>
      <c r="C29" s="478" t="str">
        <f>VLOOKUP($B29,PRESUPUESTO!$C$3:$H$256,2,FALSE)</f>
        <v>PINTURA</v>
      </c>
      <c r="D29" s="955">
        <f>VLOOKUP($B29,PRESUPUESTO!$C$3:$S$251,9,FALSE)</f>
        <v>2170465.2469899999</v>
      </c>
      <c r="E29" s="955">
        <f t="shared" si="24"/>
        <v>2821605</v>
      </c>
      <c r="F29" s="478">
        <f>VLOOKUP($B29,PRESUPUESTO!$C$3:$S$251,11,FALSE)</f>
        <v>10544965</v>
      </c>
      <c r="G29" s="478">
        <f t="shared" si="25"/>
        <v>13708454.5</v>
      </c>
      <c r="H29" s="478">
        <f>VLOOKUP($B29,PRESUPUESTO!$C$3:$S$251,13,FALSE)</f>
        <v>3426966.2575940005</v>
      </c>
      <c r="I29" s="478">
        <f t="shared" si="26"/>
        <v>4455056.1348722009</v>
      </c>
      <c r="J29" s="478">
        <f>VLOOKUP($B29,PRESUPUESTO!$C$3:$S$251,15,FALSE)</f>
        <v>512420.41875000001</v>
      </c>
      <c r="K29" s="478">
        <f>J29*(1+$D$43)</f>
        <v>666146.54437500006</v>
      </c>
      <c r="L29" s="1218">
        <f t="shared" si="27"/>
        <v>21651262</v>
      </c>
      <c r="N29" s="487">
        <f>VLOOKUP($B29,PRESUPUESTO!$C$3:$S$251,6,FALSE)</f>
        <v>16654816</v>
      </c>
      <c r="O29" s="487" t="e">
        <f>ROUND(N29*#REF!,0)</f>
        <v>#REF!</v>
      </c>
      <c r="P29" s="480" t="e">
        <f t="shared" si="28"/>
        <v>#REF!</v>
      </c>
      <c r="Q29" s="509">
        <f>+VLOOKUP(B29,PRESUPUESTO!C30:I180,7,0)</f>
        <v>21651260.800000001</v>
      </c>
      <c r="R29" s="480">
        <f t="shared" si="29"/>
        <v>1.1999999992549419</v>
      </c>
    </row>
    <row r="30" spans="1:18" x14ac:dyDescent="0.3">
      <c r="A30" s="476" t="s">
        <v>4565</v>
      </c>
      <c r="B30" s="463" t="s">
        <v>5265</v>
      </c>
      <c r="C30" s="478" t="str">
        <f>VLOOKUP($B30,PRESUPUESTO!$C$3:$H$256,2,FALSE)</f>
        <v>CUBIERTAS</v>
      </c>
      <c r="D30" s="955">
        <f>VLOOKUP($B30,PRESUPUESTO!$C$3:$S$251,9,FALSE)</f>
        <v>13668.75</v>
      </c>
      <c r="E30" s="955">
        <f t="shared" si="24"/>
        <v>17769</v>
      </c>
      <c r="F30" s="478">
        <f>VLOOKUP($B30,PRESUPUESTO!$C$3:$S$251,11,FALSE)</f>
        <v>117807</v>
      </c>
      <c r="G30" s="478">
        <f t="shared" si="25"/>
        <v>153149.1</v>
      </c>
      <c r="H30" s="478">
        <f>VLOOKUP($B30,PRESUPUESTO!$C$3:$S$251,13,FALSE)</f>
        <v>102616.2675</v>
      </c>
      <c r="I30" s="478">
        <f t="shared" si="26"/>
        <v>133401.14775</v>
      </c>
      <c r="J30" s="478">
        <f>VLOOKUP($B30,PRESUPUESTO!$C$3:$S$251,15,FALSE)</f>
        <v>0</v>
      </c>
      <c r="K30" s="478">
        <f>J30*(1+$D$43)</f>
        <v>0</v>
      </c>
      <c r="L30" s="1218">
        <f t="shared" si="27"/>
        <v>304319</v>
      </c>
      <c r="N30" s="487">
        <f>VLOOKUP($B30,PRESUPUESTO!$C$3:$S$251,6,FALSE)</f>
        <v>234090</v>
      </c>
      <c r="O30" s="487" t="e">
        <f>ROUND(N30*#REF!,0)</f>
        <v>#REF!</v>
      </c>
      <c r="P30" s="480" t="e">
        <f t="shared" si="28"/>
        <v>#REF!</v>
      </c>
      <c r="Q30" s="509">
        <f>+VLOOKUP(B30,PRESUPUESTO!C31:I181,7,0)</f>
        <v>304317</v>
      </c>
      <c r="R30" s="480">
        <f t="shared" si="29"/>
        <v>2</v>
      </c>
    </row>
    <row r="31" spans="1:18" x14ac:dyDescent="0.3">
      <c r="A31" s="476" t="s">
        <v>5076</v>
      </c>
      <c r="B31" s="463" t="s">
        <v>5266</v>
      </c>
      <c r="C31" s="478" t="str">
        <f>VLOOKUP($B31,PRESUPUESTO!$C$3:$H$256,2,FALSE)</f>
        <v>CARPINTERIA METALICA</v>
      </c>
      <c r="D31" s="955">
        <f>VLOOKUP($B31,PRESUPUESTO!$C$3:$S$251,9,FALSE)</f>
        <v>3542123.5471999999</v>
      </c>
      <c r="E31" s="955">
        <f t="shared" si="24"/>
        <v>4604761</v>
      </c>
      <c r="F31" s="478">
        <f>VLOOKUP($B31,PRESUPUESTO!$C$3:$S$251,11,FALSE)</f>
        <v>24637538</v>
      </c>
      <c r="G31" s="478">
        <f t="shared" si="25"/>
        <v>32028799.400000002</v>
      </c>
      <c r="H31" s="478">
        <f>VLOOKUP($B31,PRESUPUESTO!$C$3:$S$251,13,FALSE)</f>
        <v>62816510.089960009</v>
      </c>
      <c r="I31" s="478">
        <f t="shared" si="26"/>
        <v>81661463.116948009</v>
      </c>
      <c r="J31" s="478">
        <f>VLOOKUP($B31,PRESUPUESTO!$C$3:$S$251,15,FALSE)</f>
        <v>5078817.0422400003</v>
      </c>
      <c r="K31" s="478">
        <f>J31*(1+$D$43)-3</f>
        <v>6602459.1549120005</v>
      </c>
      <c r="L31" s="1218">
        <f t="shared" si="27"/>
        <v>124897483</v>
      </c>
      <c r="N31" s="487">
        <f>VLOOKUP($B31,PRESUPUESTO!$C$3:$S$251,6,FALSE)</f>
        <v>96074987</v>
      </c>
      <c r="O31" s="487" t="e">
        <f>ROUND(N31*#REF!,0)</f>
        <v>#REF!</v>
      </c>
      <c r="P31" s="480" t="e">
        <f t="shared" si="28"/>
        <v>#REF!</v>
      </c>
      <c r="Q31" s="509">
        <f>+VLOOKUP(B31,PRESUPUESTO!C32:I184,7,0)</f>
        <v>124897483.10000001</v>
      </c>
      <c r="R31" s="480">
        <f t="shared" si="29"/>
        <v>-0.10000000894069672</v>
      </c>
    </row>
    <row r="32" spans="1:18" x14ac:dyDescent="0.3">
      <c r="A32" s="476" t="s">
        <v>5275</v>
      </c>
      <c r="B32" s="463" t="s">
        <v>5267</v>
      </c>
      <c r="C32" s="478" t="str">
        <f>VLOOKUP($B32,PRESUPUESTO!$C$3:$H$256,2,FALSE)</f>
        <v>OBRAS VARIAS</v>
      </c>
      <c r="D32" s="955">
        <f>VLOOKUP($B32,PRESUPUESTO!$C$3:$S$251,9,FALSE)</f>
        <v>1260570.584</v>
      </c>
      <c r="E32" s="955">
        <f t="shared" si="24"/>
        <v>1638742</v>
      </c>
      <c r="F32" s="478">
        <f>VLOOKUP($B32,PRESUPUESTO!$C$3:$S$251,11,FALSE)</f>
        <v>12469545</v>
      </c>
      <c r="G32" s="478">
        <f t="shared" si="25"/>
        <v>16210408.5</v>
      </c>
      <c r="H32" s="478">
        <f>VLOOKUP($B32,PRESUPUESTO!$C$3:$S$251,13,FALSE)</f>
        <v>57633321.295769393</v>
      </c>
      <c r="I32" s="478">
        <f t="shared" si="26"/>
        <v>74923317.684500217</v>
      </c>
      <c r="J32" s="478">
        <f>VLOOKUP($B32,PRESUPUESTO!$C$3:$S$251,15,FALSE)</f>
        <v>1162156.8981600001</v>
      </c>
      <c r="K32" s="478">
        <f>J32*(1+$D$43)</f>
        <v>1510803.9676080002</v>
      </c>
      <c r="L32" s="1218">
        <f t="shared" si="27"/>
        <v>94283272</v>
      </c>
      <c r="N32" s="487">
        <f>VLOOKUP($B32,PRESUPUESTO!$C$3:$S$251,6,FALSE)</f>
        <v>72525594</v>
      </c>
      <c r="O32" s="487" t="e">
        <f>ROUND(N32*#REF!,0)</f>
        <v>#REF!</v>
      </c>
      <c r="P32" s="480" t="e">
        <f t="shared" si="28"/>
        <v>#REF!</v>
      </c>
      <c r="Q32" s="509">
        <f>+VLOOKUP(B32,PRESUPUESTO!C33:I185,7,0)</f>
        <v>94283272.200000003</v>
      </c>
      <c r="R32" s="480">
        <f t="shared" si="29"/>
        <v>-0.20000000298023224</v>
      </c>
    </row>
    <row r="33" spans="1:18" x14ac:dyDescent="0.3">
      <c r="A33" s="476" t="s">
        <v>5077</v>
      </c>
      <c r="B33" s="463" t="s">
        <v>5268</v>
      </c>
      <c r="C33" s="478" t="str">
        <f>VLOOKUP($B33,PRESUPUESTO!$C$3:$H$256,2,FALSE)</f>
        <v>ADECUACIONES SANITARIAS</v>
      </c>
      <c r="D33" s="955">
        <f>VLOOKUP($B33,PRESUPUESTO!$C$3:$S$251,9,FALSE)</f>
        <v>188679.52633333334</v>
      </c>
      <c r="E33" s="955">
        <f t="shared" si="24"/>
        <v>245283</v>
      </c>
      <c r="F33" s="478">
        <f>VLOOKUP($B33,PRESUPUESTO!$C$3:$S$251,11,FALSE)</f>
        <v>4253485</v>
      </c>
      <c r="G33" s="478">
        <f t="shared" si="25"/>
        <v>5529530.5</v>
      </c>
      <c r="H33" s="478">
        <f>VLOOKUP($B33,PRESUPUESTO!$C$3:$S$251,13,FALSE)</f>
        <v>8076606.6550155021</v>
      </c>
      <c r="I33" s="478">
        <f t="shared" si="26"/>
        <v>10499588.651520154</v>
      </c>
      <c r="J33" s="478">
        <f>VLOOKUP($B33,PRESUPUESTO!$C$3:$S$251,15,FALSE)</f>
        <v>201790.53000000003</v>
      </c>
      <c r="K33" s="478">
        <f>J33*(1+$D$43)</f>
        <v>262327.68900000007</v>
      </c>
      <c r="L33" s="479">
        <f t="shared" si="27"/>
        <v>16536730</v>
      </c>
      <c r="N33" s="487">
        <f>VLOOKUP($B33,PRESUPUESTO!$C$3:$S$251,6,FALSE)</f>
        <v>12720561</v>
      </c>
      <c r="O33" s="487" t="e">
        <f>ROUND(N33*#REF!,0)</f>
        <v>#REF!</v>
      </c>
      <c r="P33" s="480" t="e">
        <f t="shared" si="28"/>
        <v>#REF!</v>
      </c>
      <c r="Q33" s="509">
        <f>+VLOOKUP(B33,PRESUPUESTO!C34:I186,7,0)</f>
        <v>16536729.300000001</v>
      </c>
      <c r="R33" s="480">
        <f t="shared" si="29"/>
        <v>0.69999999925494194</v>
      </c>
    </row>
    <row r="34" spans="1:18" x14ac:dyDescent="0.3">
      <c r="C34" s="1169"/>
      <c r="D34" s="1170"/>
      <c r="E34" s="1170"/>
      <c r="F34" s="1169"/>
      <c r="G34" s="1169"/>
      <c r="H34" s="1169"/>
      <c r="I34" s="1169"/>
      <c r="J34" s="1169"/>
      <c r="K34" s="1169"/>
      <c r="L34" s="482"/>
      <c r="N34" s="1171"/>
      <c r="O34" s="1171"/>
      <c r="P34" s="480"/>
      <c r="R34" s="480"/>
    </row>
    <row r="35" spans="1:18" x14ac:dyDescent="0.3">
      <c r="C35" s="473" t="s">
        <v>4561</v>
      </c>
      <c r="D35" s="950">
        <f>ROUND(SUM(D8:D33),0)</f>
        <v>333464331</v>
      </c>
      <c r="E35" s="950">
        <f t="shared" ref="E35:L35" si="30">ROUND(SUM(E8:E33),0)</f>
        <v>417856787</v>
      </c>
      <c r="F35" s="950">
        <f t="shared" si="30"/>
        <v>100829392</v>
      </c>
      <c r="G35" s="950">
        <f t="shared" si="30"/>
        <v>131078209</v>
      </c>
      <c r="H35" s="950">
        <f t="shared" si="30"/>
        <v>214770752</v>
      </c>
      <c r="I35" s="950">
        <f t="shared" si="30"/>
        <v>279201978</v>
      </c>
      <c r="J35" s="950">
        <f t="shared" si="30"/>
        <v>10836323</v>
      </c>
      <c r="K35" s="950">
        <f t="shared" si="30"/>
        <v>14087216</v>
      </c>
      <c r="L35" s="1172">
        <f t="shared" si="30"/>
        <v>842224192</v>
      </c>
      <c r="Q35" s="483">
        <f>ROUND(SUM(Q8:Q33),0)</f>
        <v>842224192</v>
      </c>
      <c r="R35" s="480"/>
    </row>
    <row r="36" spans="1:18" x14ac:dyDescent="0.3">
      <c r="C36" s="481"/>
      <c r="J36" s="482"/>
      <c r="K36" s="482"/>
      <c r="L36" s="483"/>
      <c r="R36" s="480"/>
    </row>
    <row r="37" spans="1:18" x14ac:dyDescent="0.3">
      <c r="C37" s="450"/>
      <c r="D37" s="451"/>
      <c r="E37" s="451"/>
      <c r="F37" s="451"/>
      <c r="G37" s="451"/>
      <c r="H37" s="451"/>
      <c r="I37" s="451"/>
      <c r="J37" s="451"/>
      <c r="K37" s="451"/>
      <c r="L37" s="451"/>
      <c r="N37" s="480">
        <f>SUM(N8:N20)</f>
        <v>71531258</v>
      </c>
    </row>
    <row r="38" spans="1:18" x14ac:dyDescent="0.3">
      <c r="C38" s="481"/>
      <c r="J38" s="482"/>
      <c r="K38" s="482"/>
      <c r="L38" s="483"/>
      <c r="O38" s="545" t="e">
        <f>+PRESUPUESTO!#REF!-PRESUPUESTO!H184</f>
        <v>#REF!</v>
      </c>
    </row>
    <row r="39" spans="1:18" x14ac:dyDescent="0.3">
      <c r="C39" s="1181" t="s">
        <v>5276</v>
      </c>
      <c r="D39" s="1182"/>
      <c r="E39" s="1182"/>
      <c r="F39" s="1182">
        <f>+L35</f>
        <v>842224192</v>
      </c>
      <c r="G39" s="1182"/>
      <c r="H39" s="1182"/>
      <c r="J39" s="482"/>
      <c r="K39" s="482"/>
      <c r="L39" s="483"/>
    </row>
    <row r="40" spans="1:18" x14ac:dyDescent="0.3">
      <c r="C40" s="1181" t="s">
        <v>5277</v>
      </c>
      <c r="D40" s="1182"/>
      <c r="E40" s="1182"/>
      <c r="F40" s="1182"/>
      <c r="G40" s="1182"/>
      <c r="H40" s="1182">
        <f>+PRESUPUESTO!H190</f>
        <v>5108244.5</v>
      </c>
      <c r="J40" s="482"/>
      <c r="K40" s="482"/>
      <c r="L40" s="482"/>
    </row>
    <row r="41" spans="1:18" x14ac:dyDescent="0.3">
      <c r="C41" s="1181" t="s">
        <v>5278</v>
      </c>
      <c r="D41" s="1182"/>
      <c r="E41" s="1182"/>
      <c r="F41" s="1182"/>
      <c r="G41" s="1182"/>
      <c r="H41" s="1182">
        <f>+PRESUPUESTO!H191</f>
        <v>65927711</v>
      </c>
      <c r="J41" s="482"/>
      <c r="K41" s="482"/>
      <c r="L41" s="482"/>
    </row>
    <row r="42" spans="1:18" x14ac:dyDescent="0.3">
      <c r="C42" s="1183" t="s">
        <v>5279</v>
      </c>
      <c r="D42" s="1184"/>
      <c r="E42" s="1184"/>
      <c r="F42" s="1184"/>
      <c r="G42" s="1184"/>
      <c r="H42" s="1184">
        <f>ROUND(SUM(F39:H41),0)</f>
        <v>913260148</v>
      </c>
      <c r="J42" s="482"/>
      <c r="K42" s="482"/>
      <c r="L42" s="482"/>
    </row>
    <row r="43" spans="1:18" s="463" customFormat="1" x14ac:dyDescent="0.3">
      <c r="A43" s="476"/>
      <c r="C43" s="463" t="s">
        <v>4976</v>
      </c>
      <c r="D43" s="949">
        <f>AIU!I46</f>
        <v>0.3</v>
      </c>
      <c r="J43" s="484"/>
      <c r="K43" s="482"/>
      <c r="L43" s="482"/>
      <c r="Q43" s="484"/>
    </row>
    <row r="44" spans="1:18" x14ac:dyDescent="0.3">
      <c r="C44" s="463" t="s">
        <v>5257</v>
      </c>
      <c r="D44" s="949">
        <f>+AIU!I11</f>
        <v>0.25</v>
      </c>
    </row>
    <row r="45" spans="1:18" x14ac:dyDescent="0.3">
      <c r="D45" s="949"/>
    </row>
    <row r="46" spans="1:18" x14ac:dyDescent="0.3">
      <c r="D46" s="949"/>
    </row>
    <row r="47" spans="1:18" s="463" customFormat="1" x14ac:dyDescent="0.3">
      <c r="A47" s="476"/>
      <c r="C47" s="485" t="s">
        <v>4562</v>
      </c>
      <c r="J47" s="483"/>
      <c r="K47" s="483"/>
      <c r="L47" s="484"/>
      <c r="Q47" s="484"/>
    </row>
    <row r="48" spans="1:18" s="463" customFormat="1" ht="42" customHeight="1" x14ac:dyDescent="0.3">
      <c r="A48" s="476"/>
      <c r="C48" s="485"/>
      <c r="L48" s="482"/>
      <c r="Q48" s="484"/>
    </row>
    <row r="49" spans="1:17" s="463" customFormat="1" ht="21.95" customHeight="1" x14ac:dyDescent="0.3">
      <c r="A49" s="476"/>
      <c r="C49" s="485"/>
      <c r="L49" s="482"/>
      <c r="Q49" s="484"/>
    </row>
    <row r="50" spans="1:17" s="463" customFormat="1" ht="21.95" customHeight="1" x14ac:dyDescent="0.3">
      <c r="A50" s="476"/>
      <c r="C50" s="485"/>
      <c r="L50" s="482"/>
      <c r="Q50" s="484"/>
    </row>
    <row r="51" spans="1:17" s="463" customFormat="1" x14ac:dyDescent="0.3">
      <c r="A51" s="476"/>
      <c r="C51" s="485" t="s">
        <v>4563</v>
      </c>
      <c r="Q51" s="484"/>
    </row>
    <row r="52" spans="1:17" s="463" customFormat="1" x14ac:dyDescent="0.3">
      <c r="A52" s="476"/>
      <c r="C52" s="485" t="s">
        <v>4564</v>
      </c>
      <c r="Q52" s="484"/>
    </row>
    <row r="53" spans="1:17" s="463" customFormat="1" x14ac:dyDescent="0.3">
      <c r="A53" s="476"/>
      <c r="C53" s="486" t="s">
        <v>4622</v>
      </c>
      <c r="Q53" s="484"/>
    </row>
  </sheetData>
  <mergeCells count="3">
    <mergeCell ref="C4:L4"/>
    <mergeCell ref="C5:L5"/>
    <mergeCell ref="C2:J2"/>
  </mergeCells>
  <phoneticPr fontId="42" type="noConversion"/>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09"/>
  <sheetViews>
    <sheetView topLeftCell="A779" zoomScale="80" zoomScaleNormal="80" workbookViewId="0">
      <selection activeCell="F776" sqref="F776"/>
    </sheetView>
  </sheetViews>
  <sheetFormatPr baseColWidth="10" defaultColWidth="10.7109375" defaultRowHeight="15" x14ac:dyDescent="0.25"/>
  <cols>
    <col min="1" max="1" width="4" style="593" customWidth="1"/>
    <col min="2" max="2" width="10.7109375" style="593"/>
    <col min="3" max="3" width="8.42578125" style="593" customWidth="1"/>
    <col min="4" max="4" width="51.7109375" style="593" customWidth="1"/>
    <col min="5" max="5" width="11.42578125" style="593" customWidth="1"/>
    <col min="6" max="6" width="14.42578125" style="593" customWidth="1"/>
    <col min="7" max="7" width="28.140625" style="611" bestFit="1" customWidth="1"/>
    <col min="8" max="8" width="20.28515625" style="593" customWidth="1"/>
    <col min="9" max="9" width="20.42578125" style="593" customWidth="1"/>
    <col min="10" max="10" width="2.5703125" style="593" customWidth="1"/>
    <col min="11" max="11" width="12.28515625" style="594" customWidth="1"/>
    <col min="12" max="12" width="14.85546875" style="593" customWidth="1"/>
    <col min="13" max="14" width="14.42578125" style="593" customWidth="1"/>
    <col min="15" max="15" width="14.85546875" style="593" customWidth="1"/>
    <col min="16" max="16" width="15.5703125" style="593" bestFit="1" customWidth="1"/>
    <col min="17" max="17" width="16" style="1089" customWidth="1"/>
    <col min="18" max="18" width="16.5703125" style="593" bestFit="1" customWidth="1"/>
    <col min="19" max="16384" width="10.7109375" style="593"/>
  </cols>
  <sheetData>
    <row r="1" spans="2:17" ht="37.5" customHeight="1" thickBot="1" x14ac:dyDescent="0.3"/>
    <row r="2" spans="2:17" ht="88.9" customHeight="1" thickBot="1" x14ac:dyDescent="0.4">
      <c r="C2" s="1293" t="s">
        <v>4693</v>
      </c>
      <c r="D2" s="1294"/>
      <c r="E2" s="1294"/>
      <c r="F2" s="1294"/>
      <c r="G2" s="1294"/>
      <c r="H2" s="1294"/>
      <c r="I2" s="1295"/>
    </row>
    <row r="3" spans="2:17" ht="24.75" customHeight="1" thickBot="1" x14ac:dyDescent="0.3"/>
    <row r="4" spans="2:17" ht="45.75" customHeight="1" thickBot="1" x14ac:dyDescent="0.3">
      <c r="B4" s="595" t="s">
        <v>10</v>
      </c>
      <c r="C4" s="596" t="s">
        <v>4415</v>
      </c>
      <c r="D4" s="597" t="s">
        <v>9</v>
      </c>
      <c r="E4" s="597" t="s">
        <v>11</v>
      </c>
      <c r="F4" s="597" t="s">
        <v>2</v>
      </c>
      <c r="G4" s="1111" t="s">
        <v>12</v>
      </c>
      <c r="H4" s="597" t="s">
        <v>13</v>
      </c>
      <c r="I4" s="598" t="s">
        <v>14</v>
      </c>
      <c r="K4" s="599" t="s">
        <v>10</v>
      </c>
      <c r="L4" s="600" t="s">
        <v>4459</v>
      </c>
      <c r="M4" s="600" t="s">
        <v>4460</v>
      </c>
      <c r="N4" s="600" t="s">
        <v>4461</v>
      </c>
      <c r="O4" s="600" t="s">
        <v>4251</v>
      </c>
      <c r="P4" s="601" t="s">
        <v>48</v>
      </c>
    </row>
    <row r="5" spans="2:17" ht="28.5" hidden="1" customHeight="1" x14ac:dyDescent="0.25">
      <c r="B5" s="602"/>
      <c r="C5" s="603"/>
      <c r="D5" s="604"/>
      <c r="E5" s="605"/>
      <c r="F5" s="606"/>
      <c r="G5" s="1112"/>
      <c r="H5" s="607"/>
      <c r="I5" s="608"/>
      <c r="K5" s="609"/>
      <c r="L5" s="610"/>
      <c r="M5" s="610"/>
      <c r="N5" s="610"/>
      <c r="O5" s="610"/>
      <c r="P5" s="610"/>
      <c r="Q5" s="1090"/>
    </row>
    <row r="6" spans="2:17" ht="17.25" hidden="1" customHeight="1" thickBot="1" x14ac:dyDescent="0.3">
      <c r="B6" s="620"/>
      <c r="C6" s="620"/>
      <c r="D6" s="621"/>
      <c r="E6" s="622"/>
      <c r="F6" s="623"/>
      <c r="G6" s="624"/>
      <c r="H6" s="625"/>
      <c r="I6" s="626"/>
      <c r="K6" s="609"/>
      <c r="L6" s="627"/>
      <c r="M6" s="628"/>
      <c r="N6" s="627"/>
      <c r="O6" s="627"/>
      <c r="P6" s="629"/>
      <c r="Q6" s="1090"/>
    </row>
    <row r="7" spans="2:17" ht="45.75" hidden="1" customHeight="1" thickBot="1" x14ac:dyDescent="0.3">
      <c r="B7" s="595" t="s">
        <v>10</v>
      </c>
      <c r="C7" s="596" t="s">
        <v>4415</v>
      </c>
      <c r="D7" s="630" t="s">
        <v>9</v>
      </c>
      <c r="E7" s="630" t="s">
        <v>11</v>
      </c>
      <c r="F7" s="630" t="s">
        <v>2</v>
      </c>
      <c r="G7" s="1113" t="s">
        <v>12</v>
      </c>
      <c r="H7" s="630" t="s">
        <v>13</v>
      </c>
      <c r="I7" s="631" t="s">
        <v>14</v>
      </c>
      <c r="K7" s="609"/>
      <c r="L7" s="632"/>
      <c r="M7" s="632"/>
      <c r="N7" s="632"/>
      <c r="O7" s="632"/>
      <c r="P7" s="628"/>
      <c r="Q7" s="1090"/>
    </row>
    <row r="8" spans="2:17" ht="32.25" customHeight="1" x14ac:dyDescent="0.25">
      <c r="B8" s="602" t="s">
        <v>4420</v>
      </c>
      <c r="C8" s="633"/>
      <c r="D8" s="634" t="s">
        <v>5114</v>
      </c>
      <c r="E8" s="635" t="s">
        <v>4104</v>
      </c>
      <c r="F8" s="575"/>
      <c r="G8" s="1114">
        <f>SUM(I9:I12)</f>
        <v>4197.598</v>
      </c>
      <c r="H8" s="636"/>
      <c r="I8" s="637"/>
      <c r="K8" s="609" t="str">
        <f>+B8</f>
        <v>1.1</v>
      </c>
      <c r="L8" s="610">
        <f>+I9</f>
        <v>331.05799999999999</v>
      </c>
      <c r="M8" s="610">
        <f>+I10</f>
        <v>2074</v>
      </c>
      <c r="N8" s="610">
        <f>SUM(I11:I12)</f>
        <v>1792.54</v>
      </c>
      <c r="O8" s="610"/>
      <c r="P8" s="610">
        <f>SUM(L8:O8)</f>
        <v>4197.598</v>
      </c>
      <c r="Q8" s="1166">
        <f>+Tabla2[[#This Row],[VALOR UNITARIO ]]-P8</f>
        <v>0</v>
      </c>
    </row>
    <row r="9" spans="2:17" ht="17.25" customHeight="1" x14ac:dyDescent="0.25">
      <c r="B9" s="612"/>
      <c r="C9" s="613"/>
      <c r="D9" s="444" t="s">
        <v>3925</v>
      </c>
      <c r="E9" s="579" t="s">
        <v>4012</v>
      </c>
      <c r="F9" s="580">
        <v>0.1</v>
      </c>
      <c r="G9" s="581">
        <v>3310.58</v>
      </c>
      <c r="H9" s="582">
        <v>1</v>
      </c>
      <c r="I9" s="614">
        <f>(F9*G9*H9)</f>
        <v>331.05799999999999</v>
      </c>
      <c r="K9" s="609"/>
      <c r="L9" s="628"/>
      <c r="M9" s="628"/>
      <c r="N9" s="628"/>
      <c r="O9" s="628"/>
      <c r="P9" s="628"/>
      <c r="Q9" s="1090"/>
    </row>
    <row r="10" spans="2:17" ht="36" x14ac:dyDescent="0.25">
      <c r="B10" s="612"/>
      <c r="C10" s="1065"/>
      <c r="D10" s="248" t="s">
        <v>3817</v>
      </c>
      <c r="E10" s="9" t="s">
        <v>3975</v>
      </c>
      <c r="F10" s="1066">
        <v>1</v>
      </c>
      <c r="G10" s="1115">
        <v>2074</v>
      </c>
      <c r="H10" s="582">
        <v>1</v>
      </c>
      <c r="I10" s="1067">
        <f t="shared" ref="I10:I11" si="0">(F10*G10*H10)</f>
        <v>2074</v>
      </c>
      <c r="K10" s="609"/>
      <c r="L10" s="628"/>
      <c r="M10" s="628"/>
      <c r="N10" s="628"/>
      <c r="O10" s="628"/>
      <c r="P10" s="628"/>
      <c r="Q10" s="1090"/>
    </row>
    <row r="11" spans="2:17" ht="17.25" customHeight="1" x14ac:dyDescent="0.25">
      <c r="B11" s="612"/>
      <c r="C11" s="1065"/>
      <c r="D11" s="248" t="s">
        <v>5118</v>
      </c>
      <c r="E11" s="9" t="s">
        <v>1357</v>
      </c>
      <c r="F11" s="1066">
        <v>0.02</v>
      </c>
      <c r="G11" s="1115">
        <v>4857</v>
      </c>
      <c r="H11" s="582">
        <v>1</v>
      </c>
      <c r="I11" s="1067">
        <f t="shared" si="0"/>
        <v>97.14</v>
      </c>
      <c r="K11" s="609"/>
      <c r="L11" s="628"/>
      <c r="M11" s="628"/>
      <c r="N11" s="628"/>
      <c r="O11" s="628"/>
      <c r="P11" s="628"/>
      <c r="Q11" s="1090"/>
    </row>
    <row r="12" spans="2:17" ht="17.25" customHeight="1" x14ac:dyDescent="0.25">
      <c r="B12" s="612"/>
      <c r="C12" s="613"/>
      <c r="D12" s="444" t="s">
        <v>2534</v>
      </c>
      <c r="E12" s="579" t="s">
        <v>255</v>
      </c>
      <c r="F12" s="580">
        <v>0.7</v>
      </c>
      <c r="G12" s="581">
        <v>2422</v>
      </c>
      <c r="H12" s="582">
        <v>1</v>
      </c>
      <c r="I12" s="614">
        <f>(F12*G12*H12)</f>
        <v>1695.3999999999999</v>
      </c>
      <c r="K12" s="615"/>
      <c r="L12" s="627"/>
      <c r="M12" s="628"/>
      <c r="N12" s="627"/>
      <c r="O12" s="627"/>
      <c r="Q12" s="1091"/>
    </row>
    <row r="13" spans="2:17" ht="17.25" customHeight="1" x14ac:dyDescent="0.25">
      <c r="B13" s="620"/>
      <c r="C13" s="620"/>
      <c r="D13" s="621"/>
      <c r="E13" s="622"/>
      <c r="F13" s="623"/>
      <c r="G13" s="624"/>
      <c r="H13" s="625"/>
      <c r="I13" s="626"/>
      <c r="K13" s="609"/>
      <c r="L13" s="627"/>
      <c r="M13" s="628"/>
      <c r="N13" s="627"/>
      <c r="O13" s="627"/>
      <c r="P13" s="629"/>
      <c r="Q13" s="1090"/>
    </row>
    <row r="14" spans="2:17" ht="36.75" customHeight="1" thickBot="1" x14ac:dyDescent="0.3">
      <c r="B14" s="638" t="s">
        <v>8</v>
      </c>
      <c r="C14" s="596" t="s">
        <v>8</v>
      </c>
      <c r="D14" s="597" t="s">
        <v>9</v>
      </c>
      <c r="E14" s="597" t="s">
        <v>11</v>
      </c>
      <c r="F14" s="597" t="s">
        <v>2</v>
      </c>
      <c r="G14" s="1111" t="s">
        <v>12</v>
      </c>
      <c r="H14" s="597" t="s">
        <v>13</v>
      </c>
      <c r="I14" s="598" t="s">
        <v>14</v>
      </c>
      <c r="K14" s="609"/>
      <c r="L14" s="610"/>
      <c r="M14" s="610"/>
      <c r="N14" s="610"/>
      <c r="O14" s="610"/>
      <c r="P14" s="610"/>
      <c r="Q14" s="1090"/>
    </row>
    <row r="15" spans="2:17" ht="28.5" customHeight="1" x14ac:dyDescent="0.25">
      <c r="B15" s="602" t="s">
        <v>4421</v>
      </c>
      <c r="C15" s="639"/>
      <c r="D15" s="640" t="s">
        <v>4410</v>
      </c>
      <c r="E15" s="605" t="s">
        <v>4104</v>
      </c>
      <c r="F15" s="606"/>
      <c r="G15" s="1112">
        <f>SUM(I16:I19)</f>
        <v>72624.224999999991</v>
      </c>
      <c r="H15" s="607"/>
      <c r="I15" s="608"/>
      <c r="K15" s="609" t="str">
        <f>+B15</f>
        <v>1.2</v>
      </c>
      <c r="L15" s="610">
        <f>+I17</f>
        <v>3157.5750000000003</v>
      </c>
      <c r="M15" s="610">
        <f>+I16+I19</f>
        <v>66309.074999999997</v>
      </c>
      <c r="N15" s="610"/>
      <c r="O15" s="610">
        <f>+I18</f>
        <v>3157.5750000000003</v>
      </c>
      <c r="P15" s="610">
        <f>SUM(L15:O15)</f>
        <v>72624.224999999991</v>
      </c>
      <c r="Q15" s="1166">
        <f>+Tabla5[[#This Row],[VALOR UNITARIO ]]-P15</f>
        <v>0</v>
      </c>
    </row>
    <row r="16" spans="2:17" ht="17.25" customHeight="1" x14ac:dyDescent="0.25">
      <c r="B16" s="612" t="s">
        <v>15</v>
      </c>
      <c r="C16" s="641" t="s">
        <v>15</v>
      </c>
      <c r="D16" s="642" t="str">
        <f>+MO!B75</f>
        <v>CUADRILLA AA TIPO 2 (1 OFICIAL + 2 AYUDANTE) (Albañileria)</v>
      </c>
      <c r="E16" s="579" t="s">
        <v>4532</v>
      </c>
      <c r="F16" s="580">
        <v>1</v>
      </c>
      <c r="G16" s="581">
        <f>+MO!F75</f>
        <v>42101</v>
      </c>
      <c r="H16" s="582">
        <v>1.5</v>
      </c>
      <c r="I16" s="614">
        <f>(F16*G16*H16)</f>
        <v>63151.5</v>
      </c>
      <c r="K16" s="609"/>
      <c r="L16" s="610"/>
      <c r="M16" s="610"/>
      <c r="N16" s="610"/>
      <c r="O16" s="610"/>
      <c r="P16" s="610"/>
      <c r="Q16" s="1090"/>
    </row>
    <row r="17" spans="2:17" ht="17.25" customHeight="1" x14ac:dyDescent="0.25">
      <c r="B17" s="612" t="s">
        <v>205</v>
      </c>
      <c r="C17" s="613" t="s">
        <v>205</v>
      </c>
      <c r="D17" s="444" t="s">
        <v>4146</v>
      </c>
      <c r="E17" s="579" t="s">
        <v>203</v>
      </c>
      <c r="F17" s="580">
        <v>1</v>
      </c>
      <c r="G17" s="581">
        <f>+I16</f>
        <v>63151.5</v>
      </c>
      <c r="H17" s="582">
        <v>0.05</v>
      </c>
      <c r="I17" s="614">
        <f>(F17*G17*H17)</f>
        <v>3157.5750000000003</v>
      </c>
      <c r="K17" s="615"/>
      <c r="L17" s="610"/>
      <c r="M17" s="610"/>
      <c r="N17" s="610"/>
      <c r="O17" s="610"/>
      <c r="Q17" s="1091"/>
    </row>
    <row r="18" spans="2:17" ht="17.25" customHeight="1" x14ac:dyDescent="0.25">
      <c r="B18" s="612" t="s">
        <v>204</v>
      </c>
      <c r="C18" s="641" t="s">
        <v>204</v>
      </c>
      <c r="D18" s="642" t="s">
        <v>1054</v>
      </c>
      <c r="E18" s="579" t="s">
        <v>203</v>
      </c>
      <c r="F18" s="580">
        <v>1</v>
      </c>
      <c r="G18" s="581">
        <f>+I16</f>
        <v>63151.5</v>
      </c>
      <c r="H18" s="582">
        <v>0.05</v>
      </c>
      <c r="I18" s="614">
        <f t="shared" ref="I18:I19" si="1">(F18*G18*H18)</f>
        <v>3157.5750000000003</v>
      </c>
      <c r="K18" s="609"/>
      <c r="L18" s="610"/>
      <c r="M18" s="610"/>
      <c r="N18" s="610"/>
      <c r="O18" s="610"/>
      <c r="P18" s="610"/>
      <c r="Q18" s="1090"/>
    </row>
    <row r="19" spans="2:17" ht="17.25" customHeight="1" x14ac:dyDescent="0.25">
      <c r="B19" s="612" t="s">
        <v>204</v>
      </c>
      <c r="C19" s="643" t="s">
        <v>204</v>
      </c>
      <c r="D19" s="644" t="s">
        <v>18</v>
      </c>
      <c r="E19" s="617" t="s">
        <v>203</v>
      </c>
      <c r="F19" s="591">
        <v>1</v>
      </c>
      <c r="G19" s="1116">
        <f>+I16</f>
        <v>63151.5</v>
      </c>
      <c r="H19" s="618">
        <v>0.05</v>
      </c>
      <c r="I19" s="619">
        <f t="shared" si="1"/>
        <v>3157.5750000000003</v>
      </c>
      <c r="K19" s="609"/>
      <c r="L19" s="610"/>
      <c r="M19" s="610"/>
      <c r="N19" s="610"/>
      <c r="O19" s="610"/>
      <c r="P19" s="610"/>
      <c r="Q19" s="1090"/>
    </row>
    <row r="20" spans="2:17" ht="15.75" thickBot="1" x14ac:dyDescent="0.3">
      <c r="H20" s="594"/>
      <c r="K20" s="609"/>
      <c r="L20" s="628"/>
      <c r="M20" s="628"/>
      <c r="N20" s="628"/>
      <c r="O20" s="628"/>
      <c r="P20" s="628"/>
      <c r="Q20" s="1090"/>
    </row>
    <row r="21" spans="2:17" ht="40.5" customHeight="1" thickBot="1" x14ac:dyDescent="0.3">
      <c r="B21" s="595" t="s">
        <v>8</v>
      </c>
      <c r="C21" s="645" t="s">
        <v>8</v>
      </c>
      <c r="D21" s="630" t="s">
        <v>9</v>
      </c>
      <c r="E21" s="630" t="s">
        <v>11</v>
      </c>
      <c r="F21" s="630" t="s">
        <v>2</v>
      </c>
      <c r="G21" s="1113" t="s">
        <v>12</v>
      </c>
      <c r="H21" s="630" t="s">
        <v>13</v>
      </c>
      <c r="I21" s="631" t="s">
        <v>14</v>
      </c>
      <c r="K21" s="609"/>
      <c r="L21" s="632"/>
      <c r="M21" s="632"/>
      <c r="N21" s="632"/>
      <c r="O21" s="632"/>
      <c r="P21" s="628"/>
      <c r="Q21" s="1090"/>
    </row>
    <row r="22" spans="2:17" ht="29.25" customHeight="1" x14ac:dyDescent="0.25">
      <c r="B22" s="602" t="s">
        <v>4422</v>
      </c>
      <c r="C22" s="633"/>
      <c r="D22" s="634" t="s">
        <v>4464</v>
      </c>
      <c r="E22" s="635" t="s">
        <v>4104</v>
      </c>
      <c r="F22" s="575"/>
      <c r="G22" s="1114">
        <f>SUM(I23:I26)</f>
        <v>26286.722999999994</v>
      </c>
      <c r="H22" s="636"/>
      <c r="I22" s="637"/>
      <c r="K22" s="609" t="str">
        <f>+B22</f>
        <v>1.3</v>
      </c>
      <c r="L22" s="610">
        <f>+I24</f>
        <v>1768.242</v>
      </c>
      <c r="M22" s="610">
        <f>+I23+I26</f>
        <v>18566.540999999997</v>
      </c>
      <c r="N22" s="610"/>
      <c r="O22" s="610">
        <f>+I25</f>
        <v>5951.94</v>
      </c>
      <c r="P22" s="610">
        <f>SUM(L22:O22)</f>
        <v>26286.722999999994</v>
      </c>
      <c r="Q22" s="1166">
        <f>+Tabla3[[#This Row],[VALOR UNITARIO ]]-P22</f>
        <v>0</v>
      </c>
    </row>
    <row r="23" spans="2:17" x14ac:dyDescent="0.25">
      <c r="B23" s="612" t="s">
        <v>15</v>
      </c>
      <c r="C23" s="613" t="s">
        <v>15</v>
      </c>
      <c r="D23" s="642" t="str">
        <f>+MO!B75</f>
        <v>CUADRILLA AA TIPO 2 (1 OFICIAL + 2 AYUDANTE) (Albañileria)</v>
      </c>
      <c r="E23" s="579" t="s">
        <v>4532</v>
      </c>
      <c r="F23" s="580">
        <v>1</v>
      </c>
      <c r="G23" s="581">
        <f>+MO!F75</f>
        <v>42101</v>
      </c>
      <c r="H23" s="582">
        <v>0.42</v>
      </c>
      <c r="I23" s="614">
        <f>(F23*G23*H23)</f>
        <v>17682.419999999998</v>
      </c>
      <c r="K23" s="609"/>
      <c r="L23" s="628"/>
      <c r="M23" s="628"/>
      <c r="N23" s="628"/>
      <c r="O23" s="628"/>
      <c r="P23" s="628"/>
      <c r="Q23" s="1090"/>
    </row>
    <row r="24" spans="2:17" x14ac:dyDescent="0.25">
      <c r="B24" s="612" t="s">
        <v>205</v>
      </c>
      <c r="C24" s="613" t="s">
        <v>205</v>
      </c>
      <c r="D24" s="444" t="s">
        <v>3981</v>
      </c>
      <c r="E24" s="579" t="s">
        <v>203</v>
      </c>
      <c r="F24" s="580">
        <v>1</v>
      </c>
      <c r="G24" s="581">
        <f>+I23</f>
        <v>17682.419999999998</v>
      </c>
      <c r="H24" s="582">
        <v>0.1</v>
      </c>
      <c r="I24" s="614">
        <f>(F24*G24*H24)</f>
        <v>1768.242</v>
      </c>
      <c r="K24" s="615"/>
      <c r="L24" s="627"/>
      <c r="M24" s="627"/>
      <c r="N24" s="627"/>
      <c r="O24" s="627"/>
      <c r="Q24" s="1091">
        <f>SUM(L24:O24)</f>
        <v>0</v>
      </c>
    </row>
    <row r="25" spans="2:17" x14ac:dyDescent="0.25">
      <c r="B25" s="612" t="s">
        <v>205</v>
      </c>
      <c r="C25" s="613" t="s">
        <v>205</v>
      </c>
      <c r="D25" s="589" t="str">
        <f>+EQUIPOS!B405</f>
        <v>VOLQUETA  6M3 (CARGUE A MANO)</v>
      </c>
      <c r="E25" s="617" t="s">
        <v>4096</v>
      </c>
      <c r="F25" s="591">
        <v>1</v>
      </c>
      <c r="G25" s="1116">
        <f>+EQUIPOS!E408</f>
        <v>198398</v>
      </c>
      <c r="H25" s="618">
        <v>0.03</v>
      </c>
      <c r="I25" s="614">
        <f>(F25*G25*H25)</f>
        <v>5951.94</v>
      </c>
      <c r="K25" s="609"/>
      <c r="L25" s="627"/>
      <c r="M25" s="628"/>
      <c r="N25" s="627"/>
      <c r="O25" s="628"/>
      <c r="P25" s="629"/>
      <c r="Q25" s="1090"/>
    </row>
    <row r="26" spans="2:17" x14ac:dyDescent="0.25">
      <c r="B26" s="612" t="s">
        <v>204</v>
      </c>
      <c r="C26" s="616" t="s">
        <v>204</v>
      </c>
      <c r="D26" s="589" t="s">
        <v>18</v>
      </c>
      <c r="E26" s="617" t="s">
        <v>203</v>
      </c>
      <c r="F26" s="591">
        <v>1</v>
      </c>
      <c r="G26" s="1116">
        <f>+I23</f>
        <v>17682.419999999998</v>
      </c>
      <c r="H26" s="618">
        <v>0.05</v>
      </c>
      <c r="I26" s="619">
        <f>(F26*G26*H26)</f>
        <v>884.12099999999998</v>
      </c>
      <c r="K26" s="609"/>
      <c r="L26" s="628"/>
      <c r="M26" s="628"/>
      <c r="N26" s="628"/>
      <c r="O26" s="628"/>
      <c r="P26" s="628"/>
      <c r="Q26" s="1090"/>
    </row>
    <row r="27" spans="2:17" ht="15.75" thickBot="1" x14ac:dyDescent="0.3">
      <c r="H27" s="594"/>
      <c r="K27" s="609"/>
      <c r="L27" s="628"/>
      <c r="M27" s="628"/>
      <c r="N27" s="628"/>
      <c r="O27" s="628"/>
      <c r="P27" s="628"/>
      <c r="Q27" s="1090"/>
    </row>
    <row r="28" spans="2:17" ht="40.5" customHeight="1" thickBot="1" x14ac:dyDescent="0.3">
      <c r="B28" s="595" t="s">
        <v>8</v>
      </c>
      <c r="C28" s="645" t="s">
        <v>8</v>
      </c>
      <c r="D28" s="630" t="s">
        <v>9</v>
      </c>
      <c r="E28" s="630" t="s">
        <v>11</v>
      </c>
      <c r="F28" s="630" t="s">
        <v>2</v>
      </c>
      <c r="G28" s="1113" t="s">
        <v>12</v>
      </c>
      <c r="H28" s="630" t="s">
        <v>13</v>
      </c>
      <c r="I28" s="631" t="s">
        <v>14</v>
      </c>
      <c r="K28" s="609"/>
      <c r="L28" s="632"/>
      <c r="M28" s="632"/>
      <c r="N28" s="632"/>
      <c r="O28" s="632"/>
      <c r="P28" s="628"/>
      <c r="Q28" s="1090"/>
    </row>
    <row r="29" spans="2:17" ht="29.25" customHeight="1" x14ac:dyDescent="0.25">
      <c r="B29" s="602" t="s">
        <v>4414</v>
      </c>
      <c r="C29" s="633"/>
      <c r="D29" s="634" t="s">
        <v>5120</v>
      </c>
      <c r="E29" s="635" t="s">
        <v>3980</v>
      </c>
      <c r="F29" s="575"/>
      <c r="G29" s="1114">
        <f>SUM(I30:I31)</f>
        <v>43836.031999999992</v>
      </c>
      <c r="H29" s="636"/>
      <c r="I29" s="1068"/>
      <c r="K29" s="609" t="str">
        <f>+B29</f>
        <v>2.1</v>
      </c>
      <c r="L29" s="610">
        <f>+I31</f>
        <v>1324.232</v>
      </c>
      <c r="M29" s="610">
        <f>+I30</f>
        <v>42511.799999999996</v>
      </c>
      <c r="N29" s="610"/>
      <c r="O29" s="610">
        <f>+I32</f>
        <v>0</v>
      </c>
      <c r="P29" s="610">
        <f>SUM(L29:O29)</f>
        <v>43836.031999999992</v>
      </c>
      <c r="Q29" s="1166">
        <f>+G29-P29</f>
        <v>0</v>
      </c>
    </row>
    <row r="30" spans="2:17" x14ac:dyDescent="0.25">
      <c r="B30" s="612" t="s">
        <v>15</v>
      </c>
      <c r="C30" s="613" t="s">
        <v>15</v>
      </c>
      <c r="D30" s="444" t="s">
        <v>5119</v>
      </c>
      <c r="E30" s="579" t="str">
        <f>+E16</f>
        <v>HR</v>
      </c>
      <c r="F30" s="580">
        <v>0.6</v>
      </c>
      <c r="G30" s="581">
        <v>70853</v>
      </c>
      <c r="H30" s="582">
        <v>1</v>
      </c>
      <c r="I30" s="1069">
        <f>(F30*G30*H30)</f>
        <v>42511.799999999996</v>
      </c>
      <c r="K30" s="609"/>
      <c r="L30" s="628"/>
      <c r="M30" s="628"/>
      <c r="N30" s="628"/>
      <c r="O30" s="628"/>
      <c r="P30" s="628"/>
      <c r="Q30" s="1090"/>
    </row>
    <row r="31" spans="2:17" x14ac:dyDescent="0.25">
      <c r="B31" s="612" t="s">
        <v>205</v>
      </c>
      <c r="C31" s="613" t="s">
        <v>205</v>
      </c>
      <c r="D31" s="444" t="s">
        <v>3981</v>
      </c>
      <c r="E31" s="579" t="s">
        <v>203</v>
      </c>
      <c r="F31" s="580">
        <v>0.4</v>
      </c>
      <c r="G31" s="581">
        <v>3310.58</v>
      </c>
      <c r="H31" s="582">
        <v>1</v>
      </c>
      <c r="I31" s="1069">
        <f>(F31*G31*H31)</f>
        <v>1324.232</v>
      </c>
      <c r="K31" s="615"/>
      <c r="L31" s="627"/>
      <c r="M31" s="627"/>
      <c r="N31" s="627"/>
      <c r="O31" s="627"/>
      <c r="Q31" s="1091">
        <f>SUM(L31:O31)</f>
        <v>0</v>
      </c>
    </row>
    <row r="32" spans="2:17" ht="15.75" thickBot="1" x14ac:dyDescent="0.3">
      <c r="B32" s="620"/>
      <c r="C32" s="620"/>
      <c r="D32" s="621"/>
      <c r="E32" s="622"/>
      <c r="F32" s="623"/>
      <c r="G32" s="624"/>
      <c r="H32" s="625"/>
      <c r="I32" s="626"/>
      <c r="K32" s="609"/>
      <c r="L32" s="627"/>
      <c r="M32" s="627"/>
      <c r="N32" s="627"/>
      <c r="O32" s="627"/>
      <c r="P32" s="627"/>
      <c r="Q32" s="1090"/>
    </row>
    <row r="33" spans="2:17" ht="40.5" customHeight="1" thickBot="1" x14ac:dyDescent="0.3">
      <c r="B33" s="595" t="s">
        <v>8</v>
      </c>
      <c r="C33" s="645" t="s">
        <v>8</v>
      </c>
      <c r="D33" s="630" t="s">
        <v>9</v>
      </c>
      <c r="E33" s="630" t="s">
        <v>11</v>
      </c>
      <c r="F33" s="630" t="s">
        <v>2</v>
      </c>
      <c r="G33" s="1113" t="s">
        <v>12</v>
      </c>
      <c r="H33" s="630" t="s">
        <v>13</v>
      </c>
      <c r="I33" s="631" t="s">
        <v>14</v>
      </c>
      <c r="K33" s="609"/>
      <c r="L33" s="632"/>
      <c r="M33" s="632"/>
      <c r="N33" s="632"/>
      <c r="O33" s="632"/>
      <c r="P33" s="628"/>
      <c r="Q33" s="1090"/>
    </row>
    <row r="34" spans="2:17" ht="29.25" customHeight="1" x14ac:dyDescent="0.25">
      <c r="B34" s="602" t="s">
        <v>5130</v>
      </c>
      <c r="C34" s="633"/>
      <c r="D34" s="634" t="s">
        <v>5131</v>
      </c>
      <c r="E34" s="635" t="s">
        <v>3980</v>
      </c>
      <c r="F34" s="575"/>
      <c r="G34" s="1114">
        <f>SUM(I35:I36)</f>
        <v>46267.831999999995</v>
      </c>
      <c r="H34" s="636"/>
      <c r="I34" s="1068"/>
      <c r="K34" s="609" t="str">
        <f>+B34</f>
        <v>2.4</v>
      </c>
      <c r="L34" s="610">
        <f>+I36</f>
        <v>1324.232</v>
      </c>
      <c r="M34" s="610">
        <f>+I35</f>
        <v>44943.6</v>
      </c>
      <c r="N34" s="610"/>
      <c r="O34" s="610">
        <f>+I37</f>
        <v>0</v>
      </c>
      <c r="P34" s="610">
        <f>SUM(L34:O34)</f>
        <v>46267.831999999995</v>
      </c>
      <c r="Q34" s="1166">
        <f>+G34-P34</f>
        <v>0</v>
      </c>
    </row>
    <row r="35" spans="2:17" x14ac:dyDescent="0.25">
      <c r="B35" s="612" t="s">
        <v>15</v>
      </c>
      <c r="C35" s="613" t="s">
        <v>15</v>
      </c>
      <c r="D35" s="444" t="s">
        <v>5119</v>
      </c>
      <c r="E35" s="579" t="str">
        <f>+E21</f>
        <v>UNIDAD</v>
      </c>
      <c r="F35" s="580">
        <v>0.6</v>
      </c>
      <c r="G35" s="581">
        <f>+MO!F96</f>
        <v>74906</v>
      </c>
      <c r="H35" s="582">
        <v>1</v>
      </c>
      <c r="I35" s="1069">
        <f>(F35*G35*H35)</f>
        <v>44943.6</v>
      </c>
      <c r="K35" s="609"/>
      <c r="L35" s="628"/>
      <c r="M35" s="628"/>
      <c r="N35" s="628"/>
      <c r="O35" s="628"/>
      <c r="P35" s="628"/>
      <c r="Q35" s="1090"/>
    </row>
    <row r="36" spans="2:17" x14ac:dyDescent="0.25">
      <c r="B36" s="612" t="s">
        <v>205</v>
      </c>
      <c r="C36" s="613" t="s">
        <v>205</v>
      </c>
      <c r="D36" s="444" t="s">
        <v>3981</v>
      </c>
      <c r="E36" s="579" t="s">
        <v>203</v>
      </c>
      <c r="F36" s="580">
        <v>0.4</v>
      </c>
      <c r="G36" s="581">
        <v>3310.58</v>
      </c>
      <c r="H36" s="582">
        <v>1</v>
      </c>
      <c r="I36" s="1069">
        <f>(F36*G36*H36)</f>
        <v>1324.232</v>
      </c>
      <c r="K36" s="615"/>
      <c r="L36" s="627"/>
      <c r="M36" s="627"/>
      <c r="N36" s="627"/>
      <c r="O36" s="627"/>
      <c r="Q36" s="1091">
        <f>SUM(L36:O36)</f>
        <v>0</v>
      </c>
    </row>
    <row r="37" spans="2:17" x14ac:dyDescent="0.25">
      <c r="B37" s="620"/>
      <c r="C37" s="620"/>
      <c r="D37" s="621"/>
      <c r="E37" s="622"/>
      <c r="F37" s="623"/>
      <c r="G37" s="624"/>
      <c r="H37" s="625"/>
      <c r="I37" s="626"/>
      <c r="K37" s="609"/>
      <c r="L37" s="627"/>
      <c r="M37" s="627"/>
      <c r="N37" s="627"/>
      <c r="O37" s="627"/>
      <c r="P37" s="627"/>
      <c r="Q37" s="1090"/>
    </row>
    <row r="38" spans="2:17" x14ac:dyDescent="0.25">
      <c r="B38" s="620"/>
      <c r="C38" s="620"/>
      <c r="D38" s="621"/>
      <c r="E38" s="622"/>
      <c r="F38" s="623"/>
      <c r="G38" s="624"/>
      <c r="H38" s="625"/>
      <c r="I38" s="626"/>
      <c r="K38" s="609"/>
      <c r="L38" s="627"/>
      <c r="M38" s="627"/>
      <c r="N38" s="627"/>
      <c r="O38" s="627"/>
      <c r="P38" s="627"/>
      <c r="Q38" s="1090"/>
    </row>
    <row r="39" spans="2:17" ht="24.75" thickBot="1" x14ac:dyDescent="0.3">
      <c r="B39" s="638" t="s">
        <v>8</v>
      </c>
      <c r="C39" s="596" t="s">
        <v>8</v>
      </c>
      <c r="D39" s="597" t="s">
        <v>9</v>
      </c>
      <c r="E39" s="597" t="s">
        <v>11</v>
      </c>
      <c r="F39" s="597" t="s">
        <v>2</v>
      </c>
      <c r="G39" s="1111" t="s">
        <v>12</v>
      </c>
      <c r="H39" s="597" t="s">
        <v>13</v>
      </c>
      <c r="I39" s="598" t="s">
        <v>14</v>
      </c>
      <c r="K39" s="609"/>
      <c r="L39" s="610"/>
      <c r="M39" s="610"/>
      <c r="N39" s="610"/>
      <c r="O39" s="610"/>
      <c r="P39" s="610"/>
      <c r="Q39" s="1090"/>
    </row>
    <row r="40" spans="2:17" ht="36" x14ac:dyDescent="0.25">
      <c r="B40" s="602" t="s">
        <v>4423</v>
      </c>
      <c r="C40" s="603"/>
      <c r="D40" s="604" t="s">
        <v>4097</v>
      </c>
      <c r="E40" s="605" t="s">
        <v>3980</v>
      </c>
      <c r="F40" s="606"/>
      <c r="G40" s="1112">
        <f>SUM(I41:I46)</f>
        <v>363062.33801825001</v>
      </c>
      <c r="H40" s="607"/>
      <c r="I40" s="608"/>
      <c r="K40" s="609" t="str">
        <f>+B40</f>
        <v>3.1</v>
      </c>
      <c r="L40" s="610">
        <f>+I44</f>
        <v>3198.55</v>
      </c>
      <c r="M40" s="610">
        <f>+I41+I46</f>
        <v>67169.55</v>
      </c>
      <c r="N40" s="610">
        <f>SUM(I42:I43)</f>
        <v>289495.68801825005</v>
      </c>
      <c r="O40" s="610">
        <f>+I45</f>
        <v>3198.55</v>
      </c>
      <c r="P40" s="610">
        <f>SUM(L40:O40)</f>
        <v>363062.33801825001</v>
      </c>
      <c r="Q40" s="1090">
        <f>+Tabla6[[#This Row],[VALOR UNITARIO ]]-P40</f>
        <v>0</v>
      </c>
    </row>
    <row r="41" spans="2:17" x14ac:dyDescent="0.25">
      <c r="B41" s="612" t="s">
        <v>15</v>
      </c>
      <c r="C41" s="613" t="s">
        <v>15</v>
      </c>
      <c r="D41" s="444" t="str">
        <f>+MO!B89</f>
        <v>CUADRILLA AA TIPO 4 (1 OFICIAL + 4 AYUDANTE) (Albañileria)</v>
      </c>
      <c r="E41" s="579" t="str">
        <f>+E189</f>
        <v>hr</v>
      </c>
      <c r="F41" s="580">
        <v>1</v>
      </c>
      <c r="G41" s="581">
        <f>+MO!H89</f>
        <v>511768</v>
      </c>
      <c r="H41" s="582">
        <f>(60/480)</f>
        <v>0.125</v>
      </c>
      <c r="I41" s="614">
        <f>(F41*G41*H41)</f>
        <v>63971</v>
      </c>
      <c r="K41" s="609"/>
      <c r="L41" s="610"/>
      <c r="M41" s="610"/>
      <c r="N41" s="610"/>
      <c r="O41" s="610"/>
      <c r="P41" s="610"/>
      <c r="Q41" s="1090"/>
    </row>
    <row r="42" spans="2:17" x14ac:dyDescent="0.25">
      <c r="B42" s="612" t="s">
        <v>4083</v>
      </c>
      <c r="C42" s="613" t="s">
        <v>4083</v>
      </c>
      <c r="D42" s="444" t="s">
        <v>4093</v>
      </c>
      <c r="E42" s="579" t="str">
        <f>+E190</f>
        <v>M3</v>
      </c>
      <c r="F42" s="580">
        <v>0.61799999999999999</v>
      </c>
      <c r="G42" s="581">
        <f>+G190</f>
        <v>393249.64250000002</v>
      </c>
      <c r="H42" s="582">
        <v>1.05</v>
      </c>
      <c r="I42" s="614">
        <f t="shared" ref="I42:I46" si="2">(F42*G42*H42)</f>
        <v>255179.69301825002</v>
      </c>
      <c r="K42" s="609"/>
      <c r="Q42" s="1090"/>
    </row>
    <row r="43" spans="2:17" x14ac:dyDescent="0.25">
      <c r="B43" s="612" t="s">
        <v>4083</v>
      </c>
      <c r="C43" s="613" t="s">
        <v>4083</v>
      </c>
      <c r="D43" s="444" t="str">
        <f>+INSUMOS!B89</f>
        <v>PIEDRA MEDIA ZONGA</v>
      </c>
      <c r="E43" s="579" t="str">
        <f>+INSUMOS!D89</f>
        <v>M3</v>
      </c>
      <c r="F43" s="580">
        <v>0.41199999999999998</v>
      </c>
      <c r="G43" s="581">
        <f>+INSUMOS!E89</f>
        <v>79325</v>
      </c>
      <c r="H43" s="582">
        <v>1.05</v>
      </c>
      <c r="I43" s="614">
        <f t="shared" si="2"/>
        <v>34315.995000000003</v>
      </c>
      <c r="K43" s="615"/>
      <c r="L43" s="610"/>
      <c r="M43" s="610"/>
      <c r="N43" s="610"/>
      <c r="O43" s="610"/>
      <c r="Q43" s="1091"/>
    </row>
    <row r="44" spans="2:17" x14ac:dyDescent="0.25">
      <c r="B44" s="612" t="s">
        <v>205</v>
      </c>
      <c r="C44" s="613" t="s">
        <v>205</v>
      </c>
      <c r="D44" s="444" t="s">
        <v>4146</v>
      </c>
      <c r="E44" s="579" t="s">
        <v>203</v>
      </c>
      <c r="F44" s="580">
        <v>1</v>
      </c>
      <c r="G44" s="581">
        <f>+I41</f>
        <v>63971</v>
      </c>
      <c r="H44" s="582">
        <v>0.05</v>
      </c>
      <c r="I44" s="614">
        <f t="shared" si="2"/>
        <v>3198.55</v>
      </c>
      <c r="K44" s="609"/>
      <c r="L44" s="610"/>
      <c r="M44" s="610"/>
      <c r="N44" s="610"/>
      <c r="O44" s="610"/>
      <c r="P44" s="610"/>
      <c r="Q44" s="1090"/>
    </row>
    <row r="45" spans="2:17" x14ac:dyDescent="0.25">
      <c r="B45" s="612" t="s">
        <v>204</v>
      </c>
      <c r="C45" s="613" t="s">
        <v>204</v>
      </c>
      <c r="D45" s="444" t="s">
        <v>1054</v>
      </c>
      <c r="E45" s="579" t="s">
        <v>203</v>
      </c>
      <c r="F45" s="580">
        <v>1</v>
      </c>
      <c r="G45" s="581">
        <f>+I41</f>
        <v>63971</v>
      </c>
      <c r="H45" s="582">
        <v>0.05</v>
      </c>
      <c r="I45" s="614">
        <f t="shared" si="2"/>
        <v>3198.55</v>
      </c>
      <c r="K45" s="609"/>
      <c r="L45" s="610"/>
      <c r="M45" s="610"/>
      <c r="N45" s="610"/>
      <c r="O45" s="610"/>
      <c r="P45" s="610"/>
      <c r="Q45" s="1090"/>
    </row>
    <row r="46" spans="2:17" x14ac:dyDescent="0.25">
      <c r="B46" s="612" t="s">
        <v>204</v>
      </c>
      <c r="C46" s="616" t="s">
        <v>204</v>
      </c>
      <c r="D46" s="589" t="s">
        <v>18</v>
      </c>
      <c r="E46" s="617" t="s">
        <v>203</v>
      </c>
      <c r="F46" s="591">
        <v>1</v>
      </c>
      <c r="G46" s="1116">
        <f>+I41</f>
        <v>63971</v>
      </c>
      <c r="H46" s="618">
        <v>0.05</v>
      </c>
      <c r="I46" s="619">
        <f t="shared" si="2"/>
        <v>3198.55</v>
      </c>
      <c r="K46" s="609"/>
      <c r="L46" s="610"/>
      <c r="M46" s="610"/>
      <c r="N46" s="610"/>
      <c r="O46" s="610"/>
      <c r="P46" s="610"/>
      <c r="Q46" s="1090"/>
    </row>
    <row r="47" spans="2:17" x14ac:dyDescent="0.25">
      <c r="B47" s="620"/>
      <c r="C47" s="620"/>
      <c r="D47" s="621"/>
      <c r="E47" s="622"/>
      <c r="F47" s="623"/>
      <c r="G47" s="624"/>
      <c r="H47" s="625"/>
      <c r="I47" s="626"/>
      <c r="K47" s="609"/>
      <c r="L47" s="610"/>
      <c r="M47" s="610"/>
      <c r="N47" s="610"/>
      <c r="O47" s="610"/>
      <c r="P47" s="610"/>
      <c r="Q47" s="1090"/>
    </row>
    <row r="48" spans="2:17" ht="24.75" thickBot="1" x14ac:dyDescent="0.3">
      <c r="B48" s="638" t="s">
        <v>8</v>
      </c>
      <c r="C48" s="596" t="s">
        <v>8</v>
      </c>
      <c r="D48" s="597" t="s">
        <v>9</v>
      </c>
      <c r="E48" s="597" t="s">
        <v>11</v>
      </c>
      <c r="F48" s="597" t="s">
        <v>2</v>
      </c>
      <c r="G48" s="1111" t="s">
        <v>12</v>
      </c>
      <c r="H48" s="597" t="s">
        <v>13</v>
      </c>
      <c r="I48" s="598" t="s">
        <v>14</v>
      </c>
      <c r="K48" s="609"/>
      <c r="L48" s="610"/>
      <c r="M48" s="610"/>
      <c r="N48" s="610"/>
      <c r="O48" s="610"/>
      <c r="P48" s="610"/>
      <c r="Q48" s="1090"/>
    </row>
    <row r="49" spans="2:17" ht="36" x14ac:dyDescent="0.25">
      <c r="B49" s="602" t="s">
        <v>4424</v>
      </c>
      <c r="C49" s="633"/>
      <c r="D49" s="604" t="s">
        <v>4103</v>
      </c>
      <c r="E49" s="635" t="s">
        <v>1027</v>
      </c>
      <c r="F49" s="575"/>
      <c r="G49" s="1114">
        <f>SUM(I50:I60)</f>
        <v>174939.23690691663</v>
      </c>
      <c r="H49" s="636"/>
      <c r="I49" s="637"/>
      <c r="K49" s="609" t="str">
        <f>+B49</f>
        <v>3.2</v>
      </c>
      <c r="L49" s="610">
        <f>+I57+I58</f>
        <v>65869.933333333334</v>
      </c>
      <c r="M49" s="610">
        <f>+I50+I60</f>
        <v>14735.349999999999</v>
      </c>
      <c r="N49" s="610">
        <f>SUM(I51:I56)</f>
        <v>93632.27024025</v>
      </c>
      <c r="O49" s="610">
        <f>+I59</f>
        <v>701.68333333333339</v>
      </c>
      <c r="P49" s="610">
        <f>SUM(L49:O49)</f>
        <v>174939.23690691663</v>
      </c>
      <c r="Q49" s="1090">
        <f>+Tabla8[[#This Row],[VALOR UNITARIO ]]-P49</f>
        <v>0</v>
      </c>
    </row>
    <row r="50" spans="2:17" x14ac:dyDescent="0.25">
      <c r="B50" s="612" t="s">
        <v>15</v>
      </c>
      <c r="C50" s="613" t="s">
        <v>15</v>
      </c>
      <c r="D50" s="444" t="str">
        <f>+MO!B75</f>
        <v>CUADRILLA AA TIPO 2 (1 OFICIAL + 2 AYUDANTE) (Albañileria)</v>
      </c>
      <c r="E50" s="579" t="str">
        <f>+E41</f>
        <v>hr</v>
      </c>
      <c r="F50" s="580">
        <v>1</v>
      </c>
      <c r="G50" s="581">
        <f>+MO!H75</f>
        <v>336808</v>
      </c>
      <c r="H50" s="582">
        <f>(20/480)</f>
        <v>4.1666666666666664E-2</v>
      </c>
      <c r="I50" s="614">
        <f t="shared" ref="I50:I60" si="3">(F50*G50*H50)</f>
        <v>14033.666666666666</v>
      </c>
      <c r="K50" s="609"/>
      <c r="L50" s="610"/>
      <c r="M50" s="610"/>
      <c r="N50" s="610"/>
      <c r="O50" s="610"/>
      <c r="P50" s="610"/>
      <c r="Q50" s="1090"/>
    </row>
    <row r="51" spans="2:17" x14ac:dyDescent="0.25">
      <c r="B51" s="612" t="s">
        <v>4083</v>
      </c>
      <c r="C51" s="613" t="s">
        <v>4083</v>
      </c>
      <c r="D51" s="444" t="s">
        <v>4093</v>
      </c>
      <c r="E51" s="579" t="str">
        <f>+E42</f>
        <v>M3</v>
      </c>
      <c r="F51" s="580">
        <v>2.5999999999999999E-2</v>
      </c>
      <c r="G51" s="581">
        <f>+'SUB ANALISIS CONCRETO'!I25</f>
        <v>393249.64250000002</v>
      </c>
      <c r="H51" s="582">
        <v>1.05</v>
      </c>
      <c r="I51" s="614">
        <f t="shared" si="3"/>
        <v>10735.715240250001</v>
      </c>
      <c r="K51" s="609"/>
      <c r="L51" s="610"/>
      <c r="M51" s="610"/>
      <c r="N51" s="610"/>
      <c r="O51" s="610"/>
      <c r="P51" s="610"/>
      <c r="Q51" s="1090"/>
    </row>
    <row r="52" spans="2:17" x14ac:dyDescent="0.25">
      <c r="B52" s="612" t="s">
        <v>4083</v>
      </c>
      <c r="C52" s="613" t="s">
        <v>4083</v>
      </c>
      <c r="D52" s="444" t="str">
        <f>+D191</f>
        <v>TABLA BURRA 30 CM * 2.5 CM * 3 M</v>
      </c>
      <c r="E52" s="579" t="str">
        <f>+E206</f>
        <v>UNIDAD</v>
      </c>
      <c r="F52" s="580">
        <v>1</v>
      </c>
      <c r="G52" s="581">
        <f>+G206</f>
        <v>17100</v>
      </c>
      <c r="H52" s="582">
        <v>1.05</v>
      </c>
      <c r="I52" s="614">
        <f t="shared" si="3"/>
        <v>17955</v>
      </c>
      <c r="K52" s="615"/>
      <c r="L52" s="610"/>
      <c r="M52" s="610"/>
      <c r="N52" s="610"/>
      <c r="O52" s="610"/>
      <c r="Q52" s="1091"/>
    </row>
    <row r="53" spans="2:17" x14ac:dyDescent="0.25">
      <c r="B53" s="612" t="s">
        <v>4083</v>
      </c>
      <c r="C53" s="613" t="s">
        <v>4083</v>
      </c>
      <c r="D53" s="444" t="str">
        <f>+INSUMOS!B13</f>
        <v>LISTON 2*4"</v>
      </c>
      <c r="E53" s="579" t="str">
        <f>+INSUMOS!D13</f>
        <v>UNIDAD</v>
      </c>
      <c r="F53" s="580">
        <v>3</v>
      </c>
      <c r="G53" s="581">
        <f>+INSUMOS!E13</f>
        <v>4484</v>
      </c>
      <c r="H53" s="582">
        <v>1.05</v>
      </c>
      <c r="I53" s="614">
        <f t="shared" si="3"/>
        <v>14124.6</v>
      </c>
      <c r="K53" s="609"/>
      <c r="L53" s="610"/>
      <c r="M53" s="610"/>
      <c r="N53" s="610"/>
      <c r="O53" s="610"/>
      <c r="P53" s="610"/>
      <c r="Q53" s="1090"/>
    </row>
    <row r="54" spans="2:17" x14ac:dyDescent="0.25">
      <c r="B54" s="612" t="s">
        <v>4083</v>
      </c>
      <c r="C54" s="613" t="s">
        <v>4083</v>
      </c>
      <c r="D54" s="444" t="str">
        <f>+D208</f>
        <v>PUNTILLA CON CABEZA 2"</v>
      </c>
      <c r="E54" s="579" t="str">
        <f>+E208</f>
        <v>LIBRA</v>
      </c>
      <c r="F54" s="580">
        <v>0.3</v>
      </c>
      <c r="G54" s="581">
        <f>+G208</f>
        <v>4956</v>
      </c>
      <c r="H54" s="582">
        <v>1.05</v>
      </c>
      <c r="I54" s="614">
        <f t="shared" si="3"/>
        <v>1561.14</v>
      </c>
      <c r="K54" s="609"/>
      <c r="L54" s="610"/>
      <c r="M54" s="610"/>
      <c r="N54" s="610"/>
      <c r="O54" s="610"/>
      <c r="P54" s="610"/>
      <c r="Q54" s="1090"/>
    </row>
    <row r="55" spans="2:17" x14ac:dyDescent="0.25">
      <c r="B55" s="612" t="s">
        <v>4083</v>
      </c>
      <c r="C55" s="613" t="s">
        <v>4083</v>
      </c>
      <c r="D55" s="444" t="str">
        <f>+INSUMOS!B90</f>
        <v>ACERO DE REFUERZO DE 60000 PSI</v>
      </c>
      <c r="E55" s="579" t="str">
        <f>+INSUMOS!D90</f>
        <v>KG</v>
      </c>
      <c r="F55" s="580">
        <v>10</v>
      </c>
      <c r="G55" s="581">
        <f>+INSUMOS!E90</f>
        <v>4581</v>
      </c>
      <c r="H55" s="582">
        <v>1.05</v>
      </c>
      <c r="I55" s="614">
        <f t="shared" si="3"/>
        <v>48100.5</v>
      </c>
      <c r="K55" s="609"/>
      <c r="L55" s="610"/>
      <c r="M55" s="610"/>
      <c r="N55" s="610"/>
      <c r="O55" s="610"/>
      <c r="P55" s="610"/>
      <c r="Q55" s="1090"/>
    </row>
    <row r="56" spans="2:17" x14ac:dyDescent="0.25">
      <c r="B56" s="612" t="s">
        <v>4083</v>
      </c>
      <c r="C56" s="613" t="s">
        <v>4083</v>
      </c>
      <c r="D56" s="444" t="str">
        <f>+INSUMOS!B18</f>
        <v>ALAMBRE NEGRO NO. 18</v>
      </c>
      <c r="E56" s="579" t="str">
        <f>+INSUMOS!D18</f>
        <v>KG</v>
      </c>
      <c r="F56" s="580">
        <v>0.1</v>
      </c>
      <c r="G56" s="581">
        <f>+INSUMOS!E18</f>
        <v>11003</v>
      </c>
      <c r="H56" s="582">
        <v>1.05</v>
      </c>
      <c r="I56" s="614">
        <f t="shared" si="3"/>
        <v>1155.3150000000001</v>
      </c>
      <c r="K56" s="609"/>
      <c r="L56" s="610"/>
      <c r="M56" s="610"/>
      <c r="N56" s="610"/>
      <c r="O56" s="610"/>
      <c r="P56" s="610"/>
      <c r="Q56" s="1090"/>
    </row>
    <row r="57" spans="2:17" x14ac:dyDescent="0.25">
      <c r="B57" s="612" t="s">
        <v>205</v>
      </c>
      <c r="C57" s="613" t="s">
        <v>205</v>
      </c>
      <c r="D57" s="444" t="str">
        <f>+EQUIPOS!B402</f>
        <v>VIBRADOR A GASOLINA</v>
      </c>
      <c r="E57" s="579" t="str">
        <f>+EQUIPOS!D402</f>
        <v>DÍA</v>
      </c>
      <c r="F57" s="580">
        <v>1</v>
      </c>
      <c r="G57" s="581">
        <f>+EQUIPOS!E402</f>
        <v>62065</v>
      </c>
      <c r="H57" s="582">
        <v>1.05</v>
      </c>
      <c r="I57" s="614">
        <f t="shared" si="3"/>
        <v>65168.25</v>
      </c>
      <c r="K57" s="609"/>
      <c r="L57" s="610"/>
      <c r="M57" s="610"/>
      <c r="N57" s="610"/>
      <c r="O57" s="610"/>
      <c r="P57" s="610"/>
      <c r="Q57" s="1090"/>
    </row>
    <row r="58" spans="2:17" x14ac:dyDescent="0.25">
      <c r="B58" s="612" t="s">
        <v>205</v>
      </c>
      <c r="C58" s="613" t="s">
        <v>205</v>
      </c>
      <c r="D58" s="444" t="s">
        <v>4146</v>
      </c>
      <c r="E58" s="579" t="s">
        <v>203</v>
      </c>
      <c r="F58" s="580">
        <v>1</v>
      </c>
      <c r="G58" s="581">
        <f>+I50</f>
        <v>14033.666666666666</v>
      </c>
      <c r="H58" s="582">
        <v>0.05</v>
      </c>
      <c r="I58" s="614">
        <f t="shared" si="3"/>
        <v>701.68333333333339</v>
      </c>
      <c r="K58" s="609"/>
      <c r="L58" s="610"/>
      <c r="M58" s="610"/>
      <c r="N58" s="610"/>
      <c r="O58" s="610"/>
      <c r="P58" s="610"/>
      <c r="Q58" s="1090"/>
    </row>
    <row r="59" spans="2:17" x14ac:dyDescent="0.25">
      <c r="B59" s="612" t="s">
        <v>204</v>
      </c>
      <c r="C59" s="613" t="s">
        <v>204</v>
      </c>
      <c r="D59" s="444" t="s">
        <v>1054</v>
      </c>
      <c r="E59" s="579" t="s">
        <v>203</v>
      </c>
      <c r="F59" s="580">
        <v>1</v>
      </c>
      <c r="G59" s="581">
        <f>+I50</f>
        <v>14033.666666666666</v>
      </c>
      <c r="H59" s="582">
        <v>0.05</v>
      </c>
      <c r="I59" s="614">
        <f t="shared" si="3"/>
        <v>701.68333333333339</v>
      </c>
      <c r="K59" s="609"/>
      <c r="L59" s="610"/>
      <c r="M59" s="610"/>
      <c r="N59" s="610"/>
      <c r="O59" s="610"/>
      <c r="P59" s="610"/>
      <c r="Q59" s="1090"/>
    </row>
    <row r="60" spans="2:17" x14ac:dyDescent="0.25">
      <c r="B60" s="612" t="s">
        <v>204</v>
      </c>
      <c r="C60" s="616" t="s">
        <v>204</v>
      </c>
      <c r="D60" s="589" t="s">
        <v>18</v>
      </c>
      <c r="E60" s="617" t="s">
        <v>203</v>
      </c>
      <c r="F60" s="591">
        <v>1</v>
      </c>
      <c r="G60" s="1116">
        <f>+I50</f>
        <v>14033.666666666666</v>
      </c>
      <c r="H60" s="618">
        <v>0.05</v>
      </c>
      <c r="I60" s="619">
        <f t="shared" si="3"/>
        <v>701.68333333333339</v>
      </c>
      <c r="K60" s="609"/>
      <c r="L60" s="610"/>
      <c r="M60" s="610"/>
      <c r="N60" s="610"/>
      <c r="O60" s="610"/>
      <c r="P60" s="610"/>
      <c r="Q60" s="1090"/>
    </row>
    <row r="61" spans="2:17" x14ac:dyDescent="0.25">
      <c r="B61" s="620"/>
      <c r="C61" s="620"/>
      <c r="D61" s="621"/>
      <c r="E61" s="622"/>
      <c r="F61" s="623"/>
      <c r="G61" s="624"/>
      <c r="H61" s="625"/>
      <c r="I61" s="626"/>
      <c r="K61" s="609"/>
      <c r="L61" s="627"/>
      <c r="M61" s="627"/>
      <c r="N61" s="627"/>
      <c r="O61" s="627"/>
      <c r="P61" s="627"/>
      <c r="Q61" s="1090"/>
    </row>
    <row r="62" spans="2:17" ht="24.75" thickBot="1" x14ac:dyDescent="0.3">
      <c r="B62" s="638" t="s">
        <v>8</v>
      </c>
      <c r="C62" s="569" t="s">
        <v>8</v>
      </c>
      <c r="D62" s="570" t="s">
        <v>9</v>
      </c>
      <c r="E62" s="570" t="s">
        <v>11</v>
      </c>
      <c r="F62" s="570" t="s">
        <v>2</v>
      </c>
      <c r="G62" s="1117" t="s">
        <v>3987</v>
      </c>
      <c r="H62" s="570" t="s">
        <v>4101</v>
      </c>
      <c r="I62" s="571" t="s">
        <v>14</v>
      </c>
      <c r="K62" s="609"/>
      <c r="L62" s="610"/>
      <c r="M62" s="610"/>
      <c r="N62" s="610"/>
      <c r="O62" s="610"/>
      <c r="P62" s="610"/>
      <c r="Q62" s="1090"/>
    </row>
    <row r="63" spans="2:17" ht="48" x14ac:dyDescent="0.25">
      <c r="B63" s="646" t="s">
        <v>5103</v>
      </c>
      <c r="C63" s="572"/>
      <c r="D63" s="573" t="s">
        <v>4483</v>
      </c>
      <c r="E63" s="574" t="s">
        <v>4104</v>
      </c>
      <c r="F63" s="575"/>
      <c r="G63" s="1118">
        <f>SUM(I64:I72)</f>
        <v>140236.19969375001</v>
      </c>
      <c r="H63" s="576"/>
      <c r="I63" s="577"/>
      <c r="K63" s="609" t="str">
        <f>+B63</f>
        <v>5.1</v>
      </c>
      <c r="L63" s="610">
        <f>+I70</f>
        <v>165.5</v>
      </c>
      <c r="M63" s="610">
        <f>+I64+I72</f>
        <v>54079.83</v>
      </c>
      <c r="N63" s="610">
        <f>SUM(I65:I69)</f>
        <v>83415.63969375001</v>
      </c>
      <c r="O63" s="610">
        <f>+I71</f>
        <v>2575.23</v>
      </c>
      <c r="P63" s="610">
        <f>SUM(L63:O63)</f>
        <v>140236.19969375004</v>
      </c>
      <c r="Q63" s="1090">
        <f>+Tabla9[[#This Row],[VALOR UNITARIO]]-P63</f>
        <v>0</v>
      </c>
    </row>
    <row r="64" spans="2:17" x14ac:dyDescent="0.25">
      <c r="B64" s="647" t="s">
        <v>15</v>
      </c>
      <c r="C64" s="578" t="s">
        <v>15</v>
      </c>
      <c r="D64" s="444" t="str">
        <f>+MO!B103</f>
        <v>CUADRILLA AA TIPO 6 (1 OFICIAL + 6 AYUDANTE) (Albañileria)</v>
      </c>
      <c r="E64" s="579" t="s">
        <v>4532</v>
      </c>
      <c r="F64" s="580">
        <v>0.6</v>
      </c>
      <c r="G64" s="581">
        <f>+MO!F103</f>
        <v>85841</v>
      </c>
      <c r="H64" s="582">
        <v>1</v>
      </c>
      <c r="I64" s="583">
        <f>(F64*G64*H64)</f>
        <v>51504.6</v>
      </c>
      <c r="K64" s="609"/>
      <c r="L64" s="610"/>
      <c r="M64" s="610"/>
      <c r="N64" s="610"/>
      <c r="O64" s="610"/>
      <c r="P64" s="610"/>
      <c r="Q64" s="1090"/>
    </row>
    <row r="65" spans="2:17" x14ac:dyDescent="0.25">
      <c r="B65" s="648" t="s">
        <v>4083</v>
      </c>
      <c r="C65" s="584" t="s">
        <v>4083</v>
      </c>
      <c r="D65" s="444" t="str">
        <f t="shared" ref="D65:E67" si="4">+D217</f>
        <v>TABLA BURRA 30 CM * 2.5 CM * 3 M</v>
      </c>
      <c r="E65" s="445" t="str">
        <f t="shared" si="4"/>
        <v>UNIDAD</v>
      </c>
      <c r="F65" s="580">
        <v>0.4</v>
      </c>
      <c r="G65" s="581">
        <f>+G217</f>
        <v>17100</v>
      </c>
      <c r="H65" s="445">
        <v>1.05</v>
      </c>
      <c r="I65" s="583">
        <f t="shared" ref="I65:I72" si="5">(F65*G65*H65)</f>
        <v>7182</v>
      </c>
      <c r="K65" s="609"/>
      <c r="L65" s="610"/>
      <c r="M65" s="610"/>
      <c r="N65" s="610"/>
      <c r="O65" s="610"/>
      <c r="P65" s="610"/>
      <c r="Q65" s="1090"/>
    </row>
    <row r="66" spans="2:17" x14ac:dyDescent="0.25">
      <c r="B66" s="648" t="s">
        <v>4083</v>
      </c>
      <c r="C66" s="584" t="s">
        <v>4083</v>
      </c>
      <c r="D66" s="444" t="str">
        <f t="shared" si="4"/>
        <v>LISTON 2*4"</v>
      </c>
      <c r="E66" s="445" t="str">
        <f t="shared" si="4"/>
        <v>UNIDAD</v>
      </c>
      <c r="F66" s="580">
        <v>1.5</v>
      </c>
      <c r="G66" s="581">
        <f>+G218</f>
        <v>4484</v>
      </c>
      <c r="H66" s="445">
        <v>1.05</v>
      </c>
      <c r="I66" s="583">
        <f t="shared" si="5"/>
        <v>7062.3</v>
      </c>
      <c r="K66" s="615"/>
      <c r="L66" s="610"/>
      <c r="M66" s="610"/>
      <c r="N66" s="610"/>
      <c r="O66" s="610"/>
      <c r="Q66" s="1091"/>
    </row>
    <row r="67" spans="2:17" x14ac:dyDescent="0.25">
      <c r="B67" s="648" t="s">
        <v>4083</v>
      </c>
      <c r="C67" s="584" t="s">
        <v>4083</v>
      </c>
      <c r="D67" s="444" t="str">
        <f t="shared" si="4"/>
        <v>PUNTILLA CON CABEZA 2"</v>
      </c>
      <c r="E67" s="445" t="str">
        <f t="shared" si="4"/>
        <v>LIBRA</v>
      </c>
      <c r="F67" s="580">
        <v>4.4999999999999998E-2</v>
      </c>
      <c r="G67" s="581">
        <f>+G219</f>
        <v>4956</v>
      </c>
      <c r="H67" s="445">
        <v>1.05</v>
      </c>
      <c r="I67" s="583">
        <f t="shared" si="5"/>
        <v>234.17099999999999</v>
      </c>
      <c r="K67" s="609"/>
      <c r="L67" s="610"/>
      <c r="M67" s="610"/>
      <c r="N67" s="610"/>
      <c r="O67" s="610"/>
      <c r="P67" s="610"/>
      <c r="Q67" s="1090"/>
    </row>
    <row r="68" spans="2:17" x14ac:dyDescent="0.25">
      <c r="B68" s="648" t="s">
        <v>4083</v>
      </c>
      <c r="C68" s="584" t="s">
        <v>4083</v>
      </c>
      <c r="D68" s="444" t="str">
        <f>+D221</f>
        <v>CONCRETO DE 3000 PSI PRODUCCIÓN</v>
      </c>
      <c r="E68" s="445" t="str">
        <f>+E221</f>
        <v>M3</v>
      </c>
      <c r="F68" s="580">
        <v>0.15</v>
      </c>
      <c r="G68" s="581">
        <f>+G221</f>
        <v>393249.64250000002</v>
      </c>
      <c r="H68" s="445">
        <v>1.05</v>
      </c>
      <c r="I68" s="583">
        <f t="shared" si="5"/>
        <v>61936.81869375</v>
      </c>
      <c r="K68" s="609"/>
      <c r="L68" s="610"/>
      <c r="M68" s="610"/>
      <c r="N68" s="610"/>
      <c r="O68" s="610"/>
      <c r="P68" s="610"/>
      <c r="Q68" s="1090"/>
    </row>
    <row r="69" spans="2:17" ht="36" x14ac:dyDescent="0.25">
      <c r="B69" s="445" t="s">
        <v>4083</v>
      </c>
      <c r="C69" s="585" t="s">
        <v>4083</v>
      </c>
      <c r="D69" s="444" t="s">
        <v>4109</v>
      </c>
      <c r="E69" s="586" t="s">
        <v>4</v>
      </c>
      <c r="F69" s="580">
        <v>1</v>
      </c>
      <c r="G69" s="581">
        <f>+INSUMOS!E290</f>
        <v>6667</v>
      </c>
      <c r="H69" s="445">
        <v>1.05</v>
      </c>
      <c r="I69" s="583">
        <f t="shared" si="5"/>
        <v>7000.35</v>
      </c>
      <c r="K69" s="609"/>
      <c r="L69" s="610"/>
      <c r="M69" s="610"/>
      <c r="N69" s="610"/>
      <c r="O69" s="610"/>
      <c r="P69" s="610"/>
      <c r="Q69" s="1090"/>
    </row>
    <row r="70" spans="2:17" x14ac:dyDescent="0.25">
      <c r="B70" s="648" t="s">
        <v>205</v>
      </c>
      <c r="C70" s="584" t="s">
        <v>205</v>
      </c>
      <c r="D70" s="444" t="s">
        <v>4146</v>
      </c>
      <c r="E70" s="445" t="s">
        <v>4025</v>
      </c>
      <c r="F70" s="580">
        <v>1</v>
      </c>
      <c r="G70" s="581">
        <v>3310</v>
      </c>
      <c r="H70" s="445">
        <v>0.05</v>
      </c>
      <c r="I70" s="583">
        <f t="shared" si="5"/>
        <v>165.5</v>
      </c>
      <c r="K70" s="609"/>
      <c r="L70" s="610"/>
      <c r="M70" s="610"/>
      <c r="N70" s="610"/>
      <c r="O70" s="610"/>
      <c r="P70" s="610"/>
      <c r="Q70" s="1090"/>
    </row>
    <row r="71" spans="2:17" x14ac:dyDescent="0.25">
      <c r="B71" s="579" t="s">
        <v>204</v>
      </c>
      <c r="C71" s="587" t="s">
        <v>204</v>
      </c>
      <c r="D71" s="444" t="str">
        <f>+D255</f>
        <v>EQUIPO DE TRANSPORTE</v>
      </c>
      <c r="E71" s="445" t="s">
        <v>4025</v>
      </c>
      <c r="F71" s="580">
        <v>1</v>
      </c>
      <c r="G71" s="581">
        <f>+I64</f>
        <v>51504.6</v>
      </c>
      <c r="H71" s="445">
        <v>0.05</v>
      </c>
      <c r="I71" s="583">
        <f t="shared" si="5"/>
        <v>2575.23</v>
      </c>
      <c r="K71" s="609"/>
      <c r="L71" s="610"/>
      <c r="M71" s="610"/>
      <c r="N71" s="610"/>
      <c r="O71" s="610"/>
      <c r="P71" s="610"/>
      <c r="Q71" s="1090"/>
    </row>
    <row r="72" spans="2:17" x14ac:dyDescent="0.25">
      <c r="B72" s="579" t="s">
        <v>204</v>
      </c>
      <c r="C72" s="588" t="s">
        <v>204</v>
      </c>
      <c r="D72" s="589" t="s">
        <v>18</v>
      </c>
      <c r="E72" s="590" t="s">
        <v>4025</v>
      </c>
      <c r="F72" s="591">
        <v>1</v>
      </c>
      <c r="G72" s="1116">
        <f>+I64</f>
        <v>51504.6</v>
      </c>
      <c r="H72" s="590">
        <v>0.05</v>
      </c>
      <c r="I72" s="592">
        <f t="shared" si="5"/>
        <v>2575.23</v>
      </c>
      <c r="K72" s="609"/>
      <c r="L72" s="610"/>
      <c r="M72" s="610"/>
      <c r="N72" s="610"/>
      <c r="O72" s="610"/>
      <c r="P72" s="610"/>
      <c r="Q72" s="1090"/>
    </row>
    <row r="73" spans="2:17" x14ac:dyDescent="0.25">
      <c r="B73" s="620"/>
      <c r="C73" s="620"/>
      <c r="D73" s="621"/>
      <c r="E73" s="622"/>
      <c r="F73" s="623"/>
      <c r="G73" s="624"/>
      <c r="H73" s="625"/>
      <c r="I73" s="626"/>
      <c r="K73" s="609"/>
      <c r="L73" s="627"/>
      <c r="M73" s="627"/>
      <c r="N73" s="627"/>
      <c r="O73" s="627"/>
      <c r="P73" s="627"/>
      <c r="Q73" s="1090"/>
    </row>
    <row r="74" spans="2:17" ht="24.75" thickBot="1" x14ac:dyDescent="0.3">
      <c r="B74" s="638" t="s">
        <v>8</v>
      </c>
      <c r="C74" s="569" t="s">
        <v>8</v>
      </c>
      <c r="D74" s="570" t="s">
        <v>9</v>
      </c>
      <c r="E74" s="570" t="s">
        <v>11</v>
      </c>
      <c r="F74" s="570" t="s">
        <v>2</v>
      </c>
      <c r="G74" s="1117" t="s">
        <v>3987</v>
      </c>
      <c r="H74" s="570" t="s">
        <v>4101</v>
      </c>
      <c r="I74" s="571" t="s">
        <v>14</v>
      </c>
      <c r="K74" s="609"/>
      <c r="L74" s="610"/>
      <c r="M74" s="610"/>
      <c r="N74" s="610"/>
      <c r="O74" s="610"/>
      <c r="P74" s="610"/>
      <c r="Q74" s="1090"/>
    </row>
    <row r="75" spans="2:17" ht="36" x14ac:dyDescent="0.25">
      <c r="B75" s="646" t="s">
        <v>5175</v>
      </c>
      <c r="C75" s="572"/>
      <c r="D75" s="573" t="s">
        <v>5033</v>
      </c>
      <c r="E75" s="574" t="s">
        <v>4104</v>
      </c>
      <c r="F75" s="575"/>
      <c r="G75" s="1118">
        <f>SUM(I76:I84)</f>
        <v>180694.41722225002</v>
      </c>
      <c r="H75" s="576"/>
      <c r="I75" s="577"/>
      <c r="K75" s="609" t="str">
        <f>+B75</f>
        <v>5.13</v>
      </c>
      <c r="L75" s="610">
        <f>+I82</f>
        <v>3310</v>
      </c>
      <c r="M75" s="610">
        <f>+I76+I84</f>
        <v>72106.44</v>
      </c>
      <c r="N75" s="610">
        <f>SUM(I77:I81)</f>
        <v>98410.697222250019</v>
      </c>
      <c r="O75" s="610">
        <f>+I83</f>
        <v>6867.2800000000007</v>
      </c>
      <c r="P75" s="610">
        <f>SUM(L75:O75)</f>
        <v>180694.41722225002</v>
      </c>
      <c r="Q75" s="1090">
        <f>+Tabla95[[#This Row],[VALOR UNITARIO]]-P75</f>
        <v>0</v>
      </c>
    </row>
    <row r="76" spans="2:17" x14ac:dyDescent="0.25">
      <c r="B76" s="647" t="s">
        <v>15</v>
      </c>
      <c r="C76" s="578" t="s">
        <v>15</v>
      </c>
      <c r="D76" s="444" t="s">
        <v>189</v>
      </c>
      <c r="E76" s="579" t="s">
        <v>4532</v>
      </c>
      <c r="F76" s="580">
        <v>0.8</v>
      </c>
      <c r="G76" s="581">
        <f>+MO!F103</f>
        <v>85841</v>
      </c>
      <c r="H76" s="582">
        <v>1</v>
      </c>
      <c r="I76" s="583">
        <f>(F76*G76*H76)</f>
        <v>68672.800000000003</v>
      </c>
      <c r="K76" s="609"/>
      <c r="L76" s="610"/>
      <c r="M76" s="610"/>
      <c r="N76" s="610"/>
      <c r="O76" s="610"/>
      <c r="P76" s="610"/>
      <c r="Q76" s="1090"/>
    </row>
    <row r="77" spans="2:17" x14ac:dyDescent="0.25">
      <c r="B77" s="648" t="s">
        <v>4083</v>
      </c>
      <c r="C77" s="584" t="s">
        <v>4083</v>
      </c>
      <c r="D77" s="444" t="str">
        <f>+INSUMOS!B294</f>
        <v>Metaldeck 2pg 940x6100mm Cal.22 0.75mm</v>
      </c>
      <c r="E77" s="445" t="s">
        <v>3975</v>
      </c>
      <c r="F77" s="580">
        <v>1</v>
      </c>
      <c r="G77" s="581">
        <f>+INSUMOS!E294</f>
        <v>47103</v>
      </c>
      <c r="H77" s="445">
        <v>1.05</v>
      </c>
      <c r="I77" s="583">
        <f t="shared" ref="I77:I84" si="6">(F77*G77*H77)</f>
        <v>49458.15</v>
      </c>
      <c r="K77" s="609"/>
      <c r="L77" s="610"/>
      <c r="M77" s="610"/>
      <c r="N77" s="610"/>
      <c r="O77" s="610"/>
      <c r="P77" s="610"/>
      <c r="Q77" s="1090"/>
    </row>
    <row r="78" spans="2:17" x14ac:dyDescent="0.25">
      <c r="B78" s="648" t="s">
        <v>4083</v>
      </c>
      <c r="C78" s="584" t="s">
        <v>4083</v>
      </c>
      <c r="D78" s="444" t="s">
        <v>1561</v>
      </c>
      <c r="E78" s="445" t="s">
        <v>4142</v>
      </c>
      <c r="F78" s="580">
        <v>9</v>
      </c>
      <c r="G78" s="581">
        <v>836</v>
      </c>
      <c r="H78" s="445">
        <v>1.05</v>
      </c>
      <c r="I78" s="583">
        <f t="shared" si="6"/>
        <v>7900.2000000000007</v>
      </c>
      <c r="K78" s="615"/>
      <c r="L78" s="610"/>
      <c r="M78" s="610"/>
      <c r="N78" s="610"/>
      <c r="O78" s="610"/>
      <c r="Q78" s="1091"/>
    </row>
    <row r="79" spans="2:17" x14ac:dyDescent="0.25">
      <c r="B79" s="648" t="s">
        <v>4083</v>
      </c>
      <c r="C79" s="584" t="s">
        <v>4083</v>
      </c>
      <c r="D79" s="444" t="s">
        <v>1542</v>
      </c>
      <c r="E79" s="445" t="s">
        <v>4387</v>
      </c>
      <c r="F79" s="580">
        <v>9</v>
      </c>
      <c r="G79" s="581">
        <v>370</v>
      </c>
      <c r="H79" s="445">
        <v>1.05</v>
      </c>
      <c r="I79" s="583">
        <f t="shared" si="6"/>
        <v>3496.5</v>
      </c>
      <c r="K79" s="609"/>
      <c r="L79" s="610"/>
      <c r="M79" s="610"/>
      <c r="N79" s="610"/>
      <c r="O79" s="610"/>
      <c r="P79" s="610"/>
      <c r="Q79" s="1090"/>
    </row>
    <row r="80" spans="2:17" x14ac:dyDescent="0.25">
      <c r="B80" s="648" t="s">
        <v>4083</v>
      </c>
      <c r="C80" s="584" t="s">
        <v>4083</v>
      </c>
      <c r="D80" s="444" t="s">
        <v>4093</v>
      </c>
      <c r="E80" s="445" t="s">
        <v>3980</v>
      </c>
      <c r="F80" s="580">
        <v>7.3999999999999996E-2</v>
      </c>
      <c r="G80" s="581">
        <f>+G221</f>
        <v>393249.64250000002</v>
      </c>
      <c r="H80" s="445">
        <v>1.05</v>
      </c>
      <c r="I80" s="583">
        <f t="shared" si="6"/>
        <v>30555.497222250004</v>
      </c>
      <c r="K80" s="609"/>
      <c r="L80" s="610"/>
      <c r="M80" s="610"/>
      <c r="N80" s="610"/>
      <c r="O80" s="610"/>
      <c r="P80" s="610"/>
      <c r="Q80" s="1090"/>
    </row>
    <row r="81" spans="2:17" ht="24" x14ac:dyDescent="0.25">
      <c r="B81" s="445" t="s">
        <v>4083</v>
      </c>
      <c r="C81" s="585" t="s">
        <v>4083</v>
      </c>
      <c r="D81" s="444" t="s">
        <v>5176</v>
      </c>
      <c r="E81" s="586" t="s">
        <v>4</v>
      </c>
      <c r="F81" s="580">
        <v>1</v>
      </c>
      <c r="G81" s="581">
        <f>+INSUMOS!E87</f>
        <v>6667</v>
      </c>
      <c r="H81" s="445">
        <v>1.05</v>
      </c>
      <c r="I81" s="583">
        <f t="shared" si="6"/>
        <v>7000.35</v>
      </c>
      <c r="K81" s="609"/>
      <c r="L81" s="610"/>
      <c r="M81" s="610"/>
      <c r="N81" s="610"/>
      <c r="O81" s="610"/>
      <c r="P81" s="610"/>
      <c r="Q81" s="1090"/>
    </row>
    <row r="82" spans="2:17" x14ac:dyDescent="0.25">
      <c r="B82" s="648" t="s">
        <v>205</v>
      </c>
      <c r="C82" s="584" t="s">
        <v>205</v>
      </c>
      <c r="D82" s="444" t="s">
        <v>4146</v>
      </c>
      <c r="E82" s="445" t="s">
        <v>4025</v>
      </c>
      <c r="F82" s="580">
        <v>1</v>
      </c>
      <c r="G82" s="581">
        <v>3310</v>
      </c>
      <c r="H82" s="445">
        <v>1</v>
      </c>
      <c r="I82" s="583">
        <f t="shared" si="6"/>
        <v>3310</v>
      </c>
      <c r="K82" s="609"/>
      <c r="L82" s="610"/>
      <c r="M82" s="610"/>
      <c r="N82" s="610"/>
      <c r="O82" s="610"/>
      <c r="P82" s="610"/>
      <c r="Q82" s="1090"/>
    </row>
    <row r="83" spans="2:17" x14ac:dyDescent="0.25">
      <c r="B83" s="579" t="s">
        <v>204</v>
      </c>
      <c r="C83" s="587" t="s">
        <v>204</v>
      </c>
      <c r="D83" s="444" t="s">
        <v>1054</v>
      </c>
      <c r="E83" s="445" t="s">
        <v>4025</v>
      </c>
      <c r="F83" s="580">
        <v>1</v>
      </c>
      <c r="G83" s="581">
        <f>+I76</f>
        <v>68672.800000000003</v>
      </c>
      <c r="H83" s="445">
        <v>0.1</v>
      </c>
      <c r="I83" s="583">
        <f t="shared" si="6"/>
        <v>6867.2800000000007</v>
      </c>
      <c r="K83" s="609"/>
      <c r="L83" s="610"/>
      <c r="M83" s="610"/>
      <c r="N83" s="610"/>
      <c r="O83" s="610"/>
      <c r="P83" s="610"/>
      <c r="Q83" s="1090"/>
    </row>
    <row r="84" spans="2:17" x14ac:dyDescent="0.25">
      <c r="B84" s="579" t="s">
        <v>204</v>
      </c>
      <c r="C84" s="588" t="s">
        <v>204</v>
      </c>
      <c r="D84" s="589" t="s">
        <v>18</v>
      </c>
      <c r="E84" s="590" t="s">
        <v>4025</v>
      </c>
      <c r="F84" s="591">
        <v>1</v>
      </c>
      <c r="G84" s="1116">
        <f>+I76</f>
        <v>68672.800000000003</v>
      </c>
      <c r="H84" s="590">
        <v>0.05</v>
      </c>
      <c r="I84" s="592">
        <f t="shared" si="6"/>
        <v>3433.6400000000003</v>
      </c>
      <c r="K84" s="609"/>
      <c r="L84" s="610"/>
      <c r="M84" s="610"/>
      <c r="N84" s="610"/>
      <c r="O84" s="610"/>
      <c r="P84" s="610"/>
      <c r="Q84" s="1090"/>
    </row>
    <row r="85" spans="2:17" x14ac:dyDescent="0.25">
      <c r="B85" s="620"/>
      <c r="C85" s="620"/>
      <c r="D85" s="621"/>
      <c r="E85" s="622"/>
      <c r="F85" s="623"/>
      <c r="G85" s="624"/>
      <c r="H85" s="625"/>
      <c r="I85" s="626"/>
      <c r="K85" s="609"/>
      <c r="L85" s="627"/>
      <c r="M85" s="627"/>
      <c r="N85" s="627"/>
      <c r="O85" s="627"/>
      <c r="P85" s="627"/>
      <c r="Q85" s="1090"/>
    </row>
    <row r="86" spans="2:17" x14ac:dyDescent="0.25">
      <c r="B86" s="620"/>
      <c r="C86" s="620"/>
      <c r="D86" s="621"/>
      <c r="E86" s="622"/>
      <c r="F86" s="623"/>
      <c r="G86" s="624"/>
      <c r="H86" s="625"/>
      <c r="I86" s="626"/>
      <c r="K86" s="609"/>
      <c r="L86" s="627"/>
      <c r="M86" s="627"/>
      <c r="N86" s="627"/>
      <c r="O86" s="627"/>
      <c r="P86" s="627"/>
      <c r="Q86" s="1090"/>
    </row>
    <row r="87" spans="2:17" ht="34.5" customHeight="1" thickBot="1" x14ac:dyDescent="0.3">
      <c r="B87" s="638" t="s">
        <v>8</v>
      </c>
      <c r="C87" s="569" t="s">
        <v>8</v>
      </c>
      <c r="D87" s="570" t="s">
        <v>9</v>
      </c>
      <c r="E87" s="570" t="s">
        <v>11</v>
      </c>
      <c r="F87" s="570" t="s">
        <v>2</v>
      </c>
      <c r="G87" s="1117" t="s">
        <v>3987</v>
      </c>
      <c r="H87" s="1070" t="s">
        <v>4101</v>
      </c>
      <c r="I87" s="571" t="s">
        <v>14</v>
      </c>
      <c r="K87" s="609"/>
      <c r="L87" s="610"/>
      <c r="M87" s="610"/>
      <c r="N87" s="610"/>
      <c r="O87" s="610"/>
      <c r="P87" s="610"/>
      <c r="Q87" s="1090"/>
    </row>
    <row r="88" spans="2:17" ht="24" x14ac:dyDescent="0.25">
      <c r="B88" s="646" t="s">
        <v>5125</v>
      </c>
      <c r="C88" s="572"/>
      <c r="D88" s="604" t="s">
        <v>5121</v>
      </c>
      <c r="E88" s="574" t="s">
        <v>3980</v>
      </c>
      <c r="F88" s="575"/>
      <c r="G88" s="1118">
        <f>SUM(I89:I95)</f>
        <v>1021108.2096250001</v>
      </c>
      <c r="H88" s="576"/>
      <c r="I88" s="577"/>
      <c r="K88" s="609" t="str">
        <f>+B88</f>
        <v>2A.1</v>
      </c>
      <c r="L88" s="610">
        <f>+I91</f>
        <v>4708.2</v>
      </c>
      <c r="M88" s="610">
        <f>+I89+I95</f>
        <v>139491.625</v>
      </c>
      <c r="N88" s="610">
        <f>+I90+I93+I94</f>
        <v>858571.18462499999</v>
      </c>
      <c r="O88" s="610">
        <f>+I92</f>
        <v>18337.2</v>
      </c>
      <c r="P88" s="610">
        <f>SUM(L88:O88)</f>
        <v>1021108.2096249999</v>
      </c>
      <c r="Q88" s="1090">
        <f>+Tabla912[[#This Row],[VALOR UNITARIO]]-P88</f>
        <v>0</v>
      </c>
    </row>
    <row r="89" spans="2:17" x14ac:dyDescent="0.25">
      <c r="B89" s="647" t="s">
        <v>15</v>
      </c>
      <c r="C89" s="578" t="s">
        <v>15</v>
      </c>
      <c r="D89" s="444" t="str">
        <f>+D64</f>
        <v>CUADRILLA AA TIPO 6 (1 OFICIAL + 6 AYUDANTE) (Albañileria)</v>
      </c>
      <c r="E89" s="579" t="s">
        <v>202</v>
      </c>
      <c r="F89" s="580">
        <v>1</v>
      </c>
      <c r="G89" s="581">
        <v>686728</v>
      </c>
      <c r="H89" s="582">
        <v>0.2</v>
      </c>
      <c r="I89" s="583">
        <f>(F89*G89*H89)</f>
        <v>137345.60000000001</v>
      </c>
      <c r="K89" s="609"/>
      <c r="L89" s="610"/>
      <c r="M89" s="610"/>
      <c r="N89" s="610"/>
      <c r="O89" s="610"/>
      <c r="P89" s="610"/>
      <c r="Q89" s="1090"/>
    </row>
    <row r="90" spans="2:17" x14ac:dyDescent="0.25">
      <c r="B90" s="648" t="s">
        <v>4083</v>
      </c>
      <c r="C90" s="584" t="s">
        <v>4083</v>
      </c>
      <c r="D90" s="444" t="str">
        <f t="shared" ref="D90:E90" si="7">+D229</f>
        <v>LIJA ORIENTCRAFT</v>
      </c>
      <c r="E90" s="445" t="str">
        <f t="shared" si="7"/>
        <v>UNIDAD</v>
      </c>
      <c r="F90" s="580">
        <v>0.4</v>
      </c>
      <c r="G90" s="581">
        <v>23593</v>
      </c>
      <c r="H90" s="445">
        <v>1.05</v>
      </c>
      <c r="I90" s="583">
        <f t="shared" ref="I90:I95" si="8">(F90*G90*H90)</f>
        <v>9909.0600000000013</v>
      </c>
      <c r="K90" s="609"/>
      <c r="L90" s="610"/>
      <c r="M90" s="610"/>
      <c r="N90" s="610"/>
      <c r="O90" s="610"/>
      <c r="P90" s="610"/>
      <c r="Q90" s="1090"/>
    </row>
    <row r="91" spans="2:17" x14ac:dyDescent="0.25">
      <c r="B91" s="648" t="s">
        <v>4083</v>
      </c>
      <c r="C91" s="584" t="s">
        <v>4083</v>
      </c>
      <c r="D91" s="444" t="str">
        <f t="shared" ref="D91:E91" si="9">+D230</f>
        <v>EQUIPO BÁSICO (HERRAMIENTA MENOR)</v>
      </c>
      <c r="E91" s="445" t="str">
        <f t="shared" si="9"/>
        <v>%M.O</v>
      </c>
      <c r="F91" s="580">
        <v>1</v>
      </c>
      <c r="G91" s="581">
        <v>4484</v>
      </c>
      <c r="H91" s="445">
        <v>1.05</v>
      </c>
      <c r="I91" s="583">
        <f t="shared" si="8"/>
        <v>4708.2</v>
      </c>
      <c r="K91" s="615"/>
      <c r="L91" s="610"/>
      <c r="M91" s="610"/>
      <c r="N91" s="610"/>
      <c r="O91" s="610"/>
      <c r="Q91" s="1091"/>
    </row>
    <row r="92" spans="2:17" x14ac:dyDescent="0.25">
      <c r="B92" s="648" t="s">
        <v>4083</v>
      </c>
      <c r="C92" s="584" t="s">
        <v>4083</v>
      </c>
      <c r="D92" s="444" t="str">
        <f t="shared" ref="D92:E92" si="10">+D231</f>
        <v>EQUIPO DE TRANSPORTE</v>
      </c>
      <c r="E92" s="445" t="str">
        <f t="shared" si="10"/>
        <v>%M.O</v>
      </c>
      <c r="F92" s="580">
        <v>1</v>
      </c>
      <c r="G92" s="581">
        <v>4956</v>
      </c>
      <c r="H92" s="445">
        <v>3.7</v>
      </c>
      <c r="I92" s="583">
        <f t="shared" si="8"/>
        <v>18337.2</v>
      </c>
      <c r="K92" s="609"/>
      <c r="L92" s="610"/>
      <c r="M92" s="610"/>
      <c r="N92" s="610"/>
      <c r="O92" s="610"/>
      <c r="P92" s="610"/>
      <c r="Q92" s="1090"/>
    </row>
    <row r="93" spans="2:17" x14ac:dyDescent="0.25">
      <c r="B93" s="648" t="s">
        <v>4083</v>
      </c>
      <c r="C93" s="584" t="s">
        <v>4083</v>
      </c>
      <c r="D93" s="444" t="s">
        <v>4093</v>
      </c>
      <c r="E93" s="445">
        <f>+E233</f>
        <v>0</v>
      </c>
      <c r="F93" s="580">
        <v>1</v>
      </c>
      <c r="G93" s="581">
        <f>+INSUMOS!E188</f>
        <v>393249.64250000002</v>
      </c>
      <c r="H93" s="445">
        <v>1.05</v>
      </c>
      <c r="I93" s="583">
        <f t="shared" si="8"/>
        <v>412912.12462500005</v>
      </c>
      <c r="K93" s="609"/>
      <c r="L93" s="610"/>
      <c r="M93" s="610"/>
      <c r="N93" s="610"/>
      <c r="O93" s="610"/>
      <c r="P93" s="610"/>
      <c r="Q93" s="1090"/>
    </row>
    <row r="94" spans="2:17" x14ac:dyDescent="0.25">
      <c r="B94" s="445" t="s">
        <v>4083</v>
      </c>
      <c r="C94" s="585">
        <v>14</v>
      </c>
      <c r="D94" s="444" t="s">
        <v>5124</v>
      </c>
      <c r="E94" s="586" t="s">
        <v>4027</v>
      </c>
      <c r="F94" s="580">
        <v>100</v>
      </c>
      <c r="G94" s="581">
        <f>+INSUMOS!E17</f>
        <v>4150</v>
      </c>
      <c r="H94" s="445">
        <v>1.05</v>
      </c>
      <c r="I94" s="583">
        <f t="shared" si="8"/>
        <v>435750</v>
      </c>
      <c r="K94" s="609"/>
      <c r="L94" s="610"/>
      <c r="M94" s="610"/>
      <c r="N94" s="610"/>
      <c r="O94" s="610"/>
      <c r="P94" s="610"/>
      <c r="Q94" s="1090"/>
    </row>
    <row r="95" spans="2:17" x14ac:dyDescent="0.25">
      <c r="B95" s="579" t="s">
        <v>204</v>
      </c>
      <c r="C95" s="588" t="s">
        <v>204</v>
      </c>
      <c r="D95" s="589" t="s">
        <v>18</v>
      </c>
      <c r="E95" s="590" t="s">
        <v>4025</v>
      </c>
      <c r="F95" s="591">
        <v>1</v>
      </c>
      <c r="G95" s="1116">
        <v>42920.5</v>
      </c>
      <c r="H95" s="590">
        <v>0.05</v>
      </c>
      <c r="I95" s="592">
        <f t="shared" si="8"/>
        <v>2146.0250000000001</v>
      </c>
      <c r="K95" s="609"/>
      <c r="L95" s="610"/>
      <c r="M95" s="610"/>
      <c r="N95" s="610"/>
      <c r="O95" s="610"/>
      <c r="P95" s="610"/>
      <c r="Q95" s="1090"/>
    </row>
    <row r="96" spans="2:17" x14ac:dyDescent="0.25">
      <c r="B96" s="620"/>
      <c r="C96" s="620"/>
      <c r="D96" s="621"/>
      <c r="E96" s="622"/>
      <c r="F96" s="623"/>
      <c r="G96" s="624"/>
      <c r="H96" s="625"/>
      <c r="I96" s="626"/>
      <c r="K96" s="609"/>
      <c r="L96" s="627"/>
      <c r="M96" s="627"/>
      <c r="N96" s="627"/>
      <c r="O96" s="627"/>
      <c r="P96" s="627"/>
      <c r="Q96" s="1090"/>
    </row>
    <row r="97" spans="2:17" ht="23.25" thickBot="1" x14ac:dyDescent="0.3">
      <c r="B97" s="638" t="s">
        <v>8</v>
      </c>
      <c r="C97" s="569" t="s">
        <v>8</v>
      </c>
      <c r="D97" s="570" t="s">
        <v>9</v>
      </c>
      <c r="E97" s="570" t="s">
        <v>11</v>
      </c>
      <c r="F97" s="570" t="s">
        <v>2</v>
      </c>
      <c r="G97" s="1117" t="s">
        <v>3987</v>
      </c>
      <c r="H97" s="1070" t="s">
        <v>4101</v>
      </c>
      <c r="I97" s="571" t="s">
        <v>14</v>
      </c>
      <c r="K97" s="609"/>
      <c r="L97" s="610"/>
      <c r="M97" s="610"/>
      <c r="N97" s="610"/>
      <c r="O97" s="610"/>
      <c r="P97" s="610"/>
      <c r="Q97" s="1090"/>
    </row>
    <row r="98" spans="2:17" ht="36" x14ac:dyDescent="0.25">
      <c r="B98" s="649" t="s">
        <v>5132</v>
      </c>
      <c r="C98" s="649"/>
      <c r="D98" s="604" t="s">
        <v>5133</v>
      </c>
      <c r="E98" s="574" t="s">
        <v>1027</v>
      </c>
      <c r="F98" s="575"/>
      <c r="G98" s="1118">
        <f>SUM(I99:I110)</f>
        <v>219338.27847749996</v>
      </c>
      <c r="H98" s="576"/>
      <c r="I98" s="650"/>
      <c r="K98" s="609" t="str">
        <f>+B98</f>
        <v>5.6</v>
      </c>
      <c r="L98" s="610">
        <f>+I108+I106+I107</f>
        <v>64279.131999999998</v>
      </c>
      <c r="M98" s="610">
        <f>+I99+I110</f>
        <v>32922.982000000004</v>
      </c>
      <c r="N98" s="610">
        <f>SUM(I100:I105)</f>
        <v>120788.93247750001</v>
      </c>
      <c r="O98" s="610">
        <f>+I109</f>
        <v>1347.232</v>
      </c>
      <c r="P98" s="610">
        <f>SUM(L98:O98)</f>
        <v>219338.27847749999</v>
      </c>
      <c r="Q98" s="1090">
        <f>+G98-P98</f>
        <v>0</v>
      </c>
    </row>
    <row r="99" spans="2:17" ht="21" customHeight="1" x14ac:dyDescent="0.25">
      <c r="B99" s="651" t="str">
        <f t="shared" ref="B99:C105" si="11">B34</f>
        <v>2.4</v>
      </c>
      <c r="C99" s="651">
        <f t="shared" si="11"/>
        <v>0</v>
      </c>
      <c r="D99" s="444" t="s">
        <v>133</v>
      </c>
      <c r="E99" s="579" t="s">
        <v>202</v>
      </c>
      <c r="F99" s="580">
        <v>1</v>
      </c>
      <c r="G99" s="581">
        <v>336808</v>
      </c>
      <c r="H99" s="582">
        <f>(45/480)</f>
        <v>9.375E-2</v>
      </c>
      <c r="I99" s="652">
        <f>(F99*G99*H99)</f>
        <v>31575.75</v>
      </c>
      <c r="K99" s="609"/>
      <c r="L99" s="610"/>
      <c r="M99" s="610"/>
      <c r="N99" s="610"/>
      <c r="O99" s="610"/>
      <c r="P99" s="610"/>
      <c r="Q99" s="1090"/>
    </row>
    <row r="100" spans="2:17" x14ac:dyDescent="0.25">
      <c r="B100" s="651" t="str">
        <f t="shared" si="11"/>
        <v>M.O</v>
      </c>
      <c r="C100" s="651" t="str">
        <f t="shared" si="11"/>
        <v>M.O</v>
      </c>
      <c r="D100" s="444" t="s">
        <v>4093</v>
      </c>
      <c r="E100" s="579" t="s">
        <v>3980</v>
      </c>
      <c r="F100" s="580">
        <v>0.06</v>
      </c>
      <c r="G100" s="581">
        <v>493249.64250000002</v>
      </c>
      <c r="H100" s="582">
        <v>1.05</v>
      </c>
      <c r="I100" s="652">
        <f t="shared" ref="I100:I105" si="12">(F100*G100*H100)</f>
        <v>31074.727477500001</v>
      </c>
      <c r="K100" s="609"/>
      <c r="L100" s="610"/>
      <c r="M100" s="610"/>
      <c r="N100" s="610"/>
      <c r="O100" s="610"/>
      <c r="P100" s="610"/>
      <c r="Q100" s="1090"/>
    </row>
    <row r="101" spans="2:17" x14ac:dyDescent="0.25">
      <c r="B101" s="651" t="str">
        <f t="shared" si="11"/>
        <v>EQU.</v>
      </c>
      <c r="C101" s="651" t="str">
        <f t="shared" si="11"/>
        <v>EQU.</v>
      </c>
      <c r="D101" s="444" t="s">
        <v>2574</v>
      </c>
      <c r="E101" s="579" t="s">
        <v>11</v>
      </c>
      <c r="F101" s="580">
        <v>1</v>
      </c>
      <c r="G101" s="581">
        <v>23593</v>
      </c>
      <c r="H101" s="582">
        <v>1.05</v>
      </c>
      <c r="I101" s="652">
        <f t="shared" si="12"/>
        <v>24772.65</v>
      </c>
      <c r="K101" s="615"/>
      <c r="L101" s="610"/>
      <c r="M101" s="610"/>
      <c r="N101" s="610"/>
      <c r="O101" s="610"/>
      <c r="Q101" s="1091"/>
    </row>
    <row r="102" spans="2:17" x14ac:dyDescent="0.25">
      <c r="B102" s="651">
        <f t="shared" si="11"/>
        <v>0</v>
      </c>
      <c r="C102" s="651">
        <f t="shared" si="11"/>
        <v>0</v>
      </c>
      <c r="D102" s="444" t="s">
        <v>4092</v>
      </c>
      <c r="E102" s="579" t="s">
        <v>11</v>
      </c>
      <c r="F102" s="580">
        <v>3</v>
      </c>
      <c r="G102" s="581">
        <v>4484</v>
      </c>
      <c r="H102" s="582">
        <v>1.05</v>
      </c>
      <c r="I102" s="652">
        <f t="shared" si="12"/>
        <v>14124.6</v>
      </c>
      <c r="K102" s="609"/>
      <c r="L102" s="610"/>
      <c r="M102" s="610"/>
      <c r="N102" s="610"/>
      <c r="O102" s="610"/>
      <c r="P102" s="610"/>
      <c r="Q102" s="1090"/>
    </row>
    <row r="103" spans="2:17" x14ac:dyDescent="0.25">
      <c r="B103" s="651">
        <f t="shared" si="11"/>
        <v>0</v>
      </c>
      <c r="C103" s="651">
        <f t="shared" si="11"/>
        <v>0</v>
      </c>
      <c r="D103" s="444" t="s">
        <v>1360</v>
      </c>
      <c r="E103" s="579" t="s">
        <v>4026</v>
      </c>
      <c r="F103" s="580">
        <v>0.3</v>
      </c>
      <c r="G103" s="581">
        <v>4956</v>
      </c>
      <c r="H103" s="582">
        <v>1.05</v>
      </c>
      <c r="I103" s="652">
        <f t="shared" si="12"/>
        <v>1561.14</v>
      </c>
      <c r="K103" s="609"/>
      <c r="L103" s="610"/>
      <c r="M103" s="610"/>
      <c r="N103" s="610"/>
      <c r="O103" s="610"/>
      <c r="P103" s="610"/>
      <c r="Q103" s="1090"/>
    </row>
    <row r="104" spans="2:17" x14ac:dyDescent="0.25">
      <c r="B104" s="651" t="str">
        <f t="shared" si="11"/>
        <v>TIPO</v>
      </c>
      <c r="C104" s="651" t="str">
        <f t="shared" si="11"/>
        <v>TIPO</v>
      </c>
      <c r="D104" s="444" t="s">
        <v>4100</v>
      </c>
      <c r="E104" s="579" t="s">
        <v>4027</v>
      </c>
      <c r="F104" s="580">
        <v>10</v>
      </c>
      <c r="G104" s="581">
        <v>4581</v>
      </c>
      <c r="H104" s="582">
        <v>1.05</v>
      </c>
      <c r="I104" s="652">
        <f t="shared" si="12"/>
        <v>48100.5</v>
      </c>
      <c r="K104" s="609"/>
      <c r="L104" s="610"/>
      <c r="M104" s="610"/>
      <c r="N104" s="610"/>
      <c r="O104" s="610"/>
      <c r="P104" s="610"/>
      <c r="Q104" s="1090"/>
    </row>
    <row r="105" spans="2:17" x14ac:dyDescent="0.25">
      <c r="B105" s="651" t="str">
        <f t="shared" si="11"/>
        <v>3.1</v>
      </c>
      <c r="C105" s="651">
        <f t="shared" si="11"/>
        <v>0</v>
      </c>
      <c r="D105" s="444" t="s">
        <v>234</v>
      </c>
      <c r="E105" s="579" t="s">
        <v>4027</v>
      </c>
      <c r="F105" s="580">
        <v>0.1</v>
      </c>
      <c r="G105" s="581">
        <v>11003</v>
      </c>
      <c r="H105" s="582">
        <v>1.05</v>
      </c>
      <c r="I105" s="652">
        <f t="shared" si="12"/>
        <v>1155.3150000000001</v>
      </c>
      <c r="K105" s="609"/>
      <c r="L105" s="610"/>
      <c r="M105" s="610"/>
      <c r="N105" s="610"/>
      <c r="O105" s="610"/>
      <c r="P105" s="610"/>
      <c r="Q105" s="1090"/>
    </row>
    <row r="106" spans="2:17" ht="24" x14ac:dyDescent="0.25">
      <c r="B106" s="651" t="s">
        <v>205</v>
      </c>
      <c r="C106" s="651" t="s">
        <v>205</v>
      </c>
      <c r="D106" s="444" t="s">
        <v>1030</v>
      </c>
      <c r="E106" s="579" t="s">
        <v>4099</v>
      </c>
      <c r="F106" s="580">
        <v>1</v>
      </c>
      <c r="G106" s="581">
        <v>8669</v>
      </c>
      <c r="H106" s="582">
        <v>0.1</v>
      </c>
      <c r="I106" s="652">
        <f>(F106*G106*H106)</f>
        <v>866.90000000000009</v>
      </c>
      <c r="K106" s="609"/>
      <c r="L106" s="610"/>
      <c r="M106" s="610"/>
      <c r="N106" s="610"/>
      <c r="O106" s="610"/>
      <c r="P106" s="610"/>
      <c r="Q106" s="1090"/>
    </row>
    <row r="107" spans="2:17" x14ac:dyDescent="0.25">
      <c r="B107" s="651" t="str">
        <f t="shared" ref="B107:C110" si="13">B41</f>
        <v>M.O</v>
      </c>
      <c r="C107" s="651" t="str">
        <f t="shared" si="13"/>
        <v>M.O</v>
      </c>
      <c r="D107" s="444" t="s">
        <v>1070</v>
      </c>
      <c r="E107" s="579" t="s">
        <v>4099</v>
      </c>
      <c r="F107" s="580">
        <v>1</v>
      </c>
      <c r="G107" s="581">
        <v>62065</v>
      </c>
      <c r="H107" s="582">
        <v>1</v>
      </c>
      <c r="I107" s="652">
        <f t="shared" ref="I107:I110" si="14">(F107*G107*H107)</f>
        <v>62065</v>
      </c>
      <c r="K107" s="609"/>
      <c r="L107" s="610"/>
      <c r="M107" s="610"/>
      <c r="N107" s="610"/>
      <c r="O107" s="610"/>
      <c r="P107" s="610"/>
      <c r="Q107" s="1090"/>
    </row>
    <row r="108" spans="2:17" x14ac:dyDescent="0.25">
      <c r="B108" s="651" t="str">
        <f t="shared" si="13"/>
        <v>MAT.</v>
      </c>
      <c r="C108" s="651" t="str">
        <f t="shared" si="13"/>
        <v>MAT.</v>
      </c>
      <c r="D108" s="444" t="s">
        <v>4146</v>
      </c>
      <c r="E108" s="579" t="s">
        <v>203</v>
      </c>
      <c r="F108" s="580">
        <v>1</v>
      </c>
      <c r="G108" s="581">
        <v>26944.639999999999</v>
      </c>
      <c r="H108" s="582">
        <v>0.05</v>
      </c>
      <c r="I108" s="652">
        <f t="shared" si="14"/>
        <v>1347.232</v>
      </c>
      <c r="K108" s="609"/>
      <c r="L108" s="610"/>
      <c r="M108" s="610"/>
      <c r="N108" s="610"/>
      <c r="O108" s="610"/>
      <c r="P108" s="610"/>
      <c r="Q108" s="1090"/>
    </row>
    <row r="109" spans="2:17" x14ac:dyDescent="0.25">
      <c r="B109" s="651" t="str">
        <f t="shared" si="13"/>
        <v>MAT.</v>
      </c>
      <c r="C109" s="651" t="str">
        <f t="shared" si="13"/>
        <v>MAT.</v>
      </c>
      <c r="D109" s="444" t="s">
        <v>1054</v>
      </c>
      <c r="E109" s="579" t="s">
        <v>203</v>
      </c>
      <c r="F109" s="580">
        <v>1</v>
      </c>
      <c r="G109" s="581">
        <v>26944.639999999999</v>
      </c>
      <c r="H109" s="582">
        <v>0.05</v>
      </c>
      <c r="I109" s="652">
        <f t="shared" si="14"/>
        <v>1347.232</v>
      </c>
      <c r="K109" s="609"/>
      <c r="L109" s="610"/>
      <c r="M109" s="610"/>
      <c r="N109" s="610"/>
      <c r="O109" s="610"/>
      <c r="P109" s="610"/>
      <c r="Q109" s="1090"/>
    </row>
    <row r="110" spans="2:17" ht="15.75" thickBot="1" x14ac:dyDescent="0.3">
      <c r="B110" s="653" t="str">
        <f t="shared" si="13"/>
        <v>EQU.</v>
      </c>
      <c r="C110" s="653" t="str">
        <f t="shared" si="13"/>
        <v>EQU.</v>
      </c>
      <c r="D110" s="654" t="s">
        <v>18</v>
      </c>
      <c r="E110" s="655" t="s">
        <v>203</v>
      </c>
      <c r="F110" s="656">
        <v>1</v>
      </c>
      <c r="G110" s="1119">
        <v>26944.639999999999</v>
      </c>
      <c r="H110" s="657">
        <v>0.05</v>
      </c>
      <c r="I110" s="658">
        <f t="shared" si="14"/>
        <v>1347.232</v>
      </c>
      <c r="K110" s="609"/>
      <c r="L110" s="610"/>
      <c r="M110" s="610"/>
      <c r="N110" s="610"/>
      <c r="O110" s="610"/>
      <c r="P110" s="610"/>
      <c r="Q110" s="1090"/>
    </row>
    <row r="111" spans="2:17" x14ac:dyDescent="0.25">
      <c r="B111" s="620"/>
      <c r="C111" s="620"/>
      <c r="D111" s="621"/>
      <c r="E111" s="622"/>
      <c r="F111" s="623"/>
      <c r="G111" s="624"/>
      <c r="H111" s="625"/>
      <c r="I111" s="626"/>
      <c r="K111" s="609"/>
      <c r="L111" s="627"/>
      <c r="M111" s="627"/>
      <c r="N111" s="627"/>
      <c r="O111" s="627"/>
      <c r="P111" s="627"/>
      <c r="Q111" s="1090"/>
    </row>
    <row r="112" spans="2:17" ht="15.75" thickBot="1" x14ac:dyDescent="0.3">
      <c r="B112" s="620"/>
      <c r="C112" s="620"/>
      <c r="D112" s="621"/>
      <c r="E112" s="622"/>
      <c r="F112" s="623"/>
      <c r="G112" s="624"/>
      <c r="H112" s="625"/>
      <c r="I112" s="626"/>
      <c r="K112" s="609"/>
      <c r="L112" s="627"/>
      <c r="M112" s="627"/>
      <c r="N112" s="627"/>
      <c r="O112" s="627"/>
      <c r="P112" s="627"/>
      <c r="Q112" s="1090"/>
    </row>
    <row r="113" spans="2:17" ht="24.75" thickBot="1" x14ac:dyDescent="0.3">
      <c r="B113" s="645" t="str">
        <f t="shared" ref="B113:I113" si="15">B48</f>
        <v>TIPO</v>
      </c>
      <c r="C113" s="645" t="str">
        <f t="shared" si="15"/>
        <v>TIPO</v>
      </c>
      <c r="D113" s="630" t="str">
        <f t="shared" si="15"/>
        <v>DESCRIPCIÓN</v>
      </c>
      <c r="E113" s="630" t="str">
        <f t="shared" si="15"/>
        <v>UNIDAD</v>
      </c>
      <c r="F113" s="630" t="str">
        <f t="shared" si="15"/>
        <v>CANTIDAD</v>
      </c>
      <c r="G113" s="1113" t="str">
        <f t="shared" si="15"/>
        <v xml:space="preserve">VALOR UNITARIO </v>
      </c>
      <c r="H113" s="630" t="str">
        <f t="shared" si="15"/>
        <v>RENDIMIENTO/DESPERDICIOS/USOS</v>
      </c>
      <c r="I113" s="631" t="str">
        <f t="shared" si="15"/>
        <v>VALOR PARCIAL</v>
      </c>
      <c r="K113" s="609"/>
      <c r="L113" s="610"/>
      <c r="M113" s="610"/>
      <c r="N113" s="610"/>
      <c r="O113" s="610"/>
      <c r="P113" s="610"/>
      <c r="Q113" s="1090"/>
    </row>
    <row r="114" spans="2:17" ht="36" customHeight="1" x14ac:dyDescent="0.25">
      <c r="B114" s="649" t="s">
        <v>5134</v>
      </c>
      <c r="C114" s="649"/>
      <c r="D114" s="604" t="s">
        <v>5029</v>
      </c>
      <c r="E114" s="574" t="s">
        <v>1027</v>
      </c>
      <c r="F114" s="575"/>
      <c r="G114" s="1118">
        <f>SUM(I115:I126)</f>
        <v>201589.51847749995</v>
      </c>
      <c r="H114" s="576"/>
      <c r="I114" s="650"/>
      <c r="K114" s="609" t="str">
        <f>+B114</f>
        <v>5.7</v>
      </c>
      <c r="L114" s="610">
        <f>+I124+I122+I123</f>
        <v>64279.131999999998</v>
      </c>
      <c r="M114" s="610">
        <f>+I115+I126</f>
        <v>28291.871999999999</v>
      </c>
      <c r="N114" s="610">
        <f>SUM(I116:I121)</f>
        <v>107671.2824775</v>
      </c>
      <c r="O114" s="610">
        <f>+I125</f>
        <v>1347.232</v>
      </c>
      <c r="P114" s="610">
        <f>SUM(L114:O114)</f>
        <v>201589.51847749998</v>
      </c>
      <c r="Q114" s="1090">
        <f>+G114-P114</f>
        <v>0</v>
      </c>
    </row>
    <row r="115" spans="2:17" x14ac:dyDescent="0.25">
      <c r="B115" s="651" t="str">
        <f t="shared" ref="B115:G115" si="16">B50</f>
        <v>M.O</v>
      </c>
      <c r="C115" s="651" t="str">
        <f t="shared" si="16"/>
        <v>M.O</v>
      </c>
      <c r="D115" s="444" t="str">
        <f t="shared" si="16"/>
        <v>CUADRILLA AA TIPO 2 (1 OFICIAL + 2 AYUDANTE) (Albañileria)</v>
      </c>
      <c r="E115" s="579" t="str">
        <f t="shared" si="16"/>
        <v>hr</v>
      </c>
      <c r="F115" s="580">
        <f t="shared" si="16"/>
        <v>1</v>
      </c>
      <c r="G115" s="581">
        <f t="shared" si="16"/>
        <v>336808</v>
      </c>
      <c r="H115" s="582">
        <v>0.08</v>
      </c>
      <c r="I115" s="652">
        <f>(F115*G115*H115)</f>
        <v>26944.639999999999</v>
      </c>
      <c r="K115" s="609"/>
      <c r="L115" s="610"/>
      <c r="M115" s="610"/>
      <c r="N115" s="610"/>
      <c r="O115" s="610"/>
      <c r="P115" s="610"/>
      <c r="Q115" s="1090"/>
    </row>
    <row r="116" spans="2:17" x14ac:dyDescent="0.25">
      <c r="B116" s="651" t="str">
        <f t="shared" ref="B116:E121" si="17">B51</f>
        <v>MAT.</v>
      </c>
      <c r="C116" s="651" t="str">
        <f t="shared" si="17"/>
        <v>MAT.</v>
      </c>
      <c r="D116" s="444" t="str">
        <f t="shared" si="17"/>
        <v>CONCRETO DE 3000 PSI PRODUCCIÓN</v>
      </c>
      <c r="E116" s="579" t="str">
        <f t="shared" si="17"/>
        <v>M3</v>
      </c>
      <c r="F116" s="580">
        <v>0.06</v>
      </c>
      <c r="G116" s="581">
        <f t="shared" ref="G116:G121" si="18">G51</f>
        <v>393249.64250000002</v>
      </c>
      <c r="H116" s="582">
        <v>1.05</v>
      </c>
      <c r="I116" s="652">
        <f t="shared" ref="I116:I126" si="19">(F116*G116*H116)</f>
        <v>24774.727477500001</v>
      </c>
      <c r="K116" s="609"/>
      <c r="L116" s="610"/>
      <c r="M116" s="610"/>
      <c r="N116" s="610"/>
      <c r="O116" s="610"/>
      <c r="P116" s="610"/>
      <c r="Q116" s="1090"/>
    </row>
    <row r="117" spans="2:17" x14ac:dyDescent="0.25">
      <c r="B117" s="651" t="str">
        <f t="shared" si="17"/>
        <v>MAT.</v>
      </c>
      <c r="C117" s="651" t="str">
        <f t="shared" si="17"/>
        <v>MAT.</v>
      </c>
      <c r="D117" s="444" t="str">
        <f t="shared" si="17"/>
        <v>TABLA BURRA 30 CM * 2.5 CM * 3 M</v>
      </c>
      <c r="E117" s="579" t="str">
        <f t="shared" si="17"/>
        <v>UNIDAD</v>
      </c>
      <c r="F117" s="580">
        <f>F52</f>
        <v>1</v>
      </c>
      <c r="G117" s="581">
        <f t="shared" si="18"/>
        <v>17100</v>
      </c>
      <c r="H117" s="582">
        <v>1.05</v>
      </c>
      <c r="I117" s="652">
        <f t="shared" si="19"/>
        <v>17955</v>
      </c>
      <c r="K117" s="615"/>
      <c r="L117" s="610"/>
      <c r="M117" s="610"/>
      <c r="N117" s="610"/>
      <c r="O117" s="610"/>
      <c r="Q117" s="1091"/>
    </row>
    <row r="118" spans="2:17" x14ac:dyDescent="0.25">
      <c r="B118" s="651" t="str">
        <f t="shared" si="17"/>
        <v>MAT.</v>
      </c>
      <c r="C118" s="651" t="str">
        <f t="shared" si="17"/>
        <v>MAT.</v>
      </c>
      <c r="D118" s="444" t="str">
        <f t="shared" si="17"/>
        <v>LISTON 2*4"</v>
      </c>
      <c r="E118" s="579" t="str">
        <f t="shared" si="17"/>
        <v>UNIDAD</v>
      </c>
      <c r="F118" s="580">
        <f>F53</f>
        <v>3</v>
      </c>
      <c r="G118" s="581">
        <f t="shared" si="18"/>
        <v>4484</v>
      </c>
      <c r="H118" s="582">
        <v>1.05</v>
      </c>
      <c r="I118" s="652">
        <f t="shared" si="19"/>
        <v>14124.6</v>
      </c>
      <c r="K118" s="609"/>
      <c r="L118" s="610"/>
      <c r="M118" s="610"/>
      <c r="N118" s="610"/>
      <c r="O118" s="610"/>
      <c r="P118" s="610"/>
      <c r="Q118" s="1090"/>
    </row>
    <row r="119" spans="2:17" x14ac:dyDescent="0.25">
      <c r="B119" s="651" t="str">
        <f t="shared" si="17"/>
        <v>MAT.</v>
      </c>
      <c r="C119" s="651" t="str">
        <f t="shared" si="17"/>
        <v>MAT.</v>
      </c>
      <c r="D119" s="444" t="str">
        <f t="shared" si="17"/>
        <v>PUNTILLA CON CABEZA 2"</v>
      </c>
      <c r="E119" s="579" t="str">
        <f t="shared" si="17"/>
        <v>LIBRA</v>
      </c>
      <c r="F119" s="580">
        <f>F54</f>
        <v>0.3</v>
      </c>
      <c r="G119" s="581">
        <f t="shared" si="18"/>
        <v>4956</v>
      </c>
      <c r="H119" s="582">
        <v>1.05</v>
      </c>
      <c r="I119" s="652">
        <f t="shared" si="19"/>
        <v>1561.14</v>
      </c>
      <c r="K119" s="609"/>
      <c r="L119" s="610"/>
      <c r="M119" s="610"/>
      <c r="N119" s="610"/>
      <c r="O119" s="610"/>
      <c r="P119" s="610"/>
      <c r="Q119" s="1090"/>
    </row>
    <row r="120" spans="2:17" x14ac:dyDescent="0.25">
      <c r="B120" s="651" t="str">
        <f t="shared" si="17"/>
        <v>MAT.</v>
      </c>
      <c r="C120" s="651" t="str">
        <f t="shared" si="17"/>
        <v>MAT.</v>
      </c>
      <c r="D120" s="444" t="str">
        <f t="shared" si="17"/>
        <v>ACERO DE REFUERZO DE 60000 PSI</v>
      </c>
      <c r="E120" s="579" t="str">
        <f t="shared" si="17"/>
        <v>KG</v>
      </c>
      <c r="F120" s="580">
        <f>F55</f>
        <v>10</v>
      </c>
      <c r="G120" s="581">
        <f t="shared" si="18"/>
        <v>4581</v>
      </c>
      <c r="H120" s="582">
        <v>1.05</v>
      </c>
      <c r="I120" s="652">
        <f t="shared" si="19"/>
        <v>48100.5</v>
      </c>
      <c r="K120" s="609"/>
      <c r="L120" s="610"/>
      <c r="M120" s="610"/>
      <c r="N120" s="610"/>
      <c r="O120" s="610"/>
      <c r="P120" s="610"/>
      <c r="Q120" s="1090"/>
    </row>
    <row r="121" spans="2:17" x14ac:dyDescent="0.25">
      <c r="B121" s="651" t="str">
        <f t="shared" si="17"/>
        <v>MAT.</v>
      </c>
      <c r="C121" s="651" t="str">
        <f t="shared" si="17"/>
        <v>MAT.</v>
      </c>
      <c r="D121" s="444" t="str">
        <f t="shared" si="17"/>
        <v>ALAMBRE NEGRO NO. 18</v>
      </c>
      <c r="E121" s="579" t="str">
        <f t="shared" si="17"/>
        <v>KG</v>
      </c>
      <c r="F121" s="580">
        <f>F56</f>
        <v>0.1</v>
      </c>
      <c r="G121" s="581">
        <f t="shared" si="18"/>
        <v>11003</v>
      </c>
      <c r="H121" s="582">
        <v>1.05</v>
      </c>
      <c r="I121" s="652">
        <f t="shared" si="19"/>
        <v>1155.3150000000001</v>
      </c>
      <c r="K121" s="609"/>
      <c r="L121" s="610"/>
      <c r="M121" s="610"/>
      <c r="N121" s="610"/>
      <c r="O121" s="610"/>
      <c r="P121" s="610"/>
      <c r="Q121" s="1090"/>
    </row>
    <row r="122" spans="2:17" ht="24" x14ac:dyDescent="0.25">
      <c r="B122" s="651" t="s">
        <v>205</v>
      </c>
      <c r="C122" s="651" t="s">
        <v>205</v>
      </c>
      <c r="D122" s="444" t="str">
        <f>+EQUIPOS!B382</f>
        <v>ANDAMIO METALICO CERTIFICADO, INCLUYE ESCALERILLA CON BARANDAS Y PLATAFORMAS DE TRABAJO</v>
      </c>
      <c r="E122" s="579" t="str">
        <f>+EQUIPOS!D382</f>
        <v>DÍA</v>
      </c>
      <c r="F122" s="580">
        <v>1</v>
      </c>
      <c r="G122" s="581">
        <f>+EQUIPOS!E382</f>
        <v>8669</v>
      </c>
      <c r="H122" s="582">
        <v>0.1</v>
      </c>
      <c r="I122" s="652">
        <f>(F122*G122*H122)</f>
        <v>866.90000000000009</v>
      </c>
      <c r="K122" s="609"/>
      <c r="L122" s="610"/>
      <c r="M122" s="610"/>
      <c r="N122" s="610"/>
      <c r="O122" s="610"/>
      <c r="P122" s="610"/>
      <c r="Q122" s="1090"/>
    </row>
    <row r="123" spans="2:17" x14ac:dyDescent="0.25">
      <c r="B123" s="651" t="str">
        <f t="shared" ref="B123:G123" si="20">B57</f>
        <v>EQU.</v>
      </c>
      <c r="C123" s="651" t="str">
        <f t="shared" si="20"/>
        <v>EQU.</v>
      </c>
      <c r="D123" s="444" t="str">
        <f t="shared" si="20"/>
        <v>VIBRADOR A GASOLINA</v>
      </c>
      <c r="E123" s="579" t="str">
        <f t="shared" si="20"/>
        <v>DÍA</v>
      </c>
      <c r="F123" s="580">
        <f t="shared" si="20"/>
        <v>1</v>
      </c>
      <c r="G123" s="581">
        <f t="shared" si="20"/>
        <v>62065</v>
      </c>
      <c r="H123" s="582">
        <v>1</v>
      </c>
      <c r="I123" s="652">
        <f t="shared" si="19"/>
        <v>62065</v>
      </c>
      <c r="K123" s="609"/>
      <c r="L123" s="610"/>
      <c r="M123" s="610"/>
      <c r="N123" s="610"/>
      <c r="O123" s="610"/>
      <c r="P123" s="610"/>
      <c r="Q123" s="1090"/>
    </row>
    <row r="124" spans="2:17" x14ac:dyDescent="0.25">
      <c r="B124" s="651" t="str">
        <f t="shared" ref="B124:F126" si="21">B58</f>
        <v>EQU.</v>
      </c>
      <c r="C124" s="651" t="str">
        <f t="shared" si="21"/>
        <v>EQU.</v>
      </c>
      <c r="D124" s="444" t="str">
        <f t="shared" si="21"/>
        <v>EQUIPO BÁSICO (HERRAMIENTA MENOR)</v>
      </c>
      <c r="E124" s="579" t="str">
        <f t="shared" si="21"/>
        <v>%M.O</v>
      </c>
      <c r="F124" s="580">
        <f t="shared" si="21"/>
        <v>1</v>
      </c>
      <c r="G124" s="581">
        <f>+I115</f>
        <v>26944.639999999999</v>
      </c>
      <c r="H124" s="582">
        <f>H58</f>
        <v>0.05</v>
      </c>
      <c r="I124" s="652">
        <f t="shared" si="19"/>
        <v>1347.232</v>
      </c>
      <c r="K124" s="609"/>
      <c r="L124" s="610"/>
      <c r="M124" s="610"/>
      <c r="N124" s="610"/>
      <c r="O124" s="610"/>
      <c r="P124" s="610"/>
      <c r="Q124" s="1090"/>
    </row>
    <row r="125" spans="2:17" x14ac:dyDescent="0.25">
      <c r="B125" s="651" t="str">
        <f t="shared" si="21"/>
        <v>TRANS.</v>
      </c>
      <c r="C125" s="651" t="str">
        <f t="shared" si="21"/>
        <v>TRANS.</v>
      </c>
      <c r="D125" s="444" t="str">
        <f t="shared" si="21"/>
        <v>EQUIPO DE TRANSPORTE</v>
      </c>
      <c r="E125" s="579" t="str">
        <f t="shared" si="21"/>
        <v>%M.O</v>
      </c>
      <c r="F125" s="580">
        <f t="shared" si="21"/>
        <v>1</v>
      </c>
      <c r="G125" s="581">
        <f>+I115</f>
        <v>26944.639999999999</v>
      </c>
      <c r="H125" s="582">
        <f>H59</f>
        <v>0.05</v>
      </c>
      <c r="I125" s="652">
        <f t="shared" si="19"/>
        <v>1347.232</v>
      </c>
      <c r="K125" s="609"/>
      <c r="L125" s="610"/>
      <c r="M125" s="610"/>
      <c r="N125" s="610"/>
      <c r="O125" s="610"/>
      <c r="P125" s="610"/>
      <c r="Q125" s="1090"/>
    </row>
    <row r="126" spans="2:17" ht="15.75" thickBot="1" x14ac:dyDescent="0.3">
      <c r="B126" s="653" t="str">
        <f t="shared" si="21"/>
        <v>TRANS.</v>
      </c>
      <c r="C126" s="653" t="str">
        <f t="shared" si="21"/>
        <v>TRANS.</v>
      </c>
      <c r="D126" s="654" t="str">
        <f t="shared" si="21"/>
        <v>ACARREO INTERNO</v>
      </c>
      <c r="E126" s="655" t="str">
        <f t="shared" si="21"/>
        <v>%M.O</v>
      </c>
      <c r="F126" s="656">
        <f t="shared" si="21"/>
        <v>1</v>
      </c>
      <c r="G126" s="1119">
        <f>+I115</f>
        <v>26944.639999999999</v>
      </c>
      <c r="H126" s="657">
        <f>H60</f>
        <v>0.05</v>
      </c>
      <c r="I126" s="658">
        <f t="shared" si="19"/>
        <v>1347.232</v>
      </c>
      <c r="K126" s="609"/>
      <c r="L126" s="610"/>
      <c r="M126" s="610"/>
      <c r="N126" s="610"/>
      <c r="O126" s="610"/>
      <c r="P126" s="610"/>
      <c r="Q126" s="1090"/>
    </row>
    <row r="127" spans="2:17" ht="15.75" thickBot="1" x14ac:dyDescent="0.3">
      <c r="H127" s="594"/>
      <c r="K127" s="609"/>
      <c r="L127" s="610"/>
      <c r="M127" s="610"/>
      <c r="N127" s="610"/>
      <c r="O127" s="610"/>
      <c r="P127" s="610"/>
      <c r="Q127" s="1090"/>
    </row>
    <row r="128" spans="2:17" ht="24.75" thickBot="1" x14ac:dyDescent="0.3">
      <c r="B128" s="645" t="s">
        <v>8</v>
      </c>
      <c r="C128" s="645" t="s">
        <v>8</v>
      </c>
      <c r="D128" s="630" t="s">
        <v>9</v>
      </c>
      <c r="E128" s="630" t="s">
        <v>11</v>
      </c>
      <c r="F128" s="630" t="s">
        <v>2</v>
      </c>
      <c r="G128" s="1113" t="s">
        <v>3987</v>
      </c>
      <c r="H128" s="630" t="s">
        <v>4101</v>
      </c>
      <c r="I128" s="631" t="s">
        <v>14</v>
      </c>
      <c r="K128" s="609"/>
      <c r="L128" s="610"/>
      <c r="M128" s="610"/>
      <c r="N128" s="610"/>
      <c r="O128" s="610"/>
      <c r="P128" s="610"/>
      <c r="Q128" s="1090"/>
    </row>
    <row r="129" spans="2:17" ht="48.75" customHeight="1" x14ac:dyDescent="0.25">
      <c r="B129" s="649" t="s">
        <v>5104</v>
      </c>
      <c r="C129" s="649"/>
      <c r="D129" s="659" t="s">
        <v>4261</v>
      </c>
      <c r="E129" s="574" t="str">
        <f>+E145</f>
        <v>M</v>
      </c>
      <c r="F129" s="575"/>
      <c r="G129" s="1118">
        <f>SUM(I130:I142)</f>
        <v>181330.5220017969</v>
      </c>
      <c r="H129" s="576"/>
      <c r="I129" s="650"/>
      <c r="K129" s="609" t="str">
        <f>+B129</f>
        <v>5.2</v>
      </c>
      <c r="L129" s="610">
        <f>+I139+I137+I138+I140</f>
        <v>73203.827999999994</v>
      </c>
      <c r="M129" s="610">
        <f>+I130+I142</f>
        <v>24755.388000000003</v>
      </c>
      <c r="N129" s="610">
        <f>SUM(I131:I136)</f>
        <v>82192.478001796873</v>
      </c>
      <c r="O129" s="610">
        <f>+I141</f>
        <v>1178.8280000000002</v>
      </c>
      <c r="P129" s="610">
        <f>SUM(L129:O129)</f>
        <v>181330.5220017969</v>
      </c>
      <c r="Q129" s="1090">
        <f>+G129-P129</f>
        <v>0</v>
      </c>
    </row>
    <row r="130" spans="2:17" x14ac:dyDescent="0.25">
      <c r="B130" s="651" t="s">
        <v>15</v>
      </c>
      <c r="C130" s="651" t="s">
        <v>15</v>
      </c>
      <c r="D130" s="660" t="str">
        <f>+MO!B75</f>
        <v>CUADRILLA AA TIPO 2 (1 OFICIAL + 2 AYUDANTE) (Albañileria)</v>
      </c>
      <c r="E130" s="661" t="str">
        <f>+MO!H52</f>
        <v>DIA</v>
      </c>
      <c r="F130" s="662">
        <v>1</v>
      </c>
      <c r="G130" s="663">
        <f>+MO!H75</f>
        <v>336808</v>
      </c>
      <c r="H130" s="664">
        <v>7.0000000000000007E-2</v>
      </c>
      <c r="I130" s="652">
        <f>(F130*G130*H130)</f>
        <v>23576.560000000001</v>
      </c>
      <c r="K130" s="609"/>
      <c r="L130" s="610"/>
      <c r="M130" s="610"/>
      <c r="N130" s="610"/>
      <c r="O130" s="610"/>
      <c r="P130" s="610"/>
      <c r="Q130" s="1090"/>
    </row>
    <row r="131" spans="2:17" x14ac:dyDescent="0.25">
      <c r="B131" s="651" t="str">
        <f t="shared" ref="B131" si="22">B116</f>
        <v>MAT.</v>
      </c>
      <c r="C131" s="651" t="str">
        <f t="shared" ref="C131:G131" si="23">C116</f>
        <v>MAT.</v>
      </c>
      <c r="D131" s="444" t="str">
        <f t="shared" si="23"/>
        <v>CONCRETO DE 3000 PSI PRODUCCIÓN</v>
      </c>
      <c r="E131" s="579" t="str">
        <f t="shared" si="23"/>
        <v>M3</v>
      </c>
      <c r="F131" s="580">
        <v>1.2999999999999999E-2</v>
      </c>
      <c r="G131" s="581">
        <f t="shared" si="23"/>
        <v>393249.64250000002</v>
      </c>
      <c r="H131" s="582">
        <f>(45/480)</f>
        <v>9.375E-2</v>
      </c>
      <c r="I131" s="652">
        <f>(F131*G131*H131)</f>
        <v>479.27300179687501</v>
      </c>
      <c r="L131" s="610"/>
      <c r="M131" s="610"/>
      <c r="N131" s="610"/>
      <c r="O131" s="610"/>
      <c r="P131" s="610"/>
      <c r="Q131" s="1090"/>
    </row>
    <row r="132" spans="2:17" x14ac:dyDescent="0.25">
      <c r="B132" s="651" t="str">
        <f>B117</f>
        <v>MAT.</v>
      </c>
      <c r="C132" s="651" t="str">
        <f>C117</f>
        <v>MAT.</v>
      </c>
      <c r="D132" s="444" t="str">
        <f>D117</f>
        <v>TABLA BURRA 30 CM * 2.5 CM * 3 M</v>
      </c>
      <c r="E132" s="579" t="str">
        <f>E117</f>
        <v>UNIDAD</v>
      </c>
      <c r="F132" s="580">
        <v>2</v>
      </c>
      <c r="G132" s="581">
        <f>G117</f>
        <v>17100</v>
      </c>
      <c r="H132" s="582">
        <v>1.05</v>
      </c>
      <c r="I132" s="652">
        <f t="shared" ref="I132:I137" si="24">(F132*G132*H132)</f>
        <v>35910</v>
      </c>
      <c r="K132" s="615"/>
      <c r="L132" s="610"/>
      <c r="M132" s="610"/>
      <c r="N132" s="610"/>
      <c r="O132" s="610"/>
      <c r="Q132" s="1091"/>
    </row>
    <row r="133" spans="2:17" x14ac:dyDescent="0.25">
      <c r="B133" s="651" t="str">
        <f t="shared" ref="B133" si="25">B118</f>
        <v>MAT.</v>
      </c>
      <c r="C133" s="651" t="str">
        <f t="shared" ref="C133:G133" si="26">C118</f>
        <v>MAT.</v>
      </c>
      <c r="D133" s="444" t="str">
        <f t="shared" si="26"/>
        <v>LISTON 2*4"</v>
      </c>
      <c r="E133" s="579" t="str">
        <f t="shared" si="26"/>
        <v>UNIDAD</v>
      </c>
      <c r="F133" s="580">
        <v>2</v>
      </c>
      <c r="G133" s="581">
        <f t="shared" si="26"/>
        <v>4484</v>
      </c>
      <c r="H133" s="582">
        <v>1.05</v>
      </c>
      <c r="I133" s="652">
        <f t="shared" si="24"/>
        <v>9416.4</v>
      </c>
      <c r="K133" s="609"/>
      <c r="L133" s="610"/>
      <c r="M133" s="610"/>
      <c r="N133" s="610"/>
      <c r="O133" s="610"/>
      <c r="P133" s="610"/>
      <c r="Q133" s="1090"/>
    </row>
    <row r="134" spans="2:17" x14ac:dyDescent="0.25">
      <c r="B134" s="651" t="str">
        <f t="shared" ref="B134" si="27">B119</f>
        <v>MAT.</v>
      </c>
      <c r="C134" s="651" t="str">
        <f t="shared" ref="C134:G134" si="28">C119</f>
        <v>MAT.</v>
      </c>
      <c r="D134" s="444" t="str">
        <f t="shared" si="28"/>
        <v>PUNTILLA CON CABEZA 2"</v>
      </c>
      <c r="E134" s="579" t="str">
        <f t="shared" si="28"/>
        <v>LIBRA</v>
      </c>
      <c r="F134" s="580">
        <f t="shared" si="28"/>
        <v>0.3</v>
      </c>
      <c r="G134" s="581">
        <f t="shared" si="28"/>
        <v>4956</v>
      </c>
      <c r="H134" s="582">
        <v>1.05</v>
      </c>
      <c r="I134" s="652">
        <f t="shared" si="24"/>
        <v>1561.14</v>
      </c>
      <c r="K134" s="609"/>
      <c r="L134" s="610"/>
      <c r="M134" s="610"/>
      <c r="N134" s="610"/>
      <c r="O134" s="610"/>
      <c r="P134" s="610"/>
      <c r="Q134" s="1090"/>
    </row>
    <row r="135" spans="2:17" x14ac:dyDescent="0.25">
      <c r="B135" s="651" t="str">
        <f t="shared" ref="B135" si="29">B120</f>
        <v>MAT.</v>
      </c>
      <c r="C135" s="651" t="str">
        <f t="shared" ref="C135:G135" si="30">C120</f>
        <v>MAT.</v>
      </c>
      <c r="D135" s="444" t="str">
        <f t="shared" si="30"/>
        <v>ACERO DE REFUERZO DE 60000 PSI</v>
      </c>
      <c r="E135" s="579" t="str">
        <f t="shared" si="30"/>
        <v>KG</v>
      </c>
      <c r="F135" s="580">
        <v>7</v>
      </c>
      <c r="G135" s="581">
        <f t="shared" si="30"/>
        <v>4581</v>
      </c>
      <c r="H135" s="582">
        <v>1.05</v>
      </c>
      <c r="I135" s="652">
        <f t="shared" si="24"/>
        <v>33670.35</v>
      </c>
      <c r="K135" s="609"/>
      <c r="L135" s="610"/>
      <c r="M135" s="610"/>
      <c r="N135" s="610"/>
      <c r="O135" s="610"/>
      <c r="P135" s="610"/>
      <c r="Q135" s="1090"/>
    </row>
    <row r="136" spans="2:17" x14ac:dyDescent="0.25">
      <c r="B136" s="651" t="str">
        <f t="shared" ref="B136" si="31">B121</f>
        <v>MAT.</v>
      </c>
      <c r="C136" s="651" t="str">
        <f t="shared" ref="C136:G136" si="32">C121</f>
        <v>MAT.</v>
      </c>
      <c r="D136" s="444" t="str">
        <f t="shared" si="32"/>
        <v>ALAMBRE NEGRO NO. 18</v>
      </c>
      <c r="E136" s="579" t="str">
        <f t="shared" si="32"/>
        <v>KG</v>
      </c>
      <c r="F136" s="580">
        <f t="shared" si="32"/>
        <v>0.1</v>
      </c>
      <c r="G136" s="581">
        <f t="shared" si="32"/>
        <v>11003</v>
      </c>
      <c r="H136" s="582">
        <v>1.05</v>
      </c>
      <c r="I136" s="652">
        <f t="shared" si="24"/>
        <v>1155.3150000000001</v>
      </c>
      <c r="K136" s="609"/>
      <c r="L136" s="610"/>
      <c r="M136" s="610"/>
      <c r="N136" s="610"/>
      <c r="O136" s="610"/>
      <c r="P136" s="610"/>
      <c r="Q136" s="1090"/>
    </row>
    <row r="137" spans="2:17" ht="24" x14ac:dyDescent="0.25">
      <c r="B137" s="651" t="str">
        <f t="shared" ref="B137" si="33">B122</f>
        <v>EQU.</v>
      </c>
      <c r="C137" s="651" t="str">
        <f t="shared" ref="C137:H137" si="34">C122</f>
        <v>EQU.</v>
      </c>
      <c r="D137" s="444" t="str">
        <f t="shared" si="34"/>
        <v>ANDAMIO METALICO CERTIFICADO, INCLUYE ESCALERILLA CON BARANDAS Y PLATAFORMAS DE TRABAJO</v>
      </c>
      <c r="E137" s="579" t="str">
        <f t="shared" si="34"/>
        <v>DÍA</v>
      </c>
      <c r="F137" s="580">
        <f t="shared" si="34"/>
        <v>1</v>
      </c>
      <c r="G137" s="581">
        <f t="shared" si="34"/>
        <v>8669</v>
      </c>
      <c r="H137" s="582">
        <f t="shared" si="34"/>
        <v>0.1</v>
      </c>
      <c r="I137" s="652">
        <f t="shared" si="24"/>
        <v>866.90000000000009</v>
      </c>
      <c r="K137" s="609"/>
      <c r="L137" s="610"/>
      <c r="M137" s="610"/>
      <c r="N137" s="610"/>
      <c r="O137" s="610"/>
      <c r="P137" s="610"/>
      <c r="Q137" s="1090"/>
    </row>
    <row r="138" spans="2:17" x14ac:dyDescent="0.25">
      <c r="B138" s="651" t="str">
        <f t="shared" ref="B138:C142" si="35">B122</f>
        <v>EQU.</v>
      </c>
      <c r="C138" s="651" t="str">
        <f t="shared" si="35"/>
        <v>EQU.</v>
      </c>
      <c r="D138" s="444" t="str">
        <f>+EQUIPOS!B397</f>
        <v>REGLA VIBRATORIA</v>
      </c>
      <c r="E138" s="579" t="str">
        <f>+EQUIPOS!D397</f>
        <v>dia</v>
      </c>
      <c r="F138" s="580">
        <v>1</v>
      </c>
      <c r="G138" s="581">
        <f>+EQUIPOS!E397</f>
        <v>90931</v>
      </c>
      <c r="H138" s="582">
        <v>0.1</v>
      </c>
      <c r="I138" s="652">
        <f>(F138*G138*H138)</f>
        <v>9093.1</v>
      </c>
      <c r="K138" s="609"/>
      <c r="L138" s="610"/>
      <c r="M138" s="610"/>
      <c r="N138" s="610"/>
      <c r="O138" s="610"/>
      <c r="P138" s="610"/>
      <c r="Q138" s="1090"/>
    </row>
    <row r="139" spans="2:17" x14ac:dyDescent="0.25">
      <c r="B139" s="651" t="str">
        <f t="shared" si="35"/>
        <v>EQU.</v>
      </c>
      <c r="C139" s="651" t="str">
        <f t="shared" si="35"/>
        <v>EQU.</v>
      </c>
      <c r="D139" s="444" t="str">
        <f t="shared" ref="D139:H139" si="36">D123</f>
        <v>VIBRADOR A GASOLINA</v>
      </c>
      <c r="E139" s="579" t="str">
        <f t="shared" si="36"/>
        <v>DÍA</v>
      </c>
      <c r="F139" s="580">
        <f t="shared" si="36"/>
        <v>1</v>
      </c>
      <c r="G139" s="581">
        <f t="shared" si="36"/>
        <v>62065</v>
      </c>
      <c r="H139" s="582">
        <f t="shared" si="36"/>
        <v>1</v>
      </c>
      <c r="I139" s="652">
        <f t="shared" ref="I139:I142" si="37">(F139*G139*H139)</f>
        <v>62065</v>
      </c>
      <c r="K139" s="609"/>
      <c r="L139" s="610"/>
      <c r="M139" s="610"/>
      <c r="N139" s="610"/>
      <c r="O139" s="610"/>
      <c r="P139" s="610"/>
      <c r="Q139" s="1090"/>
    </row>
    <row r="140" spans="2:17" x14ac:dyDescent="0.25">
      <c r="B140" s="651" t="str">
        <f t="shared" si="35"/>
        <v>EQU.</v>
      </c>
      <c r="C140" s="651" t="str">
        <f t="shared" si="35"/>
        <v>EQU.</v>
      </c>
      <c r="D140" s="444" t="str">
        <f t="shared" ref="D140:H140" si="38">D124</f>
        <v>EQUIPO BÁSICO (HERRAMIENTA MENOR)</v>
      </c>
      <c r="E140" s="579" t="str">
        <f t="shared" si="38"/>
        <v>%M.O</v>
      </c>
      <c r="F140" s="580">
        <f t="shared" si="38"/>
        <v>1</v>
      </c>
      <c r="G140" s="581">
        <f>+I130</f>
        <v>23576.560000000001</v>
      </c>
      <c r="H140" s="582">
        <f t="shared" si="38"/>
        <v>0.05</v>
      </c>
      <c r="I140" s="652">
        <f t="shared" si="37"/>
        <v>1178.8280000000002</v>
      </c>
      <c r="K140" s="609"/>
      <c r="L140" s="610"/>
      <c r="M140" s="610"/>
      <c r="N140" s="610"/>
      <c r="O140" s="610"/>
      <c r="P140" s="610"/>
      <c r="Q140" s="1090"/>
    </row>
    <row r="141" spans="2:17" x14ac:dyDescent="0.25">
      <c r="B141" s="651" t="str">
        <f t="shared" si="35"/>
        <v>TRANS.</v>
      </c>
      <c r="C141" s="651" t="str">
        <f t="shared" si="35"/>
        <v>TRANS.</v>
      </c>
      <c r="D141" s="444" t="str">
        <f t="shared" ref="D141:H141" si="39">D125</f>
        <v>EQUIPO DE TRANSPORTE</v>
      </c>
      <c r="E141" s="579" t="str">
        <f t="shared" si="39"/>
        <v>%M.O</v>
      </c>
      <c r="F141" s="580">
        <f t="shared" si="39"/>
        <v>1</v>
      </c>
      <c r="G141" s="581">
        <f>+I130</f>
        <v>23576.560000000001</v>
      </c>
      <c r="H141" s="582">
        <f t="shared" si="39"/>
        <v>0.05</v>
      </c>
      <c r="I141" s="652">
        <f t="shared" si="37"/>
        <v>1178.8280000000002</v>
      </c>
      <c r="K141" s="609"/>
      <c r="L141" s="610"/>
      <c r="M141" s="610"/>
      <c r="N141" s="610"/>
      <c r="O141" s="610"/>
      <c r="P141" s="610"/>
      <c r="Q141" s="1090"/>
    </row>
    <row r="142" spans="2:17" ht="15.75" thickBot="1" x14ac:dyDescent="0.3">
      <c r="B142" s="653" t="str">
        <f t="shared" si="35"/>
        <v>TRANS.</v>
      </c>
      <c r="C142" s="653" t="str">
        <f t="shared" si="35"/>
        <v>TRANS.</v>
      </c>
      <c r="D142" s="654" t="str">
        <f t="shared" ref="D142:H142" si="40">D126</f>
        <v>ACARREO INTERNO</v>
      </c>
      <c r="E142" s="655" t="str">
        <f t="shared" si="40"/>
        <v>%M.O</v>
      </c>
      <c r="F142" s="656">
        <f t="shared" si="40"/>
        <v>1</v>
      </c>
      <c r="G142" s="1119">
        <f>+I130</f>
        <v>23576.560000000001</v>
      </c>
      <c r="H142" s="657">
        <f t="shared" si="40"/>
        <v>0.05</v>
      </c>
      <c r="I142" s="652">
        <f t="shared" si="37"/>
        <v>1178.8280000000002</v>
      </c>
      <c r="K142" s="609"/>
      <c r="L142" s="610"/>
      <c r="M142" s="610"/>
      <c r="N142" s="610"/>
      <c r="O142" s="610"/>
      <c r="P142" s="610"/>
      <c r="Q142" s="1090"/>
    </row>
    <row r="143" spans="2:17" ht="15.75" thickBot="1" x14ac:dyDescent="0.3">
      <c r="H143" s="594"/>
      <c r="K143" s="609"/>
      <c r="L143" s="610"/>
      <c r="M143" s="610"/>
      <c r="N143" s="610"/>
      <c r="O143" s="610"/>
      <c r="P143" s="610"/>
      <c r="Q143" s="1090"/>
    </row>
    <row r="144" spans="2:17" ht="24.75" thickBot="1" x14ac:dyDescent="0.3">
      <c r="B144" s="595" t="s">
        <v>8</v>
      </c>
      <c r="C144" s="595" t="s">
        <v>8</v>
      </c>
      <c r="D144" s="665" t="s">
        <v>9</v>
      </c>
      <c r="E144" s="665" t="s">
        <v>11</v>
      </c>
      <c r="F144" s="665" t="s">
        <v>2</v>
      </c>
      <c r="G144" s="1120" t="s">
        <v>3987</v>
      </c>
      <c r="H144" s="665" t="s">
        <v>4101</v>
      </c>
      <c r="I144" s="666" t="s">
        <v>14</v>
      </c>
      <c r="K144" s="609"/>
      <c r="L144" s="610"/>
      <c r="M144" s="610"/>
      <c r="N144" s="610"/>
      <c r="O144" s="610"/>
      <c r="P144" s="610"/>
      <c r="Q144" s="1090"/>
    </row>
    <row r="145" spans="2:17" ht="36" x14ac:dyDescent="0.25">
      <c r="B145" s="649" t="s">
        <v>5105</v>
      </c>
      <c r="C145" s="649"/>
      <c r="D145" s="573" t="s">
        <v>4102</v>
      </c>
      <c r="E145" s="574" t="s">
        <v>1027</v>
      </c>
      <c r="F145" s="575"/>
      <c r="G145" s="1118">
        <f>SUM(I146:I159)</f>
        <v>204804.70561953122</v>
      </c>
      <c r="H145" s="576"/>
      <c r="I145" s="650"/>
      <c r="K145" s="609" t="str">
        <f>+B145</f>
        <v>5.3</v>
      </c>
      <c r="L145" s="610">
        <f>+I155+I153+I154+I156+I157</f>
        <v>82828.131999999998</v>
      </c>
      <c r="M145" s="610">
        <f>+I146+I159</f>
        <v>28291.871999999999</v>
      </c>
      <c r="N145" s="610">
        <f>SUM(I147:I152)</f>
        <v>92337.469619531243</v>
      </c>
      <c r="O145" s="610">
        <f>+I158</f>
        <v>1347.232</v>
      </c>
      <c r="P145" s="610">
        <f>SUM(L145:O145)</f>
        <v>204804.70561953125</v>
      </c>
      <c r="Q145" s="1090">
        <f>+G145-P145</f>
        <v>0</v>
      </c>
    </row>
    <row r="146" spans="2:17" x14ac:dyDescent="0.25">
      <c r="B146" s="651" t="s">
        <v>15</v>
      </c>
      <c r="C146" s="651" t="s">
        <v>15</v>
      </c>
      <c r="D146" s="444" t="str">
        <f>+MO!B75</f>
        <v>CUADRILLA AA TIPO 2 (1 OFICIAL + 2 AYUDANTE) (Albañileria)</v>
      </c>
      <c r="E146" s="579" t="str">
        <f>+E130</f>
        <v>DIA</v>
      </c>
      <c r="F146" s="580">
        <v>1</v>
      </c>
      <c r="G146" s="581">
        <f>+MO!H75</f>
        <v>336808</v>
      </c>
      <c r="H146" s="582">
        <v>0.08</v>
      </c>
      <c r="I146" s="652">
        <f>(F146*G146*H146)</f>
        <v>26944.639999999999</v>
      </c>
      <c r="K146" s="609"/>
      <c r="L146" s="610"/>
      <c r="M146" s="610"/>
      <c r="N146" s="610"/>
      <c r="O146" s="610"/>
      <c r="P146" s="610"/>
      <c r="Q146" s="1090"/>
    </row>
    <row r="147" spans="2:17" x14ac:dyDescent="0.25">
      <c r="B147" s="651" t="str">
        <f t="shared" ref="B147" si="41">B132</f>
        <v>MAT.</v>
      </c>
      <c r="C147" s="651" t="str">
        <f t="shared" ref="C147:E147" si="42">C132</f>
        <v>MAT.</v>
      </c>
      <c r="D147" s="444" t="str">
        <f>+D131</f>
        <v>CONCRETO DE 3000 PSI PRODUCCIÓN</v>
      </c>
      <c r="E147" s="579" t="str">
        <f t="shared" si="42"/>
        <v>UNIDAD</v>
      </c>
      <c r="F147" s="580">
        <v>0.03</v>
      </c>
      <c r="G147" s="581">
        <f>+G131</f>
        <v>393249.64250000002</v>
      </c>
      <c r="H147" s="582">
        <f>(45/480)</f>
        <v>9.375E-2</v>
      </c>
      <c r="I147" s="652">
        <f>(F147*G147*H147)</f>
        <v>1106.01461953125</v>
      </c>
      <c r="K147" s="609"/>
      <c r="L147" s="610"/>
      <c r="M147" s="610"/>
      <c r="N147" s="610"/>
      <c r="O147" s="610"/>
      <c r="P147" s="610"/>
      <c r="Q147" s="1090"/>
    </row>
    <row r="148" spans="2:17" x14ac:dyDescent="0.25">
      <c r="B148" s="651" t="str">
        <f t="shared" ref="B148" si="43">B132</f>
        <v>MAT.</v>
      </c>
      <c r="C148" s="651" t="str">
        <f t="shared" ref="C148:E149" si="44">C132</f>
        <v>MAT.</v>
      </c>
      <c r="D148" s="444" t="str">
        <f t="shared" si="44"/>
        <v>TABLA BURRA 30 CM * 2.5 CM * 3 M</v>
      </c>
      <c r="E148" s="579" t="str">
        <f t="shared" si="44"/>
        <v>UNIDAD</v>
      </c>
      <c r="F148" s="580">
        <v>2</v>
      </c>
      <c r="G148" s="581">
        <f>G132</f>
        <v>17100</v>
      </c>
      <c r="H148" s="582">
        <v>1.05</v>
      </c>
      <c r="I148" s="652">
        <f>(F148*G148*H148)</f>
        <v>35910</v>
      </c>
      <c r="K148" s="615"/>
      <c r="L148" s="610"/>
      <c r="M148" s="610"/>
      <c r="N148" s="610"/>
      <c r="O148" s="610"/>
      <c r="Q148" s="1091"/>
    </row>
    <row r="149" spans="2:17" x14ac:dyDescent="0.25">
      <c r="B149" s="651" t="str">
        <f t="shared" ref="B149" si="45">B133</f>
        <v>MAT.</v>
      </c>
      <c r="C149" s="651" t="str">
        <f t="shared" si="44"/>
        <v>MAT.</v>
      </c>
      <c r="D149" s="444" t="str">
        <f t="shared" si="44"/>
        <v>LISTON 2*4"</v>
      </c>
      <c r="E149" s="579" t="str">
        <f t="shared" si="44"/>
        <v>UNIDAD</v>
      </c>
      <c r="F149" s="580">
        <v>3</v>
      </c>
      <c r="G149" s="581">
        <f>G133</f>
        <v>4484</v>
      </c>
      <c r="H149" s="582">
        <v>1.05</v>
      </c>
      <c r="I149" s="652">
        <f t="shared" ref="I149:I154" si="46">(F149*G149*H149)</f>
        <v>14124.6</v>
      </c>
      <c r="K149" s="609"/>
      <c r="L149" s="610"/>
      <c r="M149" s="610"/>
      <c r="N149" s="610"/>
      <c r="O149" s="610"/>
      <c r="P149" s="610"/>
      <c r="Q149" s="1090"/>
    </row>
    <row r="150" spans="2:17" x14ac:dyDescent="0.25">
      <c r="B150" s="651" t="str">
        <f t="shared" ref="B150" si="47">B134</f>
        <v>MAT.</v>
      </c>
      <c r="C150" s="651" t="str">
        <f t="shared" ref="C150:G150" si="48">C134</f>
        <v>MAT.</v>
      </c>
      <c r="D150" s="444" t="str">
        <f t="shared" si="48"/>
        <v>PUNTILLA CON CABEZA 2"</v>
      </c>
      <c r="E150" s="579" t="str">
        <f t="shared" si="48"/>
        <v>LIBRA</v>
      </c>
      <c r="F150" s="580">
        <f t="shared" si="48"/>
        <v>0.3</v>
      </c>
      <c r="G150" s="581">
        <f t="shared" si="48"/>
        <v>4956</v>
      </c>
      <c r="H150" s="582">
        <v>1.05</v>
      </c>
      <c r="I150" s="652">
        <f t="shared" si="46"/>
        <v>1561.14</v>
      </c>
      <c r="K150" s="609"/>
      <c r="L150" s="610"/>
      <c r="M150" s="610"/>
      <c r="N150" s="610"/>
      <c r="O150" s="610"/>
      <c r="P150" s="610"/>
      <c r="Q150" s="1090"/>
    </row>
    <row r="151" spans="2:17" x14ac:dyDescent="0.25">
      <c r="B151" s="651" t="str">
        <f t="shared" ref="B151" si="49">B135</f>
        <v>MAT.</v>
      </c>
      <c r="C151" s="651" t="str">
        <f t="shared" ref="C151:G151" si="50">C135</f>
        <v>MAT.</v>
      </c>
      <c r="D151" s="444" t="str">
        <f t="shared" si="50"/>
        <v>ACERO DE REFUERZO DE 60000 PSI</v>
      </c>
      <c r="E151" s="579" t="str">
        <f t="shared" si="50"/>
        <v>KG</v>
      </c>
      <c r="F151" s="580">
        <v>8</v>
      </c>
      <c r="G151" s="581">
        <f t="shared" si="50"/>
        <v>4581</v>
      </c>
      <c r="H151" s="582">
        <v>1.05</v>
      </c>
      <c r="I151" s="652">
        <f t="shared" si="46"/>
        <v>38480.400000000001</v>
      </c>
      <c r="K151" s="609"/>
      <c r="L151" s="610"/>
      <c r="M151" s="610"/>
      <c r="N151" s="610"/>
      <c r="O151" s="610"/>
      <c r="P151" s="610"/>
      <c r="Q151" s="1090"/>
    </row>
    <row r="152" spans="2:17" x14ac:dyDescent="0.25">
      <c r="B152" s="651" t="str">
        <f t="shared" ref="B152" si="51">B136</f>
        <v>MAT.</v>
      </c>
      <c r="C152" s="651" t="str">
        <f t="shared" ref="C152:G152" si="52">C136</f>
        <v>MAT.</v>
      </c>
      <c r="D152" s="444" t="str">
        <f t="shared" si="52"/>
        <v>ALAMBRE NEGRO NO. 18</v>
      </c>
      <c r="E152" s="579" t="str">
        <f t="shared" si="52"/>
        <v>KG</v>
      </c>
      <c r="F152" s="580">
        <f t="shared" si="52"/>
        <v>0.1</v>
      </c>
      <c r="G152" s="581">
        <f t="shared" si="52"/>
        <v>11003</v>
      </c>
      <c r="H152" s="582">
        <v>1.05</v>
      </c>
      <c r="I152" s="652">
        <f t="shared" si="46"/>
        <v>1155.3150000000001</v>
      </c>
      <c r="K152" s="609"/>
      <c r="L152" s="610"/>
      <c r="M152" s="610"/>
      <c r="N152" s="610"/>
      <c r="O152" s="610"/>
      <c r="P152" s="610"/>
      <c r="Q152" s="1090"/>
    </row>
    <row r="153" spans="2:17" ht="24" x14ac:dyDescent="0.25">
      <c r="B153" s="651" t="str">
        <f t="shared" ref="B153" si="53">B137</f>
        <v>EQU.</v>
      </c>
      <c r="C153" s="651" t="str">
        <f t="shared" ref="C153:H153" si="54">C137</f>
        <v>EQU.</v>
      </c>
      <c r="D153" s="444" t="str">
        <f t="shared" si="54"/>
        <v>ANDAMIO METALICO CERTIFICADO, INCLUYE ESCALERILLA CON BARANDAS Y PLATAFORMAS DE TRABAJO</v>
      </c>
      <c r="E153" s="579" t="str">
        <f t="shared" si="54"/>
        <v>DÍA</v>
      </c>
      <c r="F153" s="580">
        <f t="shared" si="54"/>
        <v>1</v>
      </c>
      <c r="G153" s="581">
        <f t="shared" si="54"/>
        <v>8669</v>
      </c>
      <c r="H153" s="582">
        <f t="shared" si="54"/>
        <v>0.1</v>
      </c>
      <c r="I153" s="652">
        <f t="shared" si="46"/>
        <v>866.90000000000009</v>
      </c>
      <c r="K153" s="609"/>
      <c r="L153" s="610"/>
      <c r="M153" s="610"/>
      <c r="N153" s="610"/>
      <c r="O153" s="610"/>
      <c r="P153" s="610"/>
      <c r="Q153" s="1090"/>
    </row>
    <row r="154" spans="2:17" x14ac:dyDescent="0.25">
      <c r="B154" s="651" t="str">
        <f t="shared" ref="B154" si="55">B138</f>
        <v>EQU.</v>
      </c>
      <c r="C154" s="651" t="str">
        <f t="shared" ref="C154:H154" si="56">C138</f>
        <v>EQU.</v>
      </c>
      <c r="D154" s="444" t="str">
        <f t="shared" si="56"/>
        <v>REGLA VIBRATORIA</v>
      </c>
      <c r="E154" s="579" t="str">
        <f t="shared" si="56"/>
        <v>dia</v>
      </c>
      <c r="F154" s="580">
        <f t="shared" si="56"/>
        <v>1</v>
      </c>
      <c r="G154" s="581">
        <f t="shared" si="56"/>
        <v>90931</v>
      </c>
      <c r="H154" s="582">
        <f t="shared" si="56"/>
        <v>0.1</v>
      </c>
      <c r="I154" s="652">
        <f t="shared" si="46"/>
        <v>9093.1</v>
      </c>
      <c r="K154" s="609"/>
      <c r="L154" s="610"/>
      <c r="M154" s="610"/>
      <c r="N154" s="610"/>
      <c r="O154" s="610"/>
      <c r="P154" s="610"/>
      <c r="Q154" s="1090"/>
    </row>
    <row r="155" spans="2:17" x14ac:dyDescent="0.25">
      <c r="B155" s="651" t="str">
        <f t="shared" ref="B155:C159" si="57">B138</f>
        <v>EQU.</v>
      </c>
      <c r="C155" s="651" t="str">
        <f t="shared" si="57"/>
        <v>EQU.</v>
      </c>
      <c r="D155" s="444" t="str">
        <f>+EQUIPOS!B413</f>
        <v>ALLANADORA MECANICA CON CUCHILLAS</v>
      </c>
      <c r="E155" s="579" t="str">
        <f>+EQUIPOS!D413</f>
        <v>dia</v>
      </c>
      <c r="F155" s="580">
        <v>1</v>
      </c>
      <c r="G155" s="581">
        <f>+EQUIPOS!E413</f>
        <v>94559</v>
      </c>
      <c r="H155" s="582">
        <v>0.1</v>
      </c>
      <c r="I155" s="652">
        <f>(F155*G155*H155)</f>
        <v>9455.9</v>
      </c>
      <c r="K155" s="609"/>
      <c r="L155" s="610"/>
      <c r="M155" s="610"/>
      <c r="N155" s="610"/>
      <c r="O155" s="610"/>
      <c r="P155" s="610"/>
      <c r="Q155" s="1090"/>
    </row>
    <row r="156" spans="2:17" x14ac:dyDescent="0.25">
      <c r="B156" s="651" t="str">
        <f t="shared" si="57"/>
        <v>EQU.</v>
      </c>
      <c r="C156" s="651" t="str">
        <f t="shared" si="57"/>
        <v>EQU.</v>
      </c>
      <c r="D156" s="444" t="str">
        <f t="shared" ref="D156:H156" si="58">D139</f>
        <v>VIBRADOR A GASOLINA</v>
      </c>
      <c r="E156" s="579" t="str">
        <f t="shared" si="58"/>
        <v>DÍA</v>
      </c>
      <c r="F156" s="580">
        <f t="shared" si="58"/>
        <v>1</v>
      </c>
      <c r="G156" s="581">
        <f t="shared" si="58"/>
        <v>62065</v>
      </c>
      <c r="H156" s="582">
        <f t="shared" si="58"/>
        <v>1</v>
      </c>
      <c r="I156" s="652">
        <f t="shared" ref="I156:I159" si="59">(F156*G156*H156)</f>
        <v>62065</v>
      </c>
      <c r="K156" s="609"/>
      <c r="L156" s="610"/>
      <c r="M156" s="610"/>
      <c r="N156" s="610"/>
      <c r="O156" s="610"/>
      <c r="P156" s="610"/>
      <c r="Q156" s="1090"/>
    </row>
    <row r="157" spans="2:17" x14ac:dyDescent="0.25">
      <c r="B157" s="651" t="str">
        <f t="shared" si="57"/>
        <v>EQU.</v>
      </c>
      <c r="C157" s="651" t="str">
        <f t="shared" si="57"/>
        <v>EQU.</v>
      </c>
      <c r="D157" s="444" t="str">
        <f t="shared" ref="D157:F157" si="60">D140</f>
        <v>EQUIPO BÁSICO (HERRAMIENTA MENOR)</v>
      </c>
      <c r="E157" s="579" t="str">
        <f t="shared" si="60"/>
        <v>%M.O</v>
      </c>
      <c r="F157" s="580">
        <f t="shared" si="60"/>
        <v>1</v>
      </c>
      <c r="G157" s="581">
        <f>+I146</f>
        <v>26944.639999999999</v>
      </c>
      <c r="H157" s="582">
        <f t="shared" ref="H157" si="61">H140</f>
        <v>0.05</v>
      </c>
      <c r="I157" s="652">
        <f t="shared" si="59"/>
        <v>1347.232</v>
      </c>
      <c r="K157" s="609"/>
      <c r="L157" s="610"/>
      <c r="M157" s="610"/>
      <c r="N157" s="610"/>
      <c r="O157" s="610"/>
      <c r="P157" s="610"/>
      <c r="Q157" s="1090"/>
    </row>
    <row r="158" spans="2:17" x14ac:dyDescent="0.25">
      <c r="B158" s="651" t="str">
        <f t="shared" si="57"/>
        <v>TRANS.</v>
      </c>
      <c r="C158" s="651" t="str">
        <f t="shared" si="57"/>
        <v>TRANS.</v>
      </c>
      <c r="D158" s="444" t="str">
        <f t="shared" ref="D158:F158" si="62">D141</f>
        <v>EQUIPO DE TRANSPORTE</v>
      </c>
      <c r="E158" s="579" t="str">
        <f t="shared" si="62"/>
        <v>%M.O</v>
      </c>
      <c r="F158" s="580">
        <f t="shared" si="62"/>
        <v>1</v>
      </c>
      <c r="G158" s="581">
        <f>+I146</f>
        <v>26944.639999999999</v>
      </c>
      <c r="H158" s="582">
        <f t="shared" ref="H158" si="63">H141</f>
        <v>0.05</v>
      </c>
      <c r="I158" s="652">
        <f t="shared" si="59"/>
        <v>1347.232</v>
      </c>
      <c r="K158" s="609"/>
      <c r="L158" s="610"/>
      <c r="M158" s="610"/>
      <c r="N158" s="610"/>
      <c r="O158" s="610"/>
      <c r="P158" s="610"/>
      <c r="Q158" s="1090"/>
    </row>
    <row r="159" spans="2:17" ht="15.75" thickBot="1" x14ac:dyDescent="0.3">
      <c r="B159" s="653" t="str">
        <f t="shared" si="57"/>
        <v>TRANS.</v>
      </c>
      <c r="C159" s="653" t="str">
        <f t="shared" si="57"/>
        <v>TRANS.</v>
      </c>
      <c r="D159" s="654" t="str">
        <f t="shared" ref="D159:F159" si="64">D142</f>
        <v>ACARREO INTERNO</v>
      </c>
      <c r="E159" s="655" t="str">
        <f t="shared" si="64"/>
        <v>%M.O</v>
      </c>
      <c r="F159" s="656">
        <f t="shared" si="64"/>
        <v>1</v>
      </c>
      <c r="G159" s="1119">
        <f>+I146</f>
        <v>26944.639999999999</v>
      </c>
      <c r="H159" s="657">
        <f t="shared" ref="H159" si="65">H142</f>
        <v>0.05</v>
      </c>
      <c r="I159" s="658">
        <f t="shared" si="59"/>
        <v>1347.232</v>
      </c>
      <c r="K159" s="609"/>
      <c r="L159" s="610"/>
      <c r="M159" s="610"/>
      <c r="N159" s="610"/>
      <c r="O159" s="610"/>
      <c r="P159" s="610"/>
      <c r="Q159" s="1090"/>
    </row>
    <row r="160" spans="2:17" ht="15.75" thickBot="1" x14ac:dyDescent="0.3">
      <c r="B160" s="620"/>
      <c r="C160" s="620"/>
      <c r="D160" s="621"/>
      <c r="E160" s="622"/>
      <c r="F160" s="623"/>
      <c r="G160" s="624"/>
      <c r="H160" s="625"/>
      <c r="I160" s="626"/>
      <c r="K160" s="609"/>
      <c r="L160" s="627"/>
      <c r="M160" s="627"/>
      <c r="N160" s="627"/>
      <c r="O160" s="627"/>
      <c r="P160" s="627"/>
      <c r="Q160" s="1090"/>
    </row>
    <row r="161" spans="2:17" ht="24.75" thickBot="1" x14ac:dyDescent="0.3">
      <c r="B161" s="595" t="s">
        <v>8</v>
      </c>
      <c r="C161" s="595" t="s">
        <v>8</v>
      </c>
      <c r="D161" s="665" t="s">
        <v>9</v>
      </c>
      <c r="E161" s="665" t="s">
        <v>11</v>
      </c>
      <c r="F161" s="665" t="s">
        <v>2</v>
      </c>
      <c r="G161" s="1120" t="s">
        <v>3987</v>
      </c>
      <c r="H161" s="665" t="s">
        <v>4101</v>
      </c>
      <c r="I161" s="666" t="s">
        <v>14</v>
      </c>
      <c r="K161" s="609"/>
      <c r="L161" s="610"/>
      <c r="M161" s="610"/>
      <c r="N161" s="610"/>
      <c r="O161" s="610"/>
      <c r="P161" s="610"/>
      <c r="Q161" s="1090"/>
    </row>
    <row r="162" spans="2:17" ht="36" x14ac:dyDescent="0.25">
      <c r="B162" s="649" t="s">
        <v>4446</v>
      </c>
      <c r="C162" s="649"/>
      <c r="D162" s="573" t="s">
        <v>4243</v>
      </c>
      <c r="E162" s="574" t="s">
        <v>4104</v>
      </c>
      <c r="F162" s="575"/>
      <c r="G162" s="1118">
        <f>SUM(I163:I172)</f>
        <v>105070.68382400002</v>
      </c>
      <c r="H162" s="667"/>
      <c r="I162" s="650"/>
      <c r="K162" s="609" t="str">
        <f>+B162</f>
        <v>10.1</v>
      </c>
      <c r="L162" s="610">
        <f>SUM(I168:I170)</f>
        <v>3972.643</v>
      </c>
      <c r="M162" s="610">
        <f>+I163+I172</f>
        <v>44206.05</v>
      </c>
      <c r="N162" s="610">
        <f>SUM(I164:I167)</f>
        <v>54786.940824000012</v>
      </c>
      <c r="O162" s="610">
        <f>+I171</f>
        <v>2105.0500000000002</v>
      </c>
      <c r="P162" s="610">
        <f>SUM(L162:O162)</f>
        <v>105070.68382400002</v>
      </c>
      <c r="Q162" s="1090">
        <f>+G162-P162</f>
        <v>0</v>
      </c>
    </row>
    <row r="163" spans="2:17" x14ac:dyDescent="0.25">
      <c r="B163" s="668" t="s">
        <v>15</v>
      </c>
      <c r="C163" s="668" t="s">
        <v>15</v>
      </c>
      <c r="D163" s="444" t="str">
        <f>+MO!B75</f>
        <v>CUADRILLA AA TIPO 2 (1 OFICIAL + 2 AYUDANTE) (Albañileria)</v>
      </c>
      <c r="E163" s="579" t="s">
        <v>202</v>
      </c>
      <c r="F163" s="580">
        <v>1</v>
      </c>
      <c r="G163" s="581">
        <f>+MO!H75</f>
        <v>336808</v>
      </c>
      <c r="H163" s="582">
        <f>(60/480)</f>
        <v>0.125</v>
      </c>
      <c r="I163" s="652">
        <f>(F163*G163*H163)</f>
        <v>42101</v>
      </c>
      <c r="K163" s="609"/>
      <c r="L163" s="610"/>
      <c r="M163" s="610"/>
      <c r="N163" s="610"/>
      <c r="O163" s="610"/>
      <c r="P163" s="610"/>
      <c r="Q163" s="1090"/>
    </row>
    <row r="164" spans="2:17" x14ac:dyDescent="0.25">
      <c r="B164" s="669" t="s">
        <v>4083</v>
      </c>
      <c r="C164" s="669" t="s">
        <v>4083</v>
      </c>
      <c r="D164" s="444" t="str">
        <f>+INSUMOS!B119</f>
        <v>TEJA ONDULADA FIBROCEMENTO PERFIL 7 0,92x1,52M</v>
      </c>
      <c r="E164" s="579" t="str">
        <f>+INSUMOS!D119</f>
        <v>UN</v>
      </c>
      <c r="F164" s="580">
        <v>0.8</v>
      </c>
      <c r="G164" s="581">
        <f>+INSUMOS!E119</f>
        <v>31691.298600000002</v>
      </c>
      <c r="H164" s="582">
        <v>1.05</v>
      </c>
      <c r="I164" s="652">
        <f t="shared" ref="I164:I172" si="66">(F164*G164*H164)</f>
        <v>26620.690824000005</v>
      </c>
      <c r="L164" s="610"/>
      <c r="M164" s="610"/>
      <c r="N164" s="610"/>
      <c r="O164" s="610"/>
      <c r="P164" s="610"/>
      <c r="Q164" s="1090"/>
    </row>
    <row r="165" spans="2:17" x14ac:dyDescent="0.25">
      <c r="B165" s="669" t="s">
        <v>4083</v>
      </c>
      <c r="C165" s="669" t="s">
        <v>4083</v>
      </c>
      <c r="D165" s="444" t="str">
        <f>+INSUMOS!B132</f>
        <v>PERFIL METÁLICO DE  2"*4" CAL 14 6 M</v>
      </c>
      <c r="E165" s="579" t="str">
        <f>+INSUMOS!D132</f>
        <v>M</v>
      </c>
      <c r="F165" s="580">
        <v>1.8</v>
      </c>
      <c r="G165" s="581">
        <f>+INSUMOS!E132</f>
        <v>12497</v>
      </c>
      <c r="H165" s="582">
        <v>1.05</v>
      </c>
      <c r="I165" s="652">
        <f t="shared" si="66"/>
        <v>23619.33</v>
      </c>
      <c r="K165" s="615"/>
      <c r="L165" s="610"/>
      <c r="M165" s="610"/>
      <c r="N165" s="610"/>
      <c r="O165" s="610"/>
      <c r="Q165" s="1091"/>
    </row>
    <row r="166" spans="2:17" ht="24" x14ac:dyDescent="0.25">
      <c r="B166" s="670" t="s">
        <v>4083</v>
      </c>
      <c r="C166" s="670" t="s">
        <v>4083</v>
      </c>
      <c r="D166" s="444" t="str">
        <f>+INSUMOS!B120</f>
        <v>TORNILLO AUTOPERFORANTE TEJA TIPO CINDU O SIMILAR Ø3/4"</v>
      </c>
      <c r="E166" s="445" t="str">
        <f>+INSUMOS!D120</f>
        <v>UN</v>
      </c>
      <c r="F166" s="580">
        <v>8</v>
      </c>
      <c r="G166" s="581">
        <f>+INSUMOS!E120</f>
        <v>412</v>
      </c>
      <c r="H166" s="582">
        <v>1.05</v>
      </c>
      <c r="I166" s="652">
        <f t="shared" si="66"/>
        <v>3460.8</v>
      </c>
      <c r="K166" s="609"/>
      <c r="L166" s="610"/>
      <c r="M166" s="610"/>
      <c r="N166" s="610"/>
      <c r="O166" s="610"/>
      <c r="P166" s="610"/>
      <c r="Q166" s="1090"/>
    </row>
    <row r="167" spans="2:17" x14ac:dyDescent="0.25">
      <c r="B167" s="669" t="s">
        <v>205</v>
      </c>
      <c r="C167" s="669" t="s">
        <v>205</v>
      </c>
      <c r="D167" s="444" t="str">
        <f>+EQUIPOS!B1111</f>
        <v>TELERA 20 CM X 4 CM X 3 M.</v>
      </c>
      <c r="E167" s="445" t="str">
        <f>+EQUIPOS!D1111</f>
        <v>M</v>
      </c>
      <c r="F167" s="580">
        <v>0.1</v>
      </c>
      <c r="G167" s="581">
        <f>+EQUIPOS!E1111</f>
        <v>10344</v>
      </c>
      <c r="H167" s="582">
        <v>1.05</v>
      </c>
      <c r="I167" s="652">
        <f>(F167*G167*H167)</f>
        <v>1086.1200000000001</v>
      </c>
      <c r="K167" s="609"/>
      <c r="L167" s="610"/>
      <c r="M167" s="610"/>
      <c r="N167" s="610"/>
      <c r="O167" s="610"/>
      <c r="P167" s="610"/>
      <c r="Q167" s="1090"/>
    </row>
    <row r="168" spans="2:17" ht="24" x14ac:dyDescent="0.25">
      <c r="B168" s="669" t="s">
        <v>205</v>
      </c>
      <c r="C168" s="669" t="s">
        <v>205</v>
      </c>
      <c r="D168" s="444" t="str">
        <f>+EQUIPOS!B382</f>
        <v>ANDAMIO METALICO CERTIFICADO, INCLUYE ESCALERILLA CON BARANDAS Y PLATAFORMAS DE TRABAJO</v>
      </c>
      <c r="E168" s="445" t="str">
        <f>+EQUIPOS!D382</f>
        <v>DÍA</v>
      </c>
      <c r="F168" s="580">
        <v>0.18</v>
      </c>
      <c r="G168" s="581">
        <f>+EQUIPOS!E382</f>
        <v>8669</v>
      </c>
      <c r="H168" s="582">
        <v>1.05</v>
      </c>
      <c r="I168" s="652">
        <f>(F168*G168*H168)</f>
        <v>1638.4409999999998</v>
      </c>
      <c r="K168" s="609"/>
      <c r="L168" s="610"/>
      <c r="M168" s="610"/>
      <c r="N168" s="610"/>
      <c r="O168" s="610"/>
      <c r="P168" s="610"/>
      <c r="Q168" s="1090"/>
    </row>
    <row r="169" spans="2:17" x14ac:dyDescent="0.25">
      <c r="B169" s="670" t="s">
        <v>205</v>
      </c>
      <c r="C169" s="670" t="s">
        <v>205</v>
      </c>
      <c r="D169" s="444" t="str">
        <f>+EQUIPOS!B461</f>
        <v>ANDAMIO COLGANTE</v>
      </c>
      <c r="E169" s="445" t="str">
        <f>+EQUIPOS!D461</f>
        <v>DÍA</v>
      </c>
      <c r="F169" s="580">
        <v>0.08</v>
      </c>
      <c r="G169" s="581">
        <f>+EQUIPOS!E461</f>
        <v>2728</v>
      </c>
      <c r="H169" s="582">
        <v>1.05</v>
      </c>
      <c r="I169" s="652">
        <f>(F169*G169*H169)</f>
        <v>229.15200000000002</v>
      </c>
      <c r="K169" s="609"/>
      <c r="L169" s="610"/>
      <c r="M169" s="610"/>
      <c r="N169" s="610"/>
      <c r="O169" s="610"/>
      <c r="P169" s="610"/>
      <c r="Q169" s="1090"/>
    </row>
    <row r="170" spans="2:17" x14ac:dyDescent="0.25">
      <c r="B170" s="670" t="s">
        <v>205</v>
      </c>
      <c r="C170" s="670" t="s">
        <v>205</v>
      </c>
      <c r="D170" s="444" t="s">
        <v>4146</v>
      </c>
      <c r="E170" s="445" t="s">
        <v>4025</v>
      </c>
      <c r="F170" s="580">
        <v>1</v>
      </c>
      <c r="G170" s="581">
        <f>+I163</f>
        <v>42101</v>
      </c>
      <c r="H170" s="445">
        <v>0.05</v>
      </c>
      <c r="I170" s="652">
        <f t="shared" si="66"/>
        <v>2105.0500000000002</v>
      </c>
      <c r="K170" s="609"/>
      <c r="L170" s="610"/>
      <c r="M170" s="610"/>
      <c r="N170" s="610"/>
      <c r="O170" s="610"/>
      <c r="P170" s="610"/>
      <c r="Q170" s="1090"/>
    </row>
    <row r="171" spans="2:17" x14ac:dyDescent="0.25">
      <c r="B171" s="671" t="s">
        <v>204</v>
      </c>
      <c r="C171" s="671" t="s">
        <v>204</v>
      </c>
      <c r="D171" s="444" t="str">
        <f>+D448</f>
        <v>EQUIPO DE TRANSPOPRTE</v>
      </c>
      <c r="E171" s="445" t="s">
        <v>4025</v>
      </c>
      <c r="F171" s="580">
        <v>1</v>
      </c>
      <c r="G171" s="581">
        <f>+I163</f>
        <v>42101</v>
      </c>
      <c r="H171" s="445">
        <v>0.05</v>
      </c>
      <c r="I171" s="652">
        <f t="shared" si="66"/>
        <v>2105.0500000000002</v>
      </c>
      <c r="K171" s="609"/>
      <c r="L171" s="610"/>
      <c r="M171" s="610"/>
      <c r="N171" s="610"/>
      <c r="O171" s="610"/>
      <c r="P171" s="610"/>
      <c r="Q171" s="1090"/>
    </row>
    <row r="172" spans="2:17" ht="15.75" thickBot="1" x14ac:dyDescent="0.3">
      <c r="B172" s="672" t="s">
        <v>204</v>
      </c>
      <c r="C172" s="672" t="s">
        <v>204</v>
      </c>
      <c r="D172" s="654" t="s">
        <v>18</v>
      </c>
      <c r="E172" s="673" t="s">
        <v>4025</v>
      </c>
      <c r="F172" s="656">
        <v>1</v>
      </c>
      <c r="G172" s="1119">
        <f>+I163</f>
        <v>42101</v>
      </c>
      <c r="H172" s="673">
        <v>0.05</v>
      </c>
      <c r="I172" s="658">
        <f t="shared" si="66"/>
        <v>2105.0500000000002</v>
      </c>
      <c r="K172" s="609"/>
      <c r="L172" s="610"/>
      <c r="M172" s="610"/>
      <c r="N172" s="610"/>
      <c r="O172" s="610"/>
      <c r="P172" s="610"/>
      <c r="Q172" s="1090"/>
    </row>
    <row r="173" spans="2:17" ht="15.75" thickBot="1" x14ac:dyDescent="0.3">
      <c r="B173" s="620"/>
      <c r="C173" s="620"/>
      <c r="D173" s="621"/>
      <c r="E173" s="622"/>
      <c r="F173" s="623"/>
      <c r="G173" s="624"/>
      <c r="H173" s="625"/>
      <c r="I173" s="626"/>
      <c r="K173" s="609"/>
      <c r="L173" s="627"/>
      <c r="M173" s="627"/>
      <c r="N173" s="627"/>
      <c r="O173" s="627"/>
      <c r="P173" s="627"/>
      <c r="Q173" s="1090"/>
    </row>
    <row r="174" spans="2:17" ht="24.75" thickBot="1" x14ac:dyDescent="0.3">
      <c r="B174" s="595" t="s">
        <v>8</v>
      </c>
      <c r="C174" s="595" t="s">
        <v>8</v>
      </c>
      <c r="D174" s="674" t="s">
        <v>9</v>
      </c>
      <c r="E174" s="665" t="s">
        <v>11</v>
      </c>
      <c r="F174" s="665" t="s">
        <v>2</v>
      </c>
      <c r="G174" s="1120" t="s">
        <v>3987</v>
      </c>
      <c r="H174" s="665" t="s">
        <v>4101</v>
      </c>
      <c r="I174" s="666" t="s">
        <v>14</v>
      </c>
      <c r="K174" s="609"/>
      <c r="L174" s="610"/>
      <c r="M174" s="610"/>
      <c r="N174" s="610"/>
      <c r="O174" s="610"/>
      <c r="P174" s="610"/>
      <c r="Q174" s="1090"/>
    </row>
    <row r="175" spans="2:17" ht="24" x14ac:dyDescent="0.25">
      <c r="B175" s="649" t="s">
        <v>4439</v>
      </c>
      <c r="C175" s="649"/>
      <c r="D175" s="573" t="s">
        <v>4252</v>
      </c>
      <c r="E175" s="675" t="s">
        <v>1027</v>
      </c>
      <c r="F175" s="676"/>
      <c r="G175" s="1118">
        <f>SUM(I176:I185)</f>
        <v>132860.78633333332</v>
      </c>
      <c r="H175" s="677"/>
      <c r="I175" s="678"/>
      <c r="K175" s="609" t="str">
        <f>+B175</f>
        <v>4.9</v>
      </c>
      <c r="L175" s="610">
        <f>SUM(I183:I184)</f>
        <v>1347.3763333333332</v>
      </c>
      <c r="M175" s="610">
        <f>+I176+I185</f>
        <v>15884.05</v>
      </c>
      <c r="N175" s="610">
        <f>SUM(I177:I182)</f>
        <v>115629.36</v>
      </c>
      <c r="O175" s="610"/>
      <c r="P175" s="610">
        <f>SUM(L175:O175)</f>
        <v>132860.78633333332</v>
      </c>
      <c r="Q175" s="1090">
        <f>+G175-P175</f>
        <v>0</v>
      </c>
    </row>
    <row r="176" spans="2:17" ht="24" x14ac:dyDescent="0.25">
      <c r="B176" s="671" t="s">
        <v>15</v>
      </c>
      <c r="C176" s="671" t="s">
        <v>15</v>
      </c>
      <c r="D176" s="444" t="str">
        <f>+MO!B78</f>
        <v>CUADRILLA DD TIPO 2 (1 OFICIAL + 2 AYUDANTE) (Carpinteria)</v>
      </c>
      <c r="E176" s="579" t="str">
        <f>+MO!H52</f>
        <v>DIA</v>
      </c>
      <c r="F176" s="679">
        <v>1</v>
      </c>
      <c r="G176" s="581">
        <f>+MO!H78</f>
        <v>363064</v>
      </c>
      <c r="H176" s="580">
        <f>(20/480)</f>
        <v>4.1666666666666664E-2</v>
      </c>
      <c r="I176" s="652">
        <f>(F176*G176*H176)</f>
        <v>15127.666666666666</v>
      </c>
      <c r="K176" s="609"/>
      <c r="L176" s="610"/>
      <c r="M176" s="610"/>
      <c r="N176" s="610"/>
      <c r="O176" s="610"/>
      <c r="P176" s="610"/>
      <c r="Q176" s="1090"/>
    </row>
    <row r="177" spans="2:17" x14ac:dyDescent="0.25">
      <c r="B177" s="671" t="s">
        <v>4083</v>
      </c>
      <c r="C177" s="671" t="s">
        <v>4083</v>
      </c>
      <c r="D177" s="444" t="s">
        <v>4240</v>
      </c>
      <c r="E177" s="579" t="s">
        <v>4241</v>
      </c>
      <c r="F177" s="679">
        <v>0.1</v>
      </c>
      <c r="G177" s="581">
        <v>55000</v>
      </c>
      <c r="H177" s="580">
        <v>1.05</v>
      </c>
      <c r="I177" s="652">
        <f t="shared" ref="I177:I184" si="67">(F177*G177*H177)</f>
        <v>5775</v>
      </c>
      <c r="K177" s="609"/>
      <c r="L177" s="610"/>
      <c r="M177" s="610"/>
      <c r="N177" s="610"/>
      <c r="O177" s="610"/>
      <c r="P177" s="610"/>
      <c r="Q177" s="1090"/>
    </row>
    <row r="178" spans="2:17" ht="24" x14ac:dyDescent="0.25">
      <c r="B178" s="671" t="s">
        <v>4083</v>
      </c>
      <c r="C178" s="671" t="s">
        <v>4083</v>
      </c>
      <c r="D178" s="444" t="str">
        <f>+INSUMOS!B137</f>
        <v xml:space="preserve">WASH PRIMER COMPONENTE A - 1/4 GL  REF. 509A O SIMILAR </v>
      </c>
      <c r="E178" s="579" t="str">
        <f>+INSUMOS!D137</f>
        <v>UN</v>
      </c>
      <c r="F178" s="679">
        <v>0.6</v>
      </c>
      <c r="G178" s="581">
        <f>+INSUMOS!E137</f>
        <v>39262</v>
      </c>
      <c r="H178" s="580">
        <v>1.05</v>
      </c>
      <c r="I178" s="652">
        <f t="shared" si="67"/>
        <v>24735.06</v>
      </c>
      <c r="K178" s="615"/>
      <c r="L178" s="610"/>
      <c r="M178" s="610"/>
      <c r="N178" s="610"/>
      <c r="O178" s="610"/>
      <c r="Q178" s="1091"/>
    </row>
    <row r="179" spans="2:17" ht="24" x14ac:dyDescent="0.25">
      <c r="B179" s="671" t="s">
        <v>4083</v>
      </c>
      <c r="C179" s="671" t="s">
        <v>4083</v>
      </c>
      <c r="D179" s="444" t="str">
        <f>+INSUMOS!B138</f>
        <v>WASH PRIMER COMPONENTE B - 1/4 GL REF. 509B O SIMILAR</v>
      </c>
      <c r="E179" s="579" t="str">
        <f>+INSUMOS!D138</f>
        <v>UN</v>
      </c>
      <c r="F179" s="679">
        <v>0.6</v>
      </c>
      <c r="G179" s="581">
        <f>+INSUMOS!E138</f>
        <v>26175</v>
      </c>
      <c r="H179" s="580">
        <v>1.05</v>
      </c>
      <c r="I179" s="652">
        <f t="shared" si="67"/>
        <v>16490.25</v>
      </c>
      <c r="K179" s="609"/>
      <c r="L179" s="610"/>
      <c r="M179" s="610"/>
      <c r="N179" s="610"/>
      <c r="O179" s="610"/>
      <c r="P179" s="610"/>
      <c r="Q179" s="1090"/>
    </row>
    <row r="180" spans="2:17" ht="24" x14ac:dyDescent="0.25">
      <c r="B180" s="671" t="s">
        <v>4083</v>
      </c>
      <c r="C180" s="671" t="s">
        <v>4083</v>
      </c>
      <c r="D180" s="444" t="str">
        <f>+INSUMOS!B5</f>
        <v>ESMALTE SINTETICO PINTULUX - TIPO PINTUCO REF. SEGÚN COLOR DISEÑO O SIMILAR</v>
      </c>
      <c r="E180" s="579" t="str">
        <f>+INSUMOS!D5</f>
        <v>GALÓN</v>
      </c>
      <c r="F180" s="679">
        <v>0.2</v>
      </c>
      <c r="G180" s="581">
        <f>+INSUMOS!E5</f>
        <v>122755</v>
      </c>
      <c r="H180" s="580">
        <v>1.05</v>
      </c>
      <c r="I180" s="652">
        <f t="shared" si="67"/>
        <v>25778.55</v>
      </c>
      <c r="K180" s="609"/>
      <c r="L180" s="610"/>
      <c r="M180" s="610"/>
      <c r="N180" s="610"/>
      <c r="O180" s="610"/>
      <c r="P180" s="610"/>
      <c r="Q180" s="1090"/>
    </row>
    <row r="181" spans="2:17" x14ac:dyDescent="0.25">
      <c r="B181" s="671" t="s">
        <v>4083</v>
      </c>
      <c r="C181" s="671" t="s">
        <v>4083</v>
      </c>
      <c r="D181" s="444" t="str">
        <f>+INSUMOS!B139</f>
        <v>SOLDADURA DE ESTAÑO 60-40 250GR 1/16"  (1.6 MM)</v>
      </c>
      <c r="E181" s="445" t="str">
        <f>+INSUMOS!D139</f>
        <v>UN</v>
      </c>
      <c r="F181" s="679">
        <v>1</v>
      </c>
      <c r="G181" s="581">
        <f>+INSUMOS!E139</f>
        <v>36090</v>
      </c>
      <c r="H181" s="580">
        <v>1.05</v>
      </c>
      <c r="I181" s="652">
        <f t="shared" si="67"/>
        <v>37894.5</v>
      </c>
      <c r="K181" s="609"/>
      <c r="L181" s="610"/>
      <c r="M181" s="610"/>
      <c r="N181" s="610"/>
      <c r="O181" s="610"/>
      <c r="P181" s="610"/>
      <c r="Q181" s="1090"/>
    </row>
    <row r="182" spans="2:17" x14ac:dyDescent="0.25">
      <c r="B182" s="671" t="s">
        <v>4083</v>
      </c>
      <c r="C182" s="671" t="s">
        <v>4083</v>
      </c>
      <c r="D182" s="444" t="str">
        <f>+INSUMOS!B140</f>
        <v>PLATINA SOPORTE 3 MM</v>
      </c>
      <c r="E182" s="445" t="str">
        <f>+INSUMOS!D140</f>
        <v>UN</v>
      </c>
      <c r="F182" s="679">
        <v>1</v>
      </c>
      <c r="G182" s="581">
        <f>+INSUMOS!E140</f>
        <v>4956</v>
      </c>
      <c r="H182" s="580">
        <v>1</v>
      </c>
      <c r="I182" s="652">
        <f t="shared" si="67"/>
        <v>4956</v>
      </c>
      <c r="K182" s="609"/>
      <c r="L182" s="610"/>
      <c r="M182" s="610"/>
      <c r="N182" s="610"/>
      <c r="O182" s="610"/>
      <c r="P182" s="610"/>
      <c r="Q182" s="1090"/>
    </row>
    <row r="183" spans="2:17" x14ac:dyDescent="0.25">
      <c r="B183" s="671" t="s">
        <v>205</v>
      </c>
      <c r="C183" s="671" t="s">
        <v>205</v>
      </c>
      <c r="D183" s="444" t="str">
        <f>+EQUIPOS!B464</f>
        <v>ESCALERA CERTIFICADA</v>
      </c>
      <c r="E183" s="445" t="s">
        <v>4099</v>
      </c>
      <c r="F183" s="679">
        <v>1</v>
      </c>
      <c r="G183" s="581">
        <f>+EQUIPOS!E464</f>
        <v>45461</v>
      </c>
      <c r="H183" s="580">
        <v>1.2999999999999999E-2</v>
      </c>
      <c r="I183" s="652">
        <f t="shared" si="67"/>
        <v>590.99299999999994</v>
      </c>
      <c r="K183" s="609"/>
      <c r="L183" s="610"/>
      <c r="M183" s="610"/>
      <c r="N183" s="610"/>
      <c r="O183" s="610"/>
      <c r="P183" s="610"/>
      <c r="Q183" s="1090"/>
    </row>
    <row r="184" spans="2:17" x14ac:dyDescent="0.25">
      <c r="B184" s="671" t="s">
        <v>205</v>
      </c>
      <c r="C184" s="671" t="s">
        <v>205</v>
      </c>
      <c r="D184" s="444" t="s">
        <v>3930</v>
      </c>
      <c r="E184" s="445" t="s">
        <v>4025</v>
      </c>
      <c r="F184" s="679">
        <v>1</v>
      </c>
      <c r="G184" s="581">
        <f>+I176</f>
        <v>15127.666666666666</v>
      </c>
      <c r="H184" s="580">
        <v>0.05</v>
      </c>
      <c r="I184" s="652">
        <f t="shared" si="67"/>
        <v>756.38333333333333</v>
      </c>
      <c r="K184" s="609"/>
      <c r="L184" s="610"/>
      <c r="M184" s="610"/>
      <c r="N184" s="610"/>
      <c r="O184" s="610"/>
      <c r="P184" s="610"/>
      <c r="Q184" s="1090"/>
    </row>
    <row r="185" spans="2:17" ht="15.75" thickBot="1" x14ac:dyDescent="0.3">
      <c r="B185" s="672" t="s">
        <v>204</v>
      </c>
      <c r="C185" s="672" t="s">
        <v>204</v>
      </c>
      <c r="D185" s="654" t="s">
        <v>18</v>
      </c>
      <c r="E185" s="673" t="s">
        <v>4025</v>
      </c>
      <c r="F185" s="680">
        <v>1</v>
      </c>
      <c r="G185" s="1119">
        <f>+I176</f>
        <v>15127.666666666666</v>
      </c>
      <c r="H185" s="656">
        <v>0.05</v>
      </c>
      <c r="I185" s="658">
        <f>(F185*G185*H185)</f>
        <v>756.38333333333333</v>
      </c>
      <c r="K185" s="609"/>
      <c r="L185" s="610"/>
      <c r="M185" s="610"/>
      <c r="N185" s="610"/>
      <c r="O185" s="610"/>
      <c r="P185" s="610"/>
      <c r="Q185" s="1090"/>
    </row>
    <row r="186" spans="2:17" ht="15.75" thickBot="1" x14ac:dyDescent="0.3">
      <c r="B186" s="622"/>
      <c r="C186" s="622"/>
      <c r="D186" s="621"/>
      <c r="E186" s="681"/>
      <c r="F186" s="682"/>
      <c r="G186" s="624"/>
      <c r="H186" s="623"/>
      <c r="I186" s="624"/>
      <c r="K186" s="609"/>
      <c r="L186" s="610"/>
      <c r="M186" s="610"/>
      <c r="N186" s="610"/>
      <c r="O186" s="610"/>
      <c r="P186" s="610"/>
      <c r="Q186" s="1090"/>
    </row>
    <row r="187" spans="2:17" ht="24.75" thickBot="1" x14ac:dyDescent="0.3">
      <c r="B187" s="645" t="s">
        <v>8</v>
      </c>
      <c r="C187" s="645" t="s">
        <v>8</v>
      </c>
      <c r="D187" s="630" t="s">
        <v>9</v>
      </c>
      <c r="E187" s="630" t="s">
        <v>11</v>
      </c>
      <c r="F187" s="630" t="s">
        <v>2</v>
      </c>
      <c r="G187" s="1113" t="s">
        <v>12</v>
      </c>
      <c r="H187" s="630" t="s">
        <v>13</v>
      </c>
      <c r="I187" s="631" t="s">
        <v>14</v>
      </c>
      <c r="K187" s="609"/>
      <c r="L187" s="610"/>
      <c r="M187" s="610"/>
      <c r="N187" s="610"/>
      <c r="O187" s="610"/>
      <c r="P187" s="610"/>
      <c r="Q187" s="1090"/>
    </row>
    <row r="188" spans="2:17" ht="48" customHeight="1" x14ac:dyDescent="0.25">
      <c r="B188" s="683" t="s">
        <v>5107</v>
      </c>
      <c r="C188" s="683"/>
      <c r="D188" s="684" t="s">
        <v>5166</v>
      </c>
      <c r="E188" s="605" t="s">
        <v>4138</v>
      </c>
      <c r="F188" s="606"/>
      <c r="G188" s="1112">
        <f>SUM(I189:I200)</f>
        <v>243854.63792500002</v>
      </c>
      <c r="H188" s="607"/>
      <c r="I188" s="685"/>
      <c r="K188" s="609" t="str">
        <f>+B188</f>
        <v>5.10</v>
      </c>
      <c r="L188" s="610">
        <f>+I197+I198</f>
        <v>1733</v>
      </c>
      <c r="M188" s="610">
        <f>+I189+I200</f>
        <v>60233.7</v>
      </c>
      <c r="N188" s="610">
        <f>SUM(I190:I196)</f>
        <v>178883.50292500004</v>
      </c>
      <c r="O188" s="610">
        <f>+I199</f>
        <v>3004.4349999999999</v>
      </c>
      <c r="P188" s="610">
        <f>SUM(L188:O188)</f>
        <v>243854.63792500005</v>
      </c>
      <c r="Q188" s="1090">
        <f>+G188-P188</f>
        <v>0</v>
      </c>
    </row>
    <row r="189" spans="2:17" x14ac:dyDescent="0.25">
      <c r="B189" s="651" t="s">
        <v>15</v>
      </c>
      <c r="C189" s="651" t="s">
        <v>15</v>
      </c>
      <c r="D189" s="444" t="str">
        <f>+MO!B103</f>
        <v>CUADRILLA AA TIPO 6 (1 OFICIAL + 6 AYUDANTE) (Albañileria)</v>
      </c>
      <c r="E189" s="579" t="s">
        <v>89</v>
      </c>
      <c r="F189" s="580">
        <v>0.7</v>
      </c>
      <c r="G189" s="581">
        <f>+MO!F103</f>
        <v>85841</v>
      </c>
      <c r="H189" s="582">
        <v>1</v>
      </c>
      <c r="I189" s="686">
        <f>(F189*G189*H189)</f>
        <v>60088.7</v>
      </c>
      <c r="K189" s="609"/>
      <c r="L189" s="610"/>
      <c r="M189" s="610"/>
      <c r="N189" s="610"/>
      <c r="O189" s="610"/>
      <c r="P189" s="610"/>
      <c r="Q189" s="1090"/>
    </row>
    <row r="190" spans="2:17" x14ac:dyDescent="0.25">
      <c r="B190" s="651" t="s">
        <v>4083</v>
      </c>
      <c r="C190" s="651" t="s">
        <v>4083</v>
      </c>
      <c r="D190" s="444" t="s">
        <v>4093</v>
      </c>
      <c r="E190" s="579" t="str">
        <f>+'SUB ANALISIS CONCRETO'!C7</f>
        <v>M3</v>
      </c>
      <c r="F190" s="580">
        <v>0.2</v>
      </c>
      <c r="G190" s="581">
        <f>+'SUB ANALISIS CONCRETO'!I25</f>
        <v>393249.64250000002</v>
      </c>
      <c r="H190" s="582">
        <v>1.05</v>
      </c>
      <c r="I190" s="686">
        <f t="shared" ref="I190:I199" si="68">(F190*G190*H190)</f>
        <v>82582.424925000014</v>
      </c>
      <c r="K190" s="609"/>
      <c r="L190" s="610"/>
      <c r="M190" s="610"/>
      <c r="N190" s="610"/>
      <c r="O190" s="610"/>
      <c r="P190" s="610"/>
      <c r="Q190" s="1090"/>
    </row>
    <row r="191" spans="2:17" x14ac:dyDescent="0.25">
      <c r="B191" s="651" t="s">
        <v>4083</v>
      </c>
      <c r="C191" s="651" t="s">
        <v>4083</v>
      </c>
      <c r="D191" s="444" t="str">
        <f>+INSUMOS!B16</f>
        <v>TABLA BURRA 30 CM * 2.5 CM * 3 M</v>
      </c>
      <c r="E191" s="579" t="str">
        <f>+INSUMOS!D16</f>
        <v>UNIDAD</v>
      </c>
      <c r="F191" s="580">
        <v>0.66</v>
      </c>
      <c r="G191" s="581">
        <f>+INSUMOS!E16</f>
        <v>17100</v>
      </c>
      <c r="H191" s="582">
        <v>1.05</v>
      </c>
      <c r="I191" s="686">
        <f t="shared" si="68"/>
        <v>11850.300000000001</v>
      </c>
      <c r="K191" s="615"/>
      <c r="L191" s="610"/>
      <c r="M191" s="610"/>
      <c r="N191" s="610"/>
      <c r="O191" s="610"/>
      <c r="Q191" s="1091"/>
    </row>
    <row r="192" spans="2:17" x14ac:dyDescent="0.25">
      <c r="B192" s="651" t="s">
        <v>4083</v>
      </c>
      <c r="C192" s="651" t="s">
        <v>4083</v>
      </c>
      <c r="D192" s="444" t="str">
        <f>+INSUMOS!B13</f>
        <v>LISTON 2*4"</v>
      </c>
      <c r="E192" s="579" t="str">
        <f>+INSUMOS!D13</f>
        <v>UNIDAD</v>
      </c>
      <c r="F192" s="580">
        <v>1</v>
      </c>
      <c r="G192" s="581">
        <f>+INSUMOS!E13</f>
        <v>4484</v>
      </c>
      <c r="H192" s="582">
        <v>1.05</v>
      </c>
      <c r="I192" s="686">
        <f t="shared" si="68"/>
        <v>4708.2</v>
      </c>
      <c r="K192" s="609"/>
      <c r="L192" s="610"/>
      <c r="M192" s="610"/>
      <c r="N192" s="610"/>
      <c r="O192" s="610"/>
      <c r="P192" s="610"/>
      <c r="Q192" s="1090"/>
    </row>
    <row r="193" spans="2:17" x14ac:dyDescent="0.25">
      <c r="B193" s="651" t="s">
        <v>4083</v>
      </c>
      <c r="C193" s="651" t="s">
        <v>4083</v>
      </c>
      <c r="D193" s="444" t="str">
        <f>+INSUMOS!B12</f>
        <v>PUNTILLA CON CABEZA 2"</v>
      </c>
      <c r="E193" s="579" t="str">
        <f>+INSUMOS!D12</f>
        <v>LIBRA</v>
      </c>
      <c r="F193" s="580">
        <v>0.06</v>
      </c>
      <c r="G193" s="581">
        <f>+INSUMOS!E12</f>
        <v>4956</v>
      </c>
      <c r="H193" s="582">
        <v>1.05</v>
      </c>
      <c r="I193" s="686">
        <f t="shared" si="68"/>
        <v>312.22800000000001</v>
      </c>
      <c r="K193" s="609"/>
      <c r="L193" s="610"/>
      <c r="M193" s="610"/>
      <c r="N193" s="610"/>
      <c r="O193" s="610"/>
      <c r="P193" s="610"/>
      <c r="Q193" s="1090"/>
    </row>
    <row r="194" spans="2:17" x14ac:dyDescent="0.25">
      <c r="B194" s="651" t="s">
        <v>4083</v>
      </c>
      <c r="C194" s="651" t="s">
        <v>4083</v>
      </c>
      <c r="D194" s="444" t="str">
        <f>+INSUMOS!B87</f>
        <v>MALLA ELECTROSOLDADA M-084  Q-2  4 MM  15 X 15 CM.</v>
      </c>
      <c r="E194" s="579" t="s">
        <v>4</v>
      </c>
      <c r="F194" s="580">
        <v>1</v>
      </c>
      <c r="G194" s="581">
        <f>+INSUMOS!E87</f>
        <v>6667</v>
      </c>
      <c r="H194" s="582">
        <v>1.05</v>
      </c>
      <c r="I194" s="686">
        <f t="shared" si="68"/>
        <v>7000.35</v>
      </c>
      <c r="K194" s="609"/>
      <c r="L194" s="610"/>
      <c r="M194" s="610"/>
      <c r="N194" s="610"/>
      <c r="O194" s="610"/>
      <c r="P194" s="610"/>
      <c r="Q194" s="1090"/>
    </row>
    <row r="195" spans="2:17" x14ac:dyDescent="0.25">
      <c r="B195" s="651"/>
      <c r="C195" s="651" t="s">
        <v>4083</v>
      </c>
      <c r="D195" s="444" t="str">
        <f>+INSUMOS!B296</f>
        <v>BANDA ANTIDESLIZANTE</v>
      </c>
      <c r="E195" s="579" t="s">
        <v>4021</v>
      </c>
      <c r="F195" s="580">
        <v>2</v>
      </c>
      <c r="G195" s="581">
        <f>+INSUMOS!E296</f>
        <v>8914</v>
      </c>
      <c r="H195" s="582">
        <v>1</v>
      </c>
      <c r="I195" s="686">
        <f t="shared" si="68"/>
        <v>17828</v>
      </c>
      <c r="K195" s="609"/>
      <c r="L195" s="610"/>
      <c r="M195" s="610"/>
      <c r="N195" s="610"/>
      <c r="O195" s="610"/>
      <c r="P195" s="610"/>
      <c r="Q195" s="1090"/>
    </row>
    <row r="196" spans="2:17" x14ac:dyDescent="0.25">
      <c r="B196" s="651"/>
      <c r="C196" s="651" t="s">
        <v>4083</v>
      </c>
      <c r="D196" s="444" t="str">
        <f>+INSUMOS!B297</f>
        <v>SIKAFLOOR 2430</v>
      </c>
      <c r="E196" s="579" t="s">
        <v>3975</v>
      </c>
      <c r="F196" s="580">
        <v>2</v>
      </c>
      <c r="G196" s="581">
        <f>+INSUMOS!E297</f>
        <v>27301</v>
      </c>
      <c r="H196" s="582">
        <v>1</v>
      </c>
      <c r="I196" s="686">
        <f t="shared" si="68"/>
        <v>54602</v>
      </c>
      <c r="K196" s="609"/>
      <c r="L196" s="610"/>
      <c r="M196" s="610"/>
      <c r="N196" s="610"/>
      <c r="O196" s="610"/>
      <c r="P196" s="610"/>
      <c r="Q196" s="1090"/>
    </row>
    <row r="197" spans="2:17" x14ac:dyDescent="0.25">
      <c r="B197" s="651"/>
      <c r="C197" s="651" t="s">
        <v>205</v>
      </c>
      <c r="D197" s="444" t="str">
        <f>+INSUMOS!B295</f>
        <v>VIBRADOR DE CONCRETO</v>
      </c>
      <c r="E197" s="579" t="s">
        <v>4532</v>
      </c>
      <c r="F197" s="580">
        <v>1.4999999999999999E-2</v>
      </c>
      <c r="G197" s="581">
        <f>+INSUMOS!E295</f>
        <v>71400</v>
      </c>
      <c r="H197" s="582">
        <v>1</v>
      </c>
      <c r="I197" s="686">
        <f t="shared" si="68"/>
        <v>1071</v>
      </c>
      <c r="K197" s="609"/>
      <c r="L197" s="610"/>
      <c r="M197" s="610"/>
      <c r="N197" s="610"/>
      <c r="O197" s="610"/>
      <c r="P197" s="610"/>
      <c r="Q197" s="1090"/>
    </row>
    <row r="198" spans="2:17" x14ac:dyDescent="0.25">
      <c r="B198" s="651" t="s">
        <v>205</v>
      </c>
      <c r="C198" s="651" t="s">
        <v>205</v>
      </c>
      <c r="D198" s="444" t="s">
        <v>4146</v>
      </c>
      <c r="E198" s="579" t="s">
        <v>203</v>
      </c>
      <c r="F198" s="580">
        <v>1</v>
      </c>
      <c r="G198" s="581">
        <v>3310</v>
      </c>
      <c r="H198" s="582">
        <v>0.2</v>
      </c>
      <c r="I198" s="686">
        <f t="shared" si="68"/>
        <v>662</v>
      </c>
      <c r="K198" s="609"/>
      <c r="L198" s="610"/>
      <c r="M198" s="610"/>
      <c r="N198" s="610"/>
      <c r="O198" s="610"/>
      <c r="P198" s="610"/>
      <c r="Q198" s="1090"/>
    </row>
    <row r="199" spans="2:17" x14ac:dyDescent="0.25">
      <c r="B199" s="651" t="s">
        <v>204</v>
      </c>
      <c r="C199" s="651" t="s">
        <v>204</v>
      </c>
      <c r="D199" s="444" t="s">
        <v>1054</v>
      </c>
      <c r="E199" s="579" t="s">
        <v>203</v>
      </c>
      <c r="F199" s="580">
        <v>1</v>
      </c>
      <c r="G199" s="581">
        <f>+I189</f>
        <v>60088.7</v>
      </c>
      <c r="H199" s="582">
        <v>0.05</v>
      </c>
      <c r="I199" s="686">
        <f t="shared" si="68"/>
        <v>3004.4349999999999</v>
      </c>
      <c r="K199" s="609"/>
      <c r="L199" s="610"/>
      <c r="M199" s="610"/>
      <c r="N199" s="610"/>
      <c r="O199" s="610"/>
      <c r="P199" s="610"/>
      <c r="Q199" s="1090"/>
    </row>
    <row r="200" spans="2:17" ht="15.75" thickBot="1" x14ac:dyDescent="0.3">
      <c r="B200" s="653" t="s">
        <v>204</v>
      </c>
      <c r="C200" s="653" t="s">
        <v>204</v>
      </c>
      <c r="D200" s="654" t="s">
        <v>18</v>
      </c>
      <c r="E200" s="655" t="s">
        <v>203</v>
      </c>
      <c r="F200" s="656">
        <v>1</v>
      </c>
      <c r="G200" s="1119">
        <v>2900</v>
      </c>
      <c r="H200" s="657">
        <v>0.05</v>
      </c>
      <c r="I200" s="687">
        <f t="shared" ref="I200" si="69">(F200*G200*H200)</f>
        <v>145</v>
      </c>
      <c r="K200" s="609"/>
      <c r="L200" s="610"/>
      <c r="M200" s="610"/>
      <c r="N200" s="610"/>
      <c r="O200" s="610"/>
      <c r="P200" s="610"/>
      <c r="Q200" s="1090"/>
    </row>
    <row r="201" spans="2:17" ht="15.75" thickBot="1" x14ac:dyDescent="0.3">
      <c r="H201" s="594"/>
      <c r="K201" s="609"/>
      <c r="L201" s="610"/>
      <c r="M201" s="610"/>
      <c r="N201" s="610"/>
      <c r="O201" s="610"/>
      <c r="P201" s="610"/>
      <c r="Q201" s="1090"/>
    </row>
    <row r="202" spans="2:17" ht="24.75" thickBot="1" x14ac:dyDescent="0.3">
      <c r="B202" s="645" t="s">
        <v>8</v>
      </c>
      <c r="C202" s="645" t="s">
        <v>8</v>
      </c>
      <c r="D202" s="630" t="s">
        <v>9</v>
      </c>
      <c r="E202" s="630" t="s">
        <v>11</v>
      </c>
      <c r="F202" s="630" t="s">
        <v>2</v>
      </c>
      <c r="G202" s="1113" t="s">
        <v>12</v>
      </c>
      <c r="H202" s="630" t="s">
        <v>13</v>
      </c>
      <c r="I202" s="631" t="s">
        <v>14</v>
      </c>
      <c r="K202" s="609"/>
      <c r="L202" s="610"/>
      <c r="M202" s="610"/>
      <c r="N202" s="610"/>
      <c r="O202" s="610"/>
      <c r="P202" s="610"/>
      <c r="Q202" s="1090"/>
    </row>
    <row r="203" spans="2:17" ht="36" x14ac:dyDescent="0.25">
      <c r="B203" s="683" t="s">
        <v>5108</v>
      </c>
      <c r="C203" s="683"/>
      <c r="D203" s="684" t="s">
        <v>4094</v>
      </c>
      <c r="E203" s="605" t="s">
        <v>1027</v>
      </c>
      <c r="F203" s="606"/>
      <c r="G203" s="1112">
        <f>SUM(I204:I212)</f>
        <v>108378.93173800004</v>
      </c>
      <c r="H203" s="607"/>
      <c r="I203" s="685"/>
      <c r="K203" s="609" t="str">
        <f>+B203</f>
        <v>5.11</v>
      </c>
      <c r="L203" s="610">
        <f>SUM(I210)</f>
        <v>536.50625000000002</v>
      </c>
      <c r="M203" s="610">
        <f>+I204+I212</f>
        <v>11266.63125</v>
      </c>
      <c r="N203" s="610">
        <f>SUM(I205:I209)</f>
        <v>96039.287988000011</v>
      </c>
      <c r="O203" s="610">
        <f>+I211</f>
        <v>536.50625000000002</v>
      </c>
      <c r="P203" s="610">
        <f>SUM(L203:O203)</f>
        <v>108378.93173800001</v>
      </c>
      <c r="Q203" s="1090">
        <f>+G203-P203</f>
        <v>0</v>
      </c>
    </row>
    <row r="204" spans="2:17" x14ac:dyDescent="0.25">
      <c r="B204" s="651" t="s">
        <v>15</v>
      </c>
      <c r="C204" s="651" t="s">
        <v>15</v>
      </c>
      <c r="D204" s="444" t="str">
        <f>+D189</f>
        <v>CUADRILLA AA TIPO 6 (1 OFICIAL + 6 AYUDANTE) (Albañileria)</v>
      </c>
      <c r="E204" s="579" t="str">
        <f>+E189</f>
        <v>hr</v>
      </c>
      <c r="F204" s="580">
        <v>1</v>
      </c>
      <c r="G204" s="581">
        <f>+G189</f>
        <v>85841</v>
      </c>
      <c r="H204" s="582">
        <f>(60/480)</f>
        <v>0.125</v>
      </c>
      <c r="I204" s="686">
        <f>(F204*G204*H204)</f>
        <v>10730.125</v>
      </c>
      <c r="K204" s="609"/>
      <c r="L204" s="610"/>
      <c r="M204" s="610"/>
      <c r="N204" s="610"/>
      <c r="O204" s="610"/>
      <c r="P204" s="610"/>
      <c r="Q204" s="1090"/>
    </row>
    <row r="205" spans="2:17" x14ac:dyDescent="0.25">
      <c r="B205" s="651" t="s">
        <v>4083</v>
      </c>
      <c r="C205" s="651" t="s">
        <v>4083</v>
      </c>
      <c r="D205" s="444" t="s">
        <v>4093</v>
      </c>
      <c r="E205" s="579" t="str">
        <f>+E190</f>
        <v>M3</v>
      </c>
      <c r="F205" s="580">
        <v>3.2000000000000001E-2</v>
      </c>
      <c r="G205" s="581">
        <f>+'SUB ANALISIS CONCRETO'!I25</f>
        <v>393249.64250000002</v>
      </c>
      <c r="H205" s="582">
        <v>1.05</v>
      </c>
      <c r="I205" s="686">
        <f t="shared" ref="I205:I212" si="70">(F205*G205*H205)</f>
        <v>13213.187988000001</v>
      </c>
      <c r="K205" s="609"/>
      <c r="L205" s="610"/>
      <c r="M205" s="610"/>
      <c r="N205" s="610"/>
      <c r="O205" s="610"/>
      <c r="P205" s="610"/>
      <c r="Q205" s="1090"/>
    </row>
    <row r="206" spans="2:17" x14ac:dyDescent="0.25">
      <c r="B206" s="651" t="s">
        <v>4083</v>
      </c>
      <c r="C206" s="651" t="s">
        <v>4083</v>
      </c>
      <c r="D206" s="444" t="str">
        <f>+INSUMOS!B16</f>
        <v>TABLA BURRA 30 CM * 2.5 CM * 3 M</v>
      </c>
      <c r="E206" s="579" t="str">
        <f>+INSUMOS!D16</f>
        <v>UNIDAD</v>
      </c>
      <c r="F206" s="580">
        <v>2</v>
      </c>
      <c r="G206" s="581">
        <f>+G191</f>
        <v>17100</v>
      </c>
      <c r="H206" s="582">
        <v>1.05</v>
      </c>
      <c r="I206" s="686">
        <f t="shared" si="70"/>
        <v>35910</v>
      </c>
      <c r="K206" s="615"/>
      <c r="L206" s="610"/>
      <c r="M206" s="610"/>
      <c r="N206" s="610"/>
      <c r="O206" s="610"/>
      <c r="Q206" s="1091"/>
    </row>
    <row r="207" spans="2:17" x14ac:dyDescent="0.25">
      <c r="B207" s="651" t="s">
        <v>4083</v>
      </c>
      <c r="C207" s="651" t="s">
        <v>4083</v>
      </c>
      <c r="D207" s="444" t="str">
        <f>+D192</f>
        <v>LISTON 2*4"</v>
      </c>
      <c r="E207" s="579" t="str">
        <f>+E192</f>
        <v>UNIDAD</v>
      </c>
      <c r="F207" s="580">
        <v>3</v>
      </c>
      <c r="G207" s="581">
        <f>+G192</f>
        <v>4484</v>
      </c>
      <c r="H207" s="582">
        <v>1.05</v>
      </c>
      <c r="I207" s="686">
        <f t="shared" si="70"/>
        <v>14124.6</v>
      </c>
      <c r="K207" s="609"/>
      <c r="L207" s="610"/>
      <c r="M207" s="610"/>
      <c r="N207" s="610"/>
      <c r="O207" s="610"/>
      <c r="P207" s="610"/>
      <c r="Q207" s="1090"/>
    </row>
    <row r="208" spans="2:17" x14ac:dyDescent="0.25">
      <c r="B208" s="651" t="s">
        <v>4083</v>
      </c>
      <c r="C208" s="651" t="s">
        <v>4083</v>
      </c>
      <c r="D208" s="444" t="str">
        <f>+D193</f>
        <v>PUNTILLA CON CABEZA 2"</v>
      </c>
      <c r="E208" s="579" t="str">
        <f>+E193</f>
        <v>LIBRA</v>
      </c>
      <c r="F208" s="580">
        <v>3</v>
      </c>
      <c r="G208" s="581">
        <f>+G193</f>
        <v>4956</v>
      </c>
      <c r="H208" s="582">
        <v>1.05</v>
      </c>
      <c r="I208" s="686">
        <f t="shared" si="70"/>
        <v>15611.400000000001</v>
      </c>
      <c r="K208" s="609"/>
      <c r="L208" s="610"/>
      <c r="M208" s="610"/>
      <c r="N208" s="610"/>
      <c r="O208" s="610"/>
      <c r="P208" s="610"/>
      <c r="Q208" s="1090"/>
    </row>
    <row r="209" spans="2:17" x14ac:dyDescent="0.25">
      <c r="B209" s="651" t="s">
        <v>4083</v>
      </c>
      <c r="C209" s="651" t="s">
        <v>4083</v>
      </c>
      <c r="D209" s="444" t="str">
        <f>+INSUMOS!B88</f>
        <v>BLOQUE DE CONCRETO COMÚN</v>
      </c>
      <c r="E209" s="579" t="s">
        <v>11</v>
      </c>
      <c r="F209" s="580">
        <v>3</v>
      </c>
      <c r="G209" s="581">
        <f>+INSUMOS!E88</f>
        <v>5454</v>
      </c>
      <c r="H209" s="582">
        <v>1.05</v>
      </c>
      <c r="I209" s="686">
        <f t="shared" si="70"/>
        <v>17180.100000000002</v>
      </c>
      <c r="K209" s="609"/>
      <c r="L209" s="610"/>
      <c r="M209" s="610"/>
      <c r="N209" s="610"/>
      <c r="O209" s="610"/>
      <c r="P209" s="610"/>
      <c r="Q209" s="1090"/>
    </row>
    <row r="210" spans="2:17" x14ac:dyDescent="0.25">
      <c r="B210" s="651" t="s">
        <v>205</v>
      </c>
      <c r="C210" s="651" t="s">
        <v>205</v>
      </c>
      <c r="D210" s="444" t="s">
        <v>4146</v>
      </c>
      <c r="E210" s="579" t="s">
        <v>203</v>
      </c>
      <c r="F210" s="580">
        <v>1</v>
      </c>
      <c r="G210" s="581">
        <f>+I204</f>
        <v>10730.125</v>
      </c>
      <c r="H210" s="582">
        <v>0.05</v>
      </c>
      <c r="I210" s="686">
        <f t="shared" si="70"/>
        <v>536.50625000000002</v>
      </c>
      <c r="K210" s="609"/>
      <c r="L210" s="610"/>
      <c r="M210" s="610"/>
      <c r="N210" s="610"/>
      <c r="O210" s="610"/>
      <c r="P210" s="610"/>
      <c r="Q210" s="1090"/>
    </row>
    <row r="211" spans="2:17" x14ac:dyDescent="0.25">
      <c r="B211" s="651" t="s">
        <v>204</v>
      </c>
      <c r="C211" s="651" t="s">
        <v>204</v>
      </c>
      <c r="D211" s="444" t="s">
        <v>1054</v>
      </c>
      <c r="E211" s="579" t="s">
        <v>203</v>
      </c>
      <c r="F211" s="580">
        <v>1</v>
      </c>
      <c r="G211" s="581">
        <f>+I204</f>
        <v>10730.125</v>
      </c>
      <c r="H211" s="582">
        <v>0.05</v>
      </c>
      <c r="I211" s="686">
        <f t="shared" si="70"/>
        <v>536.50625000000002</v>
      </c>
      <c r="K211" s="609"/>
      <c r="L211" s="610"/>
      <c r="M211" s="610"/>
      <c r="N211" s="610"/>
      <c r="O211" s="610"/>
      <c r="P211" s="610"/>
      <c r="Q211" s="1090"/>
    </row>
    <row r="212" spans="2:17" ht="15.75" thickBot="1" x14ac:dyDescent="0.3">
      <c r="B212" s="653" t="s">
        <v>204</v>
      </c>
      <c r="C212" s="653" t="s">
        <v>204</v>
      </c>
      <c r="D212" s="654" t="s">
        <v>18</v>
      </c>
      <c r="E212" s="655" t="s">
        <v>203</v>
      </c>
      <c r="F212" s="656">
        <v>1</v>
      </c>
      <c r="G212" s="1119">
        <f>+I204</f>
        <v>10730.125</v>
      </c>
      <c r="H212" s="657">
        <v>0.05</v>
      </c>
      <c r="I212" s="687">
        <f t="shared" si="70"/>
        <v>536.50625000000002</v>
      </c>
      <c r="K212" s="609"/>
      <c r="L212" s="610"/>
      <c r="M212" s="610"/>
      <c r="N212" s="610"/>
      <c r="O212" s="610"/>
      <c r="P212" s="610"/>
      <c r="Q212" s="1090"/>
    </row>
    <row r="213" spans="2:17" ht="15.75" thickBot="1" x14ac:dyDescent="0.3">
      <c r="B213" s="622"/>
      <c r="C213" s="622"/>
      <c r="D213" s="621"/>
      <c r="E213" s="681"/>
      <c r="F213" s="682"/>
      <c r="G213" s="624"/>
      <c r="H213" s="623"/>
      <c r="I213" s="624"/>
      <c r="K213" s="609"/>
      <c r="L213" s="610"/>
      <c r="M213" s="610"/>
      <c r="N213" s="610"/>
      <c r="O213" s="610"/>
      <c r="P213" s="610"/>
      <c r="Q213" s="1090"/>
    </row>
    <row r="214" spans="2:17" ht="24.75" thickBot="1" x14ac:dyDescent="0.3">
      <c r="B214" s="688" t="s">
        <v>8</v>
      </c>
      <c r="C214" s="688" t="s">
        <v>8</v>
      </c>
      <c r="D214" s="665" t="s">
        <v>9</v>
      </c>
      <c r="E214" s="665" t="e">
        <f>+#REF!</f>
        <v>#REF!</v>
      </c>
      <c r="F214" s="665" t="s">
        <v>2</v>
      </c>
      <c r="G214" s="1120" t="s">
        <v>3987</v>
      </c>
      <c r="H214" s="665" t="s">
        <v>4101</v>
      </c>
      <c r="I214" s="666" t="s">
        <v>14</v>
      </c>
      <c r="K214" s="609"/>
      <c r="L214" s="610"/>
      <c r="M214" s="610"/>
      <c r="N214" s="610"/>
      <c r="O214" s="610"/>
      <c r="P214" s="610"/>
      <c r="Q214" s="1090"/>
    </row>
    <row r="215" spans="2:17" ht="36" x14ac:dyDescent="0.25">
      <c r="B215" s="649" t="s">
        <v>4482</v>
      </c>
      <c r="C215" s="649"/>
      <c r="D215" s="573" t="s">
        <v>4108</v>
      </c>
      <c r="E215" s="574" t="s">
        <v>1027</v>
      </c>
      <c r="F215" s="575"/>
      <c r="G215" s="1118">
        <f>SUM(I216:I224)</f>
        <v>211523.17798799995</v>
      </c>
      <c r="H215" s="576"/>
      <c r="I215" s="650"/>
      <c r="K215" s="609" t="str">
        <f>+B215</f>
        <v>14.4</v>
      </c>
      <c r="L215" s="610">
        <f>SUM(I222)</f>
        <v>6315.1500000000005</v>
      </c>
      <c r="M215" s="610">
        <f>+I216+I224</f>
        <v>132618.15</v>
      </c>
      <c r="N215" s="610">
        <f>SUM(I217:I221)</f>
        <v>66274.727988000013</v>
      </c>
      <c r="O215" s="610">
        <f>+I223</f>
        <v>6315.1500000000005</v>
      </c>
      <c r="P215" s="610">
        <f>SUM(L215:O215)</f>
        <v>211523.17798800001</v>
      </c>
      <c r="Q215" s="1090">
        <f>+G215-P215</f>
        <v>0</v>
      </c>
    </row>
    <row r="216" spans="2:17" x14ac:dyDescent="0.25">
      <c r="B216" s="668" t="s">
        <v>15</v>
      </c>
      <c r="C216" s="668" t="s">
        <v>15</v>
      </c>
      <c r="D216" s="444" t="str">
        <f>+MO!B75</f>
        <v>CUADRILLA AA TIPO 2 (1 OFICIAL + 2 AYUDANTE) (Albañileria)</v>
      </c>
      <c r="E216" s="579" t="str">
        <f>+E64</f>
        <v>HR</v>
      </c>
      <c r="F216" s="580">
        <v>1</v>
      </c>
      <c r="G216" s="581">
        <f>+MO!H75</f>
        <v>336808</v>
      </c>
      <c r="H216" s="582">
        <f>(180/480)</f>
        <v>0.375</v>
      </c>
      <c r="I216" s="652">
        <f>(F216*G216*H216)</f>
        <v>126303</v>
      </c>
      <c r="K216" s="609"/>
      <c r="L216" s="610"/>
      <c r="M216" s="610"/>
      <c r="N216" s="610"/>
      <c r="O216" s="610"/>
      <c r="P216" s="610"/>
      <c r="Q216" s="1090"/>
    </row>
    <row r="217" spans="2:17" x14ac:dyDescent="0.25">
      <c r="B217" s="670" t="s">
        <v>4083</v>
      </c>
      <c r="C217" s="670" t="s">
        <v>4083</v>
      </c>
      <c r="D217" s="444" t="str">
        <f t="shared" ref="D217:E220" si="71">+D148</f>
        <v>TABLA BURRA 30 CM * 2.5 CM * 3 M</v>
      </c>
      <c r="E217" s="445" t="str">
        <f t="shared" si="71"/>
        <v>UNIDAD</v>
      </c>
      <c r="F217" s="580">
        <v>1</v>
      </c>
      <c r="G217" s="581">
        <f>+G148</f>
        <v>17100</v>
      </c>
      <c r="H217" s="445">
        <v>1.05</v>
      </c>
      <c r="I217" s="652">
        <f t="shared" ref="I217:I224" si="72">(F217*G217*H217)</f>
        <v>17955</v>
      </c>
      <c r="K217" s="615"/>
      <c r="L217" s="610"/>
      <c r="M217" s="610"/>
      <c r="N217" s="610"/>
      <c r="O217" s="610"/>
      <c r="Q217" s="1091"/>
    </row>
    <row r="218" spans="2:17" x14ac:dyDescent="0.25">
      <c r="B218" s="670" t="s">
        <v>4083</v>
      </c>
      <c r="C218" s="670" t="s">
        <v>4083</v>
      </c>
      <c r="D218" s="444" t="str">
        <f t="shared" si="71"/>
        <v>LISTON 2*4"</v>
      </c>
      <c r="E218" s="445" t="str">
        <f t="shared" si="71"/>
        <v>UNIDAD</v>
      </c>
      <c r="F218" s="580">
        <v>2</v>
      </c>
      <c r="G218" s="581">
        <f>+G149</f>
        <v>4484</v>
      </c>
      <c r="H218" s="445">
        <v>1.05</v>
      </c>
      <c r="I218" s="652">
        <f t="shared" si="72"/>
        <v>9416.4</v>
      </c>
      <c r="K218" s="609"/>
      <c r="L218" s="610"/>
      <c r="M218" s="610"/>
      <c r="N218" s="610"/>
      <c r="O218" s="610"/>
      <c r="P218" s="610"/>
      <c r="Q218" s="1090"/>
    </row>
    <row r="219" spans="2:17" x14ac:dyDescent="0.25">
      <c r="B219" s="670" t="s">
        <v>4083</v>
      </c>
      <c r="C219" s="670" t="s">
        <v>4083</v>
      </c>
      <c r="D219" s="444" t="str">
        <f t="shared" si="71"/>
        <v>PUNTILLA CON CABEZA 2"</v>
      </c>
      <c r="E219" s="445" t="str">
        <f t="shared" si="71"/>
        <v>LIBRA</v>
      </c>
      <c r="F219" s="580">
        <v>0.5</v>
      </c>
      <c r="G219" s="581">
        <f>+G150</f>
        <v>4956</v>
      </c>
      <c r="H219" s="445">
        <v>1.05</v>
      </c>
      <c r="I219" s="652">
        <f t="shared" si="72"/>
        <v>2601.9</v>
      </c>
      <c r="K219" s="609"/>
      <c r="L219" s="610"/>
      <c r="M219" s="610"/>
      <c r="N219" s="610"/>
      <c r="O219" s="610"/>
      <c r="P219" s="610"/>
      <c r="Q219" s="1090"/>
    </row>
    <row r="220" spans="2:17" x14ac:dyDescent="0.25">
      <c r="B220" s="670" t="s">
        <v>4083</v>
      </c>
      <c r="C220" s="670" t="s">
        <v>4083</v>
      </c>
      <c r="D220" s="444" t="str">
        <f t="shared" si="71"/>
        <v>ACERO DE REFUERZO DE 60000 PSI</v>
      </c>
      <c r="E220" s="445" t="str">
        <f t="shared" si="71"/>
        <v>KG</v>
      </c>
      <c r="F220" s="580">
        <v>4.8</v>
      </c>
      <c r="G220" s="581">
        <f>+G151</f>
        <v>4581</v>
      </c>
      <c r="H220" s="445">
        <v>1.05</v>
      </c>
      <c r="I220" s="652">
        <f t="shared" si="72"/>
        <v>23088.240000000002</v>
      </c>
      <c r="K220" s="609"/>
      <c r="L220" s="610"/>
      <c r="M220" s="610"/>
      <c r="N220" s="610"/>
      <c r="O220" s="610"/>
      <c r="P220" s="610"/>
      <c r="Q220" s="1090"/>
    </row>
    <row r="221" spans="2:17" x14ac:dyDescent="0.25">
      <c r="B221" s="670" t="s">
        <v>4083</v>
      </c>
      <c r="C221" s="670" t="s">
        <v>4083</v>
      </c>
      <c r="D221" s="444" t="str">
        <f>+D147</f>
        <v>CONCRETO DE 3000 PSI PRODUCCIÓN</v>
      </c>
      <c r="E221" s="445" t="str">
        <f>+'SUB ANALISIS CONCRETO'!C7</f>
        <v>M3</v>
      </c>
      <c r="F221" s="580">
        <v>3.2000000000000001E-2</v>
      </c>
      <c r="G221" s="581">
        <f>+G147</f>
        <v>393249.64250000002</v>
      </c>
      <c r="H221" s="445">
        <v>1.05</v>
      </c>
      <c r="I221" s="652">
        <f t="shared" si="72"/>
        <v>13213.187988000001</v>
      </c>
      <c r="K221" s="609"/>
      <c r="L221" s="610"/>
      <c r="M221" s="610"/>
      <c r="N221" s="610"/>
      <c r="O221" s="610"/>
      <c r="P221" s="610"/>
      <c r="Q221" s="1090"/>
    </row>
    <row r="222" spans="2:17" x14ac:dyDescent="0.25">
      <c r="B222" s="670" t="s">
        <v>205</v>
      </c>
      <c r="C222" s="670" t="s">
        <v>205</v>
      </c>
      <c r="D222" s="444" t="s">
        <v>4146</v>
      </c>
      <c r="E222" s="445" t="s">
        <v>4025</v>
      </c>
      <c r="F222" s="580">
        <v>1</v>
      </c>
      <c r="G222" s="581">
        <f>+I216</f>
        <v>126303</v>
      </c>
      <c r="H222" s="445">
        <v>0.05</v>
      </c>
      <c r="I222" s="652">
        <f t="shared" si="72"/>
        <v>6315.1500000000005</v>
      </c>
      <c r="K222" s="609"/>
      <c r="L222" s="610"/>
      <c r="M222" s="610"/>
      <c r="N222" s="610"/>
      <c r="O222" s="610"/>
      <c r="P222" s="610"/>
      <c r="Q222" s="1090"/>
    </row>
    <row r="223" spans="2:17" x14ac:dyDescent="0.25">
      <c r="B223" s="689" t="s">
        <v>204</v>
      </c>
      <c r="C223" s="689" t="s">
        <v>204</v>
      </c>
      <c r="D223" s="444" t="str">
        <f>+D71</f>
        <v>EQUIPO DE TRANSPORTE</v>
      </c>
      <c r="E223" s="445" t="s">
        <v>4025</v>
      </c>
      <c r="F223" s="580">
        <v>1</v>
      </c>
      <c r="G223" s="581">
        <f>+I216</f>
        <v>126303</v>
      </c>
      <c r="H223" s="445">
        <v>0.05</v>
      </c>
      <c r="I223" s="652">
        <f t="shared" si="72"/>
        <v>6315.1500000000005</v>
      </c>
      <c r="K223" s="609"/>
      <c r="L223" s="610"/>
      <c r="M223" s="610"/>
      <c r="N223" s="610"/>
      <c r="O223" s="610"/>
      <c r="P223" s="610"/>
      <c r="Q223" s="1090"/>
    </row>
    <row r="224" spans="2:17" ht="15.75" thickBot="1" x14ac:dyDescent="0.3">
      <c r="B224" s="672" t="s">
        <v>204</v>
      </c>
      <c r="C224" s="672" t="s">
        <v>204</v>
      </c>
      <c r="D224" s="654" t="str">
        <f>+D72</f>
        <v>ACARREO INTERNO</v>
      </c>
      <c r="E224" s="673" t="s">
        <v>4025</v>
      </c>
      <c r="F224" s="656">
        <v>1</v>
      </c>
      <c r="G224" s="1119">
        <f>+I216</f>
        <v>126303</v>
      </c>
      <c r="H224" s="673">
        <v>0.05</v>
      </c>
      <c r="I224" s="658">
        <f t="shared" si="72"/>
        <v>6315.1500000000005</v>
      </c>
      <c r="K224" s="609"/>
      <c r="L224" s="610"/>
      <c r="M224" s="610"/>
      <c r="N224" s="610"/>
      <c r="O224" s="610"/>
      <c r="P224" s="610"/>
      <c r="Q224" s="1090"/>
    </row>
    <row r="225" spans="2:17" ht="15.75" thickBot="1" x14ac:dyDescent="0.3">
      <c r="B225" s="622"/>
      <c r="C225" s="622"/>
      <c r="D225" s="621"/>
      <c r="E225" s="681"/>
      <c r="F225" s="682"/>
      <c r="G225" s="624"/>
      <c r="H225" s="623"/>
      <c r="I225" s="624"/>
      <c r="K225" s="609"/>
      <c r="L225" s="610"/>
      <c r="M225" s="610"/>
      <c r="N225" s="610"/>
      <c r="O225" s="610"/>
      <c r="P225" s="610"/>
      <c r="Q225" s="1090"/>
    </row>
    <row r="226" spans="2:17" ht="24.75" thickBot="1" x14ac:dyDescent="0.3">
      <c r="B226" s="595" t="s">
        <v>8</v>
      </c>
      <c r="C226" s="595" t="s">
        <v>8</v>
      </c>
      <c r="D226" s="665" t="s">
        <v>9</v>
      </c>
      <c r="E226" s="665" t="s">
        <v>11</v>
      </c>
      <c r="F226" s="665" t="s">
        <v>2</v>
      </c>
      <c r="G226" s="1120" t="s">
        <v>3987</v>
      </c>
      <c r="H226" s="665" t="s">
        <v>4101</v>
      </c>
      <c r="I226" s="666" t="s">
        <v>14</v>
      </c>
      <c r="K226" s="609"/>
      <c r="L226" s="610"/>
      <c r="M226" s="610"/>
      <c r="N226" s="610"/>
      <c r="O226" s="610"/>
      <c r="P226" s="610"/>
      <c r="Q226" s="1090"/>
    </row>
    <row r="227" spans="2:17" ht="24" x14ac:dyDescent="0.25">
      <c r="B227" s="649" t="s">
        <v>4429</v>
      </c>
      <c r="C227" s="649"/>
      <c r="D227" s="690" t="s">
        <v>4419</v>
      </c>
      <c r="E227" s="574" t="s">
        <v>4104</v>
      </c>
      <c r="F227" s="575"/>
      <c r="G227" s="1118">
        <f>SUM(I228:I232)</f>
        <v>21370.374999999996</v>
      </c>
      <c r="H227" s="576"/>
      <c r="I227" s="650"/>
      <c r="K227" s="609" t="str">
        <f>+B227</f>
        <v>1.4</v>
      </c>
      <c r="L227" s="610">
        <f>SUM(I230)</f>
        <v>820.17500000000007</v>
      </c>
      <c r="M227" s="610">
        <f>+I228+I232</f>
        <v>17223.674999999999</v>
      </c>
      <c r="N227" s="610">
        <f>SUM(I229)</f>
        <v>2506.35</v>
      </c>
      <c r="O227" s="610">
        <f>+I231</f>
        <v>820.17500000000007</v>
      </c>
      <c r="P227" s="610">
        <f>SUM(L227:O227)</f>
        <v>21370.374999999996</v>
      </c>
      <c r="Q227" s="1090">
        <f>+G227-P227</f>
        <v>0</v>
      </c>
    </row>
    <row r="228" spans="2:17" x14ac:dyDescent="0.25">
      <c r="B228" s="651" t="s">
        <v>15</v>
      </c>
      <c r="C228" s="651" t="s">
        <v>15</v>
      </c>
      <c r="D228" s="444" t="str">
        <f>+MO!B70</f>
        <v>CUADRILLA CC TIPO 1 (1 OFICIAL + 1 AYUDANTE) (Pintura)</v>
      </c>
      <c r="E228" s="579" t="str">
        <f>+E146</f>
        <v>DIA</v>
      </c>
      <c r="F228" s="580">
        <v>1</v>
      </c>
      <c r="G228" s="581">
        <f>+MO!H70</f>
        <v>262456</v>
      </c>
      <c r="H228" s="582">
        <f>(30/480)</f>
        <v>6.25E-2</v>
      </c>
      <c r="I228" s="652">
        <f>(F228*G228*H228)</f>
        <v>16403.5</v>
      </c>
      <c r="K228" s="609"/>
      <c r="L228" s="610"/>
      <c r="M228" s="610"/>
      <c r="N228" s="610"/>
      <c r="O228" s="610"/>
      <c r="P228" s="610"/>
      <c r="Q228" s="1090"/>
    </row>
    <row r="229" spans="2:17" x14ac:dyDescent="0.25">
      <c r="B229" s="651" t="str">
        <f>B150</f>
        <v>MAT.</v>
      </c>
      <c r="C229" s="651" t="str">
        <f>C150</f>
        <v>MAT.</v>
      </c>
      <c r="D229" s="444" t="str">
        <f>+INSUMOS!B55</f>
        <v>LIJA ORIENTCRAFT</v>
      </c>
      <c r="E229" s="579" t="str">
        <f>+INSUMOS!D55</f>
        <v>UNIDAD</v>
      </c>
      <c r="F229" s="580">
        <v>1</v>
      </c>
      <c r="G229" s="581">
        <f>+INSUMOS!E55</f>
        <v>2387</v>
      </c>
      <c r="H229" s="582">
        <v>1.05</v>
      </c>
      <c r="I229" s="652">
        <f t="shared" ref="I229" si="73">(F229*G229*H229)</f>
        <v>2506.35</v>
      </c>
      <c r="K229" s="609"/>
      <c r="L229" s="610"/>
      <c r="M229" s="610"/>
      <c r="N229" s="610"/>
      <c r="O229" s="610"/>
      <c r="P229" s="610"/>
      <c r="Q229" s="1090"/>
    </row>
    <row r="230" spans="2:17" x14ac:dyDescent="0.25">
      <c r="B230" s="651" t="str">
        <f t="shared" ref="B230:F232" si="74">B157</f>
        <v>EQU.</v>
      </c>
      <c r="C230" s="651" t="str">
        <f t="shared" si="74"/>
        <v>EQU.</v>
      </c>
      <c r="D230" s="444" t="str">
        <f t="shared" si="74"/>
        <v>EQUIPO BÁSICO (HERRAMIENTA MENOR)</v>
      </c>
      <c r="E230" s="579" t="str">
        <f t="shared" si="74"/>
        <v>%M.O</v>
      </c>
      <c r="F230" s="580">
        <f t="shared" si="74"/>
        <v>1</v>
      </c>
      <c r="G230" s="581">
        <f>+I228</f>
        <v>16403.5</v>
      </c>
      <c r="H230" s="582">
        <f>H157</f>
        <v>0.05</v>
      </c>
      <c r="I230" s="652">
        <f t="shared" ref="I230:I231" si="75">(F230*G230*H230)</f>
        <v>820.17500000000007</v>
      </c>
      <c r="K230" s="615"/>
      <c r="L230" s="610"/>
      <c r="M230" s="610"/>
      <c r="N230" s="610"/>
      <c r="O230" s="610"/>
      <c r="Q230" s="1091"/>
    </row>
    <row r="231" spans="2:17" x14ac:dyDescent="0.25">
      <c r="B231" s="651" t="str">
        <f t="shared" si="74"/>
        <v>TRANS.</v>
      </c>
      <c r="C231" s="651" t="str">
        <f t="shared" si="74"/>
        <v>TRANS.</v>
      </c>
      <c r="D231" s="444" t="str">
        <f t="shared" si="74"/>
        <v>EQUIPO DE TRANSPORTE</v>
      </c>
      <c r="E231" s="579" t="str">
        <f t="shared" si="74"/>
        <v>%M.O</v>
      </c>
      <c r="F231" s="580">
        <f t="shared" si="74"/>
        <v>1</v>
      </c>
      <c r="G231" s="581">
        <f>+I228</f>
        <v>16403.5</v>
      </c>
      <c r="H231" s="582">
        <f>H158</f>
        <v>0.05</v>
      </c>
      <c r="I231" s="652">
        <f t="shared" si="75"/>
        <v>820.17500000000007</v>
      </c>
      <c r="K231" s="609"/>
      <c r="L231" s="610"/>
      <c r="M231" s="610"/>
      <c r="N231" s="610"/>
      <c r="O231" s="610"/>
      <c r="P231" s="610"/>
      <c r="Q231" s="1090"/>
    </row>
    <row r="232" spans="2:17" ht="15.75" thickBot="1" x14ac:dyDescent="0.3">
      <c r="B232" s="653" t="str">
        <f t="shared" si="74"/>
        <v>TRANS.</v>
      </c>
      <c r="C232" s="653" t="str">
        <f t="shared" si="74"/>
        <v>TRANS.</v>
      </c>
      <c r="D232" s="654" t="str">
        <f t="shared" si="74"/>
        <v>ACARREO INTERNO</v>
      </c>
      <c r="E232" s="655" t="str">
        <f t="shared" si="74"/>
        <v>%M.O</v>
      </c>
      <c r="F232" s="656">
        <f t="shared" si="74"/>
        <v>1</v>
      </c>
      <c r="G232" s="1119">
        <f>+I228</f>
        <v>16403.5</v>
      </c>
      <c r="H232" s="657">
        <f>H159</f>
        <v>0.05</v>
      </c>
      <c r="I232" s="658">
        <f>(F232*G232*H232)</f>
        <v>820.17500000000007</v>
      </c>
      <c r="K232" s="609"/>
      <c r="L232" s="610"/>
      <c r="M232" s="610"/>
      <c r="N232" s="610"/>
      <c r="O232" s="610"/>
      <c r="P232" s="610"/>
      <c r="Q232" s="1090"/>
    </row>
    <row r="233" spans="2:17" x14ac:dyDescent="0.25">
      <c r="H233" s="594"/>
      <c r="K233" s="609"/>
      <c r="L233" s="610"/>
      <c r="M233" s="610"/>
      <c r="N233" s="610"/>
      <c r="O233" s="610"/>
      <c r="P233" s="610"/>
      <c r="Q233" s="1090"/>
    </row>
    <row r="234" spans="2:17" x14ac:dyDescent="0.25">
      <c r="B234" s="691" t="s">
        <v>4584</v>
      </c>
      <c r="C234" s="691" t="s">
        <v>4453</v>
      </c>
      <c r="D234" s="692" t="s">
        <v>4586</v>
      </c>
      <c r="E234" s="691" t="s">
        <v>3975</v>
      </c>
      <c r="F234" s="693"/>
      <c r="G234" s="1121">
        <f>ROUND(SUM(I235:I242),0)</f>
        <v>173329</v>
      </c>
      <c r="H234" s="694"/>
      <c r="I234" s="693"/>
      <c r="K234" s="609" t="str">
        <f>+B234</f>
        <v>1.6</v>
      </c>
      <c r="L234" s="610">
        <f>SUM(I241:I242)</f>
        <v>4399.0200000000004</v>
      </c>
      <c r="M234" s="610">
        <f>+I235</f>
        <v>47870.299999999996</v>
      </c>
      <c r="N234" s="610">
        <f>SUM(I236:I240)</f>
        <v>121059.18425000001</v>
      </c>
      <c r="O234" s="610"/>
      <c r="P234" s="610">
        <f>ROUND(SUM(L234:O234),0)</f>
        <v>173329</v>
      </c>
      <c r="Q234" s="1090">
        <f>+G234-P234</f>
        <v>0</v>
      </c>
    </row>
    <row r="235" spans="2:17" ht="24" x14ac:dyDescent="0.25">
      <c r="B235" s="695" t="s">
        <v>4528</v>
      </c>
      <c r="C235" s="696" t="s">
        <v>364</v>
      </c>
      <c r="D235" s="444" t="str">
        <f>VLOOKUP($C235,MO!$A$4:$N$199,2,0)</f>
        <v>CUADRILLA BB TIPO 3 (1 OFICIAL + 3 AYUDANTE) (Instalaciones)</v>
      </c>
      <c r="E235" s="445" t="str">
        <f>VLOOKUP($C235,MO!$A$4:$N$199,5,0)</f>
        <v>hr</v>
      </c>
      <c r="F235" s="695">
        <v>0.85</v>
      </c>
      <c r="G235" s="1122">
        <f>+VLOOKUP(C235,MO!$A$2:$F$199,6,FALSE)</f>
        <v>56318</v>
      </c>
      <c r="H235" s="697"/>
      <c r="I235" s="698">
        <f>+F235*G235</f>
        <v>47870.299999999996</v>
      </c>
      <c r="Q235" s="1090"/>
    </row>
    <row r="236" spans="2:17" x14ac:dyDescent="0.25">
      <c r="B236" s="695" t="s">
        <v>4543</v>
      </c>
      <c r="C236" s="696">
        <v>330</v>
      </c>
      <c r="D236" s="444" t="str">
        <f>VLOOKUP($C236,INSUMOS!$A$4:$E$495,2,0)</f>
        <v>Concreto 3000 PSI</v>
      </c>
      <c r="E236" s="445" t="str">
        <f>VLOOKUP($C236,INSUMOS!$A$4:$M$495,4,0)</f>
        <v>M3</v>
      </c>
      <c r="F236" s="699">
        <v>0.1</v>
      </c>
      <c r="G236" s="1122">
        <f>+VLOOKUP(C236,INSUMOS!$A$2:$E$495,5,FALSE)</f>
        <v>393249.64250000002</v>
      </c>
      <c r="H236" s="697"/>
      <c r="I236" s="698">
        <f t="shared" ref="I236:I242" si="76">+F236*G236</f>
        <v>39324.964250000005</v>
      </c>
      <c r="Q236" s="1090"/>
    </row>
    <row r="237" spans="2:17" x14ac:dyDescent="0.25">
      <c r="B237" s="695" t="s">
        <v>4543</v>
      </c>
      <c r="C237" s="696">
        <v>431</v>
      </c>
      <c r="D237" s="444" t="str">
        <f>VLOOKUP($C237,INSUMOS!$A$4:$E$495,2,0)</f>
        <v>INSTALACIONES PROVISIONALES</v>
      </c>
      <c r="E237" s="445" t="str">
        <f>VLOOKUP($C237,INSUMOS!$A$4:$M$495,4,0)</f>
        <v>GL</v>
      </c>
      <c r="F237" s="695">
        <v>1</v>
      </c>
      <c r="G237" s="1122">
        <f>+VLOOKUP(C237,INSUMOS!$A$2:$E$495,5,FALSE)</f>
        <v>50498</v>
      </c>
      <c r="H237" s="697"/>
      <c r="I237" s="698">
        <f t="shared" si="76"/>
        <v>50498</v>
      </c>
      <c r="Q237" s="1090"/>
    </row>
    <row r="238" spans="2:17" x14ac:dyDescent="0.25">
      <c r="B238" s="695" t="s">
        <v>4543</v>
      </c>
      <c r="C238" s="696">
        <v>60</v>
      </c>
      <c r="D238" s="444" t="str">
        <f>VLOOKUP($C238,INSUMOS!$A$4:$E$495,2,0)</f>
        <v>GUADUA SOBREBASA L= 1.50 MT. 3 USOS</v>
      </c>
      <c r="E238" s="445" t="str">
        <f>VLOOKUP($C238,INSUMOS!$A$4:$M$495,4,0)</f>
        <v>UNIDAD</v>
      </c>
      <c r="F238" s="695">
        <v>0.83</v>
      </c>
      <c r="G238" s="1122">
        <f>+VLOOKUP(C238,INSUMOS!$A$2:$E$495,5,FALSE)</f>
        <v>7634</v>
      </c>
      <c r="H238" s="697"/>
      <c r="I238" s="698">
        <f t="shared" si="76"/>
        <v>6336.2199999999993</v>
      </c>
      <c r="Q238" s="1090"/>
    </row>
    <row r="239" spans="2:17" x14ac:dyDescent="0.25">
      <c r="B239" s="695" t="s">
        <v>4543</v>
      </c>
      <c r="C239" s="696">
        <v>12</v>
      </c>
      <c r="D239" s="444" t="str">
        <f>VLOOKUP($C239,INSUMOS!$A$4:$E$495,2,0)</f>
        <v>CUARTON ORDINARIO 8 CM *4 CM *3M</v>
      </c>
      <c r="E239" s="445" t="str">
        <f>VLOOKUP($C239,INSUMOS!$A$4:$M$495,4,0)</f>
        <v>UNIDAD</v>
      </c>
      <c r="F239" s="695">
        <v>0.83</v>
      </c>
      <c r="G239" s="1122">
        <f>+VLOOKUP(C239,INSUMOS!$A$2:$E$495,5,FALSE)</f>
        <v>12900</v>
      </c>
      <c r="H239" s="697"/>
      <c r="I239" s="698">
        <f t="shared" ref="I239" si="77">+F239*G239</f>
        <v>10707</v>
      </c>
      <c r="Q239" s="1090"/>
    </row>
    <row r="240" spans="2:17" x14ac:dyDescent="0.25">
      <c r="B240" s="695" t="s">
        <v>4543</v>
      </c>
      <c r="C240" s="696">
        <v>13</v>
      </c>
      <c r="D240" s="444" t="str">
        <f>VLOOKUP($C240,INSUMOS!$A$4:$E$495,2,0)</f>
        <v>TABLA BURRA 30 CM * 2.5 CM * 3 M</v>
      </c>
      <c r="E240" s="445" t="str">
        <f>VLOOKUP($C240,INSUMOS!$A$4:$M$495,4,0)</f>
        <v>UNIDAD</v>
      </c>
      <c r="F240" s="695">
        <v>0.83</v>
      </c>
      <c r="G240" s="1122">
        <f>+VLOOKUP(C240,INSUMOS!$A$2:$E$495,5,FALSE)</f>
        <v>17100</v>
      </c>
      <c r="H240" s="697"/>
      <c r="I240" s="698">
        <f t="shared" ref="I240" si="78">+F240*G240</f>
        <v>14193</v>
      </c>
      <c r="Q240" s="1090"/>
    </row>
    <row r="241" spans="2:17" x14ac:dyDescent="0.25">
      <c r="B241" s="695" t="s">
        <v>4543</v>
      </c>
      <c r="C241" s="696">
        <v>149</v>
      </c>
      <c r="D241" s="444" t="str">
        <f>VLOOKUP($C241,INSUMOS!$A$4:$E$495,2,0)</f>
        <v>MEZCLADORA</v>
      </c>
      <c r="E241" s="445" t="str">
        <f>VLOOKUP($C241,INSUMOS!$A$4:$M$495,4,0)</f>
        <v>DIA</v>
      </c>
      <c r="F241" s="695">
        <v>0.02</v>
      </c>
      <c r="G241" s="1122">
        <f>+VLOOKUP(C241,INSUMOS!$A$2:$E$495,5,FALSE)</f>
        <v>47826</v>
      </c>
      <c r="H241" s="697"/>
      <c r="I241" s="698">
        <f t="shared" si="76"/>
        <v>956.52</v>
      </c>
      <c r="Q241" s="1090"/>
    </row>
    <row r="242" spans="2:17" x14ac:dyDescent="0.25">
      <c r="B242" s="696" t="s">
        <v>4529</v>
      </c>
      <c r="C242" s="696">
        <v>150</v>
      </c>
      <c r="D242" s="444" t="str">
        <f>VLOOKUP($C242,INSUMOS!$A$4:$E$495,2,0)</f>
        <v>HERRAMIENTA MENOR</v>
      </c>
      <c r="E242" s="445" t="str">
        <f>VLOOKUP($C242,INSUMOS!$A$4:$M$495,4,0)</f>
        <v>GLB</v>
      </c>
      <c r="F242" s="695">
        <v>0.85</v>
      </c>
      <c r="G242" s="1122">
        <f>+VLOOKUP(C242,INSUMOS!$A$2:$E$495,5,FALSE)</f>
        <v>4050</v>
      </c>
      <c r="H242" s="697"/>
      <c r="I242" s="698">
        <f t="shared" si="76"/>
        <v>3442.5</v>
      </c>
      <c r="Q242" s="1090"/>
    </row>
    <row r="243" spans="2:17" x14ac:dyDescent="0.25">
      <c r="H243" s="594"/>
      <c r="K243" s="609"/>
      <c r="L243" s="610"/>
      <c r="M243" s="610"/>
      <c r="N243" s="610"/>
      <c r="O243" s="610"/>
      <c r="P243" s="610"/>
      <c r="Q243" s="1090"/>
    </row>
    <row r="244" spans="2:17" ht="15.75" thickBot="1" x14ac:dyDescent="0.3">
      <c r="H244" s="594"/>
      <c r="K244" s="609"/>
      <c r="L244" s="610"/>
      <c r="M244" s="610"/>
      <c r="N244" s="610"/>
      <c r="O244" s="610"/>
      <c r="P244" s="610"/>
      <c r="Q244" s="1090"/>
    </row>
    <row r="245" spans="2:17" ht="24.75" thickBot="1" x14ac:dyDescent="0.3">
      <c r="B245" s="595" t="s">
        <v>8</v>
      </c>
      <c r="C245" s="595" t="s">
        <v>8</v>
      </c>
      <c r="D245" s="665" t="s">
        <v>9</v>
      </c>
      <c r="E245" s="665" t="str">
        <f>+E227</f>
        <v>M²</v>
      </c>
      <c r="F245" s="665" t="s">
        <v>2</v>
      </c>
      <c r="G245" s="1120" t="s">
        <v>3987</v>
      </c>
      <c r="H245" s="665" t="s">
        <v>4101</v>
      </c>
      <c r="I245" s="666" t="s">
        <v>14</v>
      </c>
      <c r="K245" s="609"/>
      <c r="L245" s="610"/>
      <c r="M245" s="610"/>
      <c r="N245" s="610"/>
      <c r="O245" s="610"/>
      <c r="P245" s="610"/>
      <c r="Q245" s="1090"/>
    </row>
    <row r="246" spans="2:17" ht="39.75" customHeight="1" x14ac:dyDescent="0.25">
      <c r="B246" s="649" t="s">
        <v>4449</v>
      </c>
      <c r="C246" s="649"/>
      <c r="D246" s="573" t="s">
        <v>4171</v>
      </c>
      <c r="E246" s="574" t="s">
        <v>4104</v>
      </c>
      <c r="F246" s="575"/>
      <c r="G246" s="1118">
        <f>SUM(I247:I256)</f>
        <v>32029.644749999996</v>
      </c>
      <c r="H246" s="576"/>
      <c r="I246" s="650"/>
      <c r="K246" s="609" t="str">
        <f>+B246</f>
        <v>9.1</v>
      </c>
      <c r="L246" s="610">
        <f>SUM(I252:I254)</f>
        <v>1711.20525</v>
      </c>
      <c r="M246" s="610">
        <f>+I247+I256</f>
        <v>12917.75625</v>
      </c>
      <c r="N246" s="610">
        <f>SUM(I248:I251)</f>
        <v>16785.552000000003</v>
      </c>
      <c r="O246" s="610">
        <f>+I255</f>
        <v>615.13125000000002</v>
      </c>
      <c r="P246" s="610">
        <f>SUM(L246:O246)</f>
        <v>32029.644750000003</v>
      </c>
      <c r="Q246" s="1090">
        <f>+G246-P246</f>
        <v>0</v>
      </c>
    </row>
    <row r="247" spans="2:17" x14ac:dyDescent="0.25">
      <c r="B247" s="651" t="s">
        <v>15</v>
      </c>
      <c r="C247" s="651" t="s">
        <v>15</v>
      </c>
      <c r="D247" s="444" t="str">
        <f>+MO!B70</f>
        <v>CUADRILLA CC TIPO 1 (1 OFICIAL + 1 AYUDANTE) (Pintura)</v>
      </c>
      <c r="E247" s="579" t="str">
        <f>+E228</f>
        <v>DIA</v>
      </c>
      <c r="F247" s="580">
        <v>0.25</v>
      </c>
      <c r="G247" s="581">
        <f>+MO!H70</f>
        <v>262456</v>
      </c>
      <c r="H247" s="582">
        <f>(90/480)</f>
        <v>0.1875</v>
      </c>
      <c r="I247" s="652">
        <f>(F247*G247*H247)</f>
        <v>12302.625</v>
      </c>
      <c r="K247" s="609"/>
      <c r="L247" s="610"/>
      <c r="M247" s="610"/>
      <c r="N247" s="610"/>
      <c r="O247" s="610"/>
      <c r="P247" s="610"/>
      <c r="Q247" s="1090"/>
    </row>
    <row r="248" spans="2:17" ht="24" x14ac:dyDescent="0.25">
      <c r="B248" s="651" t="s">
        <v>4083</v>
      </c>
      <c r="C248" s="651" t="s">
        <v>4083</v>
      </c>
      <c r="D248" s="444" t="str">
        <f>+INSUMOS!B91</f>
        <v>ESTUCO PARA EXTERIORES - TIPO PINTUCO REF. 27060 O SIMILAR.</v>
      </c>
      <c r="E248" s="579" t="str">
        <f>+INSUMOS!D91</f>
        <v>GALÓN</v>
      </c>
      <c r="F248" s="580">
        <v>4.4999999999999998E-2</v>
      </c>
      <c r="G248" s="581">
        <f>+INSUMOS!E91</f>
        <v>30140</v>
      </c>
      <c r="H248" s="582">
        <v>1.05</v>
      </c>
      <c r="I248" s="652">
        <f t="shared" ref="I248:I256" si="79">(F248*G248*H248)</f>
        <v>1424.115</v>
      </c>
      <c r="M248" s="610"/>
      <c r="N248" s="610"/>
      <c r="O248" s="610"/>
      <c r="P248" s="610"/>
      <c r="Q248" s="1090"/>
    </row>
    <row r="249" spans="2:17" ht="24" x14ac:dyDescent="0.25">
      <c r="B249" s="651" t="s">
        <v>4083</v>
      </c>
      <c r="C249" s="651" t="s">
        <v>4083</v>
      </c>
      <c r="D249" s="444" t="str">
        <f>+INSUMOS!B92</f>
        <v>INTERVINILO - TIPO PINTUCO REF. SEGÚN COLOR DISEÑO O SIMILAR</v>
      </c>
      <c r="E249" s="579" t="str">
        <f>+INSUMOS!D91</f>
        <v>GALÓN</v>
      </c>
      <c r="F249" s="580">
        <v>0.04</v>
      </c>
      <c r="G249" s="581">
        <f>+INSUMOS!E92</f>
        <v>68416</v>
      </c>
      <c r="H249" s="582">
        <v>1.05</v>
      </c>
      <c r="I249" s="652">
        <f t="shared" si="79"/>
        <v>2873.4720000000002</v>
      </c>
      <c r="K249" s="615"/>
      <c r="L249" s="610"/>
      <c r="M249" s="610"/>
      <c r="N249" s="610"/>
      <c r="O249" s="610"/>
      <c r="Q249" s="1091"/>
    </row>
    <row r="250" spans="2:17" ht="24" x14ac:dyDescent="0.25">
      <c r="B250" s="651" t="s">
        <v>4083</v>
      </c>
      <c r="C250" s="651" t="s">
        <v>4083</v>
      </c>
      <c r="D250" s="444" t="str">
        <f>+INSUMOS!B93</f>
        <v>KORAZA - TIPO PINTUCO REF. 2650 SEGÚN COLOR DISEÑO O SIMILAR</v>
      </c>
      <c r="E250" s="579" t="str">
        <f>+INSUMOS!D93</f>
        <v>GALÓN</v>
      </c>
      <c r="F250" s="580">
        <v>0.1</v>
      </c>
      <c r="G250" s="581">
        <f>+INSUMOS!E93</f>
        <v>117995</v>
      </c>
      <c r="H250" s="582">
        <v>1.05</v>
      </c>
      <c r="I250" s="652">
        <f t="shared" si="79"/>
        <v>12389.475</v>
      </c>
      <c r="K250" s="609"/>
      <c r="L250" s="610"/>
      <c r="M250" s="610"/>
      <c r="N250" s="610"/>
      <c r="O250" s="610"/>
      <c r="P250" s="610"/>
      <c r="Q250" s="1090"/>
    </row>
    <row r="251" spans="2:17" x14ac:dyDescent="0.25">
      <c r="B251" s="651" t="s">
        <v>4083</v>
      </c>
      <c r="C251" s="651" t="s">
        <v>4083</v>
      </c>
      <c r="D251" s="444" t="str">
        <f>+INSUMOS!B3</f>
        <v>PABMERIL PLIEGO 9" X 11"</v>
      </c>
      <c r="E251" s="579" t="str">
        <f>+INSUMOS!D3</f>
        <v>UN</v>
      </c>
      <c r="F251" s="580">
        <v>0.02</v>
      </c>
      <c r="G251" s="581">
        <f>+INSUMOS!E3</f>
        <v>4690</v>
      </c>
      <c r="H251" s="582">
        <v>1.05</v>
      </c>
      <c r="I251" s="652">
        <f t="shared" si="79"/>
        <v>98.49</v>
      </c>
      <c r="K251" s="609"/>
      <c r="L251" s="610"/>
      <c r="M251" s="610"/>
      <c r="N251" s="610"/>
      <c r="O251" s="610"/>
      <c r="P251" s="610"/>
      <c r="Q251" s="1090"/>
    </row>
    <row r="252" spans="2:17" ht="24" x14ac:dyDescent="0.25">
      <c r="B252" s="651" t="str">
        <f>+B157</f>
        <v>EQU.</v>
      </c>
      <c r="C252" s="651" t="str">
        <f>+C157</f>
        <v>EQU.</v>
      </c>
      <c r="D252" s="444" t="s">
        <v>1146</v>
      </c>
      <c r="E252" s="579" t="str">
        <f>+EQUIPOS!D439</f>
        <v>UND</v>
      </c>
      <c r="F252" s="580">
        <v>0.06</v>
      </c>
      <c r="G252" s="581">
        <f>+EQUIPOS!E439</f>
        <v>8699</v>
      </c>
      <c r="H252" s="582">
        <v>2</v>
      </c>
      <c r="I252" s="652">
        <f t="shared" si="79"/>
        <v>1043.8799999999999</v>
      </c>
      <c r="K252" s="609"/>
      <c r="L252" s="610"/>
      <c r="M252" s="610"/>
      <c r="N252" s="610"/>
      <c r="O252" s="610"/>
      <c r="P252" s="610"/>
      <c r="Q252" s="1090"/>
    </row>
    <row r="253" spans="2:17" x14ac:dyDescent="0.25">
      <c r="B253" s="651" t="s">
        <v>205</v>
      </c>
      <c r="C253" s="651" t="s">
        <v>205</v>
      </c>
      <c r="D253" s="444" t="str">
        <f>+D154</f>
        <v>REGLA VIBRATORIA</v>
      </c>
      <c r="E253" s="579" t="str">
        <f>+E255</f>
        <v>%M.O</v>
      </c>
      <c r="F253" s="580">
        <v>1</v>
      </c>
      <c r="G253" s="581">
        <f>+I247</f>
        <v>12302.625</v>
      </c>
      <c r="H253" s="582">
        <v>0.05</v>
      </c>
      <c r="I253" s="652">
        <f t="shared" si="79"/>
        <v>615.13125000000002</v>
      </c>
      <c r="K253" s="609"/>
      <c r="L253" s="610"/>
      <c r="M253" s="610"/>
      <c r="N253" s="610"/>
      <c r="O253" s="610"/>
      <c r="P253" s="610"/>
      <c r="Q253" s="1090"/>
    </row>
    <row r="254" spans="2:17" x14ac:dyDescent="0.25">
      <c r="B254" s="651" t="s">
        <v>205</v>
      </c>
      <c r="C254" s="651" t="s">
        <v>205</v>
      </c>
      <c r="D254" s="444" t="s">
        <v>4147</v>
      </c>
      <c r="E254" s="579" t="str">
        <f>+E256</f>
        <v>%M.O</v>
      </c>
      <c r="F254" s="580">
        <v>1</v>
      </c>
      <c r="G254" s="581">
        <f>+I252</f>
        <v>1043.8799999999999</v>
      </c>
      <c r="H254" s="582">
        <v>0.05</v>
      </c>
      <c r="I254" s="652">
        <f t="shared" si="79"/>
        <v>52.193999999999996</v>
      </c>
      <c r="K254" s="609"/>
      <c r="L254" s="610"/>
      <c r="M254" s="610"/>
      <c r="N254" s="610"/>
      <c r="O254" s="610"/>
      <c r="P254" s="610"/>
      <c r="Q254" s="1090"/>
    </row>
    <row r="255" spans="2:17" x14ac:dyDescent="0.25">
      <c r="B255" s="651" t="str">
        <f t="shared" ref="B255:D256" si="80">+B231</f>
        <v>TRANS.</v>
      </c>
      <c r="C255" s="651" t="str">
        <f t="shared" si="80"/>
        <v>TRANS.</v>
      </c>
      <c r="D255" s="444" t="str">
        <f t="shared" si="80"/>
        <v>EQUIPO DE TRANSPORTE</v>
      </c>
      <c r="E255" s="579" t="s">
        <v>203</v>
      </c>
      <c r="F255" s="580">
        <v>1</v>
      </c>
      <c r="G255" s="581">
        <f>+I247</f>
        <v>12302.625</v>
      </c>
      <c r="H255" s="582">
        <v>0.05</v>
      </c>
      <c r="I255" s="652">
        <f t="shared" si="79"/>
        <v>615.13125000000002</v>
      </c>
      <c r="K255" s="609"/>
      <c r="L255" s="610"/>
      <c r="M255" s="610"/>
      <c r="N255" s="610"/>
      <c r="O255" s="610"/>
      <c r="P255" s="610"/>
      <c r="Q255" s="1090"/>
    </row>
    <row r="256" spans="2:17" ht="15.75" thickBot="1" x14ac:dyDescent="0.3">
      <c r="B256" s="653" t="str">
        <f t="shared" si="80"/>
        <v>TRANS.</v>
      </c>
      <c r="C256" s="653" t="str">
        <f t="shared" si="80"/>
        <v>TRANS.</v>
      </c>
      <c r="D256" s="654" t="str">
        <f t="shared" si="80"/>
        <v>ACARREO INTERNO</v>
      </c>
      <c r="E256" s="655" t="str">
        <f>+E255</f>
        <v>%M.O</v>
      </c>
      <c r="F256" s="656">
        <v>1</v>
      </c>
      <c r="G256" s="1119">
        <f>+I247</f>
        <v>12302.625</v>
      </c>
      <c r="H256" s="657">
        <v>0.05</v>
      </c>
      <c r="I256" s="658">
        <f t="shared" si="79"/>
        <v>615.13125000000002</v>
      </c>
      <c r="K256" s="609"/>
      <c r="L256" s="610"/>
      <c r="M256" s="610"/>
      <c r="N256" s="610"/>
      <c r="O256" s="610"/>
      <c r="P256" s="610"/>
      <c r="Q256" s="1090"/>
    </row>
    <row r="257" spans="2:17" ht="15.75" thickBot="1" x14ac:dyDescent="0.3">
      <c r="B257" s="620"/>
      <c r="C257" s="620"/>
      <c r="D257" s="621"/>
      <c r="E257" s="622"/>
      <c r="F257" s="623"/>
      <c r="G257" s="624"/>
      <c r="H257" s="625"/>
      <c r="I257" s="624"/>
      <c r="K257" s="609"/>
      <c r="L257" s="610"/>
      <c r="M257" s="610"/>
      <c r="N257" s="610"/>
      <c r="O257" s="610"/>
      <c r="P257" s="610"/>
      <c r="Q257" s="1090"/>
    </row>
    <row r="258" spans="2:17" ht="24.75" thickBot="1" x14ac:dyDescent="0.3">
      <c r="B258" s="595" t="s">
        <v>8</v>
      </c>
      <c r="C258" s="595" t="s">
        <v>8</v>
      </c>
      <c r="D258" s="665" t="s">
        <v>9</v>
      </c>
      <c r="E258" s="665" t="str">
        <f>+E240</f>
        <v>UNIDAD</v>
      </c>
      <c r="F258" s="665" t="s">
        <v>2</v>
      </c>
      <c r="G258" s="1120" t="s">
        <v>3987</v>
      </c>
      <c r="H258" s="665" t="s">
        <v>4101</v>
      </c>
      <c r="I258" s="666" t="s">
        <v>14</v>
      </c>
      <c r="K258" s="609"/>
      <c r="L258" s="610"/>
      <c r="M258" s="610"/>
      <c r="N258" s="610"/>
      <c r="O258" s="610"/>
      <c r="P258" s="610"/>
      <c r="Q258" s="1090"/>
    </row>
    <row r="259" spans="2:17" ht="39.75" customHeight="1" x14ac:dyDescent="0.25">
      <c r="B259" s="649" t="s">
        <v>5109</v>
      </c>
      <c r="C259" s="649"/>
      <c r="D259" s="573" t="s">
        <v>4492</v>
      </c>
      <c r="E259" s="574" t="s">
        <v>4104</v>
      </c>
      <c r="F259" s="575"/>
      <c r="G259" s="1118">
        <f>SUM(I260:I267)</f>
        <v>72566.977400000003</v>
      </c>
      <c r="H259" s="576"/>
      <c r="I259" s="650"/>
      <c r="K259" s="609" t="str">
        <f>+B259</f>
        <v>6.1</v>
      </c>
      <c r="L259" s="610">
        <f>+I265+I264+I262</f>
        <v>1035.75</v>
      </c>
      <c r="M259" s="610">
        <f>+I261+I266</f>
        <v>24275.94</v>
      </c>
      <c r="N259" s="610">
        <f>+I260+I267</f>
        <v>45028.2834</v>
      </c>
      <c r="O259" s="610">
        <f>+I263</f>
        <v>2227.0039999999999</v>
      </c>
      <c r="P259" s="610">
        <f>SUM(L259:O259)</f>
        <v>72566.977400000003</v>
      </c>
      <c r="Q259" s="1090">
        <f>+G259-P259</f>
        <v>0</v>
      </c>
    </row>
    <row r="260" spans="2:17" x14ac:dyDescent="0.25">
      <c r="B260" s="651" t="s">
        <v>15</v>
      </c>
      <c r="C260" s="651" t="s">
        <v>15</v>
      </c>
      <c r="D260" s="444" t="s">
        <v>4143</v>
      </c>
      <c r="E260" s="579" t="s">
        <v>301</v>
      </c>
      <c r="F260" s="580">
        <v>0.06</v>
      </c>
      <c r="G260" s="581">
        <f>+INSUMOS!E101</f>
        <v>396096.39</v>
      </c>
      <c r="H260" s="582">
        <v>1</v>
      </c>
      <c r="I260" s="652">
        <f>(F260*G260*H260)</f>
        <v>23765.7834</v>
      </c>
      <c r="K260" s="609"/>
      <c r="L260" s="610"/>
      <c r="M260" s="610"/>
      <c r="N260" s="610"/>
      <c r="O260" s="610"/>
      <c r="P260" s="610"/>
      <c r="Q260" s="1090"/>
    </row>
    <row r="261" spans="2:17" x14ac:dyDescent="0.25">
      <c r="B261" s="651" t="s">
        <v>4083</v>
      </c>
      <c r="C261" s="651" t="s">
        <v>4083</v>
      </c>
      <c r="D261" s="444" t="s">
        <v>5126</v>
      </c>
      <c r="E261" s="579" t="s">
        <v>4532</v>
      </c>
      <c r="F261" s="580">
        <v>0.74</v>
      </c>
      <c r="G261" s="581">
        <f>+MO!F68</f>
        <v>31166</v>
      </c>
      <c r="H261" s="582">
        <v>1</v>
      </c>
      <c r="I261" s="652">
        <f t="shared" ref="I261:I267" si="81">(F261*G261*H261)</f>
        <v>23062.84</v>
      </c>
      <c r="M261" s="610"/>
      <c r="N261" s="610"/>
      <c r="O261" s="610"/>
      <c r="P261" s="610"/>
      <c r="Q261" s="1090"/>
    </row>
    <row r="262" spans="2:17" ht="24" x14ac:dyDescent="0.25">
      <c r="B262" s="651" t="s">
        <v>4083</v>
      </c>
      <c r="C262" s="651" t="s">
        <v>4083</v>
      </c>
      <c r="D262" s="444" t="s">
        <v>1030</v>
      </c>
      <c r="E262" s="579" t="s">
        <v>4387</v>
      </c>
      <c r="F262" s="580">
        <v>2.5000000000000001E-2</v>
      </c>
      <c r="G262" s="581">
        <v>26190</v>
      </c>
      <c r="H262" s="582">
        <v>1</v>
      </c>
      <c r="I262" s="652">
        <f t="shared" si="81"/>
        <v>654.75</v>
      </c>
      <c r="K262" s="615"/>
      <c r="L262" s="610"/>
      <c r="M262" s="610"/>
      <c r="N262" s="610"/>
      <c r="O262" s="610"/>
      <c r="Q262" s="1091"/>
    </row>
    <row r="263" spans="2:17" x14ac:dyDescent="0.25">
      <c r="B263" s="651" t="s">
        <v>4083</v>
      </c>
      <c r="C263" s="651" t="s">
        <v>4083</v>
      </c>
      <c r="D263" s="444" t="s">
        <v>5127</v>
      </c>
      <c r="E263" s="579" t="s">
        <v>4302</v>
      </c>
      <c r="F263" s="580">
        <v>1.2999999999999999E-2</v>
      </c>
      <c r="G263" s="581">
        <v>171308</v>
      </c>
      <c r="H263" s="582">
        <v>1</v>
      </c>
      <c r="I263" s="652">
        <f t="shared" si="81"/>
        <v>2227.0039999999999</v>
      </c>
      <c r="K263" s="609"/>
      <c r="L263" s="610"/>
      <c r="M263" s="610"/>
      <c r="N263" s="610"/>
      <c r="O263" s="610"/>
      <c r="P263" s="610"/>
      <c r="Q263" s="1090"/>
    </row>
    <row r="264" spans="2:17" x14ac:dyDescent="0.25">
      <c r="B264" s="651" t="s">
        <v>4083</v>
      </c>
      <c r="C264" s="651" t="s">
        <v>4083</v>
      </c>
      <c r="D264" s="444" t="s">
        <v>5128</v>
      </c>
      <c r="E264" s="579" t="s">
        <v>89</v>
      </c>
      <c r="F264" s="580">
        <v>8.0000000000000002E-3</v>
      </c>
      <c r="G264" s="581">
        <v>6250</v>
      </c>
      <c r="H264" s="582">
        <v>1</v>
      </c>
      <c r="I264" s="652">
        <f t="shared" si="81"/>
        <v>50</v>
      </c>
      <c r="K264" s="609"/>
      <c r="L264" s="610"/>
      <c r="M264" s="610"/>
      <c r="N264" s="610"/>
      <c r="O264" s="610"/>
      <c r="P264" s="610"/>
      <c r="Q264" s="1090"/>
    </row>
    <row r="265" spans="2:17" x14ac:dyDescent="0.25">
      <c r="B265" s="651" t="str">
        <f>+B170</f>
        <v>EQU.</v>
      </c>
      <c r="C265" s="651" t="str">
        <f>+C170</f>
        <v>EQU.</v>
      </c>
      <c r="D265" s="444" t="s">
        <v>3925</v>
      </c>
      <c r="E265" s="579" t="s">
        <v>4012</v>
      </c>
      <c r="F265" s="580">
        <v>0.1</v>
      </c>
      <c r="G265" s="581">
        <v>3310</v>
      </c>
      <c r="H265" s="582">
        <v>1</v>
      </c>
      <c r="I265" s="652">
        <f t="shared" si="81"/>
        <v>331</v>
      </c>
      <c r="K265" s="609"/>
      <c r="L265" s="610"/>
      <c r="M265" s="610"/>
      <c r="N265" s="610"/>
      <c r="O265" s="610"/>
      <c r="P265" s="610"/>
      <c r="Q265" s="1090"/>
    </row>
    <row r="266" spans="2:17" x14ac:dyDescent="0.25">
      <c r="B266" s="651" t="s">
        <v>205</v>
      </c>
      <c r="C266" s="651" t="s">
        <v>205</v>
      </c>
      <c r="D266" s="444" t="s">
        <v>18</v>
      </c>
      <c r="E266" s="579" t="s">
        <v>4532</v>
      </c>
      <c r="F266" s="580">
        <v>0.7</v>
      </c>
      <c r="G266" s="581">
        <v>1733</v>
      </c>
      <c r="H266" s="582">
        <v>1</v>
      </c>
      <c r="I266" s="652">
        <f t="shared" si="81"/>
        <v>1213.0999999999999</v>
      </c>
      <c r="K266" s="609"/>
      <c r="L266" s="610"/>
      <c r="M266" s="610"/>
      <c r="N266" s="610"/>
      <c r="O266" s="610"/>
      <c r="P266" s="610"/>
      <c r="Q266" s="1090"/>
    </row>
    <row r="267" spans="2:17" ht="24" x14ac:dyDescent="0.25">
      <c r="B267" s="651">
        <f>+B244</f>
        <v>0</v>
      </c>
      <c r="C267" s="651">
        <f>+C244</f>
        <v>0</v>
      </c>
      <c r="D267" s="444" t="s">
        <v>5129</v>
      </c>
      <c r="E267" s="579" t="s">
        <v>4142</v>
      </c>
      <c r="F267" s="580">
        <v>15</v>
      </c>
      <c r="G267" s="581">
        <f>+INSUMOS!E291</f>
        <v>1350</v>
      </c>
      <c r="H267" s="582">
        <v>1.05</v>
      </c>
      <c r="I267" s="652">
        <f t="shared" si="81"/>
        <v>21262.5</v>
      </c>
      <c r="K267" s="609"/>
      <c r="L267" s="610"/>
      <c r="M267" s="610"/>
      <c r="N267" s="610"/>
      <c r="O267" s="610"/>
      <c r="P267" s="610"/>
      <c r="Q267" s="1090"/>
    </row>
    <row r="268" spans="2:17" x14ac:dyDescent="0.25">
      <c r="B268" s="620"/>
      <c r="C268" s="620"/>
      <c r="D268" s="621"/>
      <c r="E268" s="622"/>
      <c r="F268" s="623"/>
      <c r="G268" s="624"/>
      <c r="H268" s="625"/>
      <c r="I268" s="624"/>
      <c r="K268" s="609"/>
      <c r="L268" s="610"/>
      <c r="M268" s="610"/>
      <c r="N268" s="610"/>
      <c r="O268" s="610"/>
      <c r="P268" s="610"/>
      <c r="Q268" s="1090"/>
    </row>
    <row r="269" spans="2:17" ht="15.75" thickBot="1" x14ac:dyDescent="0.3">
      <c r="B269" s="622"/>
      <c r="C269" s="622"/>
      <c r="D269" s="621"/>
      <c r="E269" s="681"/>
      <c r="F269" s="682"/>
      <c r="G269" s="624"/>
      <c r="H269" s="623"/>
      <c r="I269" s="624"/>
      <c r="K269" s="609"/>
      <c r="L269" s="610"/>
      <c r="M269" s="610"/>
      <c r="N269" s="610"/>
      <c r="O269" s="610"/>
      <c r="P269" s="610"/>
      <c r="Q269" s="1090"/>
    </row>
    <row r="270" spans="2:17" ht="24.75" thickBot="1" x14ac:dyDescent="0.3">
      <c r="B270" s="645" t="s">
        <v>8</v>
      </c>
      <c r="C270" s="645" t="s">
        <v>8</v>
      </c>
      <c r="D270" s="630" t="s">
        <v>9</v>
      </c>
      <c r="E270" s="630" t="s">
        <v>11</v>
      </c>
      <c r="F270" s="630" t="s">
        <v>2</v>
      </c>
      <c r="G270" s="1113" t="s">
        <v>12</v>
      </c>
      <c r="H270" s="630" t="s">
        <v>13</v>
      </c>
      <c r="I270" s="631" t="s">
        <v>14</v>
      </c>
      <c r="K270" s="609"/>
      <c r="L270" s="628"/>
      <c r="M270" s="628"/>
      <c r="N270" s="628"/>
      <c r="O270" s="628"/>
      <c r="P270" s="628"/>
      <c r="Q270" s="1090"/>
    </row>
    <row r="271" spans="2:17" ht="36" x14ac:dyDescent="0.25">
      <c r="B271" s="700" t="s">
        <v>4426</v>
      </c>
      <c r="C271" s="700"/>
      <c r="D271" s="634" t="s">
        <v>4087</v>
      </c>
      <c r="E271" s="635" t="s">
        <v>4104</v>
      </c>
      <c r="F271" s="575"/>
      <c r="G271" s="1114">
        <f>SUM(I272:I276)</f>
        <v>32211.957523333327</v>
      </c>
      <c r="H271" s="636"/>
      <c r="I271" s="701"/>
      <c r="K271" s="609" t="str">
        <f>+B271</f>
        <v>6.2</v>
      </c>
      <c r="L271" s="610">
        <f>SUM(I274)</f>
        <v>1038.8666666666666</v>
      </c>
      <c r="M271" s="610">
        <f>+I272+I276</f>
        <v>21816.199999999997</v>
      </c>
      <c r="N271" s="610">
        <f>SUM(I273)</f>
        <v>8318.0241900000001</v>
      </c>
      <c r="O271" s="610">
        <f>+I275</f>
        <v>1038.8666666666666</v>
      </c>
      <c r="P271" s="610">
        <f>SUM(L271:O271)</f>
        <v>32211.957523333327</v>
      </c>
      <c r="Q271" s="1090">
        <f>+G271-P271</f>
        <v>0</v>
      </c>
    </row>
    <row r="272" spans="2:17" x14ac:dyDescent="0.25">
      <c r="B272" s="651" t="s">
        <v>15</v>
      </c>
      <c r="C272" s="651" t="s">
        <v>15</v>
      </c>
      <c r="D272" s="444" t="str">
        <f>+D280</f>
        <v>CUADRILLA AA TIPO 1 (1 OFICIAL + 1 AYUDANTE) (Albañileria)</v>
      </c>
      <c r="E272" s="579" t="str">
        <f>+E351</f>
        <v>HR</v>
      </c>
      <c r="F272" s="580">
        <v>1</v>
      </c>
      <c r="G272" s="581">
        <f>+MO!H68</f>
        <v>249328</v>
      </c>
      <c r="H272" s="582">
        <f>(40/480)</f>
        <v>8.3333333333333329E-2</v>
      </c>
      <c r="I272" s="686">
        <f>(F272*G272*H272)</f>
        <v>20777.333333333332</v>
      </c>
      <c r="K272" s="609"/>
      <c r="L272" s="610"/>
      <c r="M272" s="610"/>
      <c r="N272" s="610"/>
      <c r="O272" s="610"/>
      <c r="P272" s="628"/>
      <c r="Q272" s="1090"/>
    </row>
    <row r="273" spans="2:17" x14ac:dyDescent="0.25">
      <c r="B273" s="651" t="s">
        <v>4083</v>
      </c>
      <c r="C273" s="651" t="s">
        <v>4083</v>
      </c>
      <c r="D273" s="444" t="s">
        <v>4081</v>
      </c>
      <c r="E273" s="579" t="str">
        <f>+'SUB ANALISIS MORTERO'!C9</f>
        <v>M3</v>
      </c>
      <c r="F273" s="580">
        <v>0.02</v>
      </c>
      <c r="G273" s="581">
        <f>+'SUB ANALISIS MORTERO'!I25</f>
        <v>396096.39</v>
      </c>
      <c r="H273" s="582">
        <v>1.05</v>
      </c>
      <c r="I273" s="686">
        <f t="shared" ref="I273" si="82">(F273*G273*H273)</f>
        <v>8318.0241900000001</v>
      </c>
      <c r="K273" s="609"/>
      <c r="L273" s="610"/>
      <c r="M273" s="610"/>
      <c r="N273" s="610"/>
      <c r="O273" s="610"/>
      <c r="P273" s="628"/>
      <c r="Q273" s="1090"/>
    </row>
    <row r="274" spans="2:17" x14ac:dyDescent="0.25">
      <c r="B274" s="651" t="s">
        <v>205</v>
      </c>
      <c r="C274" s="651" t="s">
        <v>205</v>
      </c>
      <c r="D274" s="444" t="s">
        <v>4146</v>
      </c>
      <c r="E274" s="579" t="s">
        <v>203</v>
      </c>
      <c r="F274" s="580">
        <v>1</v>
      </c>
      <c r="G274" s="581">
        <f>+I272</f>
        <v>20777.333333333332</v>
      </c>
      <c r="H274" s="582">
        <v>0.05</v>
      </c>
      <c r="I274" s="686">
        <f>(F274*G274*H274)</f>
        <v>1038.8666666666666</v>
      </c>
      <c r="K274" s="615"/>
      <c r="L274" s="610"/>
      <c r="M274" s="610"/>
      <c r="N274" s="610"/>
      <c r="O274" s="610"/>
      <c r="Q274" s="1091"/>
    </row>
    <row r="275" spans="2:17" x14ac:dyDescent="0.25">
      <c r="B275" s="651" t="s">
        <v>204</v>
      </c>
      <c r="C275" s="651" t="s">
        <v>204</v>
      </c>
      <c r="D275" s="444" t="s">
        <v>1054</v>
      </c>
      <c r="E275" s="579" t="s">
        <v>203</v>
      </c>
      <c r="F275" s="580">
        <v>1</v>
      </c>
      <c r="G275" s="581">
        <f>+I272</f>
        <v>20777.333333333332</v>
      </c>
      <c r="H275" s="582">
        <v>0.05</v>
      </c>
      <c r="I275" s="686">
        <f>(F275*G275*H275)</f>
        <v>1038.8666666666666</v>
      </c>
      <c r="K275" s="609"/>
      <c r="L275" s="610"/>
      <c r="M275" s="610"/>
      <c r="N275" s="610"/>
      <c r="O275" s="610"/>
      <c r="P275" s="610"/>
      <c r="Q275" s="1090"/>
    </row>
    <row r="276" spans="2:17" ht="15.75" thickBot="1" x14ac:dyDescent="0.3">
      <c r="B276" s="653" t="s">
        <v>204</v>
      </c>
      <c r="C276" s="653" t="s">
        <v>204</v>
      </c>
      <c r="D276" s="654" t="s">
        <v>18</v>
      </c>
      <c r="E276" s="655" t="s">
        <v>203</v>
      </c>
      <c r="F276" s="656">
        <v>1</v>
      </c>
      <c r="G276" s="1119">
        <f>+I272</f>
        <v>20777.333333333332</v>
      </c>
      <c r="H276" s="657">
        <v>0.05</v>
      </c>
      <c r="I276" s="687">
        <f>(F276*G276*H276)</f>
        <v>1038.8666666666666</v>
      </c>
      <c r="K276" s="609"/>
      <c r="L276" s="610"/>
      <c r="M276" s="610"/>
      <c r="N276" s="610"/>
      <c r="O276" s="610"/>
      <c r="P276" s="610"/>
      <c r="Q276" s="1090"/>
    </row>
    <row r="277" spans="2:17" ht="15.75" thickBot="1" x14ac:dyDescent="0.3">
      <c r="Q277" s="1090"/>
    </row>
    <row r="278" spans="2:17" ht="24.75" thickBot="1" x14ac:dyDescent="0.3">
      <c r="B278" s="645" t="s">
        <v>8</v>
      </c>
      <c r="C278" s="645" t="s">
        <v>8</v>
      </c>
      <c r="D278" s="630" t="s">
        <v>9</v>
      </c>
      <c r="E278" s="630" t="s">
        <v>11</v>
      </c>
      <c r="F278" s="630" t="s">
        <v>2</v>
      </c>
      <c r="G278" s="1113" t="s">
        <v>12</v>
      </c>
      <c r="H278" s="630" t="s">
        <v>13</v>
      </c>
      <c r="I278" s="631" t="s">
        <v>14</v>
      </c>
      <c r="K278" s="609"/>
      <c r="L278" s="627"/>
      <c r="M278" s="627"/>
      <c r="N278" s="627"/>
      <c r="O278" s="627"/>
      <c r="P278" s="627"/>
      <c r="Q278" s="1090"/>
    </row>
    <row r="279" spans="2:17" ht="24" x14ac:dyDescent="0.25">
      <c r="B279" s="700" t="s">
        <v>4481</v>
      </c>
      <c r="C279" s="700" t="s">
        <v>4242</v>
      </c>
      <c r="D279" s="634" t="s">
        <v>4688</v>
      </c>
      <c r="E279" s="635" t="s">
        <v>1027</v>
      </c>
      <c r="F279" s="575"/>
      <c r="G279" s="1114">
        <f>SUM(I280:I286)</f>
        <v>30964.030000000002</v>
      </c>
      <c r="H279" s="636"/>
      <c r="I279" s="701"/>
      <c r="K279" s="609" t="str">
        <f>+B279</f>
        <v>14.3</v>
      </c>
      <c r="L279" s="610">
        <f>SUM(I284)</f>
        <v>1246.6400000000003</v>
      </c>
      <c r="M279" s="610">
        <f>+I280+I286</f>
        <v>26179.440000000002</v>
      </c>
      <c r="N279" s="610">
        <f>SUM(I281:I283)</f>
        <v>2291.31</v>
      </c>
      <c r="O279" s="610">
        <f>+I285</f>
        <v>1246.6400000000003</v>
      </c>
      <c r="P279" s="610">
        <f>SUM(L279:O279)</f>
        <v>30964.030000000002</v>
      </c>
      <c r="Q279" s="1090">
        <f>+G279-P279</f>
        <v>0</v>
      </c>
    </row>
    <row r="280" spans="2:17" x14ac:dyDescent="0.25">
      <c r="B280" s="651" t="s">
        <v>15</v>
      </c>
      <c r="C280" s="651" t="s">
        <v>15</v>
      </c>
      <c r="D280" s="444" t="str">
        <f>+MO!B68</f>
        <v>CUADRILLA AA TIPO 1 (1 OFICIAL + 1 AYUDANTE) (Albañileria)</v>
      </c>
      <c r="E280" s="579" t="str">
        <f>+E272</f>
        <v>HR</v>
      </c>
      <c r="F280" s="580">
        <v>1</v>
      </c>
      <c r="G280" s="581">
        <f>+MO!H68</f>
        <v>249328</v>
      </c>
      <c r="H280" s="582">
        <v>0.1</v>
      </c>
      <c r="I280" s="686">
        <f>(F280*G280*H280)</f>
        <v>24932.800000000003</v>
      </c>
      <c r="K280" s="609"/>
      <c r="L280" s="610"/>
      <c r="M280" s="610"/>
      <c r="N280" s="610"/>
      <c r="O280" s="610"/>
      <c r="P280" s="628"/>
      <c r="Q280" s="1090"/>
    </row>
    <row r="281" spans="2:17" x14ac:dyDescent="0.25">
      <c r="B281" s="651" t="s">
        <v>4083</v>
      </c>
      <c r="C281" s="651" t="s">
        <v>4083</v>
      </c>
      <c r="D281" s="444" t="str">
        <f>+INSUMOS!B78</f>
        <v>CEMENTO GRIS</v>
      </c>
      <c r="E281" s="579" t="str">
        <f>+INSUMOS!D78</f>
        <v>KG</v>
      </c>
      <c r="F281" s="580">
        <v>0.25</v>
      </c>
      <c r="G281" s="581">
        <f>+INSUMOS!E78</f>
        <v>636</v>
      </c>
      <c r="H281" s="582">
        <v>1.05</v>
      </c>
      <c r="I281" s="686">
        <f t="shared" ref="I281:I283" si="83">(F281*G281*H281)</f>
        <v>166.95000000000002</v>
      </c>
      <c r="K281" s="609"/>
      <c r="L281" s="628"/>
      <c r="M281" s="628"/>
      <c r="N281" s="628"/>
      <c r="O281" s="628"/>
      <c r="P281" s="628"/>
      <c r="Q281" s="1090"/>
    </row>
    <row r="282" spans="2:17" x14ac:dyDescent="0.25">
      <c r="B282" s="651" t="s">
        <v>4083</v>
      </c>
      <c r="C282" s="651" t="s">
        <v>4083</v>
      </c>
      <c r="D282" s="444" t="str">
        <f>+INSUMOS!B83</f>
        <v>GRAVILLA MONA * 25 K</v>
      </c>
      <c r="E282" s="579" t="str">
        <f>+INSUMOS!D83</f>
        <v>BULTO</v>
      </c>
      <c r="F282" s="580">
        <v>0.2</v>
      </c>
      <c r="G282" s="581">
        <f>+INSUMOS!E83</f>
        <v>9516</v>
      </c>
      <c r="H282" s="582">
        <v>1.05</v>
      </c>
      <c r="I282" s="686">
        <f t="shared" si="83"/>
        <v>1998.3600000000001</v>
      </c>
      <c r="K282" s="615"/>
      <c r="L282" s="610"/>
      <c r="M282" s="610"/>
      <c r="N282" s="610"/>
      <c r="O282" s="610"/>
      <c r="Q282" s="1091"/>
    </row>
    <row r="283" spans="2:17" x14ac:dyDescent="0.25">
      <c r="B283" s="651" t="s">
        <v>4083</v>
      </c>
      <c r="C283" s="651" t="s">
        <v>4083</v>
      </c>
      <c r="D283" s="444" t="str">
        <f>+INSUMOS!B81</f>
        <v>AGUA LITRO</v>
      </c>
      <c r="E283" s="579" t="str">
        <f>+INSUMOS!D81</f>
        <v>LITRO</v>
      </c>
      <c r="F283" s="580">
        <v>3</v>
      </c>
      <c r="G283" s="581">
        <f>+INSUMOS!E81</f>
        <v>40</v>
      </c>
      <c r="H283" s="582">
        <v>1.05</v>
      </c>
      <c r="I283" s="686">
        <f t="shared" si="83"/>
        <v>126</v>
      </c>
      <c r="K283" s="609"/>
      <c r="L283" s="610"/>
      <c r="M283" s="610"/>
      <c r="N283" s="610"/>
      <c r="O283" s="610"/>
      <c r="P283" s="610"/>
      <c r="Q283" s="1090"/>
    </row>
    <row r="284" spans="2:17" x14ac:dyDescent="0.25">
      <c r="B284" s="651" t="s">
        <v>205</v>
      </c>
      <c r="C284" s="651" t="s">
        <v>205</v>
      </c>
      <c r="D284" s="444" t="s">
        <v>4086</v>
      </c>
      <c r="E284" s="579" t="s">
        <v>203</v>
      </c>
      <c r="F284" s="580">
        <v>1</v>
      </c>
      <c r="G284" s="581">
        <f>+I280</f>
        <v>24932.800000000003</v>
      </c>
      <c r="H284" s="582">
        <v>0.05</v>
      </c>
      <c r="I284" s="686">
        <f>(F284*G284*H284)</f>
        <v>1246.6400000000003</v>
      </c>
      <c r="K284" s="609"/>
      <c r="L284" s="628"/>
      <c r="M284" s="628"/>
      <c r="N284" s="628"/>
      <c r="O284" s="628"/>
      <c r="P284" s="628"/>
      <c r="Q284" s="1090"/>
    </row>
    <row r="285" spans="2:17" x14ac:dyDescent="0.25">
      <c r="B285" s="651" t="s">
        <v>204</v>
      </c>
      <c r="C285" s="651" t="s">
        <v>204</v>
      </c>
      <c r="D285" s="444" t="s">
        <v>1054</v>
      </c>
      <c r="E285" s="579" t="s">
        <v>203</v>
      </c>
      <c r="F285" s="580">
        <v>1</v>
      </c>
      <c r="G285" s="581">
        <f>+I280</f>
        <v>24932.800000000003</v>
      </c>
      <c r="H285" s="582">
        <v>0.05</v>
      </c>
      <c r="I285" s="686">
        <f>(F285*G285*H285)</f>
        <v>1246.6400000000003</v>
      </c>
      <c r="K285" s="609"/>
      <c r="L285" s="628"/>
      <c r="M285" s="628"/>
      <c r="N285" s="628"/>
      <c r="O285" s="628"/>
      <c r="P285" s="628"/>
      <c r="Q285" s="1090"/>
    </row>
    <row r="286" spans="2:17" ht="15.75" thickBot="1" x14ac:dyDescent="0.3">
      <c r="B286" s="653" t="s">
        <v>204</v>
      </c>
      <c r="C286" s="653" t="s">
        <v>204</v>
      </c>
      <c r="D286" s="654" t="s">
        <v>18</v>
      </c>
      <c r="E286" s="655" t="s">
        <v>203</v>
      </c>
      <c r="F286" s="656">
        <v>1</v>
      </c>
      <c r="G286" s="1119">
        <f>+I280</f>
        <v>24932.800000000003</v>
      </c>
      <c r="H286" s="657">
        <v>0.05</v>
      </c>
      <c r="I286" s="687">
        <f>(F286*G286*H286)</f>
        <v>1246.6400000000003</v>
      </c>
      <c r="K286" s="609"/>
      <c r="L286" s="628"/>
      <c r="M286" s="628"/>
      <c r="N286" s="628"/>
      <c r="O286" s="628"/>
      <c r="P286" s="628"/>
      <c r="Q286" s="1090"/>
    </row>
    <row r="287" spans="2:17" ht="15.75" thickBot="1" x14ac:dyDescent="0.3">
      <c r="B287" s="622"/>
      <c r="C287" s="622"/>
      <c r="D287" s="621"/>
      <c r="E287" s="681"/>
      <c r="F287" s="682"/>
      <c r="G287" s="624"/>
      <c r="H287" s="623"/>
      <c r="I287" s="624"/>
      <c r="K287" s="609"/>
      <c r="L287" s="610"/>
      <c r="M287" s="610"/>
      <c r="N287" s="610"/>
      <c r="O287" s="610"/>
      <c r="P287" s="610"/>
      <c r="Q287" s="1090"/>
    </row>
    <row r="288" spans="2:17" ht="24.75" thickBot="1" x14ac:dyDescent="0.3">
      <c r="B288" s="645" t="s">
        <v>8</v>
      </c>
      <c r="C288" s="645" t="s">
        <v>8</v>
      </c>
      <c r="D288" s="630" t="s">
        <v>9</v>
      </c>
      <c r="E288" s="630" t="s">
        <v>11</v>
      </c>
      <c r="F288" s="630" t="s">
        <v>2</v>
      </c>
      <c r="G288" s="1113" t="s">
        <v>12</v>
      </c>
      <c r="H288" s="665" t="s">
        <v>13</v>
      </c>
      <c r="I288" s="666" t="s">
        <v>14</v>
      </c>
      <c r="K288" s="609"/>
      <c r="L288" s="610"/>
      <c r="M288" s="610"/>
      <c r="N288" s="610"/>
      <c r="O288" s="610"/>
      <c r="P288" s="610"/>
      <c r="Q288" s="1090"/>
    </row>
    <row r="289" spans="2:17" ht="36" x14ac:dyDescent="0.25">
      <c r="B289" s="724" t="s">
        <v>5167</v>
      </c>
      <c r="C289" s="724"/>
      <c r="D289" s="725" t="s">
        <v>5034</v>
      </c>
      <c r="E289" s="646" t="s">
        <v>4016</v>
      </c>
      <c r="F289" s="1084"/>
      <c r="G289" s="727">
        <f>SUM(I290:I296)</f>
        <v>374072.97312000004</v>
      </c>
      <c r="H289" s="580"/>
      <c r="I289" s="581"/>
      <c r="K289" s="609" t="str">
        <f>+B289</f>
        <v>17.1</v>
      </c>
      <c r="L289" s="610">
        <f>SUM(I292)</f>
        <v>3310.58</v>
      </c>
      <c r="M289" s="610">
        <f>+I290+I293</f>
        <v>48166.200000000004</v>
      </c>
      <c r="N289" s="610">
        <f>SUM(I294:I296)</f>
        <v>319683.95712000004</v>
      </c>
      <c r="O289" s="610">
        <f>+I291</f>
        <v>2912.2360000000003</v>
      </c>
      <c r="P289" s="610">
        <f>SUM(L289:O289)</f>
        <v>374072.97312000004</v>
      </c>
      <c r="Q289" s="1090">
        <f>+G289-P289</f>
        <v>0</v>
      </c>
    </row>
    <row r="290" spans="2:17" x14ac:dyDescent="0.25">
      <c r="B290" s="579"/>
      <c r="C290" s="579" t="s">
        <v>455</v>
      </c>
      <c r="D290" s="444" t="s">
        <v>5182</v>
      </c>
      <c r="E290" s="445" t="s">
        <v>4532</v>
      </c>
      <c r="F290" s="679">
        <v>0.8</v>
      </c>
      <c r="G290" s="581">
        <f>+MO!F85</f>
        <v>57959</v>
      </c>
      <c r="H290" s="580"/>
      <c r="I290" s="581">
        <f>+F290*G290</f>
        <v>46367.200000000004</v>
      </c>
      <c r="K290" s="609"/>
      <c r="L290" s="610"/>
      <c r="M290" s="610"/>
      <c r="N290" s="610"/>
      <c r="O290" s="610"/>
      <c r="P290" s="610"/>
      <c r="Q290" s="1090"/>
    </row>
    <row r="291" spans="2:17" x14ac:dyDescent="0.25">
      <c r="B291" s="579"/>
      <c r="C291" s="579" t="s">
        <v>5146</v>
      </c>
      <c r="D291" s="444" t="s">
        <v>5127</v>
      </c>
      <c r="E291" s="445" t="s">
        <v>4302</v>
      </c>
      <c r="F291" s="679">
        <v>1.7000000000000001E-2</v>
      </c>
      <c r="G291" s="581">
        <v>171308</v>
      </c>
      <c r="H291" s="580"/>
      <c r="I291" s="581">
        <f t="shared" ref="I291:I296" si="84">+F291*G291</f>
        <v>2912.2360000000003</v>
      </c>
      <c r="K291" s="609"/>
      <c r="L291" s="610"/>
      <c r="M291" s="610"/>
      <c r="N291" s="610"/>
      <c r="O291" s="610"/>
      <c r="P291" s="610"/>
      <c r="Q291" s="1090"/>
    </row>
    <row r="292" spans="2:17" x14ac:dyDescent="0.25">
      <c r="B292" s="579"/>
      <c r="C292" s="579" t="s">
        <v>5117</v>
      </c>
      <c r="D292" s="444" t="s">
        <v>3925</v>
      </c>
      <c r="E292" s="445" t="s">
        <v>4012</v>
      </c>
      <c r="F292" s="679">
        <v>1</v>
      </c>
      <c r="G292" s="581">
        <v>3310.58</v>
      </c>
      <c r="H292" s="580"/>
      <c r="I292" s="581">
        <f t="shared" si="84"/>
        <v>3310.58</v>
      </c>
      <c r="K292" s="609"/>
      <c r="L292" s="610"/>
      <c r="M292" s="610"/>
      <c r="N292" s="610"/>
      <c r="O292" s="610"/>
      <c r="P292" s="610"/>
      <c r="Q292" s="1090"/>
    </row>
    <row r="293" spans="2:17" x14ac:dyDescent="0.25">
      <c r="B293" s="579"/>
      <c r="C293" s="579" t="s">
        <v>357</v>
      </c>
      <c r="D293" s="444" t="s">
        <v>18</v>
      </c>
      <c r="E293" s="445" t="s">
        <v>4532</v>
      </c>
      <c r="F293" s="679">
        <v>1</v>
      </c>
      <c r="G293" s="581">
        <v>1799</v>
      </c>
      <c r="H293" s="580"/>
      <c r="I293" s="581">
        <f t="shared" si="84"/>
        <v>1799</v>
      </c>
      <c r="K293" s="609"/>
      <c r="L293" s="610"/>
      <c r="M293" s="610"/>
      <c r="N293" s="610"/>
      <c r="O293" s="610"/>
      <c r="P293" s="610"/>
      <c r="Q293" s="1090"/>
    </row>
    <row r="294" spans="2:17" ht="24" x14ac:dyDescent="0.25">
      <c r="B294" s="579"/>
      <c r="C294" s="579" t="s">
        <v>5183</v>
      </c>
      <c r="D294" s="444" t="s">
        <v>2623</v>
      </c>
      <c r="E294" s="445" t="s">
        <v>5184</v>
      </c>
      <c r="F294" s="679">
        <v>0.02</v>
      </c>
      <c r="G294" s="581">
        <f>+INSUMOS!E129</f>
        <v>79959</v>
      </c>
      <c r="H294" s="580"/>
      <c r="I294" s="581">
        <f t="shared" si="84"/>
        <v>1599.18</v>
      </c>
      <c r="K294" s="609"/>
      <c r="L294" s="610"/>
      <c r="M294" s="610"/>
      <c r="N294" s="610"/>
      <c r="O294" s="610"/>
      <c r="P294" s="610"/>
      <c r="Q294" s="1090"/>
    </row>
    <row r="295" spans="2:17" x14ac:dyDescent="0.25">
      <c r="B295" s="579"/>
      <c r="C295" s="579" t="s">
        <v>5185</v>
      </c>
      <c r="D295" s="444" t="s">
        <v>5235</v>
      </c>
      <c r="E295" s="445" t="s">
        <v>4021</v>
      </c>
      <c r="F295" s="679">
        <v>2.2000000000000002</v>
      </c>
      <c r="G295" s="581">
        <f>+INSUMOS!E298</f>
        <v>133144</v>
      </c>
      <c r="H295" s="580"/>
      <c r="I295" s="581">
        <f t="shared" si="84"/>
        <v>292916.80000000005</v>
      </c>
      <c r="K295" s="609"/>
      <c r="L295" s="610"/>
      <c r="M295" s="610"/>
      <c r="N295" s="610"/>
      <c r="O295" s="610"/>
      <c r="P295" s="610"/>
      <c r="Q295" s="1090"/>
    </row>
    <row r="296" spans="2:17" x14ac:dyDescent="0.25">
      <c r="B296" s="579"/>
      <c r="C296" s="579" t="s">
        <v>5187</v>
      </c>
      <c r="D296" s="444" t="s">
        <v>5188</v>
      </c>
      <c r="E296" s="445" t="s">
        <v>301</v>
      </c>
      <c r="F296" s="679">
        <v>6.4000000000000015E-2</v>
      </c>
      <c r="G296" s="581">
        <f>+INSUMOS!E9</f>
        <v>393249.64250000002</v>
      </c>
      <c r="H296" s="580"/>
      <c r="I296" s="581">
        <f t="shared" si="84"/>
        <v>25167.977120000007</v>
      </c>
      <c r="K296" s="609"/>
      <c r="L296" s="610"/>
      <c r="M296" s="610"/>
      <c r="N296" s="610"/>
      <c r="O296" s="610"/>
      <c r="P296" s="610"/>
      <c r="Q296" s="1090"/>
    </row>
    <row r="297" spans="2:17" ht="15.75" thickBot="1" x14ac:dyDescent="0.3">
      <c r="B297" s="622"/>
      <c r="C297" s="622"/>
      <c r="D297" s="621"/>
      <c r="E297" s="681"/>
      <c r="F297" s="682"/>
      <c r="G297" s="624"/>
      <c r="H297" s="623"/>
      <c r="I297" s="624"/>
      <c r="K297" s="609"/>
      <c r="L297" s="610"/>
      <c r="M297" s="610"/>
      <c r="N297" s="610"/>
      <c r="O297" s="610"/>
      <c r="P297" s="610"/>
      <c r="Q297" s="1090"/>
    </row>
    <row r="298" spans="2:17" ht="24.75" thickBot="1" x14ac:dyDescent="0.3">
      <c r="B298" s="645" t="s">
        <v>8</v>
      </c>
      <c r="C298" s="645" t="s">
        <v>8</v>
      </c>
      <c r="D298" s="630" t="s">
        <v>9</v>
      </c>
      <c r="E298" s="630" t="s">
        <v>11</v>
      </c>
      <c r="F298" s="630" t="s">
        <v>2</v>
      </c>
      <c r="G298" s="1113" t="s">
        <v>12</v>
      </c>
      <c r="H298" s="665" t="s">
        <v>13</v>
      </c>
      <c r="I298" s="666" t="s">
        <v>14</v>
      </c>
      <c r="K298" s="609"/>
      <c r="L298" s="610"/>
      <c r="M298" s="610"/>
      <c r="N298" s="610"/>
      <c r="O298" s="610"/>
      <c r="P298" s="610"/>
      <c r="Q298" s="1090"/>
    </row>
    <row r="299" spans="2:17" ht="40.5" customHeight="1" x14ac:dyDescent="0.25">
      <c r="B299" s="724" t="s">
        <v>5168</v>
      </c>
      <c r="C299" s="724"/>
      <c r="D299" s="725" t="s">
        <v>5035</v>
      </c>
      <c r="E299" s="646" t="s">
        <v>4021</v>
      </c>
      <c r="F299" s="1084"/>
      <c r="G299" s="727">
        <f>SUM(I300:I306)</f>
        <v>97642.415999999997</v>
      </c>
      <c r="H299" s="580"/>
      <c r="I299" s="581"/>
      <c r="K299" s="609" t="str">
        <f>+B299</f>
        <v>17.2</v>
      </c>
      <c r="L299" s="610">
        <f>SUM(I302)</f>
        <v>3310.58</v>
      </c>
      <c r="M299" s="610">
        <f>+I300+I303</f>
        <v>42370.299999999996</v>
      </c>
      <c r="N299" s="610">
        <f>SUM(I304:I306)</f>
        <v>49049.3</v>
      </c>
      <c r="O299" s="610">
        <f>+I301</f>
        <v>2912.2360000000003</v>
      </c>
      <c r="P299" s="610">
        <f>SUM(L299:O299)</f>
        <v>97642.415999999997</v>
      </c>
      <c r="Q299" s="1090">
        <f>+G299-P299</f>
        <v>0</v>
      </c>
    </row>
    <row r="300" spans="2:17" x14ac:dyDescent="0.25">
      <c r="B300" s="579"/>
      <c r="C300" s="579" t="s">
        <v>455</v>
      </c>
      <c r="D300" s="444" t="s">
        <v>5182</v>
      </c>
      <c r="E300" s="445" t="s">
        <v>4532</v>
      </c>
      <c r="F300" s="679">
        <v>0.7</v>
      </c>
      <c r="G300" s="581">
        <f>+MO!F85</f>
        <v>57959</v>
      </c>
      <c r="H300" s="580"/>
      <c r="I300" s="581">
        <f>+F300*G300</f>
        <v>40571.299999999996</v>
      </c>
      <c r="K300" s="609"/>
      <c r="L300" s="610"/>
      <c r="M300" s="610"/>
      <c r="N300" s="610"/>
      <c r="O300" s="610"/>
      <c r="P300" s="610"/>
      <c r="Q300" s="1090"/>
    </row>
    <row r="301" spans="2:17" x14ac:dyDescent="0.25">
      <c r="B301" s="579"/>
      <c r="C301" s="579" t="s">
        <v>5146</v>
      </c>
      <c r="D301" s="444" t="s">
        <v>5127</v>
      </c>
      <c r="E301" s="445" t="s">
        <v>4302</v>
      </c>
      <c r="F301" s="679">
        <v>1.7000000000000001E-2</v>
      </c>
      <c r="G301" s="581">
        <v>171308</v>
      </c>
      <c r="H301" s="580"/>
      <c r="I301" s="581">
        <f t="shared" ref="I301:I305" si="85">+F301*G301</f>
        <v>2912.2360000000003</v>
      </c>
      <c r="K301" s="609"/>
      <c r="L301" s="610"/>
      <c r="M301" s="610"/>
      <c r="N301" s="610"/>
      <c r="O301" s="610"/>
      <c r="P301" s="610"/>
      <c r="Q301" s="1090"/>
    </row>
    <row r="302" spans="2:17" x14ac:dyDescent="0.25">
      <c r="B302" s="579"/>
      <c r="C302" s="579" t="s">
        <v>5117</v>
      </c>
      <c r="D302" s="444" t="s">
        <v>3925</v>
      </c>
      <c r="E302" s="445" t="s">
        <v>4012</v>
      </c>
      <c r="F302" s="679">
        <v>1</v>
      </c>
      <c r="G302" s="581">
        <v>3310.58</v>
      </c>
      <c r="H302" s="580"/>
      <c r="I302" s="581">
        <f t="shared" si="85"/>
        <v>3310.58</v>
      </c>
      <c r="K302" s="609"/>
      <c r="L302" s="610"/>
      <c r="M302" s="610"/>
      <c r="N302" s="610"/>
      <c r="O302" s="610"/>
      <c r="P302" s="610"/>
      <c r="Q302" s="1090"/>
    </row>
    <row r="303" spans="2:17" x14ac:dyDescent="0.25">
      <c r="B303" s="579"/>
      <c r="C303" s="579" t="s">
        <v>357</v>
      </c>
      <c r="D303" s="444" t="s">
        <v>18</v>
      </c>
      <c r="E303" s="445" t="s">
        <v>4532</v>
      </c>
      <c r="F303" s="679">
        <v>1</v>
      </c>
      <c r="G303" s="581">
        <v>1799</v>
      </c>
      <c r="H303" s="580"/>
      <c r="I303" s="581">
        <f t="shared" si="85"/>
        <v>1799</v>
      </c>
      <c r="K303" s="609"/>
      <c r="L303" s="610"/>
      <c r="M303" s="610"/>
      <c r="N303" s="610"/>
      <c r="O303" s="610"/>
      <c r="P303" s="610"/>
      <c r="Q303" s="1090"/>
    </row>
    <row r="304" spans="2:17" ht="24" x14ac:dyDescent="0.25">
      <c r="B304" s="579"/>
      <c r="C304" s="579" t="s">
        <v>5183</v>
      </c>
      <c r="D304" s="444" t="s">
        <v>2623</v>
      </c>
      <c r="E304" s="445" t="s">
        <v>5184</v>
      </c>
      <c r="F304" s="679">
        <v>0.02</v>
      </c>
      <c r="G304" s="581">
        <f>+INSUMOS!E129</f>
        <v>79959</v>
      </c>
      <c r="H304" s="580"/>
      <c r="I304" s="581">
        <f t="shared" si="85"/>
        <v>1599.18</v>
      </c>
      <c r="K304" s="609"/>
      <c r="L304" s="610"/>
      <c r="M304" s="610"/>
      <c r="N304" s="610"/>
      <c r="O304" s="610"/>
      <c r="P304" s="610"/>
      <c r="Q304" s="1090"/>
    </row>
    <row r="305" spans="2:17" x14ac:dyDescent="0.25">
      <c r="B305" s="579"/>
      <c r="C305" s="579" t="s">
        <v>5185</v>
      </c>
      <c r="D305" s="444" t="s">
        <v>5236</v>
      </c>
      <c r="E305" s="445" t="s">
        <v>4021</v>
      </c>
      <c r="F305" s="679">
        <v>1.01</v>
      </c>
      <c r="G305" s="581">
        <f>+INSUMOS!E300</f>
        <v>44812</v>
      </c>
      <c r="H305" s="580"/>
      <c r="I305" s="581">
        <f t="shared" si="85"/>
        <v>45260.12</v>
      </c>
      <c r="K305" s="609"/>
      <c r="L305" s="610"/>
      <c r="M305" s="610"/>
      <c r="N305" s="610"/>
      <c r="O305" s="610"/>
      <c r="P305" s="610"/>
      <c r="Q305" s="1090"/>
    </row>
    <row r="306" spans="2:17" x14ac:dyDescent="0.25">
      <c r="B306" s="579"/>
      <c r="C306" s="579" t="s">
        <v>5187</v>
      </c>
      <c r="D306" s="444" t="s">
        <v>5189</v>
      </c>
      <c r="E306" s="445" t="s">
        <v>5190</v>
      </c>
      <c r="F306" s="679">
        <v>1</v>
      </c>
      <c r="G306" s="581">
        <f>+INSUMOS!E229</f>
        <v>21900</v>
      </c>
      <c r="H306" s="580">
        <v>0.1</v>
      </c>
      <c r="I306" s="581">
        <f>+F306*G306*H306</f>
        <v>2190</v>
      </c>
      <c r="K306" s="609"/>
      <c r="L306" s="610"/>
      <c r="M306" s="610"/>
      <c r="N306" s="610"/>
      <c r="O306" s="610"/>
      <c r="P306" s="610"/>
      <c r="Q306" s="1090"/>
    </row>
    <row r="307" spans="2:17" ht="15.75" thickBot="1" x14ac:dyDescent="0.3">
      <c r="B307" s="622"/>
      <c r="C307" s="622"/>
      <c r="D307" s="621"/>
      <c r="E307" s="681"/>
      <c r="F307" s="682"/>
      <c r="G307" s="624"/>
      <c r="H307" s="623"/>
      <c r="I307" s="624"/>
      <c r="K307" s="609"/>
      <c r="L307" s="610"/>
      <c r="M307" s="610"/>
      <c r="N307" s="610"/>
      <c r="O307" s="610"/>
      <c r="P307" s="610"/>
      <c r="Q307" s="1090"/>
    </row>
    <row r="308" spans="2:17" ht="24.75" thickBot="1" x14ac:dyDescent="0.3">
      <c r="B308" s="645" t="s">
        <v>8</v>
      </c>
      <c r="C308" s="645" t="s">
        <v>8</v>
      </c>
      <c r="D308" s="630" t="s">
        <v>9</v>
      </c>
      <c r="E308" s="630" t="s">
        <v>11</v>
      </c>
      <c r="F308" s="630" t="s">
        <v>2</v>
      </c>
      <c r="G308" s="1113" t="s">
        <v>12</v>
      </c>
      <c r="H308" s="665" t="s">
        <v>13</v>
      </c>
      <c r="I308" s="666" t="s">
        <v>14</v>
      </c>
      <c r="K308" s="609"/>
      <c r="L308" s="610"/>
      <c r="M308" s="610"/>
      <c r="N308" s="610"/>
      <c r="O308" s="610"/>
      <c r="P308" s="610"/>
      <c r="Q308" s="1090"/>
    </row>
    <row r="309" spans="2:17" ht="36" x14ac:dyDescent="0.25">
      <c r="B309" s="724" t="s">
        <v>5169</v>
      </c>
      <c r="C309" s="724">
        <v>18</v>
      </c>
      <c r="D309" s="725" t="s">
        <v>5036</v>
      </c>
      <c r="E309" s="646" t="s">
        <v>3975</v>
      </c>
      <c r="F309" s="1084"/>
      <c r="G309" s="727">
        <f>SUM(I310)</f>
        <v>728507.57940000005</v>
      </c>
      <c r="H309" s="580"/>
      <c r="I309" s="581"/>
      <c r="K309" s="609" t="str">
        <f>+B309</f>
        <v>17.3</v>
      </c>
      <c r="L309" s="610"/>
      <c r="M309" s="610"/>
      <c r="N309" s="610">
        <f>+I310</f>
        <v>728507.57940000005</v>
      </c>
      <c r="O309" s="610"/>
      <c r="P309" s="610">
        <f>SUM(L309:O309)</f>
        <v>728507.57940000005</v>
      </c>
      <c r="Q309" s="1090">
        <f>+G309-P309</f>
        <v>0</v>
      </c>
    </row>
    <row r="310" spans="2:17" ht="84" x14ac:dyDescent="0.25">
      <c r="B310" s="579"/>
      <c r="C310" s="579" t="s">
        <v>5191</v>
      </c>
      <c r="D310" s="444" t="s">
        <v>5192</v>
      </c>
      <c r="E310" s="445" t="s">
        <v>3975</v>
      </c>
      <c r="F310" s="679">
        <v>1</v>
      </c>
      <c r="G310" s="581">
        <f>+INSUMOS!E299</f>
        <v>728507.57940000005</v>
      </c>
      <c r="H310" s="580"/>
      <c r="I310" s="581">
        <f t="shared" ref="I310" si="86">+F310*G310</f>
        <v>728507.57940000005</v>
      </c>
      <c r="K310" s="609"/>
      <c r="L310" s="610"/>
      <c r="M310" s="610"/>
      <c r="N310" s="610"/>
      <c r="O310" s="610"/>
      <c r="P310" s="610"/>
      <c r="Q310" s="1090"/>
    </row>
    <row r="311" spans="2:17" ht="15.75" thickBot="1" x14ac:dyDescent="0.3">
      <c r="B311" s="622"/>
      <c r="C311" s="622"/>
      <c r="D311" s="621"/>
      <c r="E311" s="681"/>
      <c r="F311" s="682"/>
      <c r="G311" s="624"/>
      <c r="H311" s="623"/>
      <c r="I311" s="624"/>
      <c r="K311" s="609"/>
      <c r="L311" s="610"/>
      <c r="M311" s="610"/>
      <c r="N311" s="610"/>
      <c r="O311" s="610"/>
      <c r="P311" s="610"/>
      <c r="Q311" s="1090"/>
    </row>
    <row r="312" spans="2:17" ht="24.75" thickBot="1" x14ac:dyDescent="0.3">
      <c r="B312" s="645" t="s">
        <v>8</v>
      </c>
      <c r="C312" s="645" t="s">
        <v>8</v>
      </c>
      <c r="D312" s="630" t="s">
        <v>9</v>
      </c>
      <c r="E312" s="630" t="s">
        <v>11</v>
      </c>
      <c r="F312" s="630" t="s">
        <v>2</v>
      </c>
      <c r="G312" s="1113" t="s">
        <v>12</v>
      </c>
      <c r="H312" s="665" t="s">
        <v>13</v>
      </c>
      <c r="I312" s="666" t="s">
        <v>14</v>
      </c>
      <c r="K312" s="609"/>
      <c r="L312" s="610"/>
      <c r="M312" s="610"/>
      <c r="N312" s="610"/>
      <c r="O312" s="610"/>
      <c r="P312" s="610"/>
      <c r="Q312" s="1090"/>
    </row>
    <row r="313" spans="2:17" ht="24" x14ac:dyDescent="0.25">
      <c r="B313" s="724" t="s">
        <v>5170</v>
      </c>
      <c r="C313" s="724"/>
      <c r="D313" s="725" t="s">
        <v>5193</v>
      </c>
      <c r="E313" s="646" t="s">
        <v>4021</v>
      </c>
      <c r="F313" s="1084" t="s">
        <v>5181</v>
      </c>
      <c r="G313" s="727">
        <f>ROUND(SUM(I314:I324),0)</f>
        <v>3557621</v>
      </c>
      <c r="H313" s="580"/>
      <c r="I313" s="581"/>
      <c r="K313" s="609" t="str">
        <f>+B313</f>
        <v>17.5</v>
      </c>
      <c r="L313" s="610">
        <f>+I316+I317</f>
        <v>205289</v>
      </c>
      <c r="M313" s="610">
        <f>++I314+I318</f>
        <v>521254</v>
      </c>
      <c r="N313" s="610">
        <f>SUM(I319:I324)</f>
        <v>2454200.2000000002</v>
      </c>
      <c r="O313" s="610">
        <f>+I315</f>
        <v>376878</v>
      </c>
      <c r="P313" s="610">
        <f>SUM(L313:O313)</f>
        <v>3557621.2</v>
      </c>
      <c r="Q313" s="1090">
        <f>ROUND(IF(P313&gt;0,(G313-P313),""),0)</f>
        <v>0</v>
      </c>
    </row>
    <row r="314" spans="2:17" x14ac:dyDescent="0.25">
      <c r="B314" s="579"/>
      <c r="C314" s="579" t="s">
        <v>455</v>
      </c>
      <c r="D314" s="444" t="s">
        <v>5182</v>
      </c>
      <c r="E314" s="445" t="s">
        <v>4532</v>
      </c>
      <c r="F314" s="679">
        <v>9</v>
      </c>
      <c r="G314" s="581">
        <f>+MO!F83</f>
        <v>56318</v>
      </c>
      <c r="H314" s="580"/>
      <c r="I314" s="581">
        <f t="shared" ref="I314:I324" si="87">+F314*G314</f>
        <v>506862</v>
      </c>
      <c r="K314" s="609"/>
      <c r="L314" s="610"/>
      <c r="M314" s="610"/>
      <c r="N314" s="610"/>
      <c r="O314" s="610"/>
      <c r="P314" s="610"/>
      <c r="Q314" s="1090"/>
    </row>
    <row r="315" spans="2:17" x14ac:dyDescent="0.25">
      <c r="B315" s="579"/>
      <c r="C315" s="579" t="s">
        <v>5146</v>
      </c>
      <c r="D315" s="444" t="s">
        <v>5127</v>
      </c>
      <c r="E315" s="445" t="s">
        <v>4302</v>
      </c>
      <c r="F315" s="679">
        <v>2.2000000000000002</v>
      </c>
      <c r="G315" s="581">
        <v>171308</v>
      </c>
      <c r="H315" s="580"/>
      <c r="I315" s="581">
        <f>ROUND(+F315*G315,0)</f>
        <v>376878</v>
      </c>
      <c r="K315" s="609"/>
      <c r="L315" s="610"/>
      <c r="M315" s="610"/>
      <c r="N315" s="610"/>
      <c r="O315" s="610"/>
      <c r="P315" s="610"/>
      <c r="Q315" s="1090"/>
    </row>
    <row r="316" spans="2:17" x14ac:dyDescent="0.25">
      <c r="B316" s="579"/>
      <c r="C316" s="579" t="s">
        <v>5194</v>
      </c>
      <c r="D316" s="444" t="s">
        <v>1148</v>
      </c>
      <c r="E316" s="445" t="s">
        <v>89</v>
      </c>
      <c r="F316" s="679">
        <v>1.6</v>
      </c>
      <c r="G316" s="581">
        <v>95200</v>
      </c>
      <c r="H316" s="580"/>
      <c r="I316" s="581">
        <f t="shared" si="87"/>
        <v>152320</v>
      </c>
      <c r="K316" s="609"/>
      <c r="L316" s="610"/>
      <c r="M316" s="610"/>
      <c r="N316" s="610"/>
      <c r="O316" s="610"/>
      <c r="P316" s="610"/>
      <c r="Q316" s="1090"/>
    </row>
    <row r="317" spans="2:17" x14ac:dyDescent="0.25">
      <c r="B317" s="579"/>
      <c r="C317" s="579" t="s">
        <v>5117</v>
      </c>
      <c r="D317" s="444" t="s">
        <v>3925</v>
      </c>
      <c r="E317" s="445" t="s">
        <v>4012</v>
      </c>
      <c r="F317" s="679">
        <v>16</v>
      </c>
      <c r="G317" s="581">
        <v>3310.58</v>
      </c>
      <c r="H317" s="580"/>
      <c r="I317" s="581">
        <f>ROUND(+F317*G317,0)</f>
        <v>52969</v>
      </c>
      <c r="K317" s="609"/>
      <c r="L317" s="610"/>
      <c r="M317" s="610"/>
      <c r="N317" s="610"/>
      <c r="O317" s="610"/>
      <c r="P317" s="610"/>
      <c r="Q317" s="1090"/>
    </row>
    <row r="318" spans="2:17" x14ac:dyDescent="0.25">
      <c r="B318" s="579"/>
      <c r="C318" s="579" t="s">
        <v>357</v>
      </c>
      <c r="D318" s="444" t="s">
        <v>18</v>
      </c>
      <c r="E318" s="445" t="s">
        <v>4532</v>
      </c>
      <c r="F318" s="679">
        <v>8</v>
      </c>
      <c r="G318" s="581">
        <v>1799</v>
      </c>
      <c r="H318" s="580"/>
      <c r="I318" s="581">
        <f t="shared" si="87"/>
        <v>14392</v>
      </c>
      <c r="K318" s="609"/>
      <c r="L318" s="610"/>
      <c r="M318" s="610"/>
      <c r="N318" s="610"/>
      <c r="O318" s="610"/>
      <c r="P318" s="610"/>
      <c r="Q318" s="1090"/>
    </row>
    <row r="319" spans="2:17" ht="24" x14ac:dyDescent="0.25">
      <c r="B319" s="579"/>
      <c r="C319" s="579" t="s">
        <v>5183</v>
      </c>
      <c r="D319" s="444" t="s">
        <v>2623</v>
      </c>
      <c r="E319" s="445" t="s">
        <v>5184</v>
      </c>
      <c r="F319" s="679">
        <v>0.2</v>
      </c>
      <c r="G319" s="581">
        <f>+INSUMOS!E129</f>
        <v>79959</v>
      </c>
      <c r="H319" s="580"/>
      <c r="I319" s="581">
        <f t="shared" si="87"/>
        <v>15991.800000000001</v>
      </c>
      <c r="K319" s="609"/>
      <c r="L319" s="610"/>
      <c r="M319" s="610"/>
      <c r="N319" s="610"/>
      <c r="O319" s="610"/>
      <c r="P319" s="610"/>
      <c r="Q319" s="1090"/>
    </row>
    <row r="320" spans="2:17" ht="24" x14ac:dyDescent="0.25">
      <c r="B320" s="579"/>
      <c r="C320" s="579" t="s">
        <v>5195</v>
      </c>
      <c r="D320" s="444" t="s">
        <v>5196</v>
      </c>
      <c r="E320" s="445" t="s">
        <v>4016</v>
      </c>
      <c r="F320" s="679">
        <v>2</v>
      </c>
      <c r="G320" s="581">
        <v>32639</v>
      </c>
      <c r="H320" s="580"/>
      <c r="I320" s="581">
        <f t="shared" si="87"/>
        <v>65278</v>
      </c>
      <c r="K320" s="609"/>
      <c r="L320" s="610"/>
      <c r="M320" s="610"/>
      <c r="N320" s="610"/>
      <c r="O320" s="610"/>
      <c r="P320" s="610"/>
      <c r="Q320" s="1090"/>
    </row>
    <row r="321" spans="2:17" ht="21.75" customHeight="1" x14ac:dyDescent="0.25">
      <c r="B321" s="579"/>
      <c r="C321" s="579" t="s">
        <v>5197</v>
      </c>
      <c r="D321" s="444" t="s">
        <v>5198</v>
      </c>
      <c r="E321" s="445" t="s">
        <v>4016</v>
      </c>
      <c r="F321" s="679">
        <v>2</v>
      </c>
      <c r="G321" s="581">
        <f>+INSUMOS!E303</f>
        <v>21794</v>
      </c>
      <c r="H321" s="580"/>
      <c r="I321" s="581">
        <f t="shared" si="87"/>
        <v>43588</v>
      </c>
      <c r="K321" s="609"/>
      <c r="L321" s="610"/>
      <c r="M321" s="610"/>
      <c r="N321" s="610"/>
      <c r="O321" s="610"/>
      <c r="P321" s="610"/>
      <c r="Q321" s="1090"/>
    </row>
    <row r="322" spans="2:17" x14ac:dyDescent="0.25">
      <c r="B322" s="579"/>
      <c r="C322" s="579" t="s">
        <v>5199</v>
      </c>
      <c r="D322" s="444" t="s">
        <v>582</v>
      </c>
      <c r="E322" s="445" t="s">
        <v>292</v>
      </c>
      <c r="F322" s="679">
        <v>18</v>
      </c>
      <c r="G322" s="581">
        <f>+INSUMOS!E304</f>
        <v>4843</v>
      </c>
      <c r="H322" s="580"/>
      <c r="I322" s="581">
        <f t="shared" si="87"/>
        <v>87174</v>
      </c>
      <c r="K322" s="609"/>
      <c r="L322" s="610"/>
      <c r="M322" s="610"/>
      <c r="N322" s="610"/>
      <c r="O322" s="610"/>
      <c r="P322" s="610"/>
      <c r="Q322" s="1090"/>
    </row>
    <row r="323" spans="2:17" x14ac:dyDescent="0.25">
      <c r="B323" s="579"/>
      <c r="C323" s="579" t="s">
        <v>5185</v>
      </c>
      <c r="D323" s="444" t="s">
        <v>5186</v>
      </c>
      <c r="E323" s="445" t="s">
        <v>4021</v>
      </c>
      <c r="F323" s="679">
        <v>16.100000000000001</v>
      </c>
      <c r="G323" s="581">
        <f>+INSUMOS!E298</f>
        <v>133144</v>
      </c>
      <c r="H323" s="580"/>
      <c r="I323" s="581">
        <f t="shared" si="87"/>
        <v>2143618.4000000004</v>
      </c>
      <c r="K323" s="609"/>
      <c r="L323" s="610"/>
      <c r="M323" s="610"/>
      <c r="N323" s="610"/>
      <c r="O323" s="610"/>
      <c r="P323" s="610"/>
      <c r="Q323" s="1090"/>
    </row>
    <row r="324" spans="2:17" x14ac:dyDescent="0.25">
      <c r="B324" s="579"/>
      <c r="C324" s="579" t="s">
        <v>5200</v>
      </c>
      <c r="D324" s="444" t="s">
        <v>5201</v>
      </c>
      <c r="E324" s="445" t="s">
        <v>227</v>
      </c>
      <c r="F324" s="679">
        <v>4.5</v>
      </c>
      <c r="G324" s="581">
        <f>+INSUMOS!E229</f>
        <v>21900</v>
      </c>
      <c r="H324" s="580"/>
      <c r="I324" s="581">
        <f t="shared" si="87"/>
        <v>98550</v>
      </c>
      <c r="K324" s="609"/>
      <c r="L324" s="610"/>
      <c r="M324" s="610"/>
      <c r="N324" s="610"/>
      <c r="O324" s="610"/>
      <c r="P324" s="610"/>
      <c r="Q324" s="1090"/>
    </row>
    <row r="325" spans="2:17" ht="15.75" thickBot="1" x14ac:dyDescent="0.3">
      <c r="B325" s="622"/>
      <c r="C325" s="622"/>
      <c r="D325" s="621"/>
      <c r="E325" s="681"/>
      <c r="F325" s="682"/>
      <c r="G325" s="624"/>
      <c r="H325" s="623"/>
      <c r="I325" s="624"/>
      <c r="K325" s="609"/>
      <c r="L325" s="610"/>
      <c r="M325" s="610"/>
      <c r="N325" s="610"/>
      <c r="O325" s="610"/>
      <c r="P325" s="610"/>
      <c r="Q325" s="1090"/>
    </row>
    <row r="326" spans="2:17" ht="24.75" thickBot="1" x14ac:dyDescent="0.3">
      <c r="B326" s="645" t="s">
        <v>8</v>
      </c>
      <c r="C326" s="645" t="s">
        <v>8</v>
      </c>
      <c r="D326" s="630" t="s">
        <v>9</v>
      </c>
      <c r="E326" s="630" t="s">
        <v>11</v>
      </c>
      <c r="F326" s="630" t="s">
        <v>2</v>
      </c>
      <c r="G326" s="1113" t="s">
        <v>12</v>
      </c>
      <c r="H326" s="665" t="s">
        <v>13</v>
      </c>
      <c r="I326" s="666" t="s">
        <v>14</v>
      </c>
      <c r="K326" s="609"/>
      <c r="L326" s="610"/>
      <c r="M326" s="610"/>
      <c r="N326" s="610"/>
      <c r="O326" s="610"/>
      <c r="P326" s="610"/>
      <c r="Q326" s="1090"/>
    </row>
    <row r="327" spans="2:17" ht="24" x14ac:dyDescent="0.25">
      <c r="B327" s="724" t="s">
        <v>5173</v>
      </c>
      <c r="C327" s="724"/>
      <c r="D327" s="725" t="s">
        <v>5045</v>
      </c>
      <c r="E327" s="646" t="s">
        <v>4016</v>
      </c>
      <c r="F327" s="1084"/>
      <c r="G327" s="727">
        <f>ROUND(SUM(I328:I335),0)</f>
        <v>3361581</v>
      </c>
      <c r="H327" s="580"/>
      <c r="I327" s="581"/>
      <c r="J327" s="1088"/>
      <c r="K327" s="609" t="str">
        <f>+B327</f>
        <v>17.6</v>
      </c>
      <c r="L327" s="610">
        <f>+I330+I331</f>
        <v>205289.28</v>
      </c>
      <c r="M327" s="610">
        <f>+I328+I332</f>
        <v>521254</v>
      </c>
      <c r="N327" s="610">
        <f>SUM(I333:I335)</f>
        <v>2258160.2000000002</v>
      </c>
      <c r="O327" s="610">
        <f>+I329</f>
        <v>376877.60000000003</v>
      </c>
      <c r="P327" s="610">
        <f>SUM(L327:O327)</f>
        <v>3361581.0800000005</v>
      </c>
      <c r="Q327" s="1090">
        <f>IF(P327&gt;0,(G327-P327),"")</f>
        <v>-8.0000000540167093E-2</v>
      </c>
    </row>
    <row r="328" spans="2:17" x14ac:dyDescent="0.25">
      <c r="B328" s="579"/>
      <c r="C328" s="579" t="s">
        <v>455</v>
      </c>
      <c r="D328" s="444" t="s">
        <v>5182</v>
      </c>
      <c r="E328" s="445" t="s">
        <v>4532</v>
      </c>
      <c r="F328" s="679">
        <v>9</v>
      </c>
      <c r="G328" s="581">
        <f>+MO!F83</f>
        <v>56318</v>
      </c>
      <c r="H328" s="580"/>
      <c r="I328" s="581">
        <f t="shared" ref="I328:I335" si="88">+F328*G328</f>
        <v>506862</v>
      </c>
      <c r="J328" s="1088"/>
      <c r="K328" s="609"/>
      <c r="L328" s="610"/>
      <c r="M328" s="610"/>
      <c r="N328" s="610"/>
      <c r="O328" s="610"/>
      <c r="P328" s="610"/>
      <c r="Q328" s="1090"/>
    </row>
    <row r="329" spans="2:17" x14ac:dyDescent="0.25">
      <c r="B329" s="579"/>
      <c r="C329" s="579" t="s">
        <v>5146</v>
      </c>
      <c r="D329" s="444" t="s">
        <v>5127</v>
      </c>
      <c r="E329" s="445" t="s">
        <v>4302</v>
      </c>
      <c r="F329" s="679">
        <v>2.2000000000000002</v>
      </c>
      <c r="G329" s="581">
        <v>171308</v>
      </c>
      <c r="H329" s="580"/>
      <c r="I329" s="581">
        <f t="shared" si="88"/>
        <v>376877.60000000003</v>
      </c>
      <c r="J329" s="1088"/>
      <c r="K329" s="609"/>
      <c r="L329" s="610"/>
      <c r="M329" s="610"/>
      <c r="N329" s="610"/>
      <c r="O329" s="610"/>
      <c r="P329" s="610"/>
      <c r="Q329" s="1090"/>
    </row>
    <row r="330" spans="2:17" x14ac:dyDescent="0.25">
      <c r="B330" s="579"/>
      <c r="C330" s="579" t="s">
        <v>5194</v>
      </c>
      <c r="D330" s="444" t="s">
        <v>1148</v>
      </c>
      <c r="E330" s="445" t="s">
        <v>89</v>
      </c>
      <c r="F330" s="679">
        <v>1.6</v>
      </c>
      <c r="G330" s="581">
        <v>95200</v>
      </c>
      <c r="H330" s="580"/>
      <c r="I330" s="581">
        <f t="shared" si="88"/>
        <v>152320</v>
      </c>
      <c r="J330" s="1088"/>
      <c r="K330" s="609"/>
      <c r="L330" s="610"/>
      <c r="M330" s="610"/>
      <c r="N330" s="610"/>
      <c r="O330" s="610"/>
      <c r="P330" s="610"/>
      <c r="Q330" s="1090"/>
    </row>
    <row r="331" spans="2:17" x14ac:dyDescent="0.25">
      <c r="B331" s="579"/>
      <c r="C331" s="579" t="s">
        <v>5117</v>
      </c>
      <c r="D331" s="444" t="s">
        <v>3925</v>
      </c>
      <c r="E331" s="445" t="s">
        <v>4012</v>
      </c>
      <c r="F331" s="679">
        <v>16</v>
      </c>
      <c r="G331" s="581">
        <v>3310.58</v>
      </c>
      <c r="H331" s="580"/>
      <c r="I331" s="581">
        <f t="shared" si="88"/>
        <v>52969.279999999999</v>
      </c>
      <c r="J331" s="1088"/>
      <c r="K331" s="609"/>
      <c r="L331" s="610"/>
      <c r="M331" s="610"/>
      <c r="N331" s="610"/>
      <c r="O331" s="610"/>
      <c r="P331" s="610"/>
      <c r="Q331" s="1090"/>
    </row>
    <row r="332" spans="2:17" x14ac:dyDescent="0.25">
      <c r="B332" s="579"/>
      <c r="C332" s="579" t="s">
        <v>357</v>
      </c>
      <c r="D332" s="444" t="s">
        <v>18</v>
      </c>
      <c r="E332" s="445" t="s">
        <v>4532</v>
      </c>
      <c r="F332" s="679">
        <v>8</v>
      </c>
      <c r="G332" s="581">
        <v>1799</v>
      </c>
      <c r="H332" s="580"/>
      <c r="I332" s="581">
        <f t="shared" si="88"/>
        <v>14392</v>
      </c>
      <c r="J332" s="1088"/>
      <c r="K332" s="609"/>
      <c r="L332" s="610"/>
      <c r="M332" s="610"/>
      <c r="N332" s="610"/>
      <c r="O332" s="610"/>
      <c r="P332" s="610"/>
      <c r="Q332" s="1090"/>
    </row>
    <row r="333" spans="2:17" ht="24" x14ac:dyDescent="0.25">
      <c r="B333" s="579"/>
      <c r="C333" s="579" t="s">
        <v>5183</v>
      </c>
      <c r="D333" s="444" t="s">
        <v>2623</v>
      </c>
      <c r="E333" s="445" t="s">
        <v>5184</v>
      </c>
      <c r="F333" s="679">
        <v>0.2</v>
      </c>
      <c r="G333" s="581">
        <f>+INSUMOS!E129</f>
        <v>79959</v>
      </c>
      <c r="H333" s="580"/>
      <c r="I333" s="581">
        <f t="shared" si="88"/>
        <v>15991.800000000001</v>
      </c>
      <c r="J333" s="1088"/>
      <c r="K333" s="609"/>
      <c r="L333" s="610"/>
      <c r="M333" s="610"/>
      <c r="N333" s="610"/>
      <c r="O333" s="610"/>
      <c r="P333" s="610"/>
      <c r="Q333" s="1090"/>
    </row>
    <row r="334" spans="2:17" x14ac:dyDescent="0.25">
      <c r="B334" s="579"/>
      <c r="C334" s="579" t="s">
        <v>5185</v>
      </c>
      <c r="D334" s="444" t="s">
        <v>5186</v>
      </c>
      <c r="E334" s="445" t="s">
        <v>4021</v>
      </c>
      <c r="F334" s="679">
        <v>16.100000000000001</v>
      </c>
      <c r="G334" s="581">
        <f>+INSUMOS!E298</f>
        <v>133144</v>
      </c>
      <c r="H334" s="580"/>
      <c r="I334" s="581">
        <f t="shared" si="88"/>
        <v>2143618.4000000004</v>
      </c>
      <c r="J334" s="1088"/>
      <c r="K334" s="609"/>
      <c r="L334" s="610"/>
      <c r="M334" s="610"/>
      <c r="N334" s="610"/>
      <c r="O334" s="610"/>
      <c r="P334" s="610"/>
      <c r="Q334" s="1090"/>
    </row>
    <row r="335" spans="2:17" x14ac:dyDescent="0.25">
      <c r="B335" s="579"/>
      <c r="C335" s="579" t="s">
        <v>5200</v>
      </c>
      <c r="D335" s="444" t="s">
        <v>5201</v>
      </c>
      <c r="E335" s="445" t="s">
        <v>227</v>
      </c>
      <c r="F335" s="679">
        <v>4.5</v>
      </c>
      <c r="G335" s="581">
        <f>+INSUMOS!E229</f>
        <v>21900</v>
      </c>
      <c r="H335" s="580"/>
      <c r="I335" s="581">
        <f t="shared" si="88"/>
        <v>98550</v>
      </c>
      <c r="J335" s="1088"/>
      <c r="K335" s="609"/>
      <c r="L335" s="610"/>
      <c r="M335" s="610"/>
      <c r="N335" s="610"/>
      <c r="O335" s="610"/>
      <c r="P335" s="610"/>
      <c r="Q335" s="1090"/>
    </row>
    <row r="336" spans="2:17" ht="15.75" thickBot="1" x14ac:dyDescent="0.3">
      <c r="B336" s="622"/>
      <c r="C336" s="622"/>
      <c r="D336" s="621"/>
      <c r="E336" s="681"/>
      <c r="F336" s="682"/>
      <c r="G336" s="624"/>
      <c r="H336" s="623"/>
      <c r="I336" s="624"/>
      <c r="K336" s="609"/>
      <c r="L336" s="610"/>
      <c r="M336" s="610"/>
      <c r="N336" s="610"/>
      <c r="O336" s="610"/>
      <c r="P336" s="610"/>
      <c r="Q336" s="1090"/>
    </row>
    <row r="337" spans="2:17" ht="24.75" thickBot="1" x14ac:dyDescent="0.3">
      <c r="B337" s="645" t="s">
        <v>8</v>
      </c>
      <c r="C337" s="645" t="s">
        <v>8</v>
      </c>
      <c r="D337" s="630" t="s">
        <v>9</v>
      </c>
      <c r="E337" s="630" t="s">
        <v>11</v>
      </c>
      <c r="F337" s="630" t="s">
        <v>2</v>
      </c>
      <c r="G337" s="1113" t="s">
        <v>12</v>
      </c>
      <c r="H337" s="665" t="s">
        <v>13</v>
      </c>
      <c r="I337" s="666" t="s">
        <v>14</v>
      </c>
      <c r="K337" s="609"/>
      <c r="L337" s="610"/>
      <c r="M337" s="610"/>
      <c r="N337" s="610"/>
      <c r="O337" s="610"/>
      <c r="P337" s="610"/>
      <c r="Q337" s="1090"/>
    </row>
    <row r="338" spans="2:17" ht="24" x14ac:dyDescent="0.25">
      <c r="B338" s="724" t="s">
        <v>4448</v>
      </c>
      <c r="C338" s="724"/>
      <c r="D338" s="725" t="s">
        <v>5202</v>
      </c>
      <c r="E338" s="646" t="s">
        <v>4021</v>
      </c>
      <c r="F338" s="1084"/>
      <c r="G338" s="727">
        <f>SUM(I339:I345)</f>
        <v>22109.144225</v>
      </c>
      <c r="H338" s="580"/>
      <c r="I338" s="581"/>
      <c r="K338" s="609" t="str">
        <f>+B338</f>
        <v>9.2</v>
      </c>
      <c r="L338" s="610">
        <f>+I341+I342</f>
        <v>3741.308</v>
      </c>
      <c r="M338" s="610">
        <f>+I339+I343</f>
        <v>16569.028999999999</v>
      </c>
      <c r="N338" s="610">
        <f>SUM(I344:I346)</f>
        <v>989.25722499999995</v>
      </c>
      <c r="O338" s="610">
        <f>+I340</f>
        <v>809.55000000000007</v>
      </c>
      <c r="P338" s="610">
        <f>SUM(L338:O338)</f>
        <v>22109.144225</v>
      </c>
      <c r="Q338" s="1090">
        <f>IF(P338&gt;0,(G338-P338),"")</f>
        <v>0</v>
      </c>
    </row>
    <row r="339" spans="2:17" x14ac:dyDescent="0.25">
      <c r="B339" s="579"/>
      <c r="C339" s="579" t="s">
        <v>4533</v>
      </c>
      <c r="D339" s="444" t="s">
        <v>5126</v>
      </c>
      <c r="E339" s="445" t="s">
        <v>4532</v>
      </c>
      <c r="F339" s="679">
        <v>0.5</v>
      </c>
      <c r="G339" s="581">
        <f>+MO!F70</f>
        <v>32807</v>
      </c>
      <c r="H339" s="580"/>
      <c r="I339" s="581">
        <f t="shared" ref="I339:I345" si="89">+F339*G339</f>
        <v>16403.5</v>
      </c>
      <c r="K339" s="609"/>
      <c r="L339" s="610"/>
      <c r="M339" s="610"/>
      <c r="N339" s="610"/>
      <c r="O339" s="610"/>
      <c r="P339" s="610"/>
      <c r="Q339" s="1090"/>
    </row>
    <row r="340" spans="2:17" x14ac:dyDescent="0.25">
      <c r="B340" s="579"/>
      <c r="C340" s="579" t="s">
        <v>357</v>
      </c>
      <c r="D340" s="444" t="s">
        <v>18</v>
      </c>
      <c r="E340" s="445" t="s">
        <v>4532</v>
      </c>
      <c r="F340" s="679">
        <v>0.45</v>
      </c>
      <c r="G340" s="581">
        <v>1799</v>
      </c>
      <c r="H340" s="580"/>
      <c r="I340" s="581">
        <f t="shared" si="89"/>
        <v>809.55000000000007</v>
      </c>
      <c r="K340" s="609"/>
      <c r="L340" s="610"/>
      <c r="M340" s="610"/>
      <c r="N340" s="610"/>
      <c r="O340" s="610"/>
      <c r="P340" s="610"/>
      <c r="Q340" s="1090"/>
    </row>
    <row r="341" spans="2:17" x14ac:dyDescent="0.25">
      <c r="B341" s="579"/>
      <c r="C341" s="579" t="s">
        <v>5146</v>
      </c>
      <c r="D341" s="444" t="s">
        <v>5127</v>
      </c>
      <c r="E341" s="445" t="s">
        <v>4302</v>
      </c>
      <c r="F341" s="679">
        <v>1E-3</v>
      </c>
      <c r="G341" s="581">
        <v>171308</v>
      </c>
      <c r="H341" s="580"/>
      <c r="I341" s="581">
        <f t="shared" si="89"/>
        <v>171.30799999999999</v>
      </c>
      <c r="K341" s="609"/>
      <c r="L341" s="610"/>
      <c r="M341" s="610"/>
      <c r="N341" s="610"/>
      <c r="O341" s="610"/>
      <c r="P341" s="610"/>
      <c r="Q341" s="1090"/>
    </row>
    <row r="342" spans="2:17" x14ac:dyDescent="0.25">
      <c r="B342" s="579"/>
      <c r="C342" s="579" t="s">
        <v>5203</v>
      </c>
      <c r="D342" s="444" t="s">
        <v>5204</v>
      </c>
      <c r="E342" s="445" t="s">
        <v>202</v>
      </c>
      <c r="F342" s="679">
        <v>0.05</v>
      </c>
      <c r="G342" s="581">
        <f>+INSUMOS!E222</f>
        <v>71400</v>
      </c>
      <c r="H342" s="580"/>
      <c r="I342" s="581">
        <f t="shared" si="89"/>
        <v>3570</v>
      </c>
      <c r="K342" s="609"/>
      <c r="L342" s="610"/>
      <c r="M342" s="610"/>
      <c r="N342" s="610"/>
      <c r="O342" s="610"/>
      <c r="P342" s="610"/>
      <c r="Q342" s="1090"/>
    </row>
    <row r="343" spans="2:17" x14ac:dyDescent="0.25">
      <c r="B343" s="579"/>
      <c r="C343" s="579" t="s">
        <v>5117</v>
      </c>
      <c r="D343" s="444" t="s">
        <v>3925</v>
      </c>
      <c r="E343" s="445" t="s">
        <v>4012</v>
      </c>
      <c r="F343" s="679">
        <v>0.05</v>
      </c>
      <c r="G343" s="581">
        <v>3310.58</v>
      </c>
      <c r="H343" s="580"/>
      <c r="I343" s="581">
        <f t="shared" si="89"/>
        <v>165.529</v>
      </c>
      <c r="K343" s="609"/>
      <c r="L343" s="610"/>
      <c r="M343" s="610"/>
      <c r="N343" s="610"/>
      <c r="O343" s="610"/>
      <c r="P343" s="610"/>
      <c r="Q343" s="1090"/>
    </row>
    <row r="344" spans="2:17" ht="24" x14ac:dyDescent="0.25">
      <c r="B344" s="579"/>
      <c r="C344" s="579" t="s">
        <v>5183</v>
      </c>
      <c r="D344" s="444" t="s">
        <v>2623</v>
      </c>
      <c r="E344" s="445" t="s">
        <v>5184</v>
      </c>
      <c r="F344" s="679">
        <v>1.1774999999999999E-2</v>
      </c>
      <c r="G344" s="581">
        <f>+INSUMOS!E129</f>
        <v>79959</v>
      </c>
      <c r="H344" s="580"/>
      <c r="I344" s="581">
        <f t="shared" si="89"/>
        <v>941.51722499999994</v>
      </c>
      <c r="K344" s="609"/>
      <c r="L344" s="610"/>
      <c r="M344" s="610"/>
      <c r="N344" s="610"/>
      <c r="O344" s="610"/>
      <c r="P344" s="610"/>
      <c r="Q344" s="1090"/>
    </row>
    <row r="345" spans="2:17" x14ac:dyDescent="0.25">
      <c r="B345" s="579"/>
      <c r="C345" s="579" t="s">
        <v>5205</v>
      </c>
      <c r="D345" s="444" t="s">
        <v>5206</v>
      </c>
      <c r="E345" s="445" t="s">
        <v>3965</v>
      </c>
      <c r="F345" s="679">
        <v>0.02</v>
      </c>
      <c r="G345" s="581">
        <f>+INSUMOS!E55</f>
        <v>2387</v>
      </c>
      <c r="H345" s="580"/>
      <c r="I345" s="581">
        <f t="shared" si="89"/>
        <v>47.74</v>
      </c>
      <c r="K345" s="609"/>
      <c r="L345" s="610"/>
      <c r="M345" s="610"/>
      <c r="N345" s="610"/>
      <c r="O345" s="610"/>
      <c r="P345" s="610"/>
      <c r="Q345" s="1090"/>
    </row>
    <row r="346" spans="2:17" x14ac:dyDescent="0.25">
      <c r="B346" s="622"/>
      <c r="C346" s="622"/>
      <c r="D346" s="621"/>
      <c r="E346" s="681"/>
      <c r="F346" s="682"/>
      <c r="G346" s="624"/>
      <c r="H346" s="623"/>
      <c r="I346" s="624"/>
      <c r="K346" s="609"/>
      <c r="L346" s="610"/>
      <c r="M346" s="610"/>
      <c r="N346" s="610"/>
      <c r="O346" s="610"/>
      <c r="P346" s="610"/>
      <c r="Q346" s="1090"/>
    </row>
    <row r="347" spans="2:17" x14ac:dyDescent="0.25">
      <c r="B347" s="622"/>
      <c r="C347" s="622"/>
      <c r="D347" s="621"/>
      <c r="E347" s="681"/>
      <c r="F347" s="682"/>
      <c r="G347" s="624"/>
      <c r="H347" s="623"/>
      <c r="I347" s="624"/>
      <c r="K347" s="609"/>
      <c r="L347" s="610"/>
      <c r="M347" s="610"/>
      <c r="N347" s="610"/>
      <c r="O347" s="610"/>
      <c r="P347" s="610"/>
      <c r="Q347" s="1090"/>
    </row>
    <row r="348" spans="2:17" ht="15.75" thickBot="1" x14ac:dyDescent="0.3">
      <c r="B348" s="622"/>
      <c r="C348" s="622"/>
      <c r="D348" s="621"/>
      <c r="E348" s="681"/>
      <c r="F348" s="682"/>
      <c r="G348" s="624"/>
      <c r="H348" s="623"/>
      <c r="I348" s="624"/>
      <c r="K348" s="609"/>
      <c r="L348" s="610"/>
      <c r="M348" s="610"/>
      <c r="N348" s="610"/>
      <c r="O348" s="610"/>
      <c r="P348" s="610"/>
      <c r="Q348" s="1090"/>
    </row>
    <row r="349" spans="2:17" ht="24.75" thickBot="1" x14ac:dyDescent="0.3">
      <c r="B349" s="595" t="s">
        <v>8</v>
      </c>
      <c r="C349" s="595" t="s">
        <v>8</v>
      </c>
      <c r="D349" s="665" t="s">
        <v>9</v>
      </c>
      <c r="E349" s="665" t="s">
        <v>11</v>
      </c>
      <c r="F349" s="665" t="s">
        <v>2</v>
      </c>
      <c r="G349" s="1120" t="s">
        <v>12</v>
      </c>
      <c r="H349" s="665" t="s">
        <v>13</v>
      </c>
      <c r="I349" s="666" t="s">
        <v>14</v>
      </c>
      <c r="K349" s="609"/>
      <c r="L349" s="610"/>
      <c r="M349" s="610"/>
      <c r="N349" s="610"/>
      <c r="O349" s="610"/>
      <c r="P349" s="610"/>
      <c r="Q349" s="1090"/>
    </row>
    <row r="350" spans="2:17" ht="84" customHeight="1" x14ac:dyDescent="0.25">
      <c r="B350" s="700" t="s">
        <v>5112</v>
      </c>
      <c r="C350" s="700"/>
      <c r="D350" s="604" t="s">
        <v>4088</v>
      </c>
      <c r="E350" s="635" t="s">
        <v>4104</v>
      </c>
      <c r="F350" s="575"/>
      <c r="G350" s="1114">
        <f>SUM(I351:I358)</f>
        <v>36290.620566666665</v>
      </c>
      <c r="H350" s="636"/>
      <c r="I350" s="701"/>
      <c r="K350" s="609" t="str">
        <f>+B350</f>
        <v>19.4</v>
      </c>
      <c r="L350" s="610">
        <f>SUM(I356)</f>
        <v>956.87083333333328</v>
      </c>
      <c r="M350" s="610">
        <f>+I351+I358</f>
        <v>20094.287499999999</v>
      </c>
      <c r="N350" s="610">
        <f>SUM(I352:I355)</f>
        <v>14282.591399999999</v>
      </c>
      <c r="O350" s="610">
        <f>+I357</f>
        <v>956.87083333333328</v>
      </c>
      <c r="P350" s="610">
        <f>SUM(L350:O350)</f>
        <v>36290.620566666665</v>
      </c>
      <c r="Q350" s="1090">
        <f>+G350-P350</f>
        <v>0</v>
      </c>
    </row>
    <row r="351" spans="2:17" x14ac:dyDescent="0.25">
      <c r="B351" s="651" t="s">
        <v>15</v>
      </c>
      <c r="C351" s="651" t="s">
        <v>15</v>
      </c>
      <c r="D351" s="444" t="str">
        <f>+MO!B70</f>
        <v>CUADRILLA CC TIPO 1 (1 OFICIAL + 1 AYUDANTE) (Pintura)</v>
      </c>
      <c r="E351" s="579" t="str">
        <f>+E16</f>
        <v>HR</v>
      </c>
      <c r="F351" s="580">
        <v>0.7</v>
      </c>
      <c r="G351" s="581">
        <f>+MO!H70</f>
        <v>262456</v>
      </c>
      <c r="H351" s="582">
        <f>(50/480)</f>
        <v>0.10416666666666667</v>
      </c>
      <c r="I351" s="686">
        <f>(F351*G351*H351)</f>
        <v>19137.416666666664</v>
      </c>
      <c r="K351" s="609"/>
      <c r="L351" s="610"/>
      <c r="M351" s="610"/>
      <c r="N351" s="610"/>
      <c r="O351" s="610"/>
      <c r="P351" s="610"/>
      <c r="Q351" s="1090"/>
    </row>
    <row r="352" spans="2:17" ht="24" x14ac:dyDescent="0.25">
      <c r="B352" s="651" t="s">
        <v>4083</v>
      </c>
      <c r="C352" s="651" t="s">
        <v>4083</v>
      </c>
      <c r="D352" s="444" t="s">
        <v>4089</v>
      </c>
      <c r="E352" s="579" t="str">
        <f>+INSUMOS!D84</f>
        <v>GALÓN</v>
      </c>
      <c r="F352" s="580">
        <v>0.04</v>
      </c>
      <c r="G352" s="581">
        <f>+INSUMOS!E84</f>
        <v>68416</v>
      </c>
      <c r="H352" s="582">
        <v>1.05</v>
      </c>
      <c r="I352" s="686">
        <f>(F352*G352*H352)</f>
        <v>2873.4720000000002</v>
      </c>
      <c r="K352" s="609"/>
      <c r="M352" s="610"/>
      <c r="N352" s="610"/>
      <c r="O352" s="610"/>
      <c r="P352" s="610"/>
      <c r="Q352" s="1090"/>
    </row>
    <row r="353" spans="2:17" ht="24" x14ac:dyDescent="0.25">
      <c r="B353" s="651" t="s">
        <v>4083</v>
      </c>
      <c r="C353" s="651" t="s">
        <v>4083</v>
      </c>
      <c r="D353" s="444" t="str">
        <f>+INSUMOS!B85</f>
        <v>PINTURA EPOXICA POLIAMIDA CON CATALIZADOR TIPO PINTUCO REF. 113243, SEGÚN COLOR  DISEÑO O SIMILAR</v>
      </c>
      <c r="E353" s="579" t="str">
        <f>+INSUMOS!D85</f>
        <v>GALÓN</v>
      </c>
      <c r="F353" s="580">
        <v>0.06</v>
      </c>
      <c r="G353" s="581">
        <f>+INSUMOS!E85</f>
        <v>165989</v>
      </c>
      <c r="H353" s="582">
        <v>1.05</v>
      </c>
      <c r="I353" s="686">
        <f t="shared" ref="I353:I358" si="90">(F353*G353*H353)</f>
        <v>10457.307000000001</v>
      </c>
      <c r="K353" s="615"/>
      <c r="L353" s="610"/>
      <c r="M353" s="610"/>
      <c r="N353" s="610"/>
      <c r="O353" s="610"/>
      <c r="Q353" s="1091"/>
    </row>
    <row r="354" spans="2:17" ht="36" x14ac:dyDescent="0.25">
      <c r="B354" s="651" t="s">
        <v>4083</v>
      </c>
      <c r="C354" s="651" t="s">
        <v>4083</v>
      </c>
      <c r="D354" s="444" t="str">
        <f>+INSUMOS!B86</f>
        <v>AJUSTADOR PARA DILUSIÓN DE PINTURA EPOXICA POLIAMIDA CON CATALIZADOR TIPO PINTUCO REF. 125290 O SIMILAR</v>
      </c>
      <c r="E354" s="579" t="str">
        <f>+INSUMOS!D86</f>
        <v>GALÓN</v>
      </c>
      <c r="F354" s="580">
        <v>1.2E-2</v>
      </c>
      <c r="G354" s="581">
        <f>+INSUMOS!E86</f>
        <v>67724</v>
      </c>
      <c r="H354" s="582">
        <v>1.05</v>
      </c>
      <c r="I354" s="686">
        <f t="shared" si="90"/>
        <v>853.32240000000002</v>
      </c>
      <c r="K354" s="609"/>
      <c r="L354" s="610"/>
      <c r="M354" s="610"/>
      <c r="N354" s="610"/>
      <c r="O354" s="610"/>
      <c r="P354" s="610"/>
      <c r="Q354" s="1090"/>
    </row>
    <row r="355" spans="2:17" x14ac:dyDescent="0.25">
      <c r="B355" s="651" t="s">
        <v>4083</v>
      </c>
      <c r="C355" s="651" t="s">
        <v>4083</v>
      </c>
      <c r="D355" s="444" t="str">
        <f>+INSUMOS!B3</f>
        <v>PABMERIL PLIEGO 9" X 11"</v>
      </c>
      <c r="E355" s="579" t="str">
        <f>+INSUMOS!D3</f>
        <v>UN</v>
      </c>
      <c r="F355" s="580">
        <v>0.02</v>
      </c>
      <c r="G355" s="581">
        <f>+INSUMOS!E3</f>
        <v>4690</v>
      </c>
      <c r="H355" s="582">
        <v>1.05</v>
      </c>
      <c r="I355" s="686">
        <f t="shared" si="90"/>
        <v>98.49</v>
      </c>
      <c r="K355" s="609"/>
      <c r="L355" s="610"/>
      <c r="M355" s="610"/>
      <c r="N355" s="610"/>
      <c r="O355" s="610"/>
      <c r="P355" s="610"/>
      <c r="Q355" s="1090"/>
    </row>
    <row r="356" spans="2:17" x14ac:dyDescent="0.25">
      <c r="B356" s="651" t="s">
        <v>205</v>
      </c>
      <c r="C356" s="651" t="s">
        <v>205</v>
      </c>
      <c r="D356" s="444" t="s">
        <v>4086</v>
      </c>
      <c r="E356" s="579" t="s">
        <v>203</v>
      </c>
      <c r="F356" s="580">
        <v>1</v>
      </c>
      <c r="G356" s="581">
        <f>+I351</f>
        <v>19137.416666666664</v>
      </c>
      <c r="H356" s="582">
        <v>0.05</v>
      </c>
      <c r="I356" s="686">
        <f>(F356*G356*H356)</f>
        <v>956.87083333333328</v>
      </c>
      <c r="K356" s="609"/>
      <c r="L356" s="610"/>
      <c r="M356" s="610"/>
      <c r="N356" s="610"/>
      <c r="O356" s="610"/>
      <c r="P356" s="610"/>
      <c r="Q356" s="1090"/>
    </row>
    <row r="357" spans="2:17" x14ac:dyDescent="0.25">
      <c r="B357" s="651" t="s">
        <v>204</v>
      </c>
      <c r="C357" s="651" t="s">
        <v>204</v>
      </c>
      <c r="D357" s="444" t="s">
        <v>1054</v>
      </c>
      <c r="E357" s="579" t="s">
        <v>203</v>
      </c>
      <c r="F357" s="580">
        <v>1</v>
      </c>
      <c r="G357" s="581">
        <f>+I351</f>
        <v>19137.416666666664</v>
      </c>
      <c r="H357" s="582">
        <v>0.05</v>
      </c>
      <c r="I357" s="686">
        <f t="shared" si="90"/>
        <v>956.87083333333328</v>
      </c>
      <c r="K357" s="609"/>
      <c r="L357" s="610"/>
      <c r="M357" s="610"/>
      <c r="N357" s="610"/>
      <c r="O357" s="610"/>
      <c r="P357" s="610"/>
      <c r="Q357" s="1090"/>
    </row>
    <row r="358" spans="2:17" ht="15.75" thickBot="1" x14ac:dyDescent="0.3">
      <c r="B358" s="653" t="s">
        <v>204</v>
      </c>
      <c r="C358" s="653" t="s">
        <v>204</v>
      </c>
      <c r="D358" s="654" t="s">
        <v>18</v>
      </c>
      <c r="E358" s="655" t="s">
        <v>203</v>
      </c>
      <c r="F358" s="656">
        <v>1</v>
      </c>
      <c r="G358" s="1119">
        <f>+I351</f>
        <v>19137.416666666664</v>
      </c>
      <c r="H358" s="657">
        <v>0.05</v>
      </c>
      <c r="I358" s="687">
        <f t="shared" si="90"/>
        <v>956.87083333333328</v>
      </c>
      <c r="K358" s="609"/>
      <c r="L358" s="610"/>
      <c r="M358" s="610"/>
      <c r="N358" s="610"/>
      <c r="O358" s="610"/>
      <c r="P358" s="610"/>
      <c r="Q358" s="1090"/>
    </row>
    <row r="359" spans="2:17" ht="15.75" thickBot="1" x14ac:dyDescent="0.3">
      <c r="B359" s="620"/>
      <c r="C359" s="620"/>
      <c r="D359" s="621"/>
      <c r="E359" s="622"/>
      <c r="F359" s="623"/>
      <c r="G359" s="624"/>
      <c r="H359" s="625"/>
      <c r="I359" s="626"/>
      <c r="K359" s="609"/>
      <c r="L359" s="627"/>
      <c r="M359" s="627"/>
      <c r="N359" s="627"/>
      <c r="O359" s="627"/>
      <c r="P359" s="627"/>
      <c r="Q359" s="1090"/>
    </row>
    <row r="360" spans="2:17" ht="24.75" thickBot="1" x14ac:dyDescent="0.3">
      <c r="B360" s="595" t="s">
        <v>8</v>
      </c>
      <c r="C360" s="595" t="s">
        <v>8</v>
      </c>
      <c r="D360" s="665" t="s">
        <v>9</v>
      </c>
      <c r="E360" s="665" t="s">
        <v>11</v>
      </c>
      <c r="F360" s="665" t="s">
        <v>2</v>
      </c>
      <c r="G360" s="1120" t="s">
        <v>3987</v>
      </c>
      <c r="H360" s="665" t="s">
        <v>4101</v>
      </c>
      <c r="I360" s="666" t="s">
        <v>14</v>
      </c>
      <c r="K360" s="609"/>
      <c r="L360" s="610"/>
      <c r="M360" s="610"/>
      <c r="N360" s="610"/>
      <c r="O360" s="610"/>
      <c r="P360" s="610"/>
      <c r="Q360" s="1090"/>
    </row>
    <row r="361" spans="2:17" ht="24" x14ac:dyDescent="0.25">
      <c r="B361" s="649" t="s">
        <v>4479</v>
      </c>
      <c r="C361" s="649"/>
      <c r="D361" s="573" t="s">
        <v>4954</v>
      </c>
      <c r="E361" s="574" t="s">
        <v>4104</v>
      </c>
      <c r="F361" s="575"/>
      <c r="G361" s="1118">
        <f>SUM(I362:I370)</f>
        <v>81601.794919000007</v>
      </c>
      <c r="H361" s="667"/>
      <c r="I361" s="650"/>
      <c r="K361" s="609" t="str">
        <f>+B361</f>
        <v>14.1</v>
      </c>
      <c r="L361" s="610">
        <f>SUM(I368)</f>
        <v>1246.6400000000003</v>
      </c>
      <c r="M361" s="610">
        <f>+I362+I370</f>
        <v>26179.440000000002</v>
      </c>
      <c r="N361" s="610">
        <f>SUM(I363:I367)</f>
        <v>52929.074919000006</v>
      </c>
      <c r="O361" s="610">
        <f>+I369</f>
        <v>1246.6400000000003</v>
      </c>
      <c r="P361" s="610">
        <f>SUM(L361:O361)</f>
        <v>81601.794919000007</v>
      </c>
      <c r="Q361" s="1090">
        <f>+G361-P361</f>
        <v>0</v>
      </c>
    </row>
    <row r="362" spans="2:17" x14ac:dyDescent="0.25">
      <c r="B362" s="668" t="s">
        <v>15</v>
      </c>
      <c r="C362" s="668" t="s">
        <v>15</v>
      </c>
      <c r="D362" s="444" t="str">
        <f>+MO!B68</f>
        <v>CUADRILLA AA TIPO 1 (1 OFICIAL + 1 AYUDANTE) (Albañileria)</v>
      </c>
      <c r="E362" s="579" t="s">
        <v>202</v>
      </c>
      <c r="F362" s="580">
        <v>1</v>
      </c>
      <c r="G362" s="581">
        <f>+MO!H68</f>
        <v>249328</v>
      </c>
      <c r="H362" s="582">
        <v>0.1</v>
      </c>
      <c r="I362" s="652">
        <f>(F362*G362*H362)</f>
        <v>24932.800000000003</v>
      </c>
      <c r="K362" s="609"/>
      <c r="L362" s="610"/>
      <c r="M362" s="610"/>
      <c r="N362" s="610"/>
      <c r="O362" s="610"/>
      <c r="P362" s="610"/>
      <c r="Q362" s="1090"/>
    </row>
    <row r="363" spans="2:17" ht="24" x14ac:dyDescent="0.25">
      <c r="B363" s="670" t="s">
        <v>4083</v>
      </c>
      <c r="C363" s="670" t="s">
        <v>4083</v>
      </c>
      <c r="D363" s="444" t="str">
        <f>+INSUMOS!B104</f>
        <v>CERÁMICA PARA PISO ACUARELA BLANCO DE 40*40 O SIMILAR</v>
      </c>
      <c r="E363" s="445" t="str">
        <f>+INSUMOS!D104</f>
        <v>M²</v>
      </c>
      <c r="F363" s="580">
        <v>1</v>
      </c>
      <c r="G363" s="581">
        <f>+INSUMOS!E104</f>
        <v>34599</v>
      </c>
      <c r="H363" s="445">
        <v>1.05</v>
      </c>
      <c r="I363" s="652">
        <f t="shared" ref="I363:I370" si="91">(F363*G363*H363)</f>
        <v>36328.950000000004</v>
      </c>
      <c r="K363" s="609"/>
      <c r="L363" s="610"/>
      <c r="M363" s="610"/>
      <c r="N363" s="610"/>
      <c r="O363" s="610"/>
      <c r="P363" s="610"/>
      <c r="Q363" s="1090"/>
    </row>
    <row r="364" spans="2:17" x14ac:dyDescent="0.25">
      <c r="B364" s="670" t="s">
        <v>4083</v>
      </c>
      <c r="C364" s="670" t="s">
        <v>4083</v>
      </c>
      <c r="D364" s="444" t="s">
        <v>4114</v>
      </c>
      <c r="E364" s="445" t="str">
        <f>+'SUB ANALISIS MORTERO'!C9</f>
        <v>M3</v>
      </c>
      <c r="F364" s="580">
        <v>2E-3</v>
      </c>
      <c r="G364" s="581">
        <f>+'SUB ANALISIS MORTERO'!I25</f>
        <v>396096.39</v>
      </c>
      <c r="H364" s="445">
        <v>1.05</v>
      </c>
      <c r="I364" s="652">
        <f t="shared" si="91"/>
        <v>831.8024190000001</v>
      </c>
      <c r="K364" s="615"/>
      <c r="L364" s="610"/>
      <c r="M364" s="610"/>
      <c r="N364" s="610"/>
      <c r="O364" s="610"/>
      <c r="Q364" s="1091"/>
    </row>
    <row r="365" spans="2:17" x14ac:dyDescent="0.25">
      <c r="B365" s="670" t="s">
        <v>4083</v>
      </c>
      <c r="C365" s="670" t="s">
        <v>4083</v>
      </c>
      <c r="D365" s="444" t="str">
        <f>+INSUMOS!B23</f>
        <v>ALFALISTO BLANCO O SIMILAR</v>
      </c>
      <c r="E365" s="445" t="str">
        <f>+INSUMOS!D23</f>
        <v>KG</v>
      </c>
      <c r="F365" s="580">
        <v>4.5</v>
      </c>
      <c r="G365" s="581">
        <f>+INSUMOS!E23</f>
        <v>2910</v>
      </c>
      <c r="H365" s="445">
        <v>1.05</v>
      </c>
      <c r="I365" s="652">
        <f t="shared" si="91"/>
        <v>13749.75</v>
      </c>
      <c r="K365" s="609"/>
      <c r="L365" s="610"/>
      <c r="M365" s="610"/>
      <c r="N365" s="610"/>
      <c r="O365" s="610"/>
      <c r="P365" s="610"/>
      <c r="Q365" s="1090"/>
    </row>
    <row r="366" spans="2:17" x14ac:dyDescent="0.25">
      <c r="B366" s="670" t="s">
        <v>4083</v>
      </c>
      <c r="C366" s="670" t="s">
        <v>4083</v>
      </c>
      <c r="D366" s="444" t="str">
        <f>+INSUMOS!B21</f>
        <v>BOQUILLA ALFACOLOR 1-3</v>
      </c>
      <c r="E366" s="445" t="str">
        <f>+INSUMOS!D21</f>
        <v>KG</v>
      </c>
      <c r="F366" s="580">
        <v>0.25</v>
      </c>
      <c r="G366" s="581">
        <f>+INSUMOS!E21</f>
        <v>7517</v>
      </c>
      <c r="H366" s="445">
        <v>1.05</v>
      </c>
      <c r="I366" s="652">
        <f t="shared" si="91"/>
        <v>1973.2125000000001</v>
      </c>
      <c r="K366" s="609"/>
      <c r="L366" s="610"/>
      <c r="M366" s="610"/>
      <c r="N366" s="610"/>
      <c r="O366" s="610"/>
      <c r="P366" s="610"/>
      <c r="Q366" s="1090"/>
    </row>
    <row r="367" spans="2:17" x14ac:dyDescent="0.25">
      <c r="B367" s="670" t="s">
        <v>4083</v>
      </c>
      <c r="C367" s="670" t="s">
        <v>4083</v>
      </c>
      <c r="D367" s="444" t="str">
        <f>+INSUMOS!B81</f>
        <v>AGUA LITRO</v>
      </c>
      <c r="E367" s="445" t="str">
        <f>+INSUMOS!D81</f>
        <v>LITRO</v>
      </c>
      <c r="F367" s="445">
        <v>1.08</v>
      </c>
      <c r="G367" s="581">
        <f>+INSUMOS!E81</f>
        <v>40</v>
      </c>
      <c r="H367" s="445">
        <v>1.05</v>
      </c>
      <c r="I367" s="652">
        <f t="shared" si="91"/>
        <v>45.360000000000007</v>
      </c>
      <c r="K367" s="609"/>
      <c r="L367" s="610"/>
      <c r="M367" s="610"/>
      <c r="N367" s="610"/>
      <c r="O367" s="610"/>
      <c r="P367" s="610"/>
      <c r="Q367" s="1090"/>
    </row>
    <row r="368" spans="2:17" ht="16.5" customHeight="1" x14ac:dyDescent="0.25">
      <c r="B368" s="670" t="s">
        <v>205</v>
      </c>
      <c r="C368" s="670" t="s">
        <v>205</v>
      </c>
      <c r="D368" s="444" t="s">
        <v>4146</v>
      </c>
      <c r="E368" s="445" t="s">
        <v>4025</v>
      </c>
      <c r="F368" s="580">
        <v>1</v>
      </c>
      <c r="G368" s="581">
        <f>+I362</f>
        <v>24932.800000000003</v>
      </c>
      <c r="H368" s="445">
        <v>0.05</v>
      </c>
      <c r="I368" s="652">
        <f t="shared" si="91"/>
        <v>1246.6400000000003</v>
      </c>
      <c r="K368" s="609"/>
      <c r="L368" s="610"/>
      <c r="M368" s="610"/>
      <c r="N368" s="610"/>
      <c r="O368" s="610"/>
      <c r="P368" s="610"/>
      <c r="Q368" s="1090"/>
    </row>
    <row r="369" spans="2:17" x14ac:dyDescent="0.25">
      <c r="B369" s="671" t="s">
        <v>204</v>
      </c>
      <c r="C369" s="671" t="s">
        <v>204</v>
      </c>
      <c r="D369" s="444" t="str">
        <f>+D223</f>
        <v>EQUIPO DE TRANSPORTE</v>
      </c>
      <c r="E369" s="445" t="s">
        <v>4025</v>
      </c>
      <c r="F369" s="580">
        <v>1</v>
      </c>
      <c r="G369" s="581">
        <f>+I362</f>
        <v>24932.800000000003</v>
      </c>
      <c r="H369" s="445">
        <v>0.05</v>
      </c>
      <c r="I369" s="652">
        <f t="shared" si="91"/>
        <v>1246.6400000000003</v>
      </c>
      <c r="K369" s="609"/>
      <c r="L369" s="610"/>
      <c r="M369" s="610"/>
      <c r="N369" s="610"/>
      <c r="O369" s="610"/>
      <c r="P369" s="610"/>
      <c r="Q369" s="1090"/>
    </row>
    <row r="370" spans="2:17" ht="15.75" thickBot="1" x14ac:dyDescent="0.3">
      <c r="B370" s="672" t="s">
        <v>204</v>
      </c>
      <c r="C370" s="672" t="s">
        <v>204</v>
      </c>
      <c r="D370" s="654" t="s">
        <v>18</v>
      </c>
      <c r="E370" s="673" t="s">
        <v>4025</v>
      </c>
      <c r="F370" s="656">
        <v>1</v>
      </c>
      <c r="G370" s="1119">
        <f>+I362</f>
        <v>24932.800000000003</v>
      </c>
      <c r="H370" s="673">
        <v>0.05</v>
      </c>
      <c r="I370" s="658">
        <f t="shared" si="91"/>
        <v>1246.6400000000003</v>
      </c>
      <c r="K370" s="609"/>
      <c r="L370" s="610"/>
      <c r="M370" s="610"/>
      <c r="N370" s="610"/>
      <c r="O370" s="610"/>
      <c r="P370" s="610"/>
      <c r="Q370" s="1090"/>
    </row>
    <row r="371" spans="2:17" ht="15.75" thickBot="1" x14ac:dyDescent="0.3">
      <c r="K371" s="609"/>
      <c r="L371" s="610"/>
      <c r="M371" s="610"/>
      <c r="N371" s="610"/>
      <c r="O371" s="610"/>
      <c r="P371" s="610"/>
      <c r="Q371" s="1090"/>
    </row>
    <row r="372" spans="2:17" ht="24.75" thickBot="1" x14ac:dyDescent="0.3">
      <c r="B372" s="595" t="s">
        <v>8</v>
      </c>
      <c r="C372" s="595" t="s">
        <v>8</v>
      </c>
      <c r="D372" s="665" t="s">
        <v>9</v>
      </c>
      <c r="E372" s="665" t="s">
        <v>11</v>
      </c>
      <c r="F372" s="665" t="s">
        <v>2</v>
      </c>
      <c r="G372" s="1120" t="s">
        <v>3987</v>
      </c>
      <c r="H372" s="665" t="s">
        <v>4101</v>
      </c>
      <c r="I372" s="666" t="s">
        <v>14</v>
      </c>
      <c r="K372" s="609"/>
      <c r="L372" s="610"/>
      <c r="M372" s="610"/>
      <c r="N372" s="610"/>
      <c r="O372" s="610"/>
      <c r="P372" s="610"/>
      <c r="Q372" s="1090"/>
    </row>
    <row r="373" spans="2:17" ht="24" x14ac:dyDescent="0.25">
      <c r="B373" s="649" t="s">
        <v>4480</v>
      </c>
      <c r="C373" s="649"/>
      <c r="D373" s="573" t="s">
        <v>4983</v>
      </c>
      <c r="E373" s="574" t="s">
        <v>4104</v>
      </c>
      <c r="F373" s="575"/>
      <c r="G373" s="1118">
        <f>SUM(I374:I382)</f>
        <v>87676.044918999993</v>
      </c>
      <c r="H373" s="667"/>
      <c r="I373" s="650"/>
      <c r="K373" s="609" t="str">
        <f>+B373</f>
        <v>14.2</v>
      </c>
      <c r="L373" s="610">
        <f>SUM(I380)</f>
        <v>1246.6400000000003</v>
      </c>
      <c r="M373" s="610">
        <f>+I374+I382</f>
        <v>26179.440000000002</v>
      </c>
      <c r="N373" s="610">
        <f>SUM(I375:I379)</f>
        <v>59003.324919000006</v>
      </c>
      <c r="O373" s="610">
        <f>+I381</f>
        <v>1246.6400000000003</v>
      </c>
      <c r="P373" s="610">
        <f>SUM(L373:O373)</f>
        <v>87676.044919000007</v>
      </c>
      <c r="Q373" s="1090">
        <f>+G373-P373</f>
        <v>0</v>
      </c>
    </row>
    <row r="374" spans="2:17" x14ac:dyDescent="0.25">
      <c r="B374" s="668" t="s">
        <v>15</v>
      </c>
      <c r="C374" s="668" t="s">
        <v>15</v>
      </c>
      <c r="D374" s="444" t="str">
        <f>+D362</f>
        <v>CUADRILLA AA TIPO 1 (1 OFICIAL + 1 AYUDANTE) (Albañileria)</v>
      </c>
      <c r="E374" s="579" t="s">
        <v>202</v>
      </c>
      <c r="F374" s="580">
        <v>1</v>
      </c>
      <c r="G374" s="581">
        <f>+G362</f>
        <v>249328</v>
      </c>
      <c r="H374" s="582">
        <v>0.1</v>
      </c>
      <c r="I374" s="652">
        <f>(F374*G374*H374)</f>
        <v>24932.800000000003</v>
      </c>
      <c r="K374" s="609"/>
      <c r="L374" s="610"/>
      <c r="M374" s="610"/>
      <c r="N374" s="610"/>
      <c r="O374" s="610"/>
      <c r="P374" s="610"/>
      <c r="Q374" s="1090"/>
    </row>
    <row r="375" spans="2:17" ht="24" x14ac:dyDescent="0.25">
      <c r="B375" s="670" t="s">
        <v>4083</v>
      </c>
      <c r="C375" s="670" t="s">
        <v>4083</v>
      </c>
      <c r="D375" s="444" t="str">
        <f>+INSUMOS!B106</f>
        <v>CERÁMICA PARA PARED HOLZTEK BLANCO DE 40*25 O SIMILAR</v>
      </c>
      <c r="E375" s="445" t="str">
        <f>+E363</f>
        <v>M²</v>
      </c>
      <c r="F375" s="580">
        <v>1</v>
      </c>
      <c r="G375" s="581">
        <f>+INSUMOS!E106</f>
        <v>40384</v>
      </c>
      <c r="H375" s="445">
        <v>1.05</v>
      </c>
      <c r="I375" s="652">
        <f t="shared" ref="I375:I382" si="92">(F375*G375*H375)</f>
        <v>42403.200000000004</v>
      </c>
      <c r="K375" s="609"/>
      <c r="L375" s="610"/>
      <c r="M375" s="610"/>
      <c r="N375" s="610"/>
      <c r="O375" s="610"/>
      <c r="P375" s="610"/>
      <c r="Q375" s="1090"/>
    </row>
    <row r="376" spans="2:17" x14ac:dyDescent="0.25">
      <c r="B376" s="670" t="s">
        <v>4083</v>
      </c>
      <c r="C376" s="670" t="s">
        <v>4083</v>
      </c>
      <c r="D376" s="444" t="s">
        <v>4114</v>
      </c>
      <c r="E376" s="445" t="str">
        <f>+E364</f>
        <v>M3</v>
      </c>
      <c r="F376" s="580">
        <v>2E-3</v>
      </c>
      <c r="G376" s="581">
        <f>+G364</f>
        <v>396096.39</v>
      </c>
      <c r="H376" s="445">
        <v>1.05</v>
      </c>
      <c r="I376" s="652">
        <f t="shared" si="92"/>
        <v>831.8024190000001</v>
      </c>
      <c r="K376" s="615"/>
      <c r="L376" s="610"/>
      <c r="M376" s="610"/>
      <c r="N376" s="610"/>
      <c r="O376" s="610"/>
      <c r="Q376" s="1091"/>
    </row>
    <row r="377" spans="2:17" x14ac:dyDescent="0.25">
      <c r="B377" s="670" t="s">
        <v>4083</v>
      </c>
      <c r="C377" s="670" t="s">
        <v>4083</v>
      </c>
      <c r="D377" s="444" t="str">
        <f>+D365</f>
        <v>ALFALISTO BLANCO O SIMILAR</v>
      </c>
      <c r="E377" s="445" t="str">
        <f>+E365</f>
        <v>KG</v>
      </c>
      <c r="F377" s="580">
        <v>4.5</v>
      </c>
      <c r="G377" s="581">
        <f>+G365</f>
        <v>2910</v>
      </c>
      <c r="H377" s="445">
        <v>1.05</v>
      </c>
      <c r="I377" s="652">
        <f t="shared" si="92"/>
        <v>13749.75</v>
      </c>
      <c r="K377" s="609"/>
      <c r="L377" s="610"/>
      <c r="M377" s="610"/>
      <c r="N377" s="610"/>
      <c r="O377" s="610"/>
      <c r="P377" s="610"/>
      <c r="Q377" s="1090"/>
    </row>
    <row r="378" spans="2:17" x14ac:dyDescent="0.25">
      <c r="B378" s="670" t="s">
        <v>4083</v>
      </c>
      <c r="C378" s="670" t="s">
        <v>4083</v>
      </c>
      <c r="D378" s="444" t="str">
        <f>+D366</f>
        <v>BOQUILLA ALFACOLOR 1-3</v>
      </c>
      <c r="E378" s="445" t="str">
        <f>+E366</f>
        <v>KG</v>
      </c>
      <c r="F378" s="580">
        <v>0.25</v>
      </c>
      <c r="G378" s="581">
        <f>+G366</f>
        <v>7517</v>
      </c>
      <c r="H378" s="445">
        <v>1.05</v>
      </c>
      <c r="I378" s="652">
        <f t="shared" si="92"/>
        <v>1973.2125000000001</v>
      </c>
      <c r="K378" s="609"/>
      <c r="L378" s="610"/>
      <c r="M378" s="610"/>
      <c r="N378" s="610"/>
      <c r="O378" s="610"/>
      <c r="P378" s="610"/>
      <c r="Q378" s="1090"/>
    </row>
    <row r="379" spans="2:17" x14ac:dyDescent="0.25">
      <c r="B379" s="670" t="s">
        <v>4083</v>
      </c>
      <c r="C379" s="670" t="s">
        <v>4083</v>
      </c>
      <c r="D379" s="444" t="str">
        <f>+D367</f>
        <v>AGUA LITRO</v>
      </c>
      <c r="E379" s="445" t="str">
        <f>+E367</f>
        <v>LITRO</v>
      </c>
      <c r="F379" s="445">
        <v>1.08</v>
      </c>
      <c r="G379" s="581">
        <f>+G367</f>
        <v>40</v>
      </c>
      <c r="H379" s="445">
        <v>1.05</v>
      </c>
      <c r="I379" s="652">
        <f t="shared" si="92"/>
        <v>45.360000000000007</v>
      </c>
      <c r="K379" s="609"/>
      <c r="L379" s="610"/>
      <c r="M379" s="610"/>
      <c r="N379" s="610"/>
      <c r="O379" s="610"/>
      <c r="P379" s="610"/>
      <c r="Q379" s="1090"/>
    </row>
    <row r="380" spans="2:17" x14ac:dyDescent="0.25">
      <c r="B380" s="670" t="s">
        <v>205</v>
      </c>
      <c r="C380" s="670" t="s">
        <v>205</v>
      </c>
      <c r="D380" s="444" t="s">
        <v>4146</v>
      </c>
      <c r="E380" s="445" t="s">
        <v>4025</v>
      </c>
      <c r="F380" s="580">
        <v>1</v>
      </c>
      <c r="G380" s="581">
        <f>+I374</f>
        <v>24932.800000000003</v>
      </c>
      <c r="H380" s="445">
        <v>0.05</v>
      </c>
      <c r="I380" s="652">
        <f t="shared" si="92"/>
        <v>1246.6400000000003</v>
      </c>
      <c r="K380" s="609"/>
      <c r="L380" s="610"/>
      <c r="M380" s="610"/>
      <c r="N380" s="610"/>
      <c r="O380" s="610"/>
      <c r="P380" s="610"/>
      <c r="Q380" s="1090"/>
    </row>
    <row r="381" spans="2:17" x14ac:dyDescent="0.25">
      <c r="B381" s="671" t="s">
        <v>204</v>
      </c>
      <c r="C381" s="671" t="s">
        <v>204</v>
      </c>
      <c r="D381" s="444" t="str">
        <f>+D71</f>
        <v>EQUIPO DE TRANSPORTE</v>
      </c>
      <c r="E381" s="445" t="s">
        <v>4025</v>
      </c>
      <c r="F381" s="580">
        <v>1</v>
      </c>
      <c r="G381" s="581">
        <f>+I374</f>
        <v>24932.800000000003</v>
      </c>
      <c r="H381" s="445">
        <v>0.05</v>
      </c>
      <c r="I381" s="652">
        <f t="shared" si="92"/>
        <v>1246.6400000000003</v>
      </c>
      <c r="K381" s="609"/>
      <c r="L381" s="610"/>
      <c r="M381" s="610"/>
      <c r="N381" s="610"/>
      <c r="O381" s="610"/>
      <c r="P381" s="610"/>
      <c r="Q381" s="1090"/>
    </row>
    <row r="382" spans="2:17" ht="15.75" thickBot="1" x14ac:dyDescent="0.3">
      <c r="B382" s="672" t="s">
        <v>204</v>
      </c>
      <c r="C382" s="672" t="s">
        <v>204</v>
      </c>
      <c r="D382" s="654" t="s">
        <v>18</v>
      </c>
      <c r="E382" s="673" t="s">
        <v>4025</v>
      </c>
      <c r="F382" s="656">
        <v>1</v>
      </c>
      <c r="G382" s="1119">
        <f>+I374</f>
        <v>24932.800000000003</v>
      </c>
      <c r="H382" s="673">
        <v>0.05</v>
      </c>
      <c r="I382" s="658">
        <f t="shared" si="92"/>
        <v>1246.6400000000003</v>
      </c>
      <c r="K382" s="609"/>
      <c r="L382" s="610"/>
      <c r="M382" s="610"/>
      <c r="N382" s="610"/>
      <c r="O382" s="610"/>
      <c r="P382" s="610"/>
      <c r="Q382" s="1090"/>
    </row>
    <row r="383" spans="2:17" ht="15.75" thickBot="1" x14ac:dyDescent="0.3">
      <c r="K383" s="609"/>
      <c r="L383" s="610"/>
      <c r="M383" s="610"/>
      <c r="N383" s="610"/>
      <c r="O383" s="610"/>
      <c r="P383" s="610"/>
      <c r="Q383" s="1090"/>
    </row>
    <row r="384" spans="2:17" ht="24.75" thickBot="1" x14ac:dyDescent="0.3">
      <c r="B384" s="595" t="s">
        <v>8</v>
      </c>
      <c r="C384" s="595" t="s">
        <v>8</v>
      </c>
      <c r="D384" s="665" t="s">
        <v>9</v>
      </c>
      <c r="E384" s="665" t="s">
        <v>11</v>
      </c>
      <c r="F384" s="665" t="s">
        <v>2</v>
      </c>
      <c r="G384" s="1120" t="s">
        <v>3987</v>
      </c>
      <c r="H384" s="665" t="s">
        <v>4101</v>
      </c>
      <c r="I384" s="666" t="s">
        <v>14</v>
      </c>
      <c r="K384" s="609"/>
      <c r="L384" s="610"/>
      <c r="M384" s="610"/>
      <c r="N384" s="610"/>
      <c r="O384" s="610"/>
      <c r="P384" s="610"/>
      <c r="Q384" s="1090"/>
    </row>
    <row r="385" spans="2:17" ht="40.5" customHeight="1" x14ac:dyDescent="0.25">
      <c r="B385" s="649" t="s">
        <v>4437</v>
      </c>
      <c r="C385" s="649"/>
      <c r="D385" s="573" t="s">
        <v>4887</v>
      </c>
      <c r="E385" s="574" t="s">
        <v>4016</v>
      </c>
      <c r="F385" s="575"/>
      <c r="G385" s="1118">
        <f>SUM(I386:I394)</f>
        <v>89415.364999999991</v>
      </c>
      <c r="H385" s="667"/>
      <c r="I385" s="650"/>
      <c r="K385" s="609" t="str">
        <f>+B385</f>
        <v>4.7</v>
      </c>
      <c r="L385" s="610">
        <f>SUM(I392)</f>
        <v>1558.3000000000002</v>
      </c>
      <c r="M385" s="610">
        <f>+I386+I394</f>
        <v>32724.3</v>
      </c>
      <c r="N385" s="610">
        <f>SUM(I387:I391)</f>
        <v>53574.465000000004</v>
      </c>
      <c r="O385" s="610">
        <f>+I393</f>
        <v>1558.3000000000002</v>
      </c>
      <c r="P385" s="610">
        <f>SUM(L385:O385)</f>
        <v>89415.365000000005</v>
      </c>
      <c r="Q385" s="1090">
        <f>+G385-P385</f>
        <v>0</v>
      </c>
    </row>
    <row r="386" spans="2:17" x14ac:dyDescent="0.25">
      <c r="B386" s="668" t="s">
        <v>15</v>
      </c>
      <c r="C386" s="668" t="s">
        <v>15</v>
      </c>
      <c r="D386" s="444" t="str">
        <f>+MO!B68</f>
        <v>CUADRILLA AA TIPO 1 (1 OFICIAL + 1 AYUDANTE) (Albañileria)</v>
      </c>
      <c r="E386" s="579" t="s">
        <v>202</v>
      </c>
      <c r="F386" s="580">
        <v>1</v>
      </c>
      <c r="G386" s="581">
        <f>+MO!H68</f>
        <v>249328</v>
      </c>
      <c r="H386" s="582">
        <f>(60/480)</f>
        <v>0.125</v>
      </c>
      <c r="I386" s="652">
        <f>(F386*G386*H386)</f>
        <v>31166</v>
      </c>
      <c r="K386" s="609"/>
      <c r="L386" s="610"/>
      <c r="M386" s="610"/>
      <c r="N386" s="610"/>
      <c r="O386" s="610"/>
      <c r="P386" s="610"/>
      <c r="Q386" s="1090"/>
    </row>
    <row r="387" spans="2:17" x14ac:dyDescent="0.25">
      <c r="B387" s="670" t="s">
        <v>4083</v>
      </c>
      <c r="C387" s="670" t="s">
        <v>4083</v>
      </c>
      <c r="D387" s="444" t="str">
        <f>+INSUMOS!B108</f>
        <v>TUBO PVC SANITARIO DE 2"</v>
      </c>
      <c r="E387" s="445" t="s">
        <v>4016</v>
      </c>
      <c r="F387" s="580">
        <v>1.5</v>
      </c>
      <c r="G387" s="581">
        <f>+INSUMOS!E108</f>
        <v>16951</v>
      </c>
      <c r="H387" s="445">
        <v>1.05</v>
      </c>
      <c r="I387" s="652">
        <f t="shared" ref="I387:I394" si="93">(F387*G387*H387)</f>
        <v>26697.825000000001</v>
      </c>
      <c r="K387" s="609"/>
      <c r="L387" s="610"/>
      <c r="M387" s="610"/>
      <c r="N387" s="610"/>
      <c r="O387" s="610"/>
      <c r="P387" s="610"/>
      <c r="Q387" s="1090"/>
    </row>
    <row r="388" spans="2:17" x14ac:dyDescent="0.25">
      <c r="B388" s="670" t="s">
        <v>4083</v>
      </c>
      <c r="C388" s="670" t="s">
        <v>4083</v>
      </c>
      <c r="D388" s="444" t="str">
        <f>+INSUMOS!B109</f>
        <v>YEE SANITARIA DE 2"</v>
      </c>
      <c r="E388" s="445" t="s">
        <v>4016</v>
      </c>
      <c r="F388" s="580">
        <v>1</v>
      </c>
      <c r="G388" s="581">
        <f>+INSUMOS!E109</f>
        <v>10654</v>
      </c>
      <c r="H388" s="445">
        <v>1.05</v>
      </c>
      <c r="I388" s="652">
        <f t="shared" si="93"/>
        <v>11186.7</v>
      </c>
      <c r="K388" s="615"/>
      <c r="L388" s="610"/>
      <c r="M388" s="610"/>
      <c r="N388" s="610"/>
      <c r="O388" s="610"/>
      <c r="Q388" s="1091"/>
    </row>
    <row r="389" spans="2:17" ht="11.25" customHeight="1" x14ac:dyDescent="0.25">
      <c r="B389" s="670" t="s">
        <v>4083</v>
      </c>
      <c r="C389" s="670" t="s">
        <v>4083</v>
      </c>
      <c r="D389" s="444" t="str">
        <f>+INSUMOS!B110</f>
        <v>CODO 90° SANITARIO C*C  2"</v>
      </c>
      <c r="E389" s="445" t="s">
        <v>4016</v>
      </c>
      <c r="F389" s="580">
        <v>1</v>
      </c>
      <c r="G389" s="581">
        <f>+INSUMOS!E110</f>
        <v>4644</v>
      </c>
      <c r="H389" s="445">
        <v>1.05</v>
      </c>
      <c r="I389" s="652">
        <f t="shared" si="93"/>
        <v>4876.2</v>
      </c>
      <c r="K389" s="609"/>
      <c r="L389" s="610"/>
      <c r="M389" s="610"/>
      <c r="N389" s="610"/>
      <c r="O389" s="610"/>
      <c r="P389" s="610"/>
      <c r="Q389" s="1090"/>
    </row>
    <row r="390" spans="2:17" x14ac:dyDescent="0.25">
      <c r="B390" s="670" t="s">
        <v>4083</v>
      </c>
      <c r="C390" s="670" t="s">
        <v>4083</v>
      </c>
      <c r="D390" s="444" t="str">
        <f>+INSUMOS!B111</f>
        <v>LIMPIADOR REMOVEDOR PVC 760 GMD (1/4)</v>
      </c>
      <c r="E390" s="445" t="s">
        <v>4016</v>
      </c>
      <c r="F390" s="580">
        <v>0.05</v>
      </c>
      <c r="G390" s="581">
        <f>+INSUMOS!E111</f>
        <v>62802</v>
      </c>
      <c r="H390" s="445">
        <v>1.05</v>
      </c>
      <c r="I390" s="652">
        <f t="shared" si="93"/>
        <v>3297.1050000000005</v>
      </c>
      <c r="K390" s="609"/>
      <c r="L390" s="610"/>
      <c r="M390" s="610"/>
      <c r="N390" s="610"/>
      <c r="O390" s="610"/>
      <c r="P390" s="610"/>
      <c r="Q390" s="1090"/>
    </row>
    <row r="391" spans="2:17" x14ac:dyDescent="0.25">
      <c r="B391" s="670" t="s">
        <v>4083</v>
      </c>
      <c r="C391" s="670" t="s">
        <v>4083</v>
      </c>
      <c r="D391" s="444" t="str">
        <f>+INSUMOS!B112</f>
        <v>SOLDADURA PVC LIQUIDA 1/4</v>
      </c>
      <c r="E391" s="445" t="s">
        <v>4016</v>
      </c>
      <c r="F391" s="580">
        <v>0.05</v>
      </c>
      <c r="G391" s="581">
        <f>+INSUMOS!E112</f>
        <v>143174</v>
      </c>
      <c r="H391" s="445">
        <v>1.05</v>
      </c>
      <c r="I391" s="652">
        <f t="shared" si="93"/>
        <v>7516.6350000000011</v>
      </c>
      <c r="K391" s="609"/>
      <c r="L391" s="610"/>
      <c r="M391" s="610"/>
      <c r="N391" s="610"/>
      <c r="O391" s="610"/>
      <c r="P391" s="610"/>
      <c r="Q391" s="1090"/>
    </row>
    <row r="392" spans="2:17" x14ac:dyDescent="0.25">
      <c r="B392" s="670" t="s">
        <v>205</v>
      </c>
      <c r="C392" s="670" t="s">
        <v>205</v>
      </c>
      <c r="D392" s="444" t="s">
        <v>4146</v>
      </c>
      <c r="E392" s="445" t="s">
        <v>4025</v>
      </c>
      <c r="F392" s="580">
        <v>1</v>
      </c>
      <c r="G392" s="581">
        <f>+I386</f>
        <v>31166</v>
      </c>
      <c r="H392" s="445">
        <v>0.05</v>
      </c>
      <c r="I392" s="652">
        <f t="shared" si="93"/>
        <v>1558.3000000000002</v>
      </c>
      <c r="K392" s="609"/>
      <c r="L392" s="610"/>
      <c r="M392" s="610"/>
      <c r="N392" s="610"/>
      <c r="O392" s="610"/>
      <c r="P392" s="610"/>
      <c r="Q392" s="1090"/>
    </row>
    <row r="393" spans="2:17" x14ac:dyDescent="0.25">
      <c r="B393" s="671" t="s">
        <v>204</v>
      </c>
      <c r="C393" s="671" t="s">
        <v>204</v>
      </c>
      <c r="D393" s="444" t="str">
        <f>+D369</f>
        <v>EQUIPO DE TRANSPORTE</v>
      </c>
      <c r="E393" s="445" t="s">
        <v>4025</v>
      </c>
      <c r="F393" s="580">
        <v>1</v>
      </c>
      <c r="G393" s="581">
        <f>+I386</f>
        <v>31166</v>
      </c>
      <c r="H393" s="445">
        <v>0.05</v>
      </c>
      <c r="I393" s="652">
        <f t="shared" si="93"/>
        <v>1558.3000000000002</v>
      </c>
      <c r="K393" s="609"/>
      <c r="L393" s="610"/>
      <c r="M393" s="610"/>
      <c r="N393" s="610"/>
      <c r="O393" s="610"/>
      <c r="P393" s="610"/>
      <c r="Q393" s="1090"/>
    </row>
    <row r="394" spans="2:17" ht="15.75" thickBot="1" x14ac:dyDescent="0.3">
      <c r="B394" s="672" t="s">
        <v>204</v>
      </c>
      <c r="C394" s="672" t="s">
        <v>204</v>
      </c>
      <c r="D394" s="654" t="s">
        <v>18</v>
      </c>
      <c r="E394" s="673" t="s">
        <v>4025</v>
      </c>
      <c r="F394" s="656">
        <v>1</v>
      </c>
      <c r="G394" s="1119">
        <f>+I386</f>
        <v>31166</v>
      </c>
      <c r="H394" s="673">
        <v>0.05</v>
      </c>
      <c r="I394" s="658">
        <f t="shared" si="93"/>
        <v>1558.3000000000002</v>
      </c>
      <c r="K394" s="609"/>
      <c r="L394" s="610"/>
      <c r="M394" s="610"/>
      <c r="N394" s="610"/>
      <c r="O394" s="610"/>
      <c r="P394" s="610"/>
      <c r="Q394" s="1090"/>
    </row>
    <row r="395" spans="2:17" ht="15.75" thickBot="1" x14ac:dyDescent="0.3">
      <c r="B395" s="702"/>
      <c r="C395" s="702"/>
      <c r="D395" s="621"/>
      <c r="E395" s="681"/>
      <c r="F395" s="623"/>
      <c r="G395" s="624"/>
      <c r="H395" s="621"/>
      <c r="I395" s="624"/>
      <c r="K395" s="609"/>
      <c r="L395" s="610"/>
      <c r="M395" s="610"/>
      <c r="N395" s="610"/>
      <c r="O395" s="610"/>
      <c r="P395" s="610"/>
      <c r="Q395" s="1090"/>
    </row>
    <row r="396" spans="2:17" ht="27" customHeight="1" thickBot="1" x14ac:dyDescent="0.3">
      <c r="B396" s="595" t="s">
        <v>8</v>
      </c>
      <c r="C396" s="595" t="s">
        <v>8</v>
      </c>
      <c r="D396" s="665" t="s">
        <v>9</v>
      </c>
      <c r="E396" s="665" t="s">
        <v>11</v>
      </c>
      <c r="F396" s="665" t="s">
        <v>2</v>
      </c>
      <c r="G396" s="1120" t="s">
        <v>3987</v>
      </c>
      <c r="H396" s="665" t="s">
        <v>4101</v>
      </c>
      <c r="I396" s="666" t="s">
        <v>14</v>
      </c>
      <c r="K396" s="609"/>
      <c r="L396" s="610"/>
      <c r="M396" s="610"/>
      <c r="N396" s="610"/>
      <c r="O396" s="610"/>
      <c r="P396" s="610"/>
      <c r="Q396" s="1090"/>
    </row>
    <row r="397" spans="2:17" ht="36" x14ac:dyDescent="0.25">
      <c r="B397" s="649" t="s">
        <v>4431</v>
      </c>
      <c r="C397" s="649"/>
      <c r="D397" s="573" t="s">
        <v>4130</v>
      </c>
      <c r="E397" s="574" t="s">
        <v>4016</v>
      </c>
      <c r="F397" s="575"/>
      <c r="G397" s="1118">
        <f>SUM(I398:I406)</f>
        <v>124376.79</v>
      </c>
      <c r="H397" s="667"/>
      <c r="I397" s="650"/>
      <c r="K397" s="609" t="str">
        <f>+B397</f>
        <v>4.1</v>
      </c>
      <c r="L397" s="610">
        <f>SUM(I404)</f>
        <v>2337.4500000000003</v>
      </c>
      <c r="M397" s="610">
        <f>+I398+I406</f>
        <v>49086.45</v>
      </c>
      <c r="N397" s="610">
        <f>SUM(I399:I403)</f>
        <v>70615.44</v>
      </c>
      <c r="O397" s="610">
        <f>+I405</f>
        <v>2337.4500000000003</v>
      </c>
      <c r="P397" s="610">
        <f>SUM(L397:O397)</f>
        <v>124376.79</v>
      </c>
      <c r="Q397" s="1090">
        <f>+G397-P397</f>
        <v>0</v>
      </c>
    </row>
    <row r="398" spans="2:17" x14ac:dyDescent="0.25">
      <c r="B398" s="668" t="s">
        <v>15</v>
      </c>
      <c r="C398" s="668" t="s">
        <v>15</v>
      </c>
      <c r="D398" s="444" t="str">
        <f>+MO!B68</f>
        <v>CUADRILLA AA TIPO 1 (1 OFICIAL + 1 AYUDANTE) (Albañileria)</v>
      </c>
      <c r="E398" s="579" t="s">
        <v>202</v>
      </c>
      <c r="F398" s="580">
        <v>1</v>
      </c>
      <c r="G398" s="581">
        <f>+MO!H68</f>
        <v>249328</v>
      </c>
      <c r="H398" s="582">
        <f>(90/480)</f>
        <v>0.1875</v>
      </c>
      <c r="I398" s="652">
        <f>(F398*G398*H398)</f>
        <v>46749</v>
      </c>
      <c r="K398" s="609"/>
      <c r="L398" s="610"/>
      <c r="M398" s="610"/>
      <c r="N398" s="610"/>
      <c r="O398" s="610"/>
      <c r="P398" s="610"/>
      <c r="Q398" s="1090"/>
    </row>
    <row r="399" spans="2:17" x14ac:dyDescent="0.25">
      <c r="B399" s="670" t="s">
        <v>4083</v>
      </c>
      <c r="C399" s="670" t="s">
        <v>4083</v>
      </c>
      <c r="D399" s="444" t="str">
        <f>+INSUMOS!B126</f>
        <v>TUBO PVC SANITARIO 3"</v>
      </c>
      <c r="E399" s="445" t="str">
        <f>+INSUMOS!D126</f>
        <v>METRO</v>
      </c>
      <c r="F399" s="580">
        <v>1.5</v>
      </c>
      <c r="G399" s="581">
        <f>+INSUMOS!E126</f>
        <v>25318</v>
      </c>
      <c r="H399" s="445">
        <v>1.05</v>
      </c>
      <c r="I399" s="652">
        <f t="shared" ref="I399:I406" si="94">(F399*G399*H399)</f>
        <v>39875.85</v>
      </c>
      <c r="L399" s="610"/>
      <c r="M399" s="610"/>
      <c r="N399" s="610"/>
      <c r="O399" s="610"/>
      <c r="P399" s="610"/>
      <c r="Q399" s="1090"/>
    </row>
    <row r="400" spans="2:17" x14ac:dyDescent="0.25">
      <c r="B400" s="670" t="s">
        <v>4083</v>
      </c>
      <c r="C400" s="670" t="s">
        <v>4083</v>
      </c>
      <c r="D400" s="444" t="str">
        <f>+INSUMOS!B127</f>
        <v>SIFÓN SANITARIO Ø 3" C*E</v>
      </c>
      <c r="E400" s="445" t="str">
        <f>+INSUMOS!D127</f>
        <v>UN</v>
      </c>
      <c r="F400" s="580">
        <v>1</v>
      </c>
      <c r="G400" s="581">
        <f>+INSUMOS!E127</f>
        <v>13770</v>
      </c>
      <c r="H400" s="445">
        <v>1.05</v>
      </c>
      <c r="I400" s="652">
        <f t="shared" si="94"/>
        <v>14458.5</v>
      </c>
      <c r="K400" s="615"/>
      <c r="L400" s="610"/>
      <c r="M400" s="610"/>
      <c r="N400" s="610"/>
      <c r="O400" s="610"/>
      <c r="Q400" s="1091"/>
    </row>
    <row r="401" spans="2:17" x14ac:dyDescent="0.25">
      <c r="B401" s="670" t="s">
        <v>4083</v>
      </c>
      <c r="C401" s="670" t="s">
        <v>4083</v>
      </c>
      <c r="D401" s="444" t="str">
        <f>+INSUMOS!B128</f>
        <v>CODO SANITARIO Ø 3"C*C</v>
      </c>
      <c r="E401" s="445" t="str">
        <f>+INSUMOS!D128</f>
        <v>UN</v>
      </c>
      <c r="F401" s="580">
        <v>1</v>
      </c>
      <c r="G401" s="581">
        <f>+INSUMOS!E128</f>
        <v>5207</v>
      </c>
      <c r="H401" s="445">
        <v>1.05</v>
      </c>
      <c r="I401" s="652">
        <f t="shared" si="94"/>
        <v>5467.35</v>
      </c>
      <c r="K401" s="609"/>
      <c r="L401" s="610"/>
      <c r="M401" s="610"/>
      <c r="N401" s="610"/>
      <c r="O401" s="610"/>
      <c r="P401" s="610"/>
      <c r="Q401" s="1090"/>
    </row>
    <row r="402" spans="2:17" x14ac:dyDescent="0.25">
      <c r="B402" s="670" t="s">
        <v>4083</v>
      </c>
      <c r="C402" s="670" t="s">
        <v>4083</v>
      </c>
      <c r="D402" s="444" t="str">
        <f>+INSUMOS!B111</f>
        <v>LIMPIADOR REMOVEDOR PVC 760 GMD (1/4)</v>
      </c>
      <c r="E402" s="445" t="str">
        <f>+INSUMOS!D111</f>
        <v>UN</v>
      </c>
      <c r="F402" s="580">
        <v>0.05</v>
      </c>
      <c r="G402" s="581">
        <f>+INSUMOS!E111</f>
        <v>62802</v>
      </c>
      <c r="H402" s="445">
        <v>1.05</v>
      </c>
      <c r="I402" s="652">
        <f t="shared" si="94"/>
        <v>3297.1050000000005</v>
      </c>
      <c r="K402" s="609"/>
      <c r="L402" s="610"/>
      <c r="M402" s="610"/>
      <c r="N402" s="610"/>
      <c r="O402" s="610"/>
      <c r="P402" s="610"/>
      <c r="Q402" s="1090"/>
    </row>
    <row r="403" spans="2:17" x14ac:dyDescent="0.25">
      <c r="B403" s="670" t="s">
        <v>4083</v>
      </c>
      <c r="C403" s="670" t="s">
        <v>4083</v>
      </c>
      <c r="D403" s="444" t="str">
        <f>+INSUMOS!B112</f>
        <v>SOLDADURA PVC LIQUIDA 1/4</v>
      </c>
      <c r="E403" s="445" t="str">
        <f>+INSUMOS!D112</f>
        <v>UN</v>
      </c>
      <c r="F403" s="580">
        <v>0.05</v>
      </c>
      <c r="G403" s="581">
        <f>+INSUMOS!E112</f>
        <v>143174</v>
      </c>
      <c r="H403" s="445">
        <v>1.05</v>
      </c>
      <c r="I403" s="652">
        <f t="shared" si="94"/>
        <v>7516.6350000000011</v>
      </c>
      <c r="K403" s="609"/>
      <c r="L403" s="610"/>
      <c r="M403" s="610"/>
      <c r="N403" s="610"/>
      <c r="O403" s="610"/>
      <c r="P403" s="610"/>
      <c r="Q403" s="1090"/>
    </row>
    <row r="404" spans="2:17" x14ac:dyDescent="0.25">
      <c r="B404" s="670" t="s">
        <v>205</v>
      </c>
      <c r="C404" s="670" t="s">
        <v>205</v>
      </c>
      <c r="D404" s="444" t="s">
        <v>4146</v>
      </c>
      <c r="E404" s="445" t="s">
        <v>4025</v>
      </c>
      <c r="F404" s="580">
        <v>1</v>
      </c>
      <c r="G404" s="581">
        <f>+I398</f>
        <v>46749</v>
      </c>
      <c r="H404" s="445">
        <v>0.05</v>
      </c>
      <c r="I404" s="652">
        <f t="shared" si="94"/>
        <v>2337.4500000000003</v>
      </c>
      <c r="K404" s="609"/>
      <c r="L404" s="610"/>
      <c r="M404" s="610"/>
      <c r="N404" s="610"/>
      <c r="O404" s="610"/>
      <c r="P404" s="610"/>
      <c r="Q404" s="1090"/>
    </row>
    <row r="405" spans="2:17" x14ac:dyDescent="0.25">
      <c r="B405" s="671" t="str">
        <f>+B393</f>
        <v>TRANS.</v>
      </c>
      <c r="C405" s="671" t="str">
        <f>+C393</f>
        <v>TRANS.</v>
      </c>
      <c r="D405" s="444" t="str">
        <f>+D429</f>
        <v>EQUIPO DE TRANSPOPRTE</v>
      </c>
      <c r="E405" s="445" t="s">
        <v>4025</v>
      </c>
      <c r="F405" s="580">
        <v>1</v>
      </c>
      <c r="G405" s="581">
        <f>+I398</f>
        <v>46749</v>
      </c>
      <c r="H405" s="445">
        <v>0.05</v>
      </c>
      <c r="I405" s="652">
        <f t="shared" si="94"/>
        <v>2337.4500000000003</v>
      </c>
      <c r="K405" s="609"/>
      <c r="L405" s="610"/>
      <c r="M405" s="610"/>
      <c r="N405" s="610"/>
      <c r="O405" s="610"/>
      <c r="P405" s="610"/>
      <c r="Q405" s="1090"/>
    </row>
    <row r="406" spans="2:17" ht="15.75" thickBot="1" x14ac:dyDescent="0.3">
      <c r="B406" s="672" t="str">
        <f>+B394</f>
        <v>TRANS.</v>
      </c>
      <c r="C406" s="672" t="str">
        <f>+C394</f>
        <v>TRANS.</v>
      </c>
      <c r="D406" s="654" t="s">
        <v>18</v>
      </c>
      <c r="E406" s="673" t="s">
        <v>4025</v>
      </c>
      <c r="F406" s="656">
        <v>1</v>
      </c>
      <c r="G406" s="1119">
        <f>+I398</f>
        <v>46749</v>
      </c>
      <c r="H406" s="673">
        <v>0.05</v>
      </c>
      <c r="I406" s="658">
        <f t="shared" si="94"/>
        <v>2337.4500000000003</v>
      </c>
      <c r="K406" s="609"/>
      <c r="L406" s="610"/>
      <c r="M406" s="610"/>
      <c r="N406" s="610"/>
      <c r="O406" s="610"/>
      <c r="P406" s="610"/>
      <c r="Q406" s="1090"/>
    </row>
    <row r="407" spans="2:17" ht="15.75" thickBot="1" x14ac:dyDescent="0.3">
      <c r="Q407" s="1090"/>
    </row>
    <row r="408" spans="2:17" ht="24.75" thickBot="1" x14ac:dyDescent="0.3">
      <c r="B408" s="595" t="s">
        <v>8</v>
      </c>
      <c r="C408" s="595" t="s">
        <v>8</v>
      </c>
      <c r="D408" s="665" t="s">
        <v>9</v>
      </c>
      <c r="E408" s="665" t="s">
        <v>11</v>
      </c>
      <c r="F408" s="665" t="s">
        <v>2</v>
      </c>
      <c r="G408" s="1120" t="s">
        <v>3987</v>
      </c>
      <c r="H408" s="665" t="s">
        <v>4101</v>
      </c>
      <c r="I408" s="666" t="s">
        <v>14</v>
      </c>
      <c r="K408" s="609"/>
      <c r="L408" s="610"/>
      <c r="M408" s="610"/>
      <c r="N408" s="610"/>
      <c r="O408" s="610"/>
      <c r="P408" s="610"/>
      <c r="Q408" s="1090"/>
    </row>
    <row r="409" spans="2:17" ht="24" x14ac:dyDescent="0.25">
      <c r="B409" s="649" t="s">
        <v>4432</v>
      </c>
      <c r="C409" s="649"/>
      <c r="D409" s="573" t="s">
        <v>4886</v>
      </c>
      <c r="E409" s="574" t="s">
        <v>4016</v>
      </c>
      <c r="F409" s="575"/>
      <c r="G409" s="1118">
        <f>SUM(I410:I418)</f>
        <v>186526.58400000006</v>
      </c>
      <c r="H409" s="667"/>
      <c r="I409" s="650"/>
      <c r="K409" s="609" t="str">
        <f>+B409</f>
        <v>4.2</v>
      </c>
      <c r="L409" s="610">
        <f>SUM(I416)</f>
        <v>2337.4500000000003</v>
      </c>
      <c r="M409" s="610">
        <f>+I410+I418</f>
        <v>49086.45</v>
      </c>
      <c r="N409" s="610">
        <f>SUM(I411:I415)</f>
        <v>132765.23400000003</v>
      </c>
      <c r="O409" s="610">
        <f>+I417</f>
        <v>2337.4500000000003</v>
      </c>
      <c r="P409" s="610">
        <f>SUM(L409:O409)</f>
        <v>186526.58400000003</v>
      </c>
      <c r="Q409" s="1090">
        <f>+G409-P409</f>
        <v>0</v>
      </c>
    </row>
    <row r="410" spans="2:17" x14ac:dyDescent="0.25">
      <c r="B410" s="668" t="s">
        <v>15</v>
      </c>
      <c r="C410" s="668" t="s">
        <v>15</v>
      </c>
      <c r="D410" s="444" t="str">
        <f>+MO!B68</f>
        <v>CUADRILLA AA TIPO 1 (1 OFICIAL + 1 AYUDANTE) (Albañileria)</v>
      </c>
      <c r="E410" s="579" t="s">
        <v>202</v>
      </c>
      <c r="F410" s="580">
        <v>1</v>
      </c>
      <c r="G410" s="581">
        <f>+MO!H68</f>
        <v>249328</v>
      </c>
      <c r="H410" s="582">
        <f>(90/480)</f>
        <v>0.1875</v>
      </c>
      <c r="I410" s="652">
        <f>(F410*G410*H410)</f>
        <v>46749</v>
      </c>
      <c r="K410" s="609"/>
      <c r="L410" s="610"/>
      <c r="M410" s="610"/>
      <c r="N410" s="610"/>
      <c r="O410" s="610"/>
      <c r="P410" s="610"/>
      <c r="Q410" s="1090"/>
    </row>
    <row r="411" spans="2:17" x14ac:dyDescent="0.25">
      <c r="B411" s="670" t="s">
        <v>4083</v>
      </c>
      <c r="C411" s="670" t="s">
        <v>4083</v>
      </c>
      <c r="D411" s="444" t="str">
        <f>+INSUMOS!B116</f>
        <v>TUBO PVC SANITARIO 4"</v>
      </c>
      <c r="E411" s="445" t="str">
        <f>+E423</f>
        <v>METRO</v>
      </c>
      <c r="F411" s="580">
        <v>1.5</v>
      </c>
      <c r="G411" s="581">
        <f>+INSUMOS!E116</f>
        <v>35608</v>
      </c>
      <c r="H411" s="445">
        <v>1.05</v>
      </c>
      <c r="I411" s="652">
        <f t="shared" ref="I411:I418" si="95">(F411*G411*H411)</f>
        <v>56082.600000000006</v>
      </c>
      <c r="K411" s="615"/>
      <c r="L411" s="610"/>
      <c r="M411" s="610"/>
      <c r="N411" s="610"/>
      <c r="O411" s="610"/>
      <c r="Q411" s="1091"/>
    </row>
    <row r="412" spans="2:17" x14ac:dyDescent="0.25">
      <c r="B412" s="670" t="s">
        <v>4083</v>
      </c>
      <c r="C412" s="670" t="s">
        <v>4083</v>
      </c>
      <c r="D412" s="444" t="str">
        <f>+INSUMOS!B117</f>
        <v>YEE SANITARIA DE 4"</v>
      </c>
      <c r="E412" s="445" t="s">
        <v>4016</v>
      </c>
      <c r="F412" s="580">
        <v>1</v>
      </c>
      <c r="G412" s="581">
        <f>+INSUMOS!E117</f>
        <v>37849</v>
      </c>
      <c r="H412" s="445">
        <v>1.05</v>
      </c>
      <c r="I412" s="652">
        <f t="shared" si="95"/>
        <v>39741.450000000004</v>
      </c>
      <c r="K412" s="609"/>
      <c r="L412" s="610"/>
      <c r="M412" s="610"/>
      <c r="N412" s="610"/>
      <c r="O412" s="610"/>
      <c r="P412" s="610"/>
      <c r="Q412" s="1090"/>
    </row>
    <row r="413" spans="2:17" x14ac:dyDescent="0.25">
      <c r="B413" s="670" t="s">
        <v>4083</v>
      </c>
      <c r="C413" s="670" t="s">
        <v>4083</v>
      </c>
      <c r="D413" s="444" t="str">
        <f>+INSUMOS!B118</f>
        <v>CODO 90° SANITARIO C*C  4"</v>
      </c>
      <c r="E413" s="445" t="s">
        <v>4016</v>
      </c>
      <c r="F413" s="580">
        <v>1</v>
      </c>
      <c r="G413" s="581">
        <f>+INSUMOS!E118</f>
        <v>18704</v>
      </c>
      <c r="H413" s="445">
        <v>1.05</v>
      </c>
      <c r="I413" s="652">
        <f t="shared" si="95"/>
        <v>19639.2</v>
      </c>
      <c r="K413" s="609"/>
      <c r="L413" s="610"/>
      <c r="M413" s="610"/>
      <c r="N413" s="610"/>
      <c r="O413" s="610"/>
      <c r="P413" s="610"/>
      <c r="Q413" s="1090"/>
    </row>
    <row r="414" spans="2:17" x14ac:dyDescent="0.25">
      <c r="B414" s="670" t="s">
        <v>4083</v>
      </c>
      <c r="C414" s="670" t="s">
        <v>4083</v>
      </c>
      <c r="D414" s="444" t="str">
        <f>+INSUMOS!B111</f>
        <v>LIMPIADOR REMOVEDOR PVC 760 GMD (1/4)</v>
      </c>
      <c r="E414" s="445" t="s">
        <v>4016</v>
      </c>
      <c r="F414" s="580">
        <v>0.08</v>
      </c>
      <c r="G414" s="581">
        <f>+INSUMOS!E111</f>
        <v>62802</v>
      </c>
      <c r="H414" s="445">
        <v>1.05</v>
      </c>
      <c r="I414" s="652">
        <f t="shared" si="95"/>
        <v>5275.3680000000004</v>
      </c>
      <c r="K414" s="609"/>
      <c r="L414" s="610"/>
      <c r="M414" s="610"/>
      <c r="N414" s="610"/>
      <c r="O414" s="610"/>
      <c r="P414" s="610"/>
      <c r="Q414" s="1090"/>
    </row>
    <row r="415" spans="2:17" x14ac:dyDescent="0.25">
      <c r="B415" s="670" t="s">
        <v>4083</v>
      </c>
      <c r="C415" s="670" t="s">
        <v>4083</v>
      </c>
      <c r="D415" s="444" t="str">
        <f>+INSUMOS!B112</f>
        <v>SOLDADURA PVC LIQUIDA 1/4</v>
      </c>
      <c r="E415" s="445" t="s">
        <v>4016</v>
      </c>
      <c r="F415" s="580">
        <v>0.08</v>
      </c>
      <c r="G415" s="581">
        <f>+INSUMOS!E112</f>
        <v>143174</v>
      </c>
      <c r="H415" s="445">
        <v>1.05</v>
      </c>
      <c r="I415" s="652">
        <f t="shared" si="95"/>
        <v>12026.616</v>
      </c>
      <c r="K415" s="609"/>
      <c r="L415" s="610"/>
      <c r="M415" s="610"/>
      <c r="N415" s="610"/>
      <c r="O415" s="610"/>
      <c r="P415" s="610"/>
      <c r="Q415" s="1090"/>
    </row>
    <row r="416" spans="2:17" x14ac:dyDescent="0.25">
      <c r="B416" s="670" t="s">
        <v>205</v>
      </c>
      <c r="C416" s="670" t="s">
        <v>205</v>
      </c>
      <c r="D416" s="444" t="s">
        <v>4146</v>
      </c>
      <c r="E416" s="445" t="s">
        <v>4025</v>
      </c>
      <c r="F416" s="580">
        <v>1</v>
      </c>
      <c r="G416" s="581">
        <f>+I410</f>
        <v>46749</v>
      </c>
      <c r="H416" s="445">
        <v>0.05</v>
      </c>
      <c r="I416" s="652">
        <f t="shared" si="95"/>
        <v>2337.4500000000003</v>
      </c>
      <c r="K416" s="609"/>
      <c r="L416" s="610"/>
      <c r="M416" s="610"/>
      <c r="N416" s="610"/>
      <c r="O416" s="610"/>
      <c r="P416" s="610"/>
      <c r="Q416" s="1090"/>
    </row>
    <row r="417" spans="2:17" x14ac:dyDescent="0.25">
      <c r="B417" s="671" t="str">
        <f>+B429</f>
        <v>TRANS.</v>
      </c>
      <c r="C417" s="671" t="str">
        <f>+C429</f>
        <v>TRANS.</v>
      </c>
      <c r="D417" s="444" t="s">
        <v>4244</v>
      </c>
      <c r="E417" s="445" t="s">
        <v>4025</v>
      </c>
      <c r="F417" s="580">
        <v>1</v>
      </c>
      <c r="G417" s="581">
        <f>+I410</f>
        <v>46749</v>
      </c>
      <c r="H417" s="445">
        <v>0.05</v>
      </c>
      <c r="I417" s="652">
        <f t="shared" si="95"/>
        <v>2337.4500000000003</v>
      </c>
      <c r="K417" s="609"/>
      <c r="L417" s="610"/>
      <c r="M417" s="610"/>
      <c r="N417" s="610"/>
      <c r="O417" s="610"/>
      <c r="P417" s="610"/>
      <c r="Q417" s="1090"/>
    </row>
    <row r="418" spans="2:17" ht="15.75" thickBot="1" x14ac:dyDescent="0.3">
      <c r="B418" s="672" t="str">
        <f>+B430</f>
        <v>TRANS.</v>
      </c>
      <c r="C418" s="672" t="str">
        <f>+C430</f>
        <v>TRANS.</v>
      </c>
      <c r="D418" s="654" t="s">
        <v>18</v>
      </c>
      <c r="E418" s="673" t="s">
        <v>4025</v>
      </c>
      <c r="F418" s="656">
        <v>1</v>
      </c>
      <c r="G418" s="1119">
        <f>+I410</f>
        <v>46749</v>
      </c>
      <c r="H418" s="673">
        <v>0.05</v>
      </c>
      <c r="I418" s="658">
        <f t="shared" si="95"/>
        <v>2337.4500000000003</v>
      </c>
      <c r="K418" s="609"/>
      <c r="L418" s="610"/>
      <c r="M418" s="610"/>
      <c r="N418" s="610"/>
      <c r="O418" s="610"/>
      <c r="P418" s="610"/>
      <c r="Q418" s="1090"/>
    </row>
    <row r="419" spans="2:17" ht="15.75" thickBot="1" x14ac:dyDescent="0.3">
      <c r="Q419" s="1090"/>
    </row>
    <row r="420" spans="2:17" ht="24.75" thickBot="1" x14ac:dyDescent="0.3">
      <c r="B420" s="595" t="s">
        <v>8</v>
      </c>
      <c r="C420" s="595" t="s">
        <v>8</v>
      </c>
      <c r="D420" s="665" t="s">
        <v>9</v>
      </c>
      <c r="E420" s="665" t="s">
        <v>11</v>
      </c>
      <c r="F420" s="665" t="s">
        <v>2</v>
      </c>
      <c r="G420" s="1120" t="s">
        <v>3987</v>
      </c>
      <c r="H420" s="665" t="s">
        <v>4101</v>
      </c>
      <c r="I420" s="666" t="s">
        <v>14</v>
      </c>
      <c r="K420" s="609"/>
      <c r="L420" s="610"/>
      <c r="M420" s="610"/>
      <c r="N420" s="610"/>
      <c r="O420" s="610"/>
      <c r="P420" s="610"/>
      <c r="Q420" s="1090"/>
    </row>
    <row r="421" spans="2:17" ht="24" x14ac:dyDescent="0.25">
      <c r="B421" s="649"/>
      <c r="C421" s="649"/>
      <c r="D421" s="573" t="s">
        <v>4121</v>
      </c>
      <c r="E421" s="574" t="s">
        <v>4016</v>
      </c>
      <c r="F421" s="575"/>
      <c r="G421" s="1118">
        <f>SUM(I422:I430)</f>
        <v>106351.57333333332</v>
      </c>
      <c r="H421" s="667"/>
      <c r="I421" s="650"/>
      <c r="K421" s="609">
        <f>+B421</f>
        <v>0</v>
      </c>
      <c r="L421" s="610">
        <f>SUM(I428)</f>
        <v>3376.3166666666666</v>
      </c>
      <c r="M421" s="610">
        <f>+I422+I430</f>
        <v>70902.649999999994</v>
      </c>
      <c r="N421" s="610">
        <f>SUM(I423:I427)</f>
        <v>28696.290000000005</v>
      </c>
      <c r="O421" s="610">
        <f>+I429</f>
        <v>3376.3166666666666</v>
      </c>
      <c r="P421" s="610">
        <f>SUM(L421:O421)</f>
        <v>106351.57333333333</v>
      </c>
      <c r="Q421" s="1090">
        <f>+G421-P421</f>
        <v>0</v>
      </c>
    </row>
    <row r="422" spans="2:17" x14ac:dyDescent="0.25">
      <c r="B422" s="668" t="s">
        <v>15</v>
      </c>
      <c r="C422" s="668" t="s">
        <v>15</v>
      </c>
      <c r="D422" s="444" t="str">
        <f>+MO!B68</f>
        <v>CUADRILLA AA TIPO 1 (1 OFICIAL + 1 AYUDANTE) (Albañileria)</v>
      </c>
      <c r="E422" s="579" t="s">
        <v>202</v>
      </c>
      <c r="F422" s="580">
        <v>1</v>
      </c>
      <c r="G422" s="581">
        <f>+MO!H68</f>
        <v>249328</v>
      </c>
      <c r="H422" s="582">
        <f>(130/480)</f>
        <v>0.27083333333333331</v>
      </c>
      <c r="I422" s="652">
        <f>(F422*G422*H422)</f>
        <v>67526.333333333328</v>
      </c>
      <c r="K422" s="609"/>
      <c r="L422" s="610"/>
      <c r="M422" s="610"/>
      <c r="N422" s="610"/>
      <c r="O422" s="610"/>
      <c r="P422" s="610"/>
      <c r="Q422" s="1090"/>
    </row>
    <row r="423" spans="2:17" x14ac:dyDescent="0.25">
      <c r="B423" s="670" t="s">
        <v>4083</v>
      </c>
      <c r="C423" s="670" t="s">
        <v>4083</v>
      </c>
      <c r="D423" s="444" t="str">
        <f>+INSUMOS!B115</f>
        <v>TUBO PRESIÓ DE 1/2" RDE 9 500 PSI 1/*2"</v>
      </c>
      <c r="E423" s="445" t="str">
        <f>+INSUMOS!D115</f>
        <v>METRO</v>
      </c>
      <c r="F423" s="580">
        <v>1.5</v>
      </c>
      <c r="G423" s="581">
        <f>+INSUMOS!E115</f>
        <v>6078</v>
      </c>
      <c r="H423" s="445">
        <v>1.05</v>
      </c>
      <c r="I423" s="652">
        <f t="shared" ref="I423:I430" si="96">(F423*G423*H423)</f>
        <v>9572.85</v>
      </c>
      <c r="K423" s="609"/>
      <c r="L423" s="610"/>
      <c r="M423" s="610"/>
      <c r="N423" s="610"/>
      <c r="O423" s="610"/>
      <c r="P423" s="610"/>
      <c r="Q423" s="1090"/>
    </row>
    <row r="424" spans="2:17" x14ac:dyDescent="0.25">
      <c r="B424" s="670" t="s">
        <v>4083</v>
      </c>
      <c r="C424" s="670" t="s">
        <v>4083</v>
      </c>
      <c r="D424" s="444" t="str">
        <f>+INSUMOS!B113</f>
        <v>ACCESORIOS PVC-P 1/2" (CODO, UNIÓN Y TAPÓN)</v>
      </c>
      <c r="E424" s="445" t="str">
        <f>+INSUMOS!D114</f>
        <v>UN</v>
      </c>
      <c r="F424" s="580">
        <v>1</v>
      </c>
      <c r="G424" s="581">
        <f>+INSUMOS!E113</f>
        <v>1836</v>
      </c>
      <c r="H424" s="445">
        <v>1.05</v>
      </c>
      <c r="I424" s="652">
        <f t="shared" si="96"/>
        <v>1927.8000000000002</v>
      </c>
      <c r="K424" s="615"/>
      <c r="L424" s="610"/>
      <c r="M424" s="610"/>
      <c r="N424" s="610"/>
      <c r="O424" s="610"/>
      <c r="Q424" s="1091"/>
    </row>
    <row r="425" spans="2:17" x14ac:dyDescent="0.25">
      <c r="B425" s="670" t="s">
        <v>4083</v>
      </c>
      <c r="C425" s="670" t="s">
        <v>4083</v>
      </c>
      <c r="D425" s="444" t="str">
        <f>+INSUMOS!B114</f>
        <v>TEE PRESIÓN 1/2"</v>
      </c>
      <c r="E425" s="445" t="str">
        <f>+INSUMOS!D114</f>
        <v>UN</v>
      </c>
      <c r="F425" s="580">
        <v>1</v>
      </c>
      <c r="G425" s="581">
        <f>+INSUMOS!E115</f>
        <v>6078</v>
      </c>
      <c r="H425" s="445">
        <v>1.05</v>
      </c>
      <c r="I425" s="652">
        <f t="shared" si="96"/>
        <v>6381.9000000000005</v>
      </c>
      <c r="K425" s="609"/>
      <c r="L425" s="610"/>
      <c r="M425" s="610"/>
      <c r="N425" s="610"/>
      <c r="O425" s="610"/>
      <c r="P425" s="610"/>
      <c r="Q425" s="1090"/>
    </row>
    <row r="426" spans="2:17" ht="15.75" customHeight="1" x14ac:dyDescent="0.25">
      <c r="B426" s="670" t="s">
        <v>4083</v>
      </c>
      <c r="C426" s="670" t="s">
        <v>4083</v>
      </c>
      <c r="D426" s="444" t="str">
        <f>+D390</f>
        <v>LIMPIADOR REMOVEDOR PVC 760 GMD (1/4)</v>
      </c>
      <c r="E426" s="445" t="str">
        <f>+INSUMOS!D111</f>
        <v>UN</v>
      </c>
      <c r="F426" s="580">
        <v>0.05</v>
      </c>
      <c r="G426" s="581">
        <f>+INSUMOS!E111</f>
        <v>62802</v>
      </c>
      <c r="H426" s="445">
        <v>1.05</v>
      </c>
      <c r="I426" s="652">
        <f t="shared" si="96"/>
        <v>3297.1050000000005</v>
      </c>
      <c r="K426" s="609"/>
      <c r="L426" s="610"/>
      <c r="M426" s="610"/>
      <c r="N426" s="610"/>
      <c r="O426" s="610"/>
      <c r="P426" s="610"/>
      <c r="Q426" s="1090"/>
    </row>
    <row r="427" spans="2:17" x14ac:dyDescent="0.25">
      <c r="B427" s="670" t="s">
        <v>4083</v>
      </c>
      <c r="C427" s="670" t="s">
        <v>4083</v>
      </c>
      <c r="D427" s="444" t="str">
        <f>+D391</f>
        <v>SOLDADURA PVC LIQUIDA 1/4</v>
      </c>
      <c r="E427" s="445" t="str">
        <f>+INSUMOS!D112</f>
        <v>UN</v>
      </c>
      <c r="F427" s="580">
        <v>0.05</v>
      </c>
      <c r="G427" s="581">
        <f>+INSUMOS!E112</f>
        <v>143174</v>
      </c>
      <c r="H427" s="445">
        <v>1.05</v>
      </c>
      <c r="I427" s="652">
        <f t="shared" si="96"/>
        <v>7516.6350000000011</v>
      </c>
      <c r="K427" s="609"/>
      <c r="L427" s="610"/>
      <c r="M427" s="610"/>
      <c r="N427" s="610"/>
      <c r="O427" s="610"/>
      <c r="P427" s="610"/>
      <c r="Q427" s="1090"/>
    </row>
    <row r="428" spans="2:17" x14ac:dyDescent="0.25">
      <c r="B428" s="670" t="s">
        <v>205</v>
      </c>
      <c r="C428" s="670" t="s">
        <v>205</v>
      </c>
      <c r="D428" s="444" t="s">
        <v>4146</v>
      </c>
      <c r="E428" s="445" t="s">
        <v>4025</v>
      </c>
      <c r="F428" s="580">
        <v>1</v>
      </c>
      <c r="G428" s="581">
        <f>+I422</f>
        <v>67526.333333333328</v>
      </c>
      <c r="H428" s="445">
        <v>0.05</v>
      </c>
      <c r="I428" s="652">
        <f t="shared" si="96"/>
        <v>3376.3166666666666</v>
      </c>
      <c r="K428" s="609"/>
      <c r="L428" s="610"/>
      <c r="M428" s="610"/>
      <c r="N428" s="610"/>
      <c r="O428" s="610"/>
      <c r="P428" s="610"/>
      <c r="Q428" s="1090"/>
    </row>
    <row r="429" spans="2:17" x14ac:dyDescent="0.25">
      <c r="B429" s="671" t="str">
        <f>+B393</f>
        <v>TRANS.</v>
      </c>
      <c r="C429" s="671" t="str">
        <f>+C393</f>
        <v>TRANS.</v>
      </c>
      <c r="D429" s="444" t="str">
        <f>+D417</f>
        <v>EQUIPO DE TRANSPOPRTE</v>
      </c>
      <c r="E429" s="445" t="s">
        <v>4025</v>
      </c>
      <c r="F429" s="580">
        <v>1</v>
      </c>
      <c r="G429" s="581">
        <f>+I422</f>
        <v>67526.333333333328</v>
      </c>
      <c r="H429" s="445">
        <v>0.05</v>
      </c>
      <c r="I429" s="652">
        <f t="shared" si="96"/>
        <v>3376.3166666666666</v>
      </c>
      <c r="K429" s="609"/>
      <c r="L429" s="610"/>
      <c r="M429" s="610"/>
      <c r="N429" s="610"/>
      <c r="O429" s="610"/>
      <c r="P429" s="610"/>
      <c r="Q429" s="1090"/>
    </row>
    <row r="430" spans="2:17" ht="15.75" thickBot="1" x14ac:dyDescent="0.3">
      <c r="B430" s="672" t="str">
        <f>+B394</f>
        <v>TRANS.</v>
      </c>
      <c r="C430" s="672" t="str">
        <f>+C394</f>
        <v>TRANS.</v>
      </c>
      <c r="D430" s="654" t="s">
        <v>18</v>
      </c>
      <c r="E430" s="673" t="s">
        <v>4025</v>
      </c>
      <c r="F430" s="656">
        <v>1</v>
      </c>
      <c r="G430" s="1119">
        <f>+I422</f>
        <v>67526.333333333328</v>
      </c>
      <c r="H430" s="673">
        <v>0.05</v>
      </c>
      <c r="I430" s="658">
        <f t="shared" si="96"/>
        <v>3376.3166666666666</v>
      </c>
      <c r="K430" s="609"/>
      <c r="L430" s="610"/>
      <c r="M430" s="610"/>
      <c r="N430" s="610"/>
      <c r="O430" s="610"/>
      <c r="P430" s="610"/>
      <c r="Q430" s="1090"/>
    </row>
    <row r="431" spans="2:17" ht="15.75" thickBot="1" x14ac:dyDescent="0.3">
      <c r="Q431" s="1090"/>
    </row>
    <row r="432" spans="2:17" ht="24.75" thickBot="1" x14ac:dyDescent="0.3">
      <c r="B432" s="595" t="s">
        <v>8</v>
      </c>
      <c r="C432" s="595" t="s">
        <v>8</v>
      </c>
      <c r="D432" s="665" t="s">
        <v>9</v>
      </c>
      <c r="E432" s="665" t="s">
        <v>11</v>
      </c>
      <c r="F432" s="665" t="s">
        <v>2</v>
      </c>
      <c r="G432" s="1120" t="s">
        <v>3987</v>
      </c>
      <c r="H432" s="665" t="s">
        <v>4101</v>
      </c>
      <c r="I432" s="666" t="s">
        <v>14</v>
      </c>
      <c r="K432" s="609"/>
      <c r="L432" s="610"/>
      <c r="M432" s="610"/>
      <c r="N432" s="610"/>
      <c r="O432" s="610"/>
      <c r="P432" s="610"/>
      <c r="Q432" s="1090"/>
    </row>
    <row r="433" spans="2:17" ht="24" x14ac:dyDescent="0.25">
      <c r="B433" s="649" t="s">
        <v>4450</v>
      </c>
      <c r="C433" s="649"/>
      <c r="D433" s="573" t="s">
        <v>4250</v>
      </c>
      <c r="E433" s="574" t="s">
        <v>4016</v>
      </c>
      <c r="F433" s="575"/>
      <c r="G433" s="1118">
        <f>SUM(I434:I442)</f>
        <v>606879.9903333335</v>
      </c>
      <c r="H433" s="667"/>
      <c r="I433" s="650"/>
      <c r="K433" s="609" t="str">
        <f>+B433</f>
        <v>15.1</v>
      </c>
      <c r="L433" s="610">
        <f>SUM(I440)</f>
        <v>4934.6166666666668</v>
      </c>
      <c r="M433" s="610">
        <f>+I434+I442</f>
        <v>103626.95</v>
      </c>
      <c r="N433" s="610">
        <f>SUM(I435:I439)</f>
        <v>493383.80700000003</v>
      </c>
      <c r="O433" s="610">
        <f>+I441</f>
        <v>4934.6166666666668</v>
      </c>
      <c r="P433" s="610">
        <f>SUM(L433:O433)</f>
        <v>606879.99033333338</v>
      </c>
      <c r="Q433" s="1090">
        <f>+G433-P433</f>
        <v>0</v>
      </c>
    </row>
    <row r="434" spans="2:17" x14ac:dyDescent="0.25">
      <c r="B434" s="668" t="s">
        <v>15</v>
      </c>
      <c r="C434" s="668" t="s">
        <v>15</v>
      </c>
      <c r="D434" s="444" t="str">
        <f>+MO!B68</f>
        <v>CUADRILLA AA TIPO 1 (1 OFICIAL + 1 AYUDANTE) (Albañileria)</v>
      </c>
      <c r="E434" s="579" t="s">
        <v>202</v>
      </c>
      <c r="F434" s="580">
        <v>1</v>
      </c>
      <c r="G434" s="581">
        <f>+MO!H68</f>
        <v>249328</v>
      </c>
      <c r="H434" s="582">
        <f>(190/480)</f>
        <v>0.39583333333333331</v>
      </c>
      <c r="I434" s="652">
        <f>(F434*G434*H434)</f>
        <v>98692.333333333328</v>
      </c>
      <c r="K434" s="609"/>
      <c r="L434" s="610"/>
      <c r="M434" s="610"/>
      <c r="N434" s="610"/>
      <c r="O434" s="610"/>
      <c r="P434" s="610"/>
      <c r="Q434" s="1090"/>
    </row>
    <row r="435" spans="2:17" ht="72" x14ac:dyDescent="0.25">
      <c r="B435" s="669" t="s">
        <v>4083</v>
      </c>
      <c r="C435" s="669" t="s">
        <v>4083</v>
      </c>
      <c r="D435" s="444" t="str">
        <f>+INSUMOS!B121</f>
        <v xml:space="preserve">PUERTA ENTAMBORADA EN MADEFONDO - TIPO PIZANO ARQUITECTÓNICA O SIMILAR. ANCHO: 0,76 A 1,10 M. ALTO: 1,80 A 2,40 M. HOJA LISA CON 4 RANURAS HORIZONTALES PINTADAS Y CON MARQUETE EN CANTO DECORATIVO. ACABADO: SEGÚN PINTA SELECCIONADA DE CARTA COLORES MADECOR. </v>
      </c>
      <c r="E435" s="579" t="str">
        <f>+INSUMOS!D121</f>
        <v>UN</v>
      </c>
      <c r="F435" s="580">
        <v>1</v>
      </c>
      <c r="G435" s="581">
        <f>+INSUMOS!E121</f>
        <v>292075</v>
      </c>
      <c r="H435" s="582">
        <v>1.05</v>
      </c>
      <c r="I435" s="652">
        <f t="shared" ref="I435:I436" si="97">(F435*G435*H435)</f>
        <v>306678.75</v>
      </c>
      <c r="K435" s="609"/>
      <c r="L435" s="610"/>
      <c r="M435" s="610"/>
      <c r="N435" s="610"/>
      <c r="O435" s="610"/>
      <c r="P435" s="610"/>
      <c r="Q435" s="1090"/>
    </row>
    <row r="436" spans="2:17" x14ac:dyDescent="0.25">
      <c r="B436" s="670" t="s">
        <v>4083</v>
      </c>
      <c r="C436" s="670" t="s">
        <v>4083</v>
      </c>
      <c r="D436" s="444" t="str">
        <f>+INSUMOS!B124</f>
        <v>BISAGRAS ALUMINIO 3"</v>
      </c>
      <c r="E436" s="445" t="str">
        <f>+INSUMOS!D124</f>
        <v>UN</v>
      </c>
      <c r="F436" s="580">
        <v>3</v>
      </c>
      <c r="G436" s="581">
        <f>+INSUMOS!E124</f>
        <v>4956</v>
      </c>
      <c r="H436" s="582">
        <v>1.05</v>
      </c>
      <c r="I436" s="652">
        <f t="shared" si="97"/>
        <v>15611.400000000001</v>
      </c>
      <c r="K436" s="615"/>
      <c r="L436" s="610"/>
      <c r="M436" s="610"/>
      <c r="N436" s="610"/>
      <c r="O436" s="610"/>
      <c r="Q436" s="1091"/>
    </row>
    <row r="437" spans="2:17" x14ac:dyDescent="0.25">
      <c r="B437" s="670" t="s">
        <v>4083</v>
      </c>
      <c r="C437" s="670" t="s">
        <v>4083</v>
      </c>
      <c r="D437" s="444" t="str">
        <f>+INSUMOS!B122</f>
        <v>TINTILLA SELLADORA - TIPO MINWAX O SIMILAR.</v>
      </c>
      <c r="E437" s="445" t="str">
        <f>+INSUMOS!D122</f>
        <v>GALÓN</v>
      </c>
      <c r="F437" s="580">
        <v>0.18</v>
      </c>
      <c r="G437" s="581">
        <f>+INSUMOS!E122</f>
        <v>188002</v>
      </c>
      <c r="H437" s="582">
        <v>1.05</v>
      </c>
      <c r="I437" s="652">
        <f t="shared" ref="I437:I442" si="98">(F437*G437*H437)</f>
        <v>35532.378000000004</v>
      </c>
      <c r="K437" s="609"/>
      <c r="L437" s="610"/>
      <c r="M437" s="610"/>
      <c r="N437" s="610"/>
      <c r="O437" s="610"/>
      <c r="P437" s="610"/>
      <c r="Q437" s="1090"/>
    </row>
    <row r="438" spans="2:17" x14ac:dyDescent="0.25">
      <c r="B438" s="670" t="s">
        <v>4083</v>
      </c>
      <c r="C438" s="670" t="s">
        <v>4083</v>
      </c>
      <c r="D438" s="444" t="str">
        <f>+INSUMOS!B123</f>
        <v>LACA PINTULACA - TIPO PINTUCO O SIMILAR</v>
      </c>
      <c r="E438" s="445" t="str">
        <f>+INSUMOS!D123</f>
        <v>GALÓN</v>
      </c>
      <c r="F438" s="580">
        <v>0.08</v>
      </c>
      <c r="G438" s="581">
        <f>+INSUMOS!E123</f>
        <v>83091</v>
      </c>
      <c r="H438" s="582">
        <v>1.05</v>
      </c>
      <c r="I438" s="652">
        <f t="shared" si="98"/>
        <v>6979.6440000000002</v>
      </c>
      <c r="K438" s="609"/>
      <c r="L438" s="610"/>
      <c r="M438" s="610"/>
      <c r="N438" s="610"/>
      <c r="O438" s="610"/>
      <c r="P438" s="610"/>
      <c r="Q438" s="1090"/>
    </row>
    <row r="439" spans="2:17" x14ac:dyDescent="0.25">
      <c r="B439" s="670" t="s">
        <v>4083</v>
      </c>
      <c r="C439" s="670" t="s">
        <v>4083</v>
      </c>
      <c r="D439" s="444" t="str">
        <f>+INSUMOS!B125</f>
        <v>SELLADOR LIJABLE TIPO PINTUCO O SIMILAR</v>
      </c>
      <c r="E439" s="445" t="str">
        <f>+INSUMOS!D125</f>
        <v>GALÓN</v>
      </c>
      <c r="F439" s="580">
        <v>1.3</v>
      </c>
      <c r="G439" s="581">
        <f>+INSUMOS!E125</f>
        <v>94199</v>
      </c>
      <c r="H439" s="582">
        <v>1.05</v>
      </c>
      <c r="I439" s="652">
        <f t="shared" si="98"/>
        <v>128581.63500000001</v>
      </c>
      <c r="K439" s="609"/>
      <c r="L439" s="610"/>
      <c r="M439" s="610"/>
      <c r="N439" s="610"/>
      <c r="O439" s="610"/>
      <c r="P439" s="610"/>
      <c r="Q439" s="1090"/>
    </row>
    <row r="440" spans="2:17" x14ac:dyDescent="0.25">
      <c r="B440" s="670" t="s">
        <v>205</v>
      </c>
      <c r="C440" s="670" t="s">
        <v>205</v>
      </c>
      <c r="D440" s="444" t="s">
        <v>4146</v>
      </c>
      <c r="E440" s="445" t="s">
        <v>4025</v>
      </c>
      <c r="F440" s="580">
        <v>1</v>
      </c>
      <c r="G440" s="581">
        <f>+I434</f>
        <v>98692.333333333328</v>
      </c>
      <c r="H440" s="445">
        <v>0.05</v>
      </c>
      <c r="I440" s="652">
        <f t="shared" si="98"/>
        <v>4934.6166666666668</v>
      </c>
      <c r="K440" s="609"/>
      <c r="L440" s="610"/>
      <c r="M440" s="610"/>
      <c r="N440" s="610"/>
      <c r="O440" s="610"/>
      <c r="P440" s="610"/>
      <c r="Q440" s="1090"/>
    </row>
    <row r="441" spans="2:17" x14ac:dyDescent="0.25">
      <c r="B441" s="671" t="s">
        <v>204</v>
      </c>
      <c r="C441" s="671" t="s">
        <v>204</v>
      </c>
      <c r="D441" s="444" t="str">
        <f>+D417</f>
        <v>EQUIPO DE TRANSPOPRTE</v>
      </c>
      <c r="E441" s="445" t="s">
        <v>4025</v>
      </c>
      <c r="F441" s="580">
        <v>1</v>
      </c>
      <c r="G441" s="581">
        <f>+I434</f>
        <v>98692.333333333328</v>
      </c>
      <c r="H441" s="445">
        <v>0.05</v>
      </c>
      <c r="I441" s="652">
        <f t="shared" si="98"/>
        <v>4934.6166666666668</v>
      </c>
      <c r="K441" s="609"/>
      <c r="L441" s="610"/>
      <c r="M441" s="610"/>
      <c r="N441" s="610"/>
      <c r="O441" s="610"/>
      <c r="P441" s="610"/>
      <c r="Q441" s="1090"/>
    </row>
    <row r="442" spans="2:17" ht="15.75" thickBot="1" x14ac:dyDescent="0.3">
      <c r="B442" s="672" t="s">
        <v>204</v>
      </c>
      <c r="C442" s="672" t="s">
        <v>204</v>
      </c>
      <c r="D442" s="654" t="s">
        <v>18</v>
      </c>
      <c r="E442" s="673" t="s">
        <v>4025</v>
      </c>
      <c r="F442" s="656">
        <v>1</v>
      </c>
      <c r="G442" s="1119">
        <f>+I434</f>
        <v>98692.333333333328</v>
      </c>
      <c r="H442" s="673">
        <v>0.05</v>
      </c>
      <c r="I442" s="658">
        <f t="shared" si="98"/>
        <v>4934.6166666666668</v>
      </c>
      <c r="K442" s="609"/>
      <c r="L442" s="610"/>
      <c r="M442" s="610"/>
      <c r="N442" s="610"/>
      <c r="O442" s="610"/>
      <c r="P442" s="610"/>
      <c r="Q442" s="1090"/>
    </row>
    <row r="443" spans="2:17" ht="14.25" customHeight="1" thickBot="1" x14ac:dyDescent="0.3">
      <c r="Q443" s="1090"/>
    </row>
    <row r="444" spans="2:17" ht="24.75" thickBot="1" x14ac:dyDescent="0.3">
      <c r="B444" s="703" t="str">
        <f>B161</f>
        <v>TIPO</v>
      </c>
      <c r="C444" s="703" t="str">
        <f>C161</f>
        <v>TIPO</v>
      </c>
      <c r="D444" s="630" t="s">
        <v>9</v>
      </c>
      <c r="E444" s="704" t="str">
        <f>E161</f>
        <v>UNIDAD</v>
      </c>
      <c r="F444" s="704" t="str">
        <f>F161</f>
        <v>CANTIDAD</v>
      </c>
      <c r="G444" s="1123" t="str">
        <f>G161</f>
        <v>VALOR UNITARIO</v>
      </c>
      <c r="H444" s="704" t="str">
        <f>H161</f>
        <v>RENDIMIENTOS/DESPERDICIOS/USOS</v>
      </c>
      <c r="I444" s="705" t="str">
        <f>I161</f>
        <v>VALOR PARCIAL</v>
      </c>
      <c r="K444" s="609"/>
      <c r="L444" s="610"/>
      <c r="M444" s="610"/>
      <c r="N444" s="610"/>
      <c r="O444" s="610"/>
      <c r="P444" s="610"/>
      <c r="Q444" s="1090"/>
    </row>
    <row r="445" spans="2:17" ht="24.75" customHeight="1" x14ac:dyDescent="0.25">
      <c r="B445" s="649" t="s">
        <v>4451</v>
      </c>
      <c r="C445" s="649"/>
      <c r="D445" s="604" t="s">
        <v>4466</v>
      </c>
      <c r="E445" s="706" t="str">
        <f>E162</f>
        <v>M²</v>
      </c>
      <c r="F445" s="575"/>
      <c r="G445" s="1118">
        <f>SUM(I446:I449)</f>
        <v>132618.15</v>
      </c>
      <c r="H445" s="707"/>
      <c r="I445" s="708"/>
      <c r="K445" s="609" t="str">
        <f>+B445</f>
        <v>15.2</v>
      </c>
      <c r="L445" s="610">
        <f>SUM(I447)</f>
        <v>2105.0500000000002</v>
      </c>
      <c r="M445" s="610">
        <f>+I446+I449</f>
        <v>128408.05</v>
      </c>
      <c r="N445" s="610"/>
      <c r="O445" s="610">
        <f>+I448</f>
        <v>2105.0500000000002</v>
      </c>
      <c r="P445" s="610">
        <f>SUM(L445:O445)</f>
        <v>132618.15</v>
      </c>
      <c r="Q445" s="1090">
        <f>+G445-P445</f>
        <v>0</v>
      </c>
    </row>
    <row r="446" spans="2:17" x14ac:dyDescent="0.25">
      <c r="B446" s="670" t="str">
        <f>B163</f>
        <v>M.O</v>
      </c>
      <c r="C446" s="670" t="str">
        <f>C163</f>
        <v>M.O</v>
      </c>
      <c r="D446" s="444" t="str">
        <f>+MO!B68</f>
        <v>CUADRILLA AA TIPO 1 (1 OFICIAL + 1 AYUDANTE) (Albañileria)</v>
      </c>
      <c r="E446" s="445" t="str">
        <f>E163</f>
        <v>DIA</v>
      </c>
      <c r="F446" s="580">
        <f>F163</f>
        <v>1</v>
      </c>
      <c r="G446" s="581">
        <f>G163</f>
        <v>336808</v>
      </c>
      <c r="H446" s="580">
        <f>(180/480)</f>
        <v>0.375</v>
      </c>
      <c r="I446" s="652">
        <f>(F446*G446*H446)</f>
        <v>126303</v>
      </c>
      <c r="K446" s="609"/>
      <c r="L446" s="610"/>
      <c r="M446" s="610"/>
      <c r="N446" s="610"/>
      <c r="O446" s="610"/>
      <c r="P446" s="610"/>
      <c r="Q446" s="1090"/>
    </row>
    <row r="447" spans="2:17" x14ac:dyDescent="0.25">
      <c r="B447" s="670" t="str">
        <f>B170</f>
        <v>EQU.</v>
      </c>
      <c r="C447" s="670" t="str">
        <f>C170</f>
        <v>EQU.</v>
      </c>
      <c r="D447" s="444" t="str">
        <f>D170</f>
        <v>EQUIPO BÁSICO (HERRAMIENTA MENOR)</v>
      </c>
      <c r="E447" s="445" t="str">
        <f>E170</f>
        <v>% M.O</v>
      </c>
      <c r="F447" s="580">
        <f>F170</f>
        <v>1</v>
      </c>
      <c r="G447" s="581">
        <f>+I446</f>
        <v>126303</v>
      </c>
      <c r="H447" s="580">
        <f t="shared" ref="H447:I449" si="99">H170</f>
        <v>0.05</v>
      </c>
      <c r="I447" s="652">
        <f t="shared" si="99"/>
        <v>2105.0500000000002</v>
      </c>
      <c r="K447" s="615"/>
      <c r="L447" s="610"/>
      <c r="M447" s="610"/>
      <c r="N447" s="610"/>
      <c r="O447" s="610"/>
      <c r="Q447" s="1091"/>
    </row>
    <row r="448" spans="2:17" x14ac:dyDescent="0.25">
      <c r="B448" s="671" t="str">
        <f>B171</f>
        <v>TRANS.</v>
      </c>
      <c r="C448" s="671" t="str">
        <f>C171</f>
        <v>TRANS.</v>
      </c>
      <c r="D448" s="444" t="str">
        <f>+D417</f>
        <v>EQUIPO DE TRANSPOPRTE</v>
      </c>
      <c r="E448" s="445" t="str">
        <f>E171</f>
        <v>% M.O</v>
      </c>
      <c r="F448" s="580">
        <f>F171</f>
        <v>1</v>
      </c>
      <c r="G448" s="581">
        <f>+I446</f>
        <v>126303</v>
      </c>
      <c r="H448" s="580">
        <f t="shared" si="99"/>
        <v>0.05</v>
      </c>
      <c r="I448" s="652">
        <f t="shared" si="99"/>
        <v>2105.0500000000002</v>
      </c>
      <c r="K448" s="609"/>
      <c r="L448" s="610"/>
      <c r="M448" s="610"/>
      <c r="N448" s="610"/>
      <c r="O448" s="610"/>
      <c r="P448" s="610"/>
      <c r="Q448" s="1090"/>
    </row>
    <row r="449" spans="2:17" ht="15.75" thickBot="1" x14ac:dyDescent="0.3">
      <c r="B449" s="672" t="str">
        <f>B172</f>
        <v>TRANS.</v>
      </c>
      <c r="C449" s="672" t="str">
        <f>C172</f>
        <v>TRANS.</v>
      </c>
      <c r="D449" s="654" t="str">
        <f>D172</f>
        <v>ACARREO INTERNO</v>
      </c>
      <c r="E449" s="673" t="str">
        <f>E172</f>
        <v>% M.O</v>
      </c>
      <c r="F449" s="656">
        <f>F172</f>
        <v>1</v>
      </c>
      <c r="G449" s="1119">
        <f>+I446</f>
        <v>126303</v>
      </c>
      <c r="H449" s="656">
        <f t="shared" si="99"/>
        <v>0.05</v>
      </c>
      <c r="I449" s="658">
        <f t="shared" si="99"/>
        <v>2105.0500000000002</v>
      </c>
      <c r="K449" s="609"/>
      <c r="L449" s="610"/>
      <c r="M449" s="610"/>
      <c r="N449" s="610"/>
      <c r="O449" s="610"/>
      <c r="P449" s="610"/>
      <c r="Q449" s="1090"/>
    </row>
    <row r="450" spans="2:17" ht="15.75" thickBot="1" x14ac:dyDescent="0.3">
      <c r="Q450" s="1090"/>
    </row>
    <row r="451" spans="2:17" ht="24.75" thickBot="1" x14ac:dyDescent="0.3">
      <c r="B451" s="709" t="s">
        <v>8</v>
      </c>
      <c r="C451" s="709" t="s">
        <v>8</v>
      </c>
      <c r="D451" s="665" t="s">
        <v>9</v>
      </c>
      <c r="E451" s="665" t="s">
        <v>11</v>
      </c>
      <c r="F451" s="665" t="s">
        <v>2</v>
      </c>
      <c r="G451" s="1120" t="s">
        <v>3987</v>
      </c>
      <c r="H451" s="710" t="s">
        <v>4101</v>
      </c>
      <c r="I451" s="711" t="s">
        <v>14</v>
      </c>
      <c r="K451" s="609"/>
      <c r="L451" s="610"/>
      <c r="M451" s="610"/>
      <c r="N451" s="610"/>
      <c r="O451" s="610"/>
      <c r="P451" s="610"/>
      <c r="Q451" s="1090"/>
    </row>
    <row r="452" spans="2:17" ht="36" x14ac:dyDescent="0.25">
      <c r="B452" s="649" t="s">
        <v>5113</v>
      </c>
      <c r="C452" s="649"/>
      <c r="D452" s="604" t="s">
        <v>4134</v>
      </c>
      <c r="E452" s="706" t="s">
        <v>1027</v>
      </c>
      <c r="F452" s="707"/>
      <c r="G452" s="1118">
        <f>SUM(I453:I458)</f>
        <v>23121.018999999997</v>
      </c>
      <c r="H452" s="677"/>
      <c r="I452" s="678"/>
      <c r="K452" s="609" t="str">
        <f>+B452</f>
        <v>19.5</v>
      </c>
      <c r="L452" s="610">
        <f>SUM(I456)</f>
        <v>820.17500000000007</v>
      </c>
      <c r="M452" s="610">
        <f>+I453+I458</f>
        <v>17223.674999999999</v>
      </c>
      <c r="N452" s="610">
        <f>SUM(I454:I455)</f>
        <v>4256.9940000000006</v>
      </c>
      <c r="O452" s="610">
        <f>+I457</f>
        <v>820.17500000000007</v>
      </c>
      <c r="P452" s="610">
        <f>SUM(L452:O452)</f>
        <v>23121.018999999997</v>
      </c>
      <c r="Q452" s="1090">
        <f>+G452-P452</f>
        <v>0</v>
      </c>
    </row>
    <row r="453" spans="2:17" x14ac:dyDescent="0.25">
      <c r="B453" s="669" t="s">
        <v>15</v>
      </c>
      <c r="C453" s="669" t="s">
        <v>15</v>
      </c>
      <c r="D453" s="444" t="str">
        <f>+MO!B70</f>
        <v>CUADRILLA CC TIPO 1 (1 OFICIAL + 1 AYUDANTE) (Pintura)</v>
      </c>
      <c r="E453" s="445" t="s">
        <v>202</v>
      </c>
      <c r="F453" s="580">
        <v>1</v>
      </c>
      <c r="G453" s="581">
        <f>+MO!H70</f>
        <v>262456</v>
      </c>
      <c r="H453" s="580">
        <f>(30/480)</f>
        <v>6.25E-2</v>
      </c>
      <c r="I453" s="652">
        <f>(F453*G453*H453)</f>
        <v>16403.5</v>
      </c>
      <c r="K453" s="609"/>
      <c r="L453" s="610"/>
      <c r="M453" s="610"/>
      <c r="N453" s="610"/>
      <c r="O453" s="610"/>
      <c r="P453" s="610"/>
      <c r="Q453" s="1090"/>
    </row>
    <row r="454" spans="2:17" ht="24" x14ac:dyDescent="0.25">
      <c r="B454" s="669" t="s">
        <v>4083</v>
      </c>
      <c r="C454" s="669" t="s">
        <v>4083</v>
      </c>
      <c r="D454" s="444" t="str">
        <f>+INSUMOS!B5</f>
        <v>ESMALTE SINTETICO PINTULUX - TIPO PINTUCO REF. SEGÚN COLOR DISEÑO O SIMILAR</v>
      </c>
      <c r="E454" s="445" t="str">
        <f>+INSUMOS!D5</f>
        <v>GALÓN</v>
      </c>
      <c r="F454" s="580">
        <v>0.02</v>
      </c>
      <c r="G454" s="581">
        <f>+INSUMOS!E5</f>
        <v>122755</v>
      </c>
      <c r="H454" s="580">
        <v>1.05</v>
      </c>
      <c r="I454" s="652">
        <f>(F454*G454*H454)</f>
        <v>2577.855</v>
      </c>
      <c r="K454" s="609"/>
      <c r="L454" s="610"/>
      <c r="M454" s="610"/>
      <c r="N454" s="610"/>
      <c r="O454" s="610"/>
      <c r="P454" s="610"/>
      <c r="Q454" s="1090"/>
    </row>
    <row r="455" spans="2:17" x14ac:dyDescent="0.25">
      <c r="B455" s="669" t="s">
        <v>4083</v>
      </c>
      <c r="C455" s="669" t="s">
        <v>4083</v>
      </c>
      <c r="D455" s="444" t="str">
        <f>+INSUMOS!B129</f>
        <v>PINTURA ANTICORROSIVA</v>
      </c>
      <c r="E455" s="445" t="str">
        <f>+INSUMOS!D129</f>
        <v>GALÓN</v>
      </c>
      <c r="F455" s="580">
        <v>0.02</v>
      </c>
      <c r="G455" s="581">
        <f>+INSUMOS!E129</f>
        <v>79959</v>
      </c>
      <c r="H455" s="580">
        <v>1.05</v>
      </c>
      <c r="I455" s="652">
        <f>(F455*G455*H455)</f>
        <v>1679.1390000000001</v>
      </c>
      <c r="K455" s="615"/>
      <c r="L455" s="610"/>
      <c r="M455" s="610"/>
      <c r="N455" s="610"/>
      <c r="O455" s="610"/>
      <c r="Q455" s="1091"/>
    </row>
    <row r="456" spans="2:17" ht="18" customHeight="1" x14ac:dyDescent="0.25">
      <c r="B456" s="669" t="s">
        <v>205</v>
      </c>
      <c r="C456" s="669" t="s">
        <v>205</v>
      </c>
      <c r="D456" s="444" t="str">
        <f>D170</f>
        <v>EQUIPO BÁSICO (HERRAMIENTA MENOR)</v>
      </c>
      <c r="E456" s="445" t="str">
        <f>+INSUMOS!D130</f>
        <v>UN</v>
      </c>
      <c r="F456" s="580">
        <v>1</v>
      </c>
      <c r="G456" s="581">
        <f>+I453</f>
        <v>16403.5</v>
      </c>
      <c r="H456" s="580">
        <v>0.05</v>
      </c>
      <c r="I456" s="652">
        <f t="shared" ref="I456" si="100">(F456*G456*H456)</f>
        <v>820.17500000000007</v>
      </c>
      <c r="K456" s="609"/>
      <c r="L456" s="610"/>
      <c r="M456" s="610"/>
      <c r="N456" s="610"/>
      <c r="O456" s="610"/>
      <c r="P456" s="610"/>
      <c r="Q456" s="1090"/>
    </row>
    <row r="457" spans="2:17" x14ac:dyDescent="0.25">
      <c r="B457" s="671" t="s">
        <v>204</v>
      </c>
      <c r="C457" s="671" t="s">
        <v>204</v>
      </c>
      <c r="D457" s="444" t="str">
        <f>+D464</f>
        <v>EQUIPO DE TRANSPORTE</v>
      </c>
      <c r="E457" s="445" t="s">
        <v>4025</v>
      </c>
      <c r="F457" s="580">
        <v>1</v>
      </c>
      <c r="G457" s="581">
        <f>+I453</f>
        <v>16403.5</v>
      </c>
      <c r="H457" s="580">
        <v>0.05</v>
      </c>
      <c r="I457" s="652">
        <f>(H457*G457)</f>
        <v>820.17500000000007</v>
      </c>
      <c r="K457" s="609"/>
      <c r="L457" s="610"/>
      <c r="M457" s="610"/>
      <c r="N457" s="610"/>
      <c r="O457" s="610"/>
      <c r="P457" s="610"/>
      <c r="Q457" s="1090"/>
    </row>
    <row r="458" spans="2:17" ht="15.75" thickBot="1" x14ac:dyDescent="0.3">
      <c r="B458" s="672" t="s">
        <v>204</v>
      </c>
      <c r="C458" s="672" t="s">
        <v>204</v>
      </c>
      <c r="D458" s="654" t="s">
        <v>18</v>
      </c>
      <c r="E458" s="673" t="s">
        <v>4025</v>
      </c>
      <c r="F458" s="656">
        <v>1</v>
      </c>
      <c r="G458" s="1119">
        <f>+I453</f>
        <v>16403.5</v>
      </c>
      <c r="H458" s="656">
        <v>0.05</v>
      </c>
      <c r="I458" s="658">
        <f>(H458*G458)</f>
        <v>820.17500000000007</v>
      </c>
      <c r="K458" s="609"/>
      <c r="L458" s="610"/>
      <c r="M458" s="610"/>
      <c r="N458" s="610"/>
      <c r="O458" s="610"/>
      <c r="P458" s="610"/>
      <c r="Q458" s="1090"/>
    </row>
    <row r="459" spans="2:17" ht="15.75" thickBot="1" x14ac:dyDescent="0.3">
      <c r="E459" s="681"/>
      <c r="K459" s="609"/>
      <c r="L459" s="610"/>
      <c r="M459" s="610"/>
      <c r="N459" s="610"/>
      <c r="O459" s="610"/>
      <c r="P459" s="610"/>
      <c r="Q459" s="1090"/>
    </row>
    <row r="460" spans="2:17" ht="24.75" thickBot="1" x14ac:dyDescent="0.3">
      <c r="B460" s="712" t="s">
        <v>8</v>
      </c>
      <c r="C460" s="712" t="s">
        <v>8</v>
      </c>
      <c r="D460" s="630" t="s">
        <v>9</v>
      </c>
      <c r="E460" s="630" t="s">
        <v>11</v>
      </c>
      <c r="F460" s="630" t="s">
        <v>2</v>
      </c>
      <c r="G460" s="1113" t="s">
        <v>3987</v>
      </c>
      <c r="H460" s="630" t="s">
        <v>4101</v>
      </c>
      <c r="I460" s="631" t="s">
        <v>14</v>
      </c>
      <c r="K460" s="609"/>
      <c r="L460" s="610"/>
      <c r="M460" s="610"/>
      <c r="N460" s="610"/>
      <c r="O460" s="610"/>
      <c r="P460" s="610"/>
      <c r="Q460" s="1090"/>
    </row>
    <row r="461" spans="2:17" ht="27" customHeight="1" x14ac:dyDescent="0.25">
      <c r="B461" s="649" t="s">
        <v>4443</v>
      </c>
      <c r="C461" s="649"/>
      <c r="D461" s="604" t="s">
        <v>4245</v>
      </c>
      <c r="E461" s="706" t="s">
        <v>4016</v>
      </c>
      <c r="F461" s="707"/>
      <c r="G461" s="1118">
        <f>SUM(I462:I465)</f>
        <v>104588.9</v>
      </c>
      <c r="H461" s="677"/>
      <c r="I461" s="678"/>
      <c r="K461" s="609" t="str">
        <f>+B461</f>
        <v>4.10</v>
      </c>
      <c r="L461" s="610">
        <f>SUM(I463)</f>
        <v>4674.9000000000005</v>
      </c>
      <c r="M461" s="610">
        <f>+I462+I465</f>
        <v>96706</v>
      </c>
      <c r="N461" s="610"/>
      <c r="O461" s="610">
        <f>+I464</f>
        <v>3208</v>
      </c>
      <c r="P461" s="610">
        <f>SUM(L461:O461)</f>
        <v>104588.9</v>
      </c>
      <c r="Q461" s="1090">
        <f>+G461-P461</f>
        <v>0</v>
      </c>
    </row>
    <row r="462" spans="2:17" x14ac:dyDescent="0.25">
      <c r="B462" s="669" t="s">
        <v>15</v>
      </c>
      <c r="C462" s="669" t="s">
        <v>15</v>
      </c>
      <c r="D462" s="444" t="str">
        <f>+MO!B68</f>
        <v>CUADRILLA AA TIPO 1 (1 OFICIAL + 1 AYUDANTE) (Albañileria)</v>
      </c>
      <c r="E462" s="445" t="s">
        <v>202</v>
      </c>
      <c r="F462" s="580">
        <v>1</v>
      </c>
      <c r="G462" s="581">
        <f>+MO!H68</f>
        <v>249328</v>
      </c>
      <c r="H462" s="580">
        <f>(180/480)</f>
        <v>0.375</v>
      </c>
      <c r="I462" s="652">
        <f>(F462*G462*H462)</f>
        <v>93498</v>
      </c>
      <c r="K462" s="609"/>
      <c r="L462" s="610"/>
      <c r="M462" s="610"/>
      <c r="N462" s="610"/>
      <c r="O462" s="610"/>
      <c r="P462" s="610"/>
      <c r="Q462" s="1090"/>
    </row>
    <row r="463" spans="2:17" x14ac:dyDescent="0.25">
      <c r="B463" s="669" t="s">
        <v>205</v>
      </c>
      <c r="C463" s="669" t="s">
        <v>205</v>
      </c>
      <c r="D463" s="444" t="str">
        <f t="shared" ref="D463:H463" si="101">D456</f>
        <v>EQUIPO BÁSICO (HERRAMIENTA MENOR)</v>
      </c>
      <c r="E463" s="445" t="str">
        <f t="shared" si="101"/>
        <v>UN</v>
      </c>
      <c r="F463" s="580">
        <f t="shared" si="101"/>
        <v>1</v>
      </c>
      <c r="G463" s="581">
        <f>+I462</f>
        <v>93498</v>
      </c>
      <c r="H463" s="580">
        <f t="shared" si="101"/>
        <v>0.05</v>
      </c>
      <c r="I463" s="652">
        <f t="shared" ref="I463" si="102">(F463*G463*H463)</f>
        <v>4674.9000000000005</v>
      </c>
      <c r="K463" s="609"/>
      <c r="L463" s="610"/>
      <c r="M463" s="610"/>
      <c r="N463" s="610"/>
      <c r="O463" s="610"/>
      <c r="P463" s="610"/>
      <c r="Q463" s="1090"/>
    </row>
    <row r="464" spans="2:17" x14ac:dyDescent="0.25">
      <c r="B464" s="671" t="s">
        <v>204</v>
      </c>
      <c r="C464" s="671" t="s">
        <v>204</v>
      </c>
      <c r="D464" s="444" t="s">
        <v>1054</v>
      </c>
      <c r="E464" s="445" t="s">
        <v>4025</v>
      </c>
      <c r="F464" s="580">
        <v>1</v>
      </c>
      <c r="G464" s="581">
        <f>+I462</f>
        <v>93498</v>
      </c>
      <c r="H464" s="580">
        <v>0.05</v>
      </c>
      <c r="I464" s="652">
        <v>3208</v>
      </c>
      <c r="K464" s="615"/>
      <c r="L464" s="610"/>
      <c r="M464" s="610"/>
      <c r="N464" s="610"/>
      <c r="O464" s="610"/>
      <c r="Q464" s="1091"/>
    </row>
    <row r="465" spans="2:17" ht="17.25" customHeight="1" thickBot="1" x14ac:dyDescent="0.3">
      <c r="B465" s="672" t="s">
        <v>204</v>
      </c>
      <c r="C465" s="672" t="s">
        <v>204</v>
      </c>
      <c r="D465" s="654" t="s">
        <v>18</v>
      </c>
      <c r="E465" s="673" t="s">
        <v>4025</v>
      </c>
      <c r="F465" s="656">
        <v>1</v>
      </c>
      <c r="G465" s="1119">
        <f>+I462</f>
        <v>93498</v>
      </c>
      <c r="H465" s="656">
        <v>0.05</v>
      </c>
      <c r="I465" s="658">
        <v>3208</v>
      </c>
      <c r="K465" s="609"/>
      <c r="L465" s="610"/>
      <c r="M465" s="610"/>
      <c r="N465" s="610"/>
      <c r="O465" s="610"/>
      <c r="P465" s="610"/>
      <c r="Q465" s="1090"/>
    </row>
    <row r="466" spans="2:17" ht="15.75" thickBot="1" x14ac:dyDescent="0.3">
      <c r="K466" s="609"/>
      <c r="L466" s="610"/>
      <c r="M466" s="610"/>
      <c r="N466" s="610"/>
      <c r="O466" s="610"/>
      <c r="P466" s="610"/>
      <c r="Q466" s="1090"/>
    </row>
    <row r="467" spans="2:17" ht="24.75" thickBot="1" x14ac:dyDescent="0.3">
      <c r="B467" s="645" t="s">
        <v>8</v>
      </c>
      <c r="C467" s="645" t="s">
        <v>8</v>
      </c>
      <c r="D467" s="630" t="s">
        <v>9</v>
      </c>
      <c r="E467" s="630" t="s">
        <v>11</v>
      </c>
      <c r="F467" s="630" t="s">
        <v>2</v>
      </c>
      <c r="G467" s="1113" t="s">
        <v>3987</v>
      </c>
      <c r="H467" s="630" t="s">
        <v>4101</v>
      </c>
      <c r="I467" s="705" t="s">
        <v>14</v>
      </c>
      <c r="K467" s="609"/>
      <c r="L467" s="610"/>
      <c r="M467" s="610"/>
      <c r="N467" s="610"/>
      <c r="O467" s="610"/>
      <c r="P467" s="610"/>
      <c r="Q467" s="1090"/>
    </row>
    <row r="468" spans="2:17" ht="24" customHeight="1" x14ac:dyDescent="0.25">
      <c r="B468" s="649" t="s">
        <v>4441</v>
      </c>
      <c r="C468" s="649"/>
      <c r="D468" s="573" t="s">
        <v>4246</v>
      </c>
      <c r="E468" s="706" t="s">
        <v>4016</v>
      </c>
      <c r="F468" s="707"/>
      <c r="G468" s="1118">
        <f>SUM(I469:I472)</f>
        <v>93680.799999999988</v>
      </c>
      <c r="H468" s="677"/>
      <c r="I468" s="678"/>
      <c r="K468" s="609" t="str">
        <f>+B468</f>
        <v>4.11</v>
      </c>
      <c r="L468" s="610">
        <f>SUM(I470)</f>
        <v>4155.4666666666662</v>
      </c>
      <c r="M468" s="610">
        <f>+I469+I472</f>
        <v>86317.333333333328</v>
      </c>
      <c r="N468" s="610"/>
      <c r="O468" s="610">
        <f>+I471</f>
        <v>3208</v>
      </c>
      <c r="P468" s="610">
        <f>SUM(L468:O468)</f>
        <v>93680.799999999988</v>
      </c>
      <c r="Q468" s="1090">
        <f>+G468-P468</f>
        <v>0</v>
      </c>
    </row>
    <row r="469" spans="2:17" x14ac:dyDescent="0.25">
      <c r="B469" s="669" t="s">
        <v>15</v>
      </c>
      <c r="C469" s="669" t="s">
        <v>15</v>
      </c>
      <c r="D469" s="444" t="str">
        <f>+D462</f>
        <v>CUADRILLA AA TIPO 1 (1 OFICIAL + 1 AYUDANTE) (Albañileria)</v>
      </c>
      <c r="E469" s="445" t="s">
        <v>202</v>
      </c>
      <c r="F469" s="580">
        <v>1</v>
      </c>
      <c r="G469" s="581">
        <f>+G462</f>
        <v>249328</v>
      </c>
      <c r="H469" s="580">
        <f>(160/480)</f>
        <v>0.33333333333333331</v>
      </c>
      <c r="I469" s="652">
        <f>(F469*G469*H469)</f>
        <v>83109.333333333328</v>
      </c>
      <c r="K469" s="609"/>
      <c r="L469" s="610"/>
      <c r="M469" s="610"/>
      <c r="N469" s="610"/>
      <c r="O469" s="610"/>
      <c r="P469" s="610"/>
      <c r="Q469" s="1090"/>
    </row>
    <row r="470" spans="2:17" x14ac:dyDescent="0.25">
      <c r="B470" s="669" t="s">
        <v>205</v>
      </c>
      <c r="C470" s="669" t="s">
        <v>205</v>
      </c>
      <c r="D470" s="444" t="str">
        <f t="shared" ref="D470:H470" si="103">D463</f>
        <v>EQUIPO BÁSICO (HERRAMIENTA MENOR)</v>
      </c>
      <c r="E470" s="445" t="str">
        <f t="shared" si="103"/>
        <v>UN</v>
      </c>
      <c r="F470" s="580">
        <f t="shared" si="103"/>
        <v>1</v>
      </c>
      <c r="G470" s="581">
        <f>+I469</f>
        <v>83109.333333333328</v>
      </c>
      <c r="H470" s="580">
        <f t="shared" si="103"/>
        <v>0.05</v>
      </c>
      <c r="I470" s="652">
        <f t="shared" ref="I470" si="104">(F470*G470*H470)</f>
        <v>4155.4666666666662</v>
      </c>
      <c r="K470" s="609"/>
      <c r="L470" s="610"/>
      <c r="M470" s="610"/>
      <c r="N470" s="610"/>
      <c r="O470" s="610"/>
      <c r="P470" s="610"/>
      <c r="Q470" s="1090"/>
    </row>
    <row r="471" spans="2:17" ht="16.5" customHeight="1" x14ac:dyDescent="0.25">
      <c r="B471" s="671" t="s">
        <v>204</v>
      </c>
      <c r="C471" s="671" t="s">
        <v>204</v>
      </c>
      <c r="D471" s="444" t="s">
        <v>4110</v>
      </c>
      <c r="E471" s="445" t="s">
        <v>4025</v>
      </c>
      <c r="F471" s="580">
        <v>1</v>
      </c>
      <c r="G471" s="581">
        <f>+I469</f>
        <v>83109.333333333328</v>
      </c>
      <c r="H471" s="580">
        <v>0.05</v>
      </c>
      <c r="I471" s="652">
        <v>3208</v>
      </c>
      <c r="K471" s="615"/>
      <c r="L471" s="610"/>
      <c r="M471" s="610"/>
      <c r="N471" s="610"/>
      <c r="O471" s="610"/>
      <c r="Q471" s="1091"/>
    </row>
    <row r="472" spans="2:17" ht="16.5" customHeight="1" thickBot="1" x14ac:dyDescent="0.3">
      <c r="B472" s="672" t="s">
        <v>204</v>
      </c>
      <c r="C472" s="672" t="s">
        <v>204</v>
      </c>
      <c r="D472" s="654" t="s">
        <v>18</v>
      </c>
      <c r="E472" s="673" t="s">
        <v>4025</v>
      </c>
      <c r="F472" s="656">
        <v>1</v>
      </c>
      <c r="G472" s="1119">
        <f>+I469</f>
        <v>83109.333333333328</v>
      </c>
      <c r="H472" s="656">
        <v>0.05</v>
      </c>
      <c r="I472" s="658">
        <v>3208</v>
      </c>
      <c r="K472" s="609"/>
      <c r="L472" s="610"/>
      <c r="M472" s="610"/>
      <c r="N472" s="610"/>
      <c r="O472" s="610"/>
      <c r="P472" s="610"/>
      <c r="Q472" s="1090"/>
    </row>
    <row r="473" spans="2:17" ht="18.75" customHeight="1" thickBot="1" x14ac:dyDescent="0.3">
      <c r="K473" s="609"/>
      <c r="L473" s="610"/>
      <c r="M473" s="610"/>
      <c r="N473" s="610"/>
      <c r="O473" s="610"/>
      <c r="P473" s="610"/>
      <c r="Q473" s="1090"/>
    </row>
    <row r="474" spans="2:17" ht="24.75" thickBot="1" x14ac:dyDescent="0.3">
      <c r="B474" s="645" t="s">
        <v>8</v>
      </c>
      <c r="C474" s="645" t="s">
        <v>8</v>
      </c>
      <c r="D474" s="630" t="s">
        <v>9</v>
      </c>
      <c r="E474" s="630" t="s">
        <v>11</v>
      </c>
      <c r="F474" s="630" t="s">
        <v>2</v>
      </c>
      <c r="G474" s="1113" t="s">
        <v>3987</v>
      </c>
      <c r="H474" s="630" t="s">
        <v>4101</v>
      </c>
      <c r="I474" s="705" t="s">
        <v>14</v>
      </c>
      <c r="K474" s="609"/>
      <c r="L474" s="610"/>
      <c r="M474" s="610"/>
      <c r="N474" s="610"/>
      <c r="O474" s="610"/>
      <c r="P474" s="610"/>
      <c r="Q474" s="1090"/>
    </row>
    <row r="475" spans="2:17" ht="24.75" customHeight="1" x14ac:dyDescent="0.25">
      <c r="B475" s="649" t="s">
        <v>4440</v>
      </c>
      <c r="C475" s="649"/>
      <c r="D475" s="573" t="s">
        <v>4247</v>
      </c>
      <c r="E475" s="706" t="s">
        <v>4016</v>
      </c>
      <c r="F475" s="707"/>
      <c r="G475" s="1118">
        <f>SUM(I476:I479)</f>
        <v>137313.20000000001</v>
      </c>
      <c r="H475" s="677"/>
      <c r="I475" s="678"/>
      <c r="K475" s="609" t="str">
        <f>+B475</f>
        <v>4.12</v>
      </c>
      <c r="L475" s="610">
        <f>SUM(I477)</f>
        <v>6233.2000000000007</v>
      </c>
      <c r="M475" s="610">
        <f>+I476+I479</f>
        <v>127872</v>
      </c>
      <c r="N475" s="610"/>
      <c r="O475" s="610">
        <f>+I478</f>
        <v>3208</v>
      </c>
      <c r="P475" s="610">
        <f>SUM(L475:O475)</f>
        <v>137313.20000000001</v>
      </c>
      <c r="Q475" s="1090">
        <f>+G475-P475</f>
        <v>0</v>
      </c>
    </row>
    <row r="476" spans="2:17" x14ac:dyDescent="0.25">
      <c r="B476" s="669" t="s">
        <v>15</v>
      </c>
      <c r="C476" s="669" t="s">
        <v>15</v>
      </c>
      <c r="D476" s="444" t="str">
        <f>+D469</f>
        <v>CUADRILLA AA TIPO 1 (1 OFICIAL + 1 AYUDANTE) (Albañileria)</v>
      </c>
      <c r="E476" s="445" t="s">
        <v>202</v>
      </c>
      <c r="F476" s="580">
        <v>1</v>
      </c>
      <c r="G476" s="581">
        <f>+G469</f>
        <v>249328</v>
      </c>
      <c r="H476" s="580">
        <f>(240/480)</f>
        <v>0.5</v>
      </c>
      <c r="I476" s="652">
        <f>(F476*G476*H476)</f>
        <v>124664</v>
      </c>
      <c r="K476" s="609"/>
      <c r="L476" s="610"/>
      <c r="M476" s="610"/>
      <c r="N476" s="610"/>
      <c r="O476" s="610"/>
      <c r="P476" s="610"/>
      <c r="Q476" s="1090"/>
    </row>
    <row r="477" spans="2:17" x14ac:dyDescent="0.25">
      <c r="B477" s="669" t="s">
        <v>205</v>
      </c>
      <c r="C477" s="669" t="s">
        <v>205</v>
      </c>
      <c r="D477" s="444" t="str">
        <f t="shared" ref="D477:H477" si="105">D470</f>
        <v>EQUIPO BÁSICO (HERRAMIENTA MENOR)</v>
      </c>
      <c r="E477" s="445" t="str">
        <f t="shared" si="105"/>
        <v>UN</v>
      </c>
      <c r="F477" s="580">
        <v>1</v>
      </c>
      <c r="G477" s="581">
        <f>+I476</f>
        <v>124664</v>
      </c>
      <c r="H477" s="580">
        <f t="shared" si="105"/>
        <v>0.05</v>
      </c>
      <c r="I477" s="652">
        <f t="shared" ref="I477" si="106">(F477*G477*H477)</f>
        <v>6233.2000000000007</v>
      </c>
      <c r="K477" s="609"/>
      <c r="L477" s="610"/>
      <c r="M477" s="610"/>
      <c r="N477" s="610"/>
      <c r="O477" s="610"/>
      <c r="P477" s="610"/>
      <c r="Q477" s="1090"/>
    </row>
    <row r="478" spans="2:17" x14ac:dyDescent="0.25">
      <c r="B478" s="671" t="s">
        <v>204</v>
      </c>
      <c r="C478" s="671" t="s">
        <v>204</v>
      </c>
      <c r="D478" s="444" t="s">
        <v>4248</v>
      </c>
      <c r="E478" s="445" t="s">
        <v>4025</v>
      </c>
      <c r="F478" s="580">
        <v>1</v>
      </c>
      <c r="G478" s="581">
        <f>+I476</f>
        <v>124664</v>
      </c>
      <c r="H478" s="580">
        <v>0.05</v>
      </c>
      <c r="I478" s="652">
        <v>3208</v>
      </c>
      <c r="K478" s="615"/>
      <c r="L478" s="610"/>
      <c r="M478" s="610"/>
      <c r="N478" s="610"/>
      <c r="O478" s="610"/>
      <c r="Q478" s="1091"/>
    </row>
    <row r="479" spans="2:17" ht="15.75" thickBot="1" x14ac:dyDescent="0.3">
      <c r="B479" s="672" t="s">
        <v>204</v>
      </c>
      <c r="C479" s="672" t="s">
        <v>204</v>
      </c>
      <c r="D479" s="654" t="s">
        <v>18</v>
      </c>
      <c r="E479" s="673" t="s">
        <v>4025</v>
      </c>
      <c r="F479" s="656">
        <v>1</v>
      </c>
      <c r="G479" s="1119">
        <f>+I476</f>
        <v>124664</v>
      </c>
      <c r="H479" s="656">
        <v>0.05</v>
      </c>
      <c r="I479" s="658">
        <v>3208</v>
      </c>
      <c r="K479" s="609"/>
      <c r="L479" s="610"/>
      <c r="M479" s="610"/>
      <c r="N479" s="610"/>
      <c r="O479" s="610"/>
      <c r="P479" s="610"/>
      <c r="Q479" s="1090"/>
    </row>
    <row r="480" spans="2:17" ht="25.5" customHeight="1" thickBot="1" x14ac:dyDescent="0.3">
      <c r="K480" s="609"/>
      <c r="L480" s="610"/>
      <c r="M480" s="610"/>
      <c r="N480" s="610"/>
      <c r="O480" s="610"/>
      <c r="P480" s="610"/>
      <c r="Q480" s="1090"/>
    </row>
    <row r="481" spans="2:17" ht="34.5" customHeight="1" thickBot="1" x14ac:dyDescent="0.3">
      <c r="B481" s="645" t="s">
        <v>8</v>
      </c>
      <c r="C481" s="645" t="s">
        <v>8</v>
      </c>
      <c r="D481" s="630" t="s">
        <v>9</v>
      </c>
      <c r="E481" s="630" t="s">
        <v>11</v>
      </c>
      <c r="F481" s="630" t="s">
        <v>2</v>
      </c>
      <c r="G481" s="1113" t="s">
        <v>3987</v>
      </c>
      <c r="H481" s="630" t="s">
        <v>4101</v>
      </c>
      <c r="I481" s="705" t="s">
        <v>14</v>
      </c>
      <c r="K481" s="609"/>
      <c r="L481" s="610"/>
      <c r="M481" s="610"/>
      <c r="N481" s="610"/>
      <c r="O481" s="610"/>
      <c r="P481" s="610"/>
      <c r="Q481" s="1090"/>
    </row>
    <row r="482" spans="2:17" ht="24" x14ac:dyDescent="0.25">
      <c r="B482" s="649" t="s">
        <v>4430</v>
      </c>
      <c r="C482" s="649"/>
      <c r="D482" s="573" t="s">
        <v>4139</v>
      </c>
      <c r="E482" s="706" t="s">
        <v>1027</v>
      </c>
      <c r="F482" s="707"/>
      <c r="G482" s="1118">
        <f>SUM(I483:I491)</f>
        <v>82445.77481425002</v>
      </c>
      <c r="H482" s="677"/>
      <c r="I482" s="678"/>
      <c r="K482" s="609" t="str">
        <f>+B482</f>
        <v>7.2</v>
      </c>
      <c r="L482" s="610">
        <f>SUM(I489)</f>
        <v>3116.6000000000004</v>
      </c>
      <c r="M482" s="610">
        <f>+I483+I491</f>
        <v>65448.6</v>
      </c>
      <c r="N482" s="610">
        <f>SUM(I484:I488)</f>
        <v>10763.974814249999</v>
      </c>
      <c r="O482" s="610">
        <f>+I490</f>
        <v>3116.6000000000004</v>
      </c>
      <c r="P482" s="610">
        <f>SUM(L482:O482)</f>
        <v>82445.774814250006</v>
      </c>
      <c r="Q482" s="1090">
        <f>+G482-P482</f>
        <v>0</v>
      </c>
    </row>
    <row r="483" spans="2:17" x14ac:dyDescent="0.25">
      <c r="B483" s="669" t="s">
        <v>15</v>
      </c>
      <c r="C483" s="669" t="s">
        <v>15</v>
      </c>
      <c r="D483" s="444" t="str">
        <f>+MO!B68</f>
        <v>CUADRILLA AA TIPO 1 (1 OFICIAL + 1 AYUDANTE) (Albañileria)</v>
      </c>
      <c r="E483" s="445" t="str">
        <f>+E476</f>
        <v>DIA</v>
      </c>
      <c r="F483" s="580">
        <v>1</v>
      </c>
      <c r="G483" s="581">
        <f>+MO!H68</f>
        <v>249328</v>
      </c>
      <c r="H483" s="580">
        <f>(120/480)</f>
        <v>0.25</v>
      </c>
      <c r="I483" s="652">
        <f>(F483*G483*H483)</f>
        <v>62332</v>
      </c>
      <c r="K483" s="609"/>
      <c r="L483" s="610"/>
      <c r="M483" s="610"/>
      <c r="N483" s="610"/>
      <c r="O483" s="610"/>
      <c r="P483" s="610"/>
      <c r="Q483" s="1090"/>
    </row>
    <row r="484" spans="2:17" x14ac:dyDescent="0.25">
      <c r="B484" s="669" t="s">
        <v>4083</v>
      </c>
      <c r="C484" s="669" t="s">
        <v>4083</v>
      </c>
      <c r="D484" s="444" t="str">
        <f>+INSUMOS!B115</f>
        <v>TUBO PRESIÓ DE 1/2" RDE 9 500 PSI 1/*2"</v>
      </c>
      <c r="E484" s="445" t="str">
        <f>+INSUMOS!D115</f>
        <v>METRO</v>
      </c>
      <c r="F484" s="580">
        <v>1.05</v>
      </c>
      <c r="G484" s="581">
        <f>+INSUMOS!E115</f>
        <v>6078</v>
      </c>
      <c r="H484" s="580">
        <v>1.05</v>
      </c>
      <c r="I484" s="652">
        <f t="shared" ref="I484:I491" si="107">(F484*G484*H484)</f>
        <v>6700.9950000000008</v>
      </c>
      <c r="K484" s="609"/>
      <c r="L484" s="610"/>
      <c r="M484" s="610"/>
      <c r="N484" s="610"/>
      <c r="O484" s="610"/>
      <c r="P484" s="610"/>
      <c r="Q484" s="1090"/>
    </row>
    <row r="485" spans="2:17" x14ac:dyDescent="0.25">
      <c r="B485" s="669" t="s">
        <v>4083</v>
      </c>
      <c r="C485" s="669" t="s">
        <v>4083</v>
      </c>
      <c r="D485" s="444" t="s">
        <v>4140</v>
      </c>
      <c r="E485" s="445" t="s">
        <v>4141</v>
      </c>
      <c r="F485" s="580">
        <v>0.2</v>
      </c>
      <c r="G485" s="581">
        <f>+G484</f>
        <v>6078</v>
      </c>
      <c r="H485" s="580">
        <v>1.05</v>
      </c>
      <c r="I485" s="652">
        <f t="shared" si="107"/>
        <v>1276.3800000000001</v>
      </c>
      <c r="K485" s="615"/>
      <c r="L485" s="610"/>
      <c r="M485" s="610"/>
      <c r="N485" s="610"/>
      <c r="O485" s="610"/>
      <c r="Q485" s="1091"/>
    </row>
    <row r="486" spans="2:17" x14ac:dyDescent="0.25">
      <c r="B486" s="669" t="s">
        <v>4083</v>
      </c>
      <c r="C486" s="669" t="s">
        <v>4083</v>
      </c>
      <c r="D486" s="444" t="str">
        <f>+INSUMOS!B111</f>
        <v>LIMPIADOR REMOVEDOR PVC 760 GMD (1/4)</v>
      </c>
      <c r="E486" s="445" t="str">
        <f>+INSUMOS!D111</f>
        <v>UN</v>
      </c>
      <c r="F486" s="580">
        <v>0.01</v>
      </c>
      <c r="G486" s="581">
        <f>+INSUMOS!E111</f>
        <v>62802</v>
      </c>
      <c r="H486" s="580">
        <v>1.05</v>
      </c>
      <c r="I486" s="652">
        <f t="shared" si="107"/>
        <v>659.42100000000005</v>
      </c>
      <c r="K486" s="609"/>
      <c r="L486" s="610"/>
      <c r="M486" s="610"/>
      <c r="N486" s="610"/>
      <c r="O486" s="610"/>
      <c r="P486" s="610"/>
      <c r="Q486" s="1090"/>
    </row>
    <row r="487" spans="2:17" ht="17.25" customHeight="1" x14ac:dyDescent="0.25">
      <c r="B487" s="669" t="s">
        <v>4083</v>
      </c>
      <c r="C487" s="669" t="s">
        <v>4083</v>
      </c>
      <c r="D487" s="444" t="str">
        <f>+INSUMOS!B112</f>
        <v>SOLDADURA PVC LIQUIDA 1/4</v>
      </c>
      <c r="E487" s="445" t="str">
        <f>+INSUMOS!D112</f>
        <v>UN</v>
      </c>
      <c r="F487" s="580">
        <v>0.01</v>
      </c>
      <c r="G487" s="581">
        <f>+INSUMOS!E112</f>
        <v>143174</v>
      </c>
      <c r="H487" s="580">
        <v>1.05</v>
      </c>
      <c r="I487" s="652">
        <f t="shared" si="107"/>
        <v>1503.327</v>
      </c>
      <c r="K487" s="609"/>
      <c r="L487" s="610"/>
      <c r="M487" s="610"/>
      <c r="N487" s="610"/>
      <c r="O487" s="610"/>
      <c r="P487" s="610"/>
      <c r="Q487" s="1090"/>
    </row>
    <row r="488" spans="2:17" x14ac:dyDescent="0.25">
      <c r="B488" s="669" t="s">
        <v>4083</v>
      </c>
      <c r="C488" s="669" t="s">
        <v>4083</v>
      </c>
      <c r="D488" s="444" t="s">
        <v>4143</v>
      </c>
      <c r="E488" s="445" t="str">
        <f>+'SUB ANALISIS CONCRETO'!C7</f>
        <v>M3</v>
      </c>
      <c r="F488" s="580">
        <v>1.5E-3</v>
      </c>
      <c r="G488" s="581">
        <f>+'SUB ANALISIS MORTERO'!I25</f>
        <v>396096.39</v>
      </c>
      <c r="H488" s="580">
        <v>1.05</v>
      </c>
      <c r="I488" s="652">
        <f t="shared" si="107"/>
        <v>623.85181425000007</v>
      </c>
      <c r="K488" s="609"/>
      <c r="L488" s="610"/>
      <c r="M488" s="610"/>
      <c r="N488" s="610"/>
      <c r="O488" s="610"/>
      <c r="P488" s="610"/>
      <c r="Q488" s="1090"/>
    </row>
    <row r="489" spans="2:17" x14ac:dyDescent="0.25">
      <c r="B489" s="669" t="s">
        <v>205</v>
      </c>
      <c r="C489" s="669" t="s">
        <v>205</v>
      </c>
      <c r="D489" s="444" t="str">
        <f>+D477</f>
        <v>EQUIPO BÁSICO (HERRAMIENTA MENOR)</v>
      </c>
      <c r="E489" s="445" t="str">
        <f>+E477</f>
        <v>UN</v>
      </c>
      <c r="F489" s="580">
        <v>1</v>
      </c>
      <c r="G489" s="581">
        <f>+I483</f>
        <v>62332</v>
      </c>
      <c r="H489" s="580">
        <v>0.05</v>
      </c>
      <c r="I489" s="652">
        <f t="shared" si="107"/>
        <v>3116.6000000000004</v>
      </c>
      <c r="K489" s="609"/>
      <c r="L489" s="610"/>
      <c r="M489" s="610"/>
      <c r="N489" s="610"/>
      <c r="O489" s="610"/>
      <c r="P489" s="610"/>
      <c r="Q489" s="1090"/>
    </row>
    <row r="490" spans="2:17" x14ac:dyDescent="0.25">
      <c r="B490" s="671" t="s">
        <v>204</v>
      </c>
      <c r="C490" s="671" t="s">
        <v>204</v>
      </c>
      <c r="D490" s="444" t="str">
        <f>+D478</f>
        <v>EQUPO DE TRANSPORTE</v>
      </c>
      <c r="E490" s="445" t="str">
        <f>+E489</f>
        <v>UN</v>
      </c>
      <c r="F490" s="580">
        <v>1</v>
      </c>
      <c r="G490" s="581">
        <f>+I483</f>
        <v>62332</v>
      </c>
      <c r="H490" s="580">
        <v>0.05</v>
      </c>
      <c r="I490" s="652">
        <f t="shared" si="107"/>
        <v>3116.6000000000004</v>
      </c>
      <c r="K490" s="609"/>
      <c r="L490" s="610"/>
      <c r="M490" s="610"/>
      <c r="N490" s="610"/>
      <c r="O490" s="610"/>
      <c r="P490" s="610"/>
      <c r="Q490" s="1090"/>
    </row>
    <row r="491" spans="2:17" ht="15.75" thickBot="1" x14ac:dyDescent="0.3">
      <c r="B491" s="672" t="s">
        <v>204</v>
      </c>
      <c r="C491" s="672" t="s">
        <v>204</v>
      </c>
      <c r="D491" s="654" t="str">
        <f>+D479</f>
        <v>ACARREO INTERNO</v>
      </c>
      <c r="E491" s="673" t="str">
        <f>+E490</f>
        <v>UN</v>
      </c>
      <c r="F491" s="656">
        <v>1</v>
      </c>
      <c r="G491" s="1119">
        <f>+I483</f>
        <v>62332</v>
      </c>
      <c r="H491" s="656">
        <v>0.05</v>
      </c>
      <c r="I491" s="658">
        <f t="shared" si="107"/>
        <v>3116.6000000000004</v>
      </c>
      <c r="K491" s="609"/>
      <c r="L491" s="610"/>
      <c r="M491" s="610"/>
      <c r="N491" s="610"/>
      <c r="O491" s="610"/>
      <c r="P491" s="610"/>
      <c r="Q491" s="1090"/>
    </row>
    <row r="492" spans="2:17" ht="15.75" thickBot="1" x14ac:dyDescent="0.3">
      <c r="K492" s="609"/>
      <c r="L492" s="610"/>
      <c r="M492" s="610"/>
      <c r="N492" s="610"/>
      <c r="O492" s="610"/>
      <c r="P492" s="610"/>
      <c r="Q492" s="1090"/>
    </row>
    <row r="493" spans="2:17" ht="24.75" thickBot="1" x14ac:dyDescent="0.3">
      <c r="B493" s="645" t="s">
        <v>8</v>
      </c>
      <c r="C493" s="645" t="s">
        <v>8</v>
      </c>
      <c r="D493" s="630" t="s">
        <v>9</v>
      </c>
      <c r="E493" s="630" t="s">
        <v>11</v>
      </c>
      <c r="F493" s="630" t="s">
        <v>2</v>
      </c>
      <c r="G493" s="1113" t="s">
        <v>3987</v>
      </c>
      <c r="H493" s="630" t="s">
        <v>4101</v>
      </c>
      <c r="I493" s="631" t="s">
        <v>14</v>
      </c>
      <c r="K493" s="609"/>
      <c r="L493" s="610"/>
      <c r="M493" s="610"/>
      <c r="N493" s="610"/>
      <c r="O493" s="610"/>
      <c r="P493" s="610"/>
      <c r="Q493" s="1090"/>
    </row>
    <row r="494" spans="2:17" ht="24" x14ac:dyDescent="0.25">
      <c r="B494" s="649" t="s">
        <v>4433</v>
      </c>
      <c r="C494" s="649"/>
      <c r="D494" s="573" t="s">
        <v>4148</v>
      </c>
      <c r="E494" s="706" t="s">
        <v>1027</v>
      </c>
      <c r="F494" s="707"/>
      <c r="G494" s="1118">
        <f>SUM(I495:I503)</f>
        <v>86123.208723124597</v>
      </c>
      <c r="H494" s="677"/>
      <c r="I494" s="678"/>
      <c r="K494" s="609" t="str">
        <f>+B494</f>
        <v>4.3</v>
      </c>
      <c r="L494" s="610">
        <f>SUM(I501)</f>
        <v>2316.9</v>
      </c>
      <c r="M494" s="610">
        <f>+I495+I503</f>
        <v>56377.9</v>
      </c>
      <c r="N494" s="610">
        <f>SUM(I496:I500)</f>
        <v>25111.508723124603</v>
      </c>
      <c r="O494" s="610">
        <f>+I502</f>
        <v>2316.9</v>
      </c>
      <c r="P494" s="610">
        <f>SUM(L494:O494)</f>
        <v>86123.208723124597</v>
      </c>
      <c r="Q494" s="1090">
        <f>+G494-P494</f>
        <v>0</v>
      </c>
    </row>
    <row r="495" spans="2:17" x14ac:dyDescent="0.25">
      <c r="B495" s="669" t="s">
        <v>15</v>
      </c>
      <c r="C495" s="669" t="s">
        <v>15</v>
      </c>
      <c r="D495" s="444" t="s">
        <v>119</v>
      </c>
      <c r="E495" s="445" t="s">
        <v>202</v>
      </c>
      <c r="F495" s="580">
        <v>1</v>
      </c>
      <c r="G495" s="581">
        <v>185352</v>
      </c>
      <c r="H495" s="580">
        <f>(140/480)</f>
        <v>0.29166666666666669</v>
      </c>
      <c r="I495" s="652">
        <f>(F495*G495*H495)</f>
        <v>54061</v>
      </c>
      <c r="K495" s="609"/>
      <c r="L495" s="610"/>
      <c r="M495" s="610"/>
      <c r="N495" s="610"/>
      <c r="O495" s="610"/>
      <c r="P495" s="610"/>
      <c r="Q495" s="1090"/>
    </row>
    <row r="496" spans="2:17" ht="24" customHeight="1" x14ac:dyDescent="0.25">
      <c r="B496" s="669" t="s">
        <v>4083</v>
      </c>
      <c r="C496" s="669" t="s">
        <v>4083</v>
      </c>
      <c r="D496" s="444" t="str">
        <f>+INSUMOS!B108</f>
        <v>TUBO PVC SANITARIO DE 2"</v>
      </c>
      <c r="E496" s="445" t="str">
        <f>+INSUMOS!D108</f>
        <v>METRO</v>
      </c>
      <c r="F496" s="580">
        <v>1.05</v>
      </c>
      <c r="G496" s="581">
        <f>+INSUMOS!E108</f>
        <v>16951</v>
      </c>
      <c r="H496" s="580">
        <v>1.05</v>
      </c>
      <c r="I496" s="652">
        <f t="shared" ref="I496:I503" si="108">(F496*G496*H496)</f>
        <v>18688.477500000001</v>
      </c>
      <c r="K496" s="609"/>
      <c r="L496" s="610"/>
      <c r="M496" s="610"/>
      <c r="N496" s="610"/>
      <c r="O496" s="610"/>
      <c r="P496" s="610"/>
      <c r="Q496" s="1090"/>
    </row>
    <row r="497" spans="2:17" ht="18.75" customHeight="1" x14ac:dyDescent="0.25">
      <c r="B497" s="669" t="s">
        <v>4083</v>
      </c>
      <c r="C497" s="669" t="s">
        <v>4083</v>
      </c>
      <c r="D497" s="444" t="s">
        <v>4140</v>
      </c>
      <c r="E497" s="445" t="s">
        <v>4141</v>
      </c>
      <c r="F497" s="580">
        <v>0.2</v>
      </c>
      <c r="G497" s="581">
        <f>+G496</f>
        <v>16951</v>
      </c>
      <c r="H497" s="580">
        <v>1.05</v>
      </c>
      <c r="I497" s="652">
        <f t="shared" si="108"/>
        <v>3559.7100000000005</v>
      </c>
      <c r="K497" s="615"/>
      <c r="L497" s="610"/>
      <c r="M497" s="610"/>
      <c r="N497" s="610"/>
      <c r="O497" s="610"/>
      <c r="Q497" s="1091"/>
    </row>
    <row r="498" spans="2:17" x14ac:dyDescent="0.25">
      <c r="B498" s="669" t="s">
        <v>4083</v>
      </c>
      <c r="C498" s="669" t="s">
        <v>4083</v>
      </c>
      <c r="D498" s="444" t="s">
        <v>4120</v>
      </c>
      <c r="E498" s="445" t="s">
        <v>4016</v>
      </c>
      <c r="F498" s="580">
        <v>1.2E-2</v>
      </c>
      <c r="G498" s="581">
        <v>54273</v>
      </c>
      <c r="H498" s="580">
        <v>1.05</v>
      </c>
      <c r="I498" s="652">
        <f t="shared" si="108"/>
        <v>683.83980000000008</v>
      </c>
      <c r="K498" s="609"/>
      <c r="L498" s="610"/>
      <c r="M498" s="610"/>
      <c r="N498" s="610"/>
      <c r="O498" s="610"/>
      <c r="P498" s="610"/>
      <c r="Q498" s="1090"/>
    </row>
    <row r="499" spans="2:17" x14ac:dyDescent="0.25">
      <c r="B499" s="669" t="s">
        <v>4083</v>
      </c>
      <c r="C499" s="669" t="s">
        <v>4083</v>
      </c>
      <c r="D499" s="444" t="s">
        <v>1893</v>
      </c>
      <c r="E499" s="445" t="s">
        <v>4016</v>
      </c>
      <c r="F499" s="580">
        <v>1.0999999999999999E-2</v>
      </c>
      <c r="G499" s="581">
        <v>123730</v>
      </c>
      <c r="H499" s="580">
        <v>1.05</v>
      </c>
      <c r="I499" s="652">
        <f t="shared" si="108"/>
        <v>1429.0815</v>
      </c>
      <c r="K499" s="609"/>
      <c r="L499" s="610"/>
      <c r="M499" s="610"/>
      <c r="N499" s="610"/>
      <c r="O499" s="610"/>
      <c r="P499" s="610"/>
      <c r="Q499" s="1090"/>
    </row>
    <row r="500" spans="2:17" x14ac:dyDescent="0.25">
      <c r="B500" s="669" t="s">
        <v>4083</v>
      </c>
      <c r="C500" s="669" t="s">
        <v>4083</v>
      </c>
      <c r="D500" s="444" t="s">
        <v>4143</v>
      </c>
      <c r="E500" s="445" t="s">
        <v>3980</v>
      </c>
      <c r="F500" s="580">
        <v>1.5E-3</v>
      </c>
      <c r="G500" s="581">
        <v>476444.39563466678</v>
      </c>
      <c r="H500" s="580">
        <v>1.05</v>
      </c>
      <c r="I500" s="652">
        <f t="shared" si="108"/>
        <v>750.39992312460015</v>
      </c>
      <c r="K500" s="609"/>
      <c r="L500" s="610"/>
      <c r="M500" s="610"/>
      <c r="N500" s="610"/>
      <c r="O500" s="610"/>
      <c r="P500" s="610"/>
      <c r="Q500" s="1090"/>
    </row>
    <row r="501" spans="2:17" x14ac:dyDescent="0.25">
      <c r="B501" s="669" t="s">
        <v>205</v>
      </c>
      <c r="C501" s="669" t="s">
        <v>205</v>
      </c>
      <c r="D501" s="444" t="s">
        <v>4146</v>
      </c>
      <c r="E501" s="445" t="s">
        <v>4025</v>
      </c>
      <c r="F501" s="580">
        <v>1</v>
      </c>
      <c r="G501" s="581">
        <v>46338</v>
      </c>
      <c r="H501" s="580">
        <v>0.05</v>
      </c>
      <c r="I501" s="652">
        <f t="shared" si="108"/>
        <v>2316.9</v>
      </c>
      <c r="K501" s="609"/>
      <c r="L501" s="610"/>
      <c r="M501" s="610"/>
      <c r="N501" s="610"/>
      <c r="O501" s="610"/>
      <c r="P501" s="610"/>
      <c r="Q501" s="1090"/>
    </row>
    <row r="502" spans="2:17" x14ac:dyDescent="0.25">
      <c r="B502" s="671" t="s">
        <v>204</v>
      </c>
      <c r="C502" s="671" t="s">
        <v>204</v>
      </c>
      <c r="D502" s="444" t="s">
        <v>4110</v>
      </c>
      <c r="E502" s="445" t="s">
        <v>4025</v>
      </c>
      <c r="F502" s="580">
        <v>1</v>
      </c>
      <c r="G502" s="581">
        <v>46338</v>
      </c>
      <c r="H502" s="580">
        <v>0.05</v>
      </c>
      <c r="I502" s="652">
        <f t="shared" si="108"/>
        <v>2316.9</v>
      </c>
      <c r="K502" s="609"/>
      <c r="L502" s="610"/>
      <c r="M502" s="610"/>
      <c r="N502" s="610"/>
      <c r="O502" s="610"/>
      <c r="P502" s="610"/>
      <c r="Q502" s="1090"/>
    </row>
    <row r="503" spans="2:17" ht="15.75" thickBot="1" x14ac:dyDescent="0.3">
      <c r="B503" s="672" t="s">
        <v>204</v>
      </c>
      <c r="C503" s="672" t="s">
        <v>204</v>
      </c>
      <c r="D503" s="654" t="s">
        <v>18</v>
      </c>
      <c r="E503" s="673" t="s">
        <v>4025</v>
      </c>
      <c r="F503" s="656">
        <v>1</v>
      </c>
      <c r="G503" s="1119">
        <v>46338</v>
      </c>
      <c r="H503" s="656">
        <v>0.05</v>
      </c>
      <c r="I503" s="658">
        <f t="shared" si="108"/>
        <v>2316.9</v>
      </c>
      <c r="K503" s="609"/>
      <c r="L503" s="610"/>
      <c r="M503" s="610"/>
      <c r="N503" s="610"/>
      <c r="O503" s="610"/>
      <c r="P503" s="610"/>
      <c r="Q503" s="1090"/>
    </row>
    <row r="504" spans="2:17" ht="20.25" customHeight="1" thickBot="1" x14ac:dyDescent="0.3">
      <c r="Q504" s="1090"/>
    </row>
    <row r="505" spans="2:17" ht="24.75" thickBot="1" x14ac:dyDescent="0.3">
      <c r="B505" s="645" t="s">
        <v>8</v>
      </c>
      <c r="C505" s="645" t="s">
        <v>8</v>
      </c>
      <c r="D505" s="630" t="s">
        <v>9</v>
      </c>
      <c r="E505" s="645" t="s">
        <v>11</v>
      </c>
      <c r="F505" s="645" t="s">
        <v>2</v>
      </c>
      <c r="G505" s="1124" t="s">
        <v>3987</v>
      </c>
      <c r="H505" s="645" t="s">
        <v>4101</v>
      </c>
      <c r="I505" s="711" t="s">
        <v>14</v>
      </c>
      <c r="K505" s="609"/>
      <c r="L505" s="610"/>
      <c r="M505" s="610"/>
      <c r="N505" s="610"/>
      <c r="O505" s="610"/>
      <c r="P505" s="610"/>
      <c r="Q505" s="1090"/>
    </row>
    <row r="506" spans="2:17" ht="24" x14ac:dyDescent="0.25">
      <c r="B506" s="649" t="s">
        <v>4434</v>
      </c>
      <c r="C506" s="649"/>
      <c r="D506" s="573" t="s">
        <v>4150</v>
      </c>
      <c r="E506" s="573" t="s">
        <v>1027</v>
      </c>
      <c r="F506" s="573"/>
      <c r="G506" s="1118">
        <f>SUM(I507:I515)</f>
        <v>98725.906223124577</v>
      </c>
      <c r="H506" s="677"/>
      <c r="I506" s="678"/>
      <c r="K506" s="609" t="str">
        <f>+B506</f>
        <v>4.4</v>
      </c>
      <c r="L506" s="610">
        <f>SUM(I513)</f>
        <v>2316.9</v>
      </c>
      <c r="M506" s="610">
        <f>+I507+I515</f>
        <v>60239.4</v>
      </c>
      <c r="N506" s="610">
        <f>SUM(I508:I512)</f>
        <v>33852.706223124602</v>
      </c>
      <c r="O506" s="610">
        <f>+I514</f>
        <v>2316.9</v>
      </c>
      <c r="P506" s="610">
        <f>SUM(L506:O506)</f>
        <v>98725.906223124592</v>
      </c>
      <c r="Q506" s="1090">
        <f>+G506-P506</f>
        <v>0</v>
      </c>
    </row>
    <row r="507" spans="2:17" x14ac:dyDescent="0.25">
      <c r="B507" s="669" t="s">
        <v>15</v>
      </c>
      <c r="C507" s="669" t="s">
        <v>15</v>
      </c>
      <c r="D507" s="444" t="s">
        <v>119</v>
      </c>
      <c r="E507" s="445" t="s">
        <v>202</v>
      </c>
      <c r="F507" s="580">
        <v>1</v>
      </c>
      <c r="G507" s="581">
        <v>185352</v>
      </c>
      <c r="H507" s="580">
        <f>(150/480)</f>
        <v>0.3125</v>
      </c>
      <c r="I507" s="652">
        <f>(F507*G507*H507)</f>
        <v>57922.5</v>
      </c>
      <c r="K507" s="609"/>
      <c r="L507" s="610"/>
      <c r="M507" s="610"/>
      <c r="N507" s="610"/>
      <c r="O507" s="610"/>
      <c r="P507" s="610"/>
      <c r="Q507" s="1090"/>
    </row>
    <row r="508" spans="2:17" x14ac:dyDescent="0.25">
      <c r="B508" s="669" t="s">
        <v>4083</v>
      </c>
      <c r="C508" s="669" t="s">
        <v>4083</v>
      </c>
      <c r="D508" s="444" t="str">
        <f>+INSUMOS!B126</f>
        <v>TUBO PVC SANITARIO 3"</v>
      </c>
      <c r="E508" s="445" t="str">
        <f>+INSUMOS!D126</f>
        <v>METRO</v>
      </c>
      <c r="F508" s="580">
        <v>1.05</v>
      </c>
      <c r="G508" s="581">
        <f>+INSUMOS!E126</f>
        <v>25318</v>
      </c>
      <c r="H508" s="580">
        <v>1.05</v>
      </c>
      <c r="I508" s="652">
        <f t="shared" ref="I508:I515" si="109">(F508*G508*H508)</f>
        <v>27913.095000000001</v>
      </c>
      <c r="K508" s="609"/>
      <c r="L508" s="610"/>
      <c r="M508" s="610"/>
      <c r="N508" s="610"/>
      <c r="O508" s="610"/>
      <c r="P508" s="610"/>
      <c r="Q508" s="1090"/>
    </row>
    <row r="509" spans="2:17" x14ac:dyDescent="0.25">
      <c r="B509" s="669" t="s">
        <v>4083</v>
      </c>
      <c r="C509" s="669" t="s">
        <v>4083</v>
      </c>
      <c r="D509" s="444" t="s">
        <v>4140</v>
      </c>
      <c r="E509" s="445" t="s">
        <v>4141</v>
      </c>
      <c r="F509" s="580">
        <v>0.2</v>
      </c>
      <c r="G509" s="581">
        <v>14649</v>
      </c>
      <c r="H509" s="580">
        <v>1.05</v>
      </c>
      <c r="I509" s="652">
        <f t="shared" si="109"/>
        <v>3076.2900000000004</v>
      </c>
      <c r="K509" s="615"/>
      <c r="L509" s="610"/>
      <c r="M509" s="610"/>
      <c r="N509" s="610"/>
      <c r="O509" s="610"/>
      <c r="Q509" s="1091"/>
    </row>
    <row r="510" spans="2:17" x14ac:dyDescent="0.25">
      <c r="B510" s="669" t="s">
        <v>4083</v>
      </c>
      <c r="C510" s="669" t="s">
        <v>4083</v>
      </c>
      <c r="D510" s="444" t="s">
        <v>4120</v>
      </c>
      <c r="E510" s="445" t="s">
        <v>4016</v>
      </c>
      <c r="F510" s="580">
        <v>1.2E-2</v>
      </c>
      <c r="G510" s="581">
        <v>54273</v>
      </c>
      <c r="H510" s="580">
        <v>1.05</v>
      </c>
      <c r="I510" s="652">
        <f t="shared" si="109"/>
        <v>683.83980000000008</v>
      </c>
      <c r="K510" s="609"/>
      <c r="L510" s="610"/>
      <c r="M510" s="610"/>
      <c r="N510" s="610"/>
      <c r="O510" s="610"/>
      <c r="P510" s="610"/>
      <c r="Q510" s="1090"/>
    </row>
    <row r="511" spans="2:17" x14ac:dyDescent="0.25">
      <c r="B511" s="669" t="s">
        <v>4083</v>
      </c>
      <c r="C511" s="669" t="s">
        <v>4083</v>
      </c>
      <c r="D511" s="444" t="s">
        <v>1893</v>
      </c>
      <c r="E511" s="445" t="s">
        <v>4016</v>
      </c>
      <c r="F511" s="580">
        <v>1.0999999999999999E-2</v>
      </c>
      <c r="G511" s="581">
        <v>123730</v>
      </c>
      <c r="H511" s="580">
        <v>1.05</v>
      </c>
      <c r="I511" s="652">
        <f t="shared" si="109"/>
        <v>1429.0815</v>
      </c>
      <c r="K511" s="609"/>
      <c r="L511" s="610"/>
      <c r="M511" s="610"/>
      <c r="N511" s="610"/>
      <c r="O511" s="610"/>
      <c r="P511" s="610"/>
      <c r="Q511" s="1090"/>
    </row>
    <row r="512" spans="2:17" x14ac:dyDescent="0.25">
      <c r="B512" s="669" t="s">
        <v>4083</v>
      </c>
      <c r="C512" s="669" t="s">
        <v>4083</v>
      </c>
      <c r="D512" s="444" t="s">
        <v>4143</v>
      </c>
      <c r="E512" s="445" t="s">
        <v>3980</v>
      </c>
      <c r="F512" s="580">
        <v>1.5E-3</v>
      </c>
      <c r="G512" s="581">
        <v>476444.39563466678</v>
      </c>
      <c r="H512" s="580">
        <v>1.05</v>
      </c>
      <c r="I512" s="652">
        <f t="shared" si="109"/>
        <v>750.39992312460015</v>
      </c>
      <c r="K512" s="609"/>
      <c r="L512" s="610"/>
      <c r="M512" s="610"/>
      <c r="N512" s="610"/>
      <c r="O512" s="610"/>
      <c r="P512" s="610"/>
      <c r="Q512" s="1090"/>
    </row>
    <row r="513" spans="2:17" ht="19.5" customHeight="1" x14ac:dyDescent="0.25">
      <c r="B513" s="669" t="s">
        <v>205</v>
      </c>
      <c r="C513" s="669" t="s">
        <v>205</v>
      </c>
      <c r="D513" s="444" t="s">
        <v>4146</v>
      </c>
      <c r="E513" s="445" t="s">
        <v>4025</v>
      </c>
      <c r="F513" s="580">
        <v>1</v>
      </c>
      <c r="G513" s="581">
        <v>46338</v>
      </c>
      <c r="H513" s="580">
        <v>0.05</v>
      </c>
      <c r="I513" s="652">
        <f t="shared" si="109"/>
        <v>2316.9</v>
      </c>
      <c r="K513" s="609"/>
      <c r="L513" s="610"/>
      <c r="M513" s="610"/>
      <c r="N513" s="610"/>
      <c r="O513" s="610"/>
      <c r="P513" s="610"/>
      <c r="Q513" s="1090"/>
    </row>
    <row r="514" spans="2:17" x14ac:dyDescent="0.25">
      <c r="B514" s="671" t="s">
        <v>204</v>
      </c>
      <c r="C514" s="671" t="s">
        <v>204</v>
      </c>
      <c r="D514" s="444" t="s">
        <v>4110</v>
      </c>
      <c r="E514" s="445" t="s">
        <v>4025</v>
      </c>
      <c r="F514" s="580">
        <v>1</v>
      </c>
      <c r="G514" s="581">
        <v>46338</v>
      </c>
      <c r="H514" s="580">
        <v>0.05</v>
      </c>
      <c r="I514" s="652">
        <f t="shared" si="109"/>
        <v>2316.9</v>
      </c>
      <c r="K514" s="609"/>
      <c r="L514" s="610"/>
      <c r="M514" s="610"/>
      <c r="N514" s="610"/>
      <c r="O514" s="610"/>
      <c r="P514" s="610"/>
      <c r="Q514" s="1090"/>
    </row>
    <row r="515" spans="2:17" ht="17.25" customHeight="1" thickBot="1" x14ac:dyDescent="0.3">
      <c r="B515" s="672" t="s">
        <v>204</v>
      </c>
      <c r="C515" s="672" t="s">
        <v>204</v>
      </c>
      <c r="D515" s="654" t="s">
        <v>18</v>
      </c>
      <c r="E515" s="673" t="s">
        <v>4025</v>
      </c>
      <c r="F515" s="656">
        <v>1</v>
      </c>
      <c r="G515" s="1119">
        <v>46338</v>
      </c>
      <c r="H515" s="656">
        <v>0.05</v>
      </c>
      <c r="I515" s="658">
        <f t="shared" si="109"/>
        <v>2316.9</v>
      </c>
      <c r="K515" s="609"/>
      <c r="L515" s="610"/>
      <c r="M515" s="610"/>
      <c r="N515" s="610"/>
      <c r="O515" s="610"/>
      <c r="P515" s="610"/>
      <c r="Q515" s="1090"/>
    </row>
    <row r="516" spans="2:17" ht="19.5" customHeight="1" thickBot="1" x14ac:dyDescent="0.3">
      <c r="Q516" s="1090"/>
    </row>
    <row r="517" spans="2:17" ht="29.25" customHeight="1" thickBot="1" x14ac:dyDescent="0.3">
      <c r="B517" s="595" t="s">
        <v>8</v>
      </c>
      <c r="C517" s="595" t="s">
        <v>8</v>
      </c>
      <c r="D517" s="665" t="s">
        <v>9</v>
      </c>
      <c r="E517" s="665" t="s">
        <v>11</v>
      </c>
      <c r="F517" s="665" t="s">
        <v>2</v>
      </c>
      <c r="G517" s="1120" t="s">
        <v>3987</v>
      </c>
      <c r="H517" s="665" t="s">
        <v>4101</v>
      </c>
      <c r="I517" s="666" t="s">
        <v>14</v>
      </c>
      <c r="K517" s="609"/>
      <c r="L517" s="610"/>
      <c r="M517" s="610"/>
      <c r="N517" s="610"/>
      <c r="O517" s="610"/>
      <c r="P517" s="610"/>
      <c r="Q517" s="1090"/>
    </row>
    <row r="518" spans="2:17" ht="24" customHeight="1" x14ac:dyDescent="0.25">
      <c r="B518" s="649" t="s">
        <v>4435</v>
      </c>
      <c r="C518" s="649"/>
      <c r="D518" s="573" t="s">
        <v>4151</v>
      </c>
      <c r="E518" s="573" t="s">
        <v>1027</v>
      </c>
      <c r="F518" s="677"/>
      <c r="G518" s="1118">
        <f>SUM(I519:I527)</f>
        <v>113932.13122312458</v>
      </c>
      <c r="H518" s="677"/>
      <c r="I518" s="678"/>
      <c r="K518" s="609" t="str">
        <f>+B518</f>
        <v>4.5</v>
      </c>
      <c r="L518" s="610">
        <f>SUM(I525)</f>
        <v>2316.9</v>
      </c>
      <c r="M518" s="610">
        <f>+I519+I527</f>
        <v>64100.9</v>
      </c>
      <c r="N518" s="610">
        <f>SUM(I520:I524)</f>
        <v>45197.4312231246</v>
      </c>
      <c r="O518" s="610">
        <f>+I526</f>
        <v>2316.9</v>
      </c>
      <c r="P518" s="610">
        <f>SUM(L518:O518)</f>
        <v>113932.1312231246</v>
      </c>
      <c r="Q518" s="1090">
        <f>+G518-P518</f>
        <v>0</v>
      </c>
    </row>
    <row r="519" spans="2:17" x14ac:dyDescent="0.25">
      <c r="B519" s="669" t="s">
        <v>15</v>
      </c>
      <c r="C519" s="669" t="s">
        <v>15</v>
      </c>
      <c r="D519" s="444" t="s">
        <v>119</v>
      </c>
      <c r="E519" s="445" t="s">
        <v>202</v>
      </c>
      <c r="F519" s="580">
        <v>1</v>
      </c>
      <c r="G519" s="581">
        <v>185352</v>
      </c>
      <c r="H519" s="580">
        <f>(160/480)</f>
        <v>0.33333333333333331</v>
      </c>
      <c r="I519" s="652">
        <f>(F519*G519*H519)</f>
        <v>61784</v>
      </c>
      <c r="K519" s="609"/>
      <c r="L519" s="610"/>
      <c r="M519" s="610"/>
      <c r="N519" s="610"/>
      <c r="O519" s="610"/>
      <c r="P519" s="610"/>
      <c r="Q519" s="1090"/>
    </row>
    <row r="520" spans="2:17" x14ac:dyDescent="0.25">
      <c r="B520" s="669" t="s">
        <v>4083</v>
      </c>
      <c r="C520" s="669" t="s">
        <v>4083</v>
      </c>
      <c r="D520" s="444" t="s">
        <v>4149</v>
      </c>
      <c r="E520" s="445" t="str">
        <f>+INSUMOS!D116</f>
        <v>METRO</v>
      </c>
      <c r="F520" s="580">
        <v>1.05</v>
      </c>
      <c r="G520" s="581">
        <f>+INSUMOS!E116</f>
        <v>35608</v>
      </c>
      <c r="H520" s="580">
        <v>1.05</v>
      </c>
      <c r="I520" s="652">
        <f t="shared" ref="I520:I526" si="110">(F520*G520*H520)</f>
        <v>39257.82</v>
      </c>
      <c r="K520" s="609"/>
      <c r="L520" s="610"/>
      <c r="M520" s="610"/>
      <c r="N520" s="610"/>
      <c r="O520" s="610"/>
      <c r="P520" s="610"/>
      <c r="Q520" s="1090"/>
    </row>
    <row r="521" spans="2:17" x14ac:dyDescent="0.25">
      <c r="B521" s="669" t="s">
        <v>4083</v>
      </c>
      <c r="C521" s="669" t="s">
        <v>4083</v>
      </c>
      <c r="D521" s="444" t="s">
        <v>4140</v>
      </c>
      <c r="E521" s="445" t="s">
        <v>4141</v>
      </c>
      <c r="F521" s="580">
        <v>0.2</v>
      </c>
      <c r="G521" s="581">
        <v>14649</v>
      </c>
      <c r="H521" s="580">
        <v>1.05</v>
      </c>
      <c r="I521" s="652">
        <f t="shared" si="110"/>
        <v>3076.2900000000004</v>
      </c>
      <c r="K521" s="615"/>
      <c r="L521" s="610"/>
      <c r="M521" s="610"/>
      <c r="N521" s="610"/>
      <c r="O521" s="610"/>
      <c r="Q521" s="1091"/>
    </row>
    <row r="522" spans="2:17" ht="17.25" customHeight="1" x14ac:dyDescent="0.25">
      <c r="B522" s="669" t="s">
        <v>4083</v>
      </c>
      <c r="C522" s="669" t="s">
        <v>4083</v>
      </c>
      <c r="D522" s="444" t="s">
        <v>4120</v>
      </c>
      <c r="E522" s="445" t="s">
        <v>4016</v>
      </c>
      <c r="F522" s="580">
        <v>1.2E-2</v>
      </c>
      <c r="G522" s="581">
        <v>54273</v>
      </c>
      <c r="H522" s="580">
        <v>1.05</v>
      </c>
      <c r="I522" s="652">
        <f t="shared" si="110"/>
        <v>683.83980000000008</v>
      </c>
      <c r="K522" s="609"/>
      <c r="L522" s="610"/>
      <c r="M522" s="610"/>
      <c r="N522" s="610"/>
      <c r="O522" s="610"/>
      <c r="P522" s="610"/>
      <c r="Q522" s="1090"/>
    </row>
    <row r="523" spans="2:17" x14ac:dyDescent="0.25">
      <c r="B523" s="669" t="s">
        <v>4083</v>
      </c>
      <c r="C523" s="669" t="s">
        <v>4083</v>
      </c>
      <c r="D523" s="444" t="s">
        <v>1893</v>
      </c>
      <c r="E523" s="445" t="s">
        <v>4016</v>
      </c>
      <c r="F523" s="580">
        <v>1.0999999999999999E-2</v>
      </c>
      <c r="G523" s="581">
        <v>123730</v>
      </c>
      <c r="H523" s="580">
        <v>1.05</v>
      </c>
      <c r="I523" s="652">
        <f t="shared" si="110"/>
        <v>1429.0815</v>
      </c>
      <c r="K523" s="609"/>
      <c r="L523" s="610"/>
      <c r="M523" s="610"/>
      <c r="N523" s="610"/>
      <c r="O523" s="610"/>
      <c r="P523" s="610"/>
      <c r="Q523" s="1090"/>
    </row>
    <row r="524" spans="2:17" x14ac:dyDescent="0.25">
      <c r="B524" s="669" t="s">
        <v>4083</v>
      </c>
      <c r="C524" s="669" t="s">
        <v>4083</v>
      </c>
      <c r="D524" s="444" t="s">
        <v>4143</v>
      </c>
      <c r="E524" s="445" t="s">
        <v>3980</v>
      </c>
      <c r="F524" s="580">
        <v>1.5E-3</v>
      </c>
      <c r="G524" s="581">
        <v>476444.39563466678</v>
      </c>
      <c r="H524" s="580">
        <v>1.05</v>
      </c>
      <c r="I524" s="652">
        <f t="shared" si="110"/>
        <v>750.39992312460015</v>
      </c>
      <c r="K524" s="609"/>
      <c r="L524" s="610"/>
      <c r="M524" s="610"/>
      <c r="N524" s="610"/>
      <c r="O524" s="610"/>
      <c r="P524" s="610"/>
      <c r="Q524" s="1090"/>
    </row>
    <row r="525" spans="2:17" x14ac:dyDescent="0.25">
      <c r="B525" s="669" t="s">
        <v>205</v>
      </c>
      <c r="C525" s="669" t="s">
        <v>205</v>
      </c>
      <c r="D525" s="444" t="s">
        <v>4146</v>
      </c>
      <c r="E525" s="445" t="s">
        <v>4025</v>
      </c>
      <c r="F525" s="580">
        <v>1</v>
      </c>
      <c r="G525" s="581">
        <v>46338</v>
      </c>
      <c r="H525" s="580">
        <v>0.05</v>
      </c>
      <c r="I525" s="652">
        <f t="shared" si="110"/>
        <v>2316.9</v>
      </c>
      <c r="K525" s="609"/>
      <c r="L525" s="610"/>
      <c r="M525" s="610"/>
      <c r="N525" s="610"/>
      <c r="O525" s="610"/>
      <c r="P525" s="610"/>
      <c r="Q525" s="1090"/>
    </row>
    <row r="526" spans="2:17" x14ac:dyDescent="0.25">
      <c r="B526" s="671" t="s">
        <v>204</v>
      </c>
      <c r="C526" s="671" t="s">
        <v>204</v>
      </c>
      <c r="D526" s="444" t="s">
        <v>4110</v>
      </c>
      <c r="E526" s="445" t="s">
        <v>4025</v>
      </c>
      <c r="F526" s="580">
        <v>1</v>
      </c>
      <c r="G526" s="581">
        <v>46338</v>
      </c>
      <c r="H526" s="580">
        <v>0.05</v>
      </c>
      <c r="I526" s="652">
        <f t="shared" si="110"/>
        <v>2316.9</v>
      </c>
      <c r="K526" s="609"/>
      <c r="L526" s="610"/>
      <c r="M526" s="610"/>
      <c r="N526" s="610"/>
      <c r="O526" s="610"/>
      <c r="P526" s="610"/>
      <c r="Q526" s="1090"/>
    </row>
    <row r="527" spans="2:17" ht="15.75" thickBot="1" x14ac:dyDescent="0.3">
      <c r="B527" s="672" t="s">
        <v>204</v>
      </c>
      <c r="C527" s="672" t="s">
        <v>204</v>
      </c>
      <c r="D527" s="654" t="s">
        <v>18</v>
      </c>
      <c r="E527" s="673" t="s">
        <v>4025</v>
      </c>
      <c r="F527" s="656">
        <v>1</v>
      </c>
      <c r="G527" s="1119">
        <v>46338</v>
      </c>
      <c r="H527" s="656">
        <v>0.05</v>
      </c>
      <c r="I527" s="658">
        <f>(F527*G527*H527)</f>
        <v>2316.9</v>
      </c>
      <c r="K527" s="609"/>
      <c r="L527" s="610"/>
      <c r="M527" s="610"/>
      <c r="N527" s="610"/>
      <c r="O527" s="610"/>
      <c r="P527" s="610"/>
      <c r="Q527" s="1090"/>
    </row>
    <row r="528" spans="2:17" ht="13.5" customHeight="1" thickBot="1" x14ac:dyDescent="0.3">
      <c r="Q528" s="1090"/>
    </row>
    <row r="529" spans="2:17" ht="24.75" thickBot="1" x14ac:dyDescent="0.3">
      <c r="B529" s="595" t="s">
        <v>8</v>
      </c>
      <c r="C529" s="595" t="s">
        <v>8</v>
      </c>
      <c r="D529" s="665" t="s">
        <v>9</v>
      </c>
      <c r="E529" s="665" t="s">
        <v>11</v>
      </c>
      <c r="F529" s="665" t="s">
        <v>2</v>
      </c>
      <c r="G529" s="1120" t="s">
        <v>3987</v>
      </c>
      <c r="H529" s="665" t="s">
        <v>4101</v>
      </c>
      <c r="I529" s="666" t="s">
        <v>14</v>
      </c>
      <c r="K529" s="609"/>
      <c r="L529" s="610"/>
      <c r="M529" s="610"/>
      <c r="N529" s="610"/>
      <c r="O529" s="610"/>
      <c r="P529" s="610"/>
      <c r="Q529" s="1090"/>
    </row>
    <row r="530" spans="2:17" ht="24" x14ac:dyDescent="0.25">
      <c r="B530" s="649"/>
      <c r="C530" s="649"/>
      <c r="D530" s="604" t="s">
        <v>4249</v>
      </c>
      <c r="E530" s="706" t="s">
        <v>1027</v>
      </c>
      <c r="F530" s="713"/>
      <c r="G530" s="1118">
        <f>SUM(I531:I546)</f>
        <v>82993.439595000018</v>
      </c>
      <c r="H530" s="677"/>
      <c r="I530" s="678"/>
      <c r="K530" s="609"/>
      <c r="L530" s="610"/>
      <c r="M530" s="610"/>
      <c r="N530" s="610"/>
      <c r="O530" s="610"/>
      <c r="P530" s="610"/>
      <c r="Q530" s="1090"/>
    </row>
    <row r="531" spans="2:17" x14ac:dyDescent="0.25">
      <c r="B531" s="669" t="s">
        <v>15</v>
      </c>
      <c r="C531" s="669" t="s">
        <v>15</v>
      </c>
      <c r="D531" s="444" t="str">
        <f>+MO!B68</f>
        <v>CUADRILLA AA TIPO 1 (1 OFICIAL + 1 AYUDANTE) (Albañileria)</v>
      </c>
      <c r="E531" s="445" t="str">
        <f>+MO!H52</f>
        <v>DIA</v>
      </c>
      <c r="F531" s="580">
        <v>1</v>
      </c>
      <c r="G531" s="581">
        <f>+MO!H68</f>
        <v>249328</v>
      </c>
      <c r="H531" s="580">
        <f>(45/480)</f>
        <v>9.375E-2</v>
      </c>
      <c r="I531" s="652">
        <f>(F531*G531*H531)</f>
        <v>23374.5</v>
      </c>
      <c r="K531" s="609"/>
      <c r="L531" s="610"/>
      <c r="M531" s="610"/>
      <c r="N531" s="610"/>
      <c r="O531" s="610"/>
      <c r="P531" s="610"/>
      <c r="Q531" s="1090"/>
    </row>
    <row r="532" spans="2:17" x14ac:dyDescent="0.25">
      <c r="B532" s="669" t="s">
        <v>4083</v>
      </c>
      <c r="C532" s="669" t="s">
        <v>4083</v>
      </c>
      <c r="D532" s="444" t="s">
        <v>4155</v>
      </c>
      <c r="E532" s="445" t="s">
        <v>4142</v>
      </c>
      <c r="F532" s="580">
        <v>0.63</v>
      </c>
      <c r="G532" s="581">
        <v>2479</v>
      </c>
      <c r="H532" s="580">
        <v>1</v>
      </c>
      <c r="I532" s="652">
        <f t="shared" ref="I532:I546" si="111">(F532*G532*H532)</f>
        <v>1561.77</v>
      </c>
      <c r="K532" s="609"/>
      <c r="L532" s="610"/>
      <c r="M532" s="610"/>
      <c r="N532" s="610"/>
      <c r="O532" s="610"/>
      <c r="P532" s="610"/>
      <c r="Q532" s="1090"/>
    </row>
    <row r="533" spans="2:17" x14ac:dyDescent="0.25">
      <c r="B533" s="669" t="s">
        <v>4083</v>
      </c>
      <c r="C533" s="669" t="s">
        <v>4083</v>
      </c>
      <c r="D533" s="444" t="str">
        <f>+INSUMOS!B108</f>
        <v>TUBO PVC SANITARIO DE 2"</v>
      </c>
      <c r="E533" s="445" t="str">
        <f>+INSUMOS!D108</f>
        <v>METRO</v>
      </c>
      <c r="F533" s="580">
        <v>1.03</v>
      </c>
      <c r="G533" s="581">
        <f>+INSUMOS!E108</f>
        <v>16951</v>
      </c>
      <c r="H533" s="580">
        <v>1.05</v>
      </c>
      <c r="I533" s="652">
        <f t="shared" si="111"/>
        <v>18332.5065</v>
      </c>
      <c r="K533" s="615"/>
      <c r="L533" s="610"/>
      <c r="M533" s="610"/>
      <c r="N533" s="610"/>
      <c r="O533" s="610"/>
      <c r="Q533" s="1091"/>
    </row>
    <row r="534" spans="2:17" x14ac:dyDescent="0.25">
      <c r="B534" s="669" t="s">
        <v>4083</v>
      </c>
      <c r="C534" s="669" t="s">
        <v>4083</v>
      </c>
      <c r="D534" s="444" t="s">
        <v>4156</v>
      </c>
      <c r="E534" s="445" t="s">
        <v>4142</v>
      </c>
      <c r="F534" s="580">
        <v>0.63</v>
      </c>
      <c r="G534" s="581">
        <v>3500</v>
      </c>
      <c r="H534" s="580">
        <v>1</v>
      </c>
      <c r="I534" s="652">
        <f t="shared" ref="I534" si="112">(F534*G534*H534)</f>
        <v>2205</v>
      </c>
      <c r="K534" s="609"/>
      <c r="L534" s="610"/>
      <c r="M534" s="610"/>
      <c r="N534" s="610"/>
      <c r="O534" s="610"/>
      <c r="P534" s="610"/>
      <c r="Q534" s="1090"/>
    </row>
    <row r="535" spans="2:17" x14ac:dyDescent="0.25">
      <c r="B535" s="669" t="s">
        <v>4083</v>
      </c>
      <c r="C535" s="669" t="s">
        <v>4083</v>
      </c>
      <c r="D535" s="444" t="str">
        <f>+INSUMOS!B116</f>
        <v>TUBO PVC SANITARIO 4"</v>
      </c>
      <c r="E535" s="445" t="str">
        <f>+INSUMOS!D117</f>
        <v>METRO</v>
      </c>
      <c r="F535" s="580">
        <v>0.1</v>
      </c>
      <c r="G535" s="581">
        <f>+INSUMOS!E116</f>
        <v>35608</v>
      </c>
      <c r="H535" s="580">
        <v>1.05</v>
      </c>
      <c r="I535" s="652">
        <f t="shared" si="111"/>
        <v>3738.84</v>
      </c>
      <c r="K535" s="609"/>
      <c r="L535" s="610"/>
      <c r="M535" s="610"/>
      <c r="N535" s="610"/>
      <c r="O535" s="610"/>
      <c r="P535" s="610"/>
      <c r="Q535" s="1090"/>
    </row>
    <row r="536" spans="2:17" x14ac:dyDescent="0.25">
      <c r="B536" s="669" t="s">
        <v>4083</v>
      </c>
      <c r="C536" s="669" t="s">
        <v>4083</v>
      </c>
      <c r="D536" s="444" t="str">
        <f>+INSUMOS!B133</f>
        <v>UNION SANITARIA  2'' PVC</v>
      </c>
      <c r="E536" s="445" t="str">
        <f>+INSUMOS!D133</f>
        <v>UN</v>
      </c>
      <c r="F536" s="580">
        <v>0.16</v>
      </c>
      <c r="G536" s="581">
        <f>+INSUMOS!E133</f>
        <v>3746</v>
      </c>
      <c r="H536" s="580">
        <v>1</v>
      </c>
      <c r="I536" s="652">
        <f t="shared" si="111"/>
        <v>599.36</v>
      </c>
      <c r="K536" s="609"/>
      <c r="L536" s="610"/>
      <c r="M536" s="610"/>
      <c r="N536" s="610"/>
      <c r="O536" s="610"/>
      <c r="P536" s="610"/>
      <c r="Q536" s="1090"/>
    </row>
    <row r="537" spans="2:17" ht="15.75" customHeight="1" x14ac:dyDescent="0.25">
      <c r="B537" s="669" t="s">
        <v>4083</v>
      </c>
      <c r="C537" s="669" t="s">
        <v>4083</v>
      </c>
      <c r="D537" s="444" t="s">
        <v>4153</v>
      </c>
      <c r="E537" s="445" t="s">
        <v>4154</v>
      </c>
      <c r="F537" s="580">
        <v>0.5</v>
      </c>
      <c r="G537" s="581">
        <f>+I535</f>
        <v>3738.84</v>
      </c>
      <c r="H537" s="580">
        <v>1</v>
      </c>
      <c r="I537" s="652">
        <f t="shared" si="111"/>
        <v>1869.42</v>
      </c>
      <c r="K537" s="609"/>
      <c r="L537" s="610"/>
      <c r="M537" s="610"/>
      <c r="N537" s="610"/>
      <c r="O537" s="610"/>
      <c r="P537" s="610"/>
      <c r="Q537" s="1090"/>
    </row>
    <row r="538" spans="2:17" x14ac:dyDescent="0.25">
      <c r="B538" s="669" t="s">
        <v>4083</v>
      </c>
      <c r="C538" s="669" t="s">
        <v>4083</v>
      </c>
      <c r="D538" s="444" t="str">
        <f>+INSUMOS!B111</f>
        <v>LIMPIADOR REMOVEDOR PVC 760 GMD (1/4)</v>
      </c>
      <c r="E538" s="445" t="str">
        <f>+INSUMOS!D111</f>
        <v>UN</v>
      </c>
      <c r="F538" s="580">
        <v>0.04</v>
      </c>
      <c r="G538" s="581">
        <f>+INSUMOS!E111</f>
        <v>62802</v>
      </c>
      <c r="H538" s="580">
        <v>1.05</v>
      </c>
      <c r="I538" s="652">
        <f t="shared" si="111"/>
        <v>2637.6840000000002</v>
      </c>
      <c r="K538" s="609"/>
      <c r="L538" s="610"/>
      <c r="M538" s="610"/>
      <c r="N538" s="610"/>
      <c r="O538" s="610"/>
      <c r="P538" s="610"/>
      <c r="Q538" s="1090"/>
    </row>
    <row r="539" spans="2:17" ht="21" customHeight="1" x14ac:dyDescent="0.25">
      <c r="B539" s="669" t="s">
        <v>4083</v>
      </c>
      <c r="C539" s="669" t="s">
        <v>4083</v>
      </c>
      <c r="D539" s="444" t="str">
        <f>+INSUMOS!B112</f>
        <v>SOLDADURA PVC LIQUIDA 1/4</v>
      </c>
      <c r="E539" s="445" t="s">
        <v>4142</v>
      </c>
      <c r="F539" s="580">
        <v>0.04</v>
      </c>
      <c r="G539" s="581">
        <f>+INSUMOS!E112</f>
        <v>143174</v>
      </c>
      <c r="H539" s="580">
        <v>1.05</v>
      </c>
      <c r="I539" s="652">
        <f t="shared" si="111"/>
        <v>6013.308</v>
      </c>
      <c r="K539" s="609"/>
      <c r="L539" s="610"/>
      <c r="M539" s="610"/>
      <c r="N539" s="610"/>
      <c r="O539" s="610"/>
      <c r="P539" s="610"/>
      <c r="Q539" s="1090"/>
    </row>
    <row r="540" spans="2:17" x14ac:dyDescent="0.25">
      <c r="B540" s="669" t="s">
        <v>4083</v>
      </c>
      <c r="C540" s="669" t="s">
        <v>4083</v>
      </c>
      <c r="D540" s="444" t="s">
        <v>4143</v>
      </c>
      <c r="E540" s="445" t="str">
        <f>+'SUB ANALISIS MORTERO'!C9</f>
        <v>M3</v>
      </c>
      <c r="F540" s="580">
        <v>0.01</v>
      </c>
      <c r="G540" s="581">
        <f>+'SUB ANALISIS MORTERO'!I25</f>
        <v>396096.39</v>
      </c>
      <c r="H540" s="580">
        <v>1.05</v>
      </c>
      <c r="I540" s="652">
        <f t="shared" si="111"/>
        <v>4159.012095</v>
      </c>
      <c r="K540" s="609"/>
      <c r="L540" s="610"/>
      <c r="M540" s="610"/>
      <c r="N540" s="610"/>
      <c r="O540" s="610"/>
      <c r="P540" s="610"/>
      <c r="Q540" s="1090"/>
    </row>
    <row r="541" spans="2:17" ht="14.25" customHeight="1" x14ac:dyDescent="0.25">
      <c r="B541" s="669" t="s">
        <v>4083</v>
      </c>
      <c r="C541" s="669" t="s">
        <v>4083</v>
      </c>
      <c r="D541" s="444" t="s">
        <v>4144</v>
      </c>
      <c r="E541" s="445" t="s">
        <v>4141</v>
      </c>
      <c r="F541" s="580">
        <v>0.1</v>
      </c>
      <c r="G541" s="581">
        <v>5089.84</v>
      </c>
      <c r="H541" s="580">
        <v>1</v>
      </c>
      <c r="I541" s="652">
        <f t="shared" si="111"/>
        <v>508.98400000000004</v>
      </c>
      <c r="K541" s="609"/>
      <c r="L541" s="610"/>
      <c r="M541" s="610"/>
      <c r="N541" s="610"/>
      <c r="O541" s="610"/>
      <c r="P541" s="610"/>
      <c r="Q541" s="1090"/>
    </row>
    <row r="542" spans="2:17" ht="15" customHeight="1" x14ac:dyDescent="0.25">
      <c r="B542" s="669" t="s">
        <v>4083</v>
      </c>
      <c r="C542" s="669" t="s">
        <v>4083</v>
      </c>
      <c r="D542" s="444" t="str">
        <f>+INSUMOS!B134</f>
        <v>REJILLA DE VENTILACIÓN EN ALUMINIO REDONDA DE 2"</v>
      </c>
      <c r="E542" s="445" t="str">
        <f>+INSUMOS!D134</f>
        <v>UN</v>
      </c>
      <c r="F542" s="580">
        <v>0.16</v>
      </c>
      <c r="G542" s="581">
        <f>+INSUMOS!E134</f>
        <v>55543</v>
      </c>
      <c r="H542" s="580">
        <v>1</v>
      </c>
      <c r="I542" s="652">
        <f t="shared" si="111"/>
        <v>8886.880000000001</v>
      </c>
      <c r="K542" s="609"/>
      <c r="L542" s="610"/>
      <c r="M542" s="610"/>
      <c r="N542" s="610"/>
      <c r="O542" s="610"/>
      <c r="P542" s="610"/>
      <c r="Q542" s="1090"/>
    </row>
    <row r="543" spans="2:17" x14ac:dyDescent="0.25">
      <c r="B543" s="669" t="s">
        <v>4083</v>
      </c>
      <c r="C543" s="669" t="s">
        <v>4083</v>
      </c>
      <c r="D543" s="444" t="s">
        <v>4145</v>
      </c>
      <c r="E543" s="445" t="s">
        <v>4142</v>
      </c>
      <c r="F543" s="580">
        <v>0.16</v>
      </c>
      <c r="G543" s="581">
        <v>35000</v>
      </c>
      <c r="H543" s="580">
        <v>1</v>
      </c>
      <c r="I543" s="652">
        <f t="shared" si="111"/>
        <v>5600</v>
      </c>
      <c r="K543" s="609"/>
      <c r="L543" s="610"/>
      <c r="M543" s="610"/>
      <c r="N543" s="610"/>
      <c r="O543" s="610"/>
      <c r="P543" s="610"/>
      <c r="Q543" s="1090"/>
    </row>
    <row r="544" spans="2:17" ht="17.25" customHeight="1" x14ac:dyDescent="0.25">
      <c r="B544" s="669" t="s">
        <v>205</v>
      </c>
      <c r="C544" s="669" t="s">
        <v>205</v>
      </c>
      <c r="D544" s="444" t="s">
        <v>4146</v>
      </c>
      <c r="E544" s="445" t="s">
        <v>4025</v>
      </c>
      <c r="F544" s="580">
        <v>1</v>
      </c>
      <c r="G544" s="581">
        <f>+I531</f>
        <v>23374.5</v>
      </c>
      <c r="H544" s="580">
        <v>0.05</v>
      </c>
      <c r="I544" s="652">
        <f t="shared" si="111"/>
        <v>1168.7250000000001</v>
      </c>
      <c r="K544" s="609"/>
      <c r="L544" s="610"/>
      <c r="M544" s="610"/>
      <c r="N544" s="610"/>
      <c r="O544" s="610"/>
      <c r="P544" s="610"/>
      <c r="Q544" s="1090"/>
    </row>
    <row r="545" spans="2:17" x14ac:dyDescent="0.25">
      <c r="B545" s="671" t="s">
        <v>204</v>
      </c>
      <c r="C545" s="671" t="s">
        <v>204</v>
      </c>
      <c r="D545" s="444" t="s">
        <v>4110</v>
      </c>
      <c r="E545" s="445" t="s">
        <v>4025</v>
      </c>
      <c r="F545" s="580">
        <v>1</v>
      </c>
      <c r="G545" s="581">
        <f>+I531</f>
        <v>23374.5</v>
      </c>
      <c r="H545" s="580">
        <v>0.05</v>
      </c>
      <c r="I545" s="652">
        <f t="shared" si="111"/>
        <v>1168.7250000000001</v>
      </c>
      <c r="K545" s="609"/>
      <c r="L545" s="610"/>
      <c r="M545" s="610"/>
      <c r="N545" s="610"/>
      <c r="O545" s="610"/>
      <c r="P545" s="610"/>
      <c r="Q545" s="1090"/>
    </row>
    <row r="546" spans="2:17" ht="15.75" thickBot="1" x14ac:dyDescent="0.3">
      <c r="B546" s="672" t="s">
        <v>204</v>
      </c>
      <c r="C546" s="672" t="s">
        <v>204</v>
      </c>
      <c r="D546" s="654" t="s">
        <v>18</v>
      </c>
      <c r="E546" s="673" t="s">
        <v>4025</v>
      </c>
      <c r="F546" s="656">
        <v>1</v>
      </c>
      <c r="G546" s="1119">
        <f>+I531</f>
        <v>23374.5</v>
      </c>
      <c r="H546" s="656">
        <v>0.05</v>
      </c>
      <c r="I546" s="658">
        <f t="shared" si="111"/>
        <v>1168.7250000000001</v>
      </c>
      <c r="K546" s="609"/>
      <c r="L546" s="610"/>
      <c r="M546" s="610"/>
      <c r="N546" s="610"/>
      <c r="O546" s="610"/>
      <c r="P546" s="610"/>
      <c r="Q546" s="1090"/>
    </row>
    <row r="547" spans="2:17" ht="15.75" thickBot="1" x14ac:dyDescent="0.3">
      <c r="K547" s="609"/>
      <c r="L547" s="610"/>
      <c r="M547" s="610"/>
      <c r="N547" s="610"/>
      <c r="O547" s="610"/>
      <c r="P547" s="610"/>
      <c r="Q547" s="1090"/>
    </row>
    <row r="548" spans="2:17" ht="24.75" thickBot="1" x14ac:dyDescent="0.3">
      <c r="B548" s="645" t="s">
        <v>8</v>
      </c>
      <c r="C548" s="645" t="s">
        <v>8</v>
      </c>
      <c r="D548" s="630" t="s">
        <v>9</v>
      </c>
      <c r="E548" s="645" t="s">
        <v>11</v>
      </c>
      <c r="F548" s="645" t="s">
        <v>2</v>
      </c>
      <c r="G548" s="1124" t="s">
        <v>3987</v>
      </c>
      <c r="H548" s="645" t="s">
        <v>4101</v>
      </c>
      <c r="I548" s="711" t="s">
        <v>14</v>
      </c>
      <c r="K548" s="609"/>
      <c r="L548" s="610"/>
      <c r="M548" s="610"/>
      <c r="N548" s="610"/>
      <c r="O548" s="610"/>
      <c r="P548" s="610"/>
      <c r="Q548" s="1090"/>
    </row>
    <row r="549" spans="2:17" ht="24" x14ac:dyDescent="0.25">
      <c r="B549" s="649" t="s">
        <v>4436</v>
      </c>
      <c r="C549" s="649"/>
      <c r="D549" s="573" t="s">
        <v>4442</v>
      </c>
      <c r="E549" s="714" t="s">
        <v>4016</v>
      </c>
      <c r="F549" s="677"/>
      <c r="G549" s="1118">
        <f>SUM(I550:I558)</f>
        <v>67285.282499999987</v>
      </c>
      <c r="H549" s="677"/>
      <c r="I549" s="678"/>
      <c r="K549" s="609" t="str">
        <f>+B549</f>
        <v>4.6</v>
      </c>
      <c r="L549" s="610">
        <f>SUM(I556)</f>
        <v>1158.45</v>
      </c>
      <c r="M549" s="610">
        <f>+I550+I558</f>
        <v>24327.45</v>
      </c>
      <c r="N549" s="610">
        <f>SUM(I551:I555)</f>
        <v>40640.932499999995</v>
      </c>
      <c r="O549" s="610">
        <f>+I557</f>
        <v>1158.45</v>
      </c>
      <c r="P549" s="610">
        <f>SUM(L549:O549)</f>
        <v>67285.282499999987</v>
      </c>
      <c r="Q549" s="1090">
        <f>+G549-P549</f>
        <v>0</v>
      </c>
    </row>
    <row r="550" spans="2:17" x14ac:dyDescent="0.25">
      <c r="B550" s="669" t="s">
        <v>15</v>
      </c>
      <c r="C550" s="669" t="s">
        <v>15</v>
      </c>
      <c r="D550" s="444" t="s">
        <v>119</v>
      </c>
      <c r="E550" s="445" t="s">
        <v>202</v>
      </c>
      <c r="F550" s="580">
        <v>1</v>
      </c>
      <c r="G550" s="581">
        <v>185352</v>
      </c>
      <c r="H550" s="580">
        <v>0.125</v>
      </c>
      <c r="I550" s="652">
        <f>(F550*G550*H550)</f>
        <v>23169</v>
      </c>
      <c r="K550" s="609"/>
      <c r="L550" s="610"/>
      <c r="M550" s="610"/>
      <c r="N550" s="610"/>
      <c r="O550" s="610"/>
      <c r="P550" s="610"/>
      <c r="Q550" s="1090"/>
    </row>
    <row r="551" spans="2:17" ht="17.25" customHeight="1" x14ac:dyDescent="0.25">
      <c r="B551" s="669" t="s">
        <v>4083</v>
      </c>
      <c r="C551" s="669" t="s">
        <v>4083</v>
      </c>
      <c r="D551" s="444" t="s">
        <v>4117</v>
      </c>
      <c r="E551" s="445" t="s">
        <v>4016</v>
      </c>
      <c r="F551" s="580">
        <v>1.5</v>
      </c>
      <c r="G551" s="581">
        <v>14649</v>
      </c>
      <c r="H551" s="580">
        <v>1.05</v>
      </c>
      <c r="I551" s="652">
        <f t="shared" ref="I551:I558" si="113">(F551*G551*H551)</f>
        <v>23072.174999999999</v>
      </c>
      <c r="K551" s="609"/>
      <c r="L551" s="610"/>
      <c r="M551" s="610"/>
      <c r="N551" s="610"/>
      <c r="O551" s="610"/>
      <c r="P551" s="610"/>
      <c r="Q551" s="1090"/>
    </row>
    <row r="552" spans="2:17" x14ac:dyDescent="0.25">
      <c r="B552" s="669" t="s">
        <v>4083</v>
      </c>
      <c r="C552" s="669" t="s">
        <v>4083</v>
      </c>
      <c r="D552" s="444" t="str">
        <f>+INSUMOS!B135</f>
        <v>SIFÓN SANITARIO Ø 2" C*C</v>
      </c>
      <c r="E552" s="445" t="s">
        <v>4016</v>
      </c>
      <c r="F552" s="580">
        <v>1</v>
      </c>
      <c r="G552" s="581">
        <f>+INSUMOS!E135</f>
        <v>3819</v>
      </c>
      <c r="H552" s="580">
        <v>1.05</v>
      </c>
      <c r="I552" s="652">
        <f t="shared" si="113"/>
        <v>4009.9500000000003</v>
      </c>
      <c r="K552" s="615"/>
      <c r="L552" s="610"/>
      <c r="M552" s="610"/>
      <c r="N552" s="610"/>
      <c r="O552" s="610"/>
      <c r="Q552" s="1091"/>
    </row>
    <row r="553" spans="2:17" x14ac:dyDescent="0.25">
      <c r="B553" s="669" t="s">
        <v>4083</v>
      </c>
      <c r="C553" s="669" t="s">
        <v>4083</v>
      </c>
      <c r="D553" s="444" t="s">
        <v>4119</v>
      </c>
      <c r="E553" s="445" t="s">
        <v>4016</v>
      </c>
      <c r="F553" s="580">
        <v>1</v>
      </c>
      <c r="G553" s="581">
        <v>4013</v>
      </c>
      <c r="H553" s="580">
        <v>1.05</v>
      </c>
      <c r="I553" s="652">
        <f t="shared" si="113"/>
        <v>4213.6500000000005</v>
      </c>
      <c r="K553" s="609"/>
      <c r="L553" s="610"/>
      <c r="M553" s="610"/>
      <c r="N553" s="610"/>
      <c r="O553" s="610"/>
      <c r="P553" s="610"/>
      <c r="Q553" s="1090"/>
    </row>
    <row r="554" spans="2:17" x14ac:dyDescent="0.25">
      <c r="B554" s="669" t="s">
        <v>4083</v>
      </c>
      <c r="C554" s="669" t="s">
        <v>4083</v>
      </c>
      <c r="D554" s="444" t="s">
        <v>4120</v>
      </c>
      <c r="E554" s="445" t="s">
        <v>4016</v>
      </c>
      <c r="F554" s="580">
        <v>0.05</v>
      </c>
      <c r="G554" s="581">
        <v>54273</v>
      </c>
      <c r="H554" s="580">
        <v>1.05</v>
      </c>
      <c r="I554" s="652">
        <f t="shared" si="113"/>
        <v>2849.3325000000004</v>
      </c>
      <c r="K554" s="609"/>
      <c r="L554" s="610"/>
      <c r="M554" s="610"/>
      <c r="N554" s="610"/>
      <c r="O554" s="610"/>
      <c r="P554" s="610"/>
      <c r="Q554" s="1090"/>
    </row>
    <row r="555" spans="2:17" x14ac:dyDescent="0.25">
      <c r="B555" s="669" t="s">
        <v>4083</v>
      </c>
      <c r="C555" s="669" t="s">
        <v>4083</v>
      </c>
      <c r="D555" s="444" t="s">
        <v>1893</v>
      </c>
      <c r="E555" s="445" t="s">
        <v>4016</v>
      </c>
      <c r="F555" s="580">
        <v>0.05</v>
      </c>
      <c r="G555" s="581">
        <v>123730</v>
      </c>
      <c r="H555" s="580">
        <v>1.05</v>
      </c>
      <c r="I555" s="652">
        <f t="shared" si="113"/>
        <v>6495.8250000000007</v>
      </c>
      <c r="K555" s="609"/>
      <c r="L555" s="610"/>
      <c r="M555" s="610"/>
      <c r="N555" s="610"/>
      <c r="O555" s="610"/>
      <c r="P555" s="610"/>
      <c r="Q555" s="1090"/>
    </row>
    <row r="556" spans="2:17" x14ac:dyDescent="0.25">
      <c r="B556" s="669" t="s">
        <v>205</v>
      </c>
      <c r="C556" s="669" t="s">
        <v>205</v>
      </c>
      <c r="D556" s="444" t="s">
        <v>4146</v>
      </c>
      <c r="E556" s="445" t="s">
        <v>4025</v>
      </c>
      <c r="F556" s="580">
        <v>1</v>
      </c>
      <c r="G556" s="581">
        <v>23169</v>
      </c>
      <c r="H556" s="580">
        <v>0.05</v>
      </c>
      <c r="I556" s="652">
        <f t="shared" si="113"/>
        <v>1158.45</v>
      </c>
      <c r="K556" s="609"/>
      <c r="L556" s="610"/>
      <c r="M556" s="610"/>
      <c r="N556" s="610"/>
      <c r="O556" s="610"/>
      <c r="P556" s="610"/>
      <c r="Q556" s="1090"/>
    </row>
    <row r="557" spans="2:17" x14ac:dyDescent="0.25">
      <c r="B557" s="671" t="s">
        <v>204</v>
      </c>
      <c r="C557" s="671" t="s">
        <v>204</v>
      </c>
      <c r="D557" s="444" t="s">
        <v>4110</v>
      </c>
      <c r="E557" s="445" t="s">
        <v>4025</v>
      </c>
      <c r="F557" s="580">
        <v>1</v>
      </c>
      <c r="G557" s="581">
        <v>23169</v>
      </c>
      <c r="H557" s="580">
        <v>0.05</v>
      </c>
      <c r="I557" s="652">
        <f t="shared" si="113"/>
        <v>1158.45</v>
      </c>
      <c r="K557" s="609"/>
      <c r="L557" s="610"/>
      <c r="M557" s="610"/>
      <c r="N557" s="610"/>
      <c r="O557" s="610"/>
      <c r="P557" s="610"/>
      <c r="Q557" s="1090"/>
    </row>
    <row r="558" spans="2:17" ht="15.75" thickBot="1" x14ac:dyDescent="0.3">
      <c r="B558" s="672" t="s">
        <v>204</v>
      </c>
      <c r="C558" s="672" t="s">
        <v>204</v>
      </c>
      <c r="D558" s="654" t="s">
        <v>18</v>
      </c>
      <c r="E558" s="673" t="s">
        <v>4025</v>
      </c>
      <c r="F558" s="656">
        <v>1</v>
      </c>
      <c r="G558" s="1119">
        <v>23169</v>
      </c>
      <c r="H558" s="656">
        <v>0.05</v>
      </c>
      <c r="I558" s="658">
        <f t="shared" si="113"/>
        <v>1158.45</v>
      </c>
      <c r="K558" s="609"/>
      <c r="L558" s="610"/>
      <c r="M558" s="610"/>
      <c r="N558" s="610"/>
      <c r="O558" s="610"/>
      <c r="P558" s="610"/>
      <c r="Q558" s="1090"/>
    </row>
    <row r="559" spans="2:17" ht="15.75" thickBot="1" x14ac:dyDescent="0.3">
      <c r="K559" s="609"/>
      <c r="L559" s="610"/>
      <c r="M559" s="610"/>
      <c r="N559" s="610"/>
      <c r="O559" s="610"/>
      <c r="P559" s="610"/>
      <c r="Q559" s="1090"/>
    </row>
    <row r="560" spans="2:17" ht="24.75" thickBot="1" x14ac:dyDescent="0.3">
      <c r="B560" s="595" t="s">
        <v>8</v>
      </c>
      <c r="C560" s="595" t="s">
        <v>8</v>
      </c>
      <c r="D560" s="665" t="s">
        <v>9</v>
      </c>
      <c r="E560" s="595" t="s">
        <v>11</v>
      </c>
      <c r="F560" s="595" t="s">
        <v>2</v>
      </c>
      <c r="G560" s="1125" t="s">
        <v>3987</v>
      </c>
      <c r="H560" s="595" t="s">
        <v>4101</v>
      </c>
      <c r="I560" s="674" t="s">
        <v>14</v>
      </c>
      <c r="K560" s="609"/>
      <c r="L560" s="610"/>
      <c r="M560" s="610"/>
      <c r="N560" s="610"/>
      <c r="O560" s="610"/>
      <c r="P560" s="610"/>
      <c r="Q560" s="1090"/>
    </row>
    <row r="561" spans="1:17" ht="48" x14ac:dyDescent="0.25">
      <c r="B561" s="649" t="s">
        <v>4438</v>
      </c>
      <c r="C561" s="649"/>
      <c r="D561" s="573" t="s">
        <v>4161</v>
      </c>
      <c r="E561" s="714" t="s">
        <v>4016</v>
      </c>
      <c r="F561" s="677"/>
      <c r="G561" s="1118">
        <f>SUM(I562:I571)</f>
        <v>496052.33921324997</v>
      </c>
      <c r="H561" s="677"/>
      <c r="I561" s="678"/>
      <c r="K561" s="609" t="str">
        <f>+B561</f>
        <v>4.8</v>
      </c>
      <c r="L561" s="610">
        <f>SUM(I569)</f>
        <v>12630.300000000001</v>
      </c>
      <c r="M561" s="610">
        <f>+I562+I571</f>
        <v>265236.3</v>
      </c>
      <c r="N561" s="610">
        <f>SUM(I563:I568)</f>
        <v>205555.43921325004</v>
      </c>
      <c r="O561" s="610">
        <f>+I570</f>
        <v>12630.300000000001</v>
      </c>
      <c r="P561" s="610">
        <f>SUM(L561:O561)</f>
        <v>496052.33921325003</v>
      </c>
      <c r="Q561" s="1090">
        <f>+G561-P561</f>
        <v>0</v>
      </c>
    </row>
    <row r="562" spans="1:17" x14ac:dyDescent="0.25">
      <c r="B562" s="669" t="s">
        <v>15</v>
      </c>
      <c r="C562" s="669" t="s">
        <v>15</v>
      </c>
      <c r="D562" s="444" t="str">
        <f>+MO!B75</f>
        <v>CUADRILLA AA TIPO 2 (1 OFICIAL + 2 AYUDANTE) (Albañileria)</v>
      </c>
      <c r="E562" s="445" t="s">
        <v>202</v>
      </c>
      <c r="F562" s="580">
        <v>1</v>
      </c>
      <c r="G562" s="581">
        <f>+MO!H75</f>
        <v>336808</v>
      </c>
      <c r="H562" s="580">
        <f>(360/480)</f>
        <v>0.75</v>
      </c>
      <c r="I562" s="652">
        <f>(F562*G562*H562)</f>
        <v>252606</v>
      </c>
      <c r="K562" s="609"/>
      <c r="L562" s="610"/>
      <c r="M562" s="610"/>
      <c r="N562" s="610"/>
      <c r="O562" s="610"/>
      <c r="P562" s="610"/>
      <c r="Q562" s="1090"/>
    </row>
    <row r="563" spans="1:17" x14ac:dyDescent="0.25">
      <c r="B563" s="669" t="s">
        <v>4083</v>
      </c>
      <c r="C563" s="669" t="s">
        <v>4083</v>
      </c>
      <c r="D563" s="444" t="s">
        <v>4159</v>
      </c>
      <c r="E563" s="445" t="str">
        <f>+'SUB ANALISIS CONCRETO'!C7</f>
        <v>M3</v>
      </c>
      <c r="F563" s="580">
        <v>2.8000000000000001E-2</v>
      </c>
      <c r="G563" s="581">
        <f>+'SUB ANALISIS CONCRETO'!I25</f>
        <v>393249.64250000002</v>
      </c>
      <c r="H563" s="580">
        <v>1.05</v>
      </c>
      <c r="I563" s="652">
        <f t="shared" ref="I563:I571" si="114">(F563*G563*H563)</f>
        <v>11561.539489500001</v>
      </c>
      <c r="K563" s="609"/>
      <c r="L563" s="610"/>
      <c r="M563" s="610"/>
      <c r="N563" s="610"/>
      <c r="O563" s="610"/>
      <c r="P563" s="610"/>
      <c r="Q563" s="1090"/>
    </row>
    <row r="564" spans="1:17" ht="24" x14ac:dyDescent="0.25">
      <c r="B564" s="669" t="s">
        <v>4083</v>
      </c>
      <c r="C564" s="669" t="s">
        <v>4083</v>
      </c>
      <c r="D564" s="444" t="s">
        <v>4160</v>
      </c>
      <c r="E564" s="445" t="str">
        <f>+'SUB ANALISIS CONCRETO'!C7</f>
        <v>M3</v>
      </c>
      <c r="F564" s="580">
        <v>7.0000000000000007E-2</v>
      </c>
      <c r="G564" s="581">
        <f>+G563</f>
        <v>393249.64250000002</v>
      </c>
      <c r="H564" s="580">
        <v>1.05</v>
      </c>
      <c r="I564" s="652">
        <f t="shared" si="114"/>
        <v>28903.848723750005</v>
      </c>
      <c r="K564" s="615"/>
      <c r="L564" s="610"/>
      <c r="M564" s="610"/>
      <c r="N564" s="610"/>
      <c r="O564" s="610"/>
      <c r="Q564" s="1091"/>
    </row>
    <row r="565" spans="1:17" x14ac:dyDescent="0.25">
      <c r="B565" s="669" t="s">
        <v>4083</v>
      </c>
      <c r="C565" s="669" t="s">
        <v>4083</v>
      </c>
      <c r="D565" s="444" t="s">
        <v>4158</v>
      </c>
      <c r="E565" s="445" t="s">
        <v>1027</v>
      </c>
      <c r="F565" s="580">
        <v>4</v>
      </c>
      <c r="G565" s="581">
        <f>+G279</f>
        <v>30964.030000000002</v>
      </c>
      <c r="H565" s="580">
        <v>1.05</v>
      </c>
      <c r="I565" s="652">
        <f t="shared" si="114"/>
        <v>130048.92600000002</v>
      </c>
      <c r="K565" s="609"/>
      <c r="L565" s="610"/>
      <c r="M565" s="610"/>
      <c r="N565" s="610"/>
      <c r="O565" s="610"/>
      <c r="P565" s="610"/>
      <c r="Q565" s="1090"/>
    </row>
    <row r="566" spans="1:17" x14ac:dyDescent="0.25">
      <c r="B566" s="669" t="s">
        <v>4083</v>
      </c>
      <c r="C566" s="669" t="s">
        <v>4083</v>
      </c>
      <c r="D566" s="444" t="str">
        <f>+INSUMOS!B16</f>
        <v>TABLA BURRA 30 CM * 2.5 CM * 3 M</v>
      </c>
      <c r="E566" s="445" t="str">
        <f>+INSUMOS!D16</f>
        <v>UNIDAD</v>
      </c>
      <c r="F566" s="580">
        <v>1.3</v>
      </c>
      <c r="G566" s="581">
        <f>+INSUMOS!E16</f>
        <v>17100</v>
      </c>
      <c r="H566" s="580">
        <v>1.05</v>
      </c>
      <c r="I566" s="652">
        <f t="shared" si="114"/>
        <v>23341.5</v>
      </c>
      <c r="K566" s="609"/>
      <c r="L566" s="610"/>
      <c r="M566" s="610"/>
      <c r="N566" s="610"/>
      <c r="O566" s="610"/>
      <c r="P566" s="610"/>
      <c r="Q566" s="1090"/>
    </row>
    <row r="567" spans="1:17" x14ac:dyDescent="0.25">
      <c r="B567" s="669" t="s">
        <v>4083</v>
      </c>
      <c r="C567" s="669" t="s">
        <v>4083</v>
      </c>
      <c r="D567" s="444" t="str">
        <f>+INSUMOS!B13</f>
        <v>LISTON 2*4"</v>
      </c>
      <c r="E567" s="445" t="s">
        <v>4016</v>
      </c>
      <c r="F567" s="580">
        <v>1</v>
      </c>
      <c r="G567" s="581">
        <f>+INSUMOS!E12</f>
        <v>4956</v>
      </c>
      <c r="H567" s="580">
        <v>1.05</v>
      </c>
      <c r="I567" s="652">
        <f t="shared" si="114"/>
        <v>5203.8</v>
      </c>
      <c r="K567" s="609"/>
      <c r="L567" s="610"/>
      <c r="M567" s="610"/>
      <c r="N567" s="610"/>
      <c r="O567" s="610"/>
      <c r="P567" s="610"/>
      <c r="Q567" s="1090"/>
    </row>
    <row r="568" spans="1:17" x14ac:dyDescent="0.25">
      <c r="B568" s="669" t="s">
        <v>4083</v>
      </c>
      <c r="C568" s="669" t="s">
        <v>4083</v>
      </c>
      <c r="D568" s="444" t="str">
        <f>+INSUMOS!B12</f>
        <v>PUNTILLA CON CABEZA 2"</v>
      </c>
      <c r="E568" s="445" t="str">
        <f>+INSUMOS!D12</f>
        <v>LIBRA</v>
      </c>
      <c r="F568" s="580">
        <v>0.05</v>
      </c>
      <c r="G568" s="581">
        <v>123730</v>
      </c>
      <c r="H568" s="580">
        <v>1.05</v>
      </c>
      <c r="I568" s="652">
        <f t="shared" si="114"/>
        <v>6495.8250000000007</v>
      </c>
      <c r="K568" s="609"/>
      <c r="L568" s="610"/>
      <c r="M568" s="610"/>
      <c r="N568" s="610"/>
      <c r="O568" s="610"/>
      <c r="P568" s="610"/>
      <c r="Q568" s="1090"/>
    </row>
    <row r="569" spans="1:17" x14ac:dyDescent="0.25">
      <c r="B569" s="669" t="s">
        <v>205</v>
      </c>
      <c r="C569" s="669" t="s">
        <v>205</v>
      </c>
      <c r="D569" s="444" t="s">
        <v>4146</v>
      </c>
      <c r="E569" s="445" t="s">
        <v>4025</v>
      </c>
      <c r="F569" s="580">
        <v>1</v>
      </c>
      <c r="G569" s="581">
        <f>+I562</f>
        <v>252606</v>
      </c>
      <c r="H569" s="580">
        <v>0.05</v>
      </c>
      <c r="I569" s="652">
        <f t="shared" si="114"/>
        <v>12630.300000000001</v>
      </c>
      <c r="K569" s="609"/>
      <c r="L569" s="610"/>
      <c r="M569" s="610"/>
      <c r="N569" s="610"/>
      <c r="O569" s="610"/>
      <c r="P569" s="610"/>
      <c r="Q569" s="1090"/>
    </row>
    <row r="570" spans="1:17" x14ac:dyDescent="0.25">
      <c r="B570" s="671" t="s">
        <v>204</v>
      </c>
      <c r="C570" s="671" t="s">
        <v>204</v>
      </c>
      <c r="D570" s="444" t="s">
        <v>4110</v>
      </c>
      <c r="E570" s="445" t="s">
        <v>4025</v>
      </c>
      <c r="F570" s="580">
        <v>1</v>
      </c>
      <c r="G570" s="581">
        <f>+I562</f>
        <v>252606</v>
      </c>
      <c r="H570" s="580">
        <v>0.05</v>
      </c>
      <c r="I570" s="652">
        <f t="shared" si="114"/>
        <v>12630.300000000001</v>
      </c>
      <c r="K570" s="609"/>
      <c r="L570" s="610"/>
      <c r="M570" s="610"/>
      <c r="N570" s="610"/>
      <c r="O570" s="610"/>
      <c r="P570" s="610"/>
      <c r="Q570" s="1090"/>
    </row>
    <row r="571" spans="1:17" x14ac:dyDescent="0.25">
      <c r="B571" s="715" t="s">
        <v>204</v>
      </c>
      <c r="C571" s="715" t="s">
        <v>204</v>
      </c>
      <c r="D571" s="589" t="s">
        <v>18</v>
      </c>
      <c r="E571" s="590" t="s">
        <v>4025</v>
      </c>
      <c r="F571" s="591">
        <v>1</v>
      </c>
      <c r="G571" s="1116">
        <f>+I562</f>
        <v>252606</v>
      </c>
      <c r="H571" s="591">
        <v>0.05</v>
      </c>
      <c r="I571" s="716">
        <f t="shared" si="114"/>
        <v>12630.300000000001</v>
      </c>
      <c r="K571" s="609"/>
      <c r="L571" s="610"/>
      <c r="M571" s="610"/>
      <c r="N571" s="610"/>
      <c r="O571" s="610"/>
      <c r="P571" s="610"/>
      <c r="Q571" s="1090"/>
    </row>
    <row r="572" spans="1:17" x14ac:dyDescent="0.25">
      <c r="A572" s="717"/>
      <c r="B572" s="718"/>
      <c r="C572" s="718"/>
      <c r="D572" s="719"/>
      <c r="E572" s="720"/>
      <c r="F572" s="721"/>
      <c r="G572" s="722"/>
      <c r="H572" s="721"/>
      <c r="I572" s="722"/>
      <c r="K572" s="609"/>
      <c r="L572" s="610"/>
      <c r="M572" s="610"/>
      <c r="N572" s="610"/>
      <c r="O572" s="610"/>
      <c r="P572" s="610"/>
      <c r="Q572" s="1090"/>
    </row>
    <row r="573" spans="1:17" x14ac:dyDescent="0.25">
      <c r="B573" s="661" t="s">
        <v>8</v>
      </c>
      <c r="C573" s="661" t="s">
        <v>8</v>
      </c>
      <c r="D573" s="660" t="s">
        <v>9</v>
      </c>
      <c r="E573" s="723" t="s">
        <v>11</v>
      </c>
      <c r="F573" s="662" t="s">
        <v>2</v>
      </c>
      <c r="G573" s="663" t="s">
        <v>3987</v>
      </c>
      <c r="H573" s="662" t="s">
        <v>4101</v>
      </c>
      <c r="I573" s="663" t="s">
        <v>14</v>
      </c>
      <c r="K573" s="609"/>
      <c r="L573" s="610"/>
      <c r="M573" s="610"/>
      <c r="N573" s="610"/>
      <c r="O573" s="610"/>
      <c r="P573" s="610"/>
      <c r="Q573" s="1090"/>
    </row>
    <row r="574" spans="1:17" ht="75" customHeight="1" x14ac:dyDescent="0.25">
      <c r="B574" s="724" t="s">
        <v>4444</v>
      </c>
      <c r="C574" s="724"/>
      <c r="D574" s="725" t="s">
        <v>4265</v>
      </c>
      <c r="E574" s="646" t="s">
        <v>3975</v>
      </c>
      <c r="F574" s="726">
        <v>1</v>
      </c>
      <c r="G574" s="727">
        <v>5655</v>
      </c>
      <c r="H574" s="726"/>
      <c r="I574" s="727">
        <f>+G574</f>
        <v>5655</v>
      </c>
      <c r="K574" s="609" t="str">
        <f>+B574</f>
        <v>8.1</v>
      </c>
      <c r="L574" s="610"/>
      <c r="M574" s="610"/>
      <c r="N574" s="610">
        <f>+G574</f>
        <v>5655</v>
      </c>
      <c r="O574" s="610"/>
      <c r="P574" s="610">
        <f>SUM(L574:O574)</f>
        <v>5655</v>
      </c>
      <c r="Q574" s="1090">
        <f>+G574-P574</f>
        <v>0</v>
      </c>
    </row>
    <row r="575" spans="1:17" x14ac:dyDescent="0.25">
      <c r="B575" s="579"/>
      <c r="C575" s="579"/>
      <c r="D575" s="444"/>
      <c r="E575" s="445"/>
      <c r="F575" s="580"/>
      <c r="G575" s="581"/>
      <c r="H575" s="580"/>
      <c r="I575" s="581"/>
      <c r="K575" s="609"/>
      <c r="L575" s="610"/>
      <c r="M575" s="610"/>
      <c r="N575" s="610"/>
      <c r="O575" s="610"/>
      <c r="P575" s="610"/>
      <c r="Q575" s="1090"/>
    </row>
    <row r="576" spans="1:17" x14ac:dyDescent="0.25">
      <c r="B576" s="728"/>
      <c r="C576" s="728"/>
      <c r="D576" s="729"/>
      <c r="E576" s="730"/>
      <c r="F576" s="731"/>
      <c r="G576" s="1126"/>
      <c r="H576" s="731"/>
      <c r="I576" s="624"/>
      <c r="K576" s="609"/>
      <c r="L576" s="610"/>
      <c r="M576" s="610"/>
      <c r="N576" s="610"/>
      <c r="O576" s="610"/>
      <c r="P576" s="610"/>
      <c r="Q576" s="1090"/>
    </row>
    <row r="577" spans="2:17" ht="24.75" thickBot="1" x14ac:dyDescent="0.3">
      <c r="B577" s="732" t="s">
        <v>8</v>
      </c>
      <c r="C577" s="732" t="s">
        <v>8</v>
      </c>
      <c r="D577" s="733" t="s">
        <v>9</v>
      </c>
      <c r="E577" s="732" t="s">
        <v>11</v>
      </c>
      <c r="F577" s="732" t="s">
        <v>2</v>
      </c>
      <c r="G577" s="1127" t="s">
        <v>3987</v>
      </c>
      <c r="H577" s="732" t="s">
        <v>4101</v>
      </c>
      <c r="I577" s="734" t="s">
        <v>14</v>
      </c>
      <c r="K577" s="609"/>
      <c r="L577" s="610"/>
      <c r="M577" s="610"/>
      <c r="N577" s="610"/>
      <c r="O577" s="610"/>
      <c r="P577" s="610"/>
      <c r="Q577" s="1090"/>
    </row>
    <row r="578" spans="2:17" ht="63" customHeight="1" thickBot="1" x14ac:dyDescent="0.3">
      <c r="B578" s="735" t="s">
        <v>4452</v>
      </c>
      <c r="C578" s="735" t="s">
        <v>4271</v>
      </c>
      <c r="D578" s="630" t="s">
        <v>4266</v>
      </c>
      <c r="E578" s="736" t="s">
        <v>4016</v>
      </c>
      <c r="F578" s="736"/>
      <c r="G578" s="1128">
        <f>SUM(I579:I589)</f>
        <v>215170.79249999998</v>
      </c>
      <c r="H578" s="737"/>
      <c r="I578" s="738"/>
      <c r="K578" s="609" t="str">
        <f>+B578</f>
        <v>8.2</v>
      </c>
      <c r="L578" s="610">
        <f>SUM(I587)</f>
        <v>1967.6475000000003</v>
      </c>
      <c r="M578" s="610">
        <f>+I579+I589</f>
        <v>41937.647499999999</v>
      </c>
      <c r="N578" s="610">
        <f>SUM(I580:I586)</f>
        <v>169297.85</v>
      </c>
      <c r="O578" s="610">
        <f>+I588</f>
        <v>1967.6475000000003</v>
      </c>
      <c r="P578" s="610">
        <f>SUM(L578:O578)</f>
        <v>215170.79250000001</v>
      </c>
      <c r="Q578" s="1090">
        <f>+G578-P578</f>
        <v>0</v>
      </c>
    </row>
    <row r="579" spans="2:17" ht="21" customHeight="1" x14ac:dyDescent="0.25">
      <c r="B579" s="739" t="s">
        <v>15</v>
      </c>
      <c r="C579" s="739" t="s">
        <v>15</v>
      </c>
      <c r="D579" s="740" t="str">
        <f>+MO!B73</f>
        <v>CUADRILLA FF TIPO 1 (1 OFICIAL + 1 AYUDANTE) (Electricas)</v>
      </c>
      <c r="E579" s="741" t="str">
        <f>+MO!H52</f>
        <v>DIA</v>
      </c>
      <c r="F579" s="707">
        <v>1</v>
      </c>
      <c r="G579" s="1129">
        <f>+MO!H73</f>
        <v>319760</v>
      </c>
      <c r="H579" s="707">
        <f>(60/480)</f>
        <v>0.125</v>
      </c>
      <c r="I579" s="742">
        <f>(F579*G579*H579)</f>
        <v>39970</v>
      </c>
      <c r="L579" s="610"/>
      <c r="M579" s="610"/>
      <c r="N579" s="610"/>
      <c r="O579" s="610"/>
      <c r="Q579" s="1090"/>
    </row>
    <row r="580" spans="2:17" ht="23.25" customHeight="1" x14ac:dyDescent="0.25">
      <c r="B580" s="669" t="s">
        <v>4083</v>
      </c>
      <c r="C580" s="669" t="s">
        <v>4083</v>
      </c>
      <c r="D580" s="444" t="s">
        <v>4273</v>
      </c>
      <c r="E580" s="743" t="str">
        <f>+INSUMOS!D143</f>
        <v>M</v>
      </c>
      <c r="F580" s="744">
        <v>3</v>
      </c>
      <c r="G580" s="1130">
        <v>12493</v>
      </c>
      <c r="H580" s="580">
        <v>1.05</v>
      </c>
      <c r="I580" s="745">
        <f>(F580*G580*H580)</f>
        <v>39352.950000000004</v>
      </c>
      <c r="K580" s="746"/>
      <c r="L580" s="610"/>
      <c r="M580" s="610"/>
      <c r="N580" s="610"/>
      <c r="O580" s="610"/>
      <c r="Q580" s="1090"/>
    </row>
    <row r="581" spans="2:17" x14ac:dyDescent="0.25">
      <c r="B581" s="669" t="s">
        <v>4083</v>
      </c>
      <c r="C581" s="669" t="s">
        <v>4083</v>
      </c>
      <c r="D581" s="444" t="str">
        <f>+INSUMOS!B144</f>
        <v>ALAMBRE 12 AWG FASE 1</v>
      </c>
      <c r="E581" s="743" t="str">
        <f>+INSUMOS!D144</f>
        <v>M</v>
      </c>
      <c r="F581" s="744">
        <v>3</v>
      </c>
      <c r="G581" s="1130">
        <v>2226</v>
      </c>
      <c r="H581" s="580">
        <v>1.05</v>
      </c>
      <c r="I581" s="745">
        <f t="shared" ref="I581:I589" si="115">(F581*G581*H581)</f>
        <v>7011.9000000000005</v>
      </c>
      <c r="K581" s="747"/>
      <c r="L581" s="610"/>
      <c r="M581" s="610"/>
      <c r="N581" s="610"/>
      <c r="O581" s="610"/>
      <c r="Q581" s="1091"/>
    </row>
    <row r="582" spans="2:17" x14ac:dyDescent="0.25">
      <c r="B582" s="669" t="s">
        <v>4083</v>
      </c>
      <c r="C582" s="669" t="s">
        <v>4083</v>
      </c>
      <c r="D582" s="444" t="str">
        <f>+INSUMOS!B145</f>
        <v>ALAMBRE 12 AWG FASE 2</v>
      </c>
      <c r="E582" s="743" t="str">
        <f>+INSUMOS!D145</f>
        <v>M</v>
      </c>
      <c r="F582" s="744">
        <v>3</v>
      </c>
      <c r="G582" s="1130">
        <v>2226</v>
      </c>
      <c r="H582" s="580">
        <v>1.05</v>
      </c>
      <c r="I582" s="745">
        <f t="shared" si="115"/>
        <v>7011.9000000000005</v>
      </c>
      <c r="K582" s="609"/>
      <c r="L582" s="610"/>
      <c r="M582" s="610"/>
      <c r="N582" s="610"/>
      <c r="O582" s="610"/>
      <c r="Q582" s="1090"/>
    </row>
    <row r="583" spans="2:17" x14ac:dyDescent="0.25">
      <c r="B583" s="669" t="s">
        <v>4083</v>
      </c>
      <c r="C583" s="669" t="s">
        <v>4083</v>
      </c>
      <c r="D583" s="444" t="str">
        <f>+INSUMOS!B146</f>
        <v>ALAMBRE 12 AWG POLO A TIERRA</v>
      </c>
      <c r="E583" s="743" t="str">
        <f>+INSUMOS!D146</f>
        <v>M</v>
      </c>
      <c r="F583" s="744">
        <v>3</v>
      </c>
      <c r="G583" s="1130">
        <v>2226</v>
      </c>
      <c r="H583" s="580">
        <v>1.05</v>
      </c>
      <c r="I583" s="745">
        <f t="shared" si="115"/>
        <v>7011.9000000000005</v>
      </c>
      <c r="K583" s="746"/>
      <c r="L583" s="610"/>
      <c r="M583" s="610"/>
      <c r="N583" s="610"/>
      <c r="O583" s="610"/>
      <c r="Q583" s="1090"/>
    </row>
    <row r="584" spans="2:17" x14ac:dyDescent="0.25">
      <c r="B584" s="669" t="s">
        <v>4083</v>
      </c>
      <c r="C584" s="669" t="s">
        <v>4083</v>
      </c>
      <c r="D584" s="444" t="str">
        <f>+INSUMOS!B147</f>
        <v>TAPA PROTECCIÓN INTEMPERIE</v>
      </c>
      <c r="E584" s="743" t="str">
        <f>+INSUMOS!D147</f>
        <v>UN</v>
      </c>
      <c r="F584" s="744">
        <v>1</v>
      </c>
      <c r="G584" s="1130">
        <v>46564</v>
      </c>
      <c r="H584" s="580">
        <v>1.05</v>
      </c>
      <c r="I584" s="745">
        <f t="shared" si="115"/>
        <v>48892.200000000004</v>
      </c>
      <c r="K584" s="746"/>
      <c r="L584" s="610"/>
      <c r="M584" s="610"/>
      <c r="N584" s="610"/>
      <c r="O584" s="610"/>
      <c r="Q584" s="1090"/>
    </row>
    <row r="585" spans="2:17" x14ac:dyDescent="0.25">
      <c r="B585" s="669" t="s">
        <v>4083</v>
      </c>
      <c r="C585" s="669" t="s">
        <v>4083</v>
      </c>
      <c r="D585" s="444" t="str">
        <f>+INSUMOS!B148</f>
        <v>CAJA DE PASO SENCILLA CU40 SOBREPONER</v>
      </c>
      <c r="E585" s="743" t="str">
        <f>+INSUMOS!D148</f>
        <v>UN</v>
      </c>
      <c r="F585" s="744">
        <v>1</v>
      </c>
      <c r="G585" s="1130">
        <v>9540</v>
      </c>
      <c r="H585" s="580">
        <v>1.05</v>
      </c>
      <c r="I585" s="745">
        <f t="shared" si="115"/>
        <v>10017</v>
      </c>
      <c r="K585" s="609"/>
      <c r="L585" s="628"/>
      <c r="M585" s="628"/>
      <c r="N585" s="628"/>
      <c r="O585" s="628"/>
      <c r="Q585" s="1090"/>
    </row>
    <row r="586" spans="2:17" x14ac:dyDescent="0.25">
      <c r="B586" s="669" t="s">
        <v>4083</v>
      </c>
      <c r="C586" s="669" t="s">
        <v>4083</v>
      </c>
      <c r="D586" s="444" t="str">
        <f>+INSUMOS!B149</f>
        <v>TOMACORRIENTE DOBLE GFCI</v>
      </c>
      <c r="E586" s="743" t="str">
        <f>+INSUMOS!D149</f>
        <v>UN</v>
      </c>
      <c r="F586" s="744">
        <v>1</v>
      </c>
      <c r="G586" s="1130">
        <v>50000</v>
      </c>
      <c r="H586" s="580">
        <v>1</v>
      </c>
      <c r="I586" s="745">
        <f t="shared" si="115"/>
        <v>50000</v>
      </c>
      <c r="K586" s="609"/>
      <c r="L586" s="628"/>
      <c r="M586" s="628"/>
      <c r="N586" s="628"/>
      <c r="O586" s="628"/>
      <c r="Q586" s="1090"/>
    </row>
    <row r="587" spans="2:17" x14ac:dyDescent="0.25">
      <c r="B587" s="669" t="s">
        <v>205</v>
      </c>
      <c r="C587" s="669" t="s">
        <v>205</v>
      </c>
      <c r="D587" s="444" t="s">
        <v>4146</v>
      </c>
      <c r="E587" s="445" t="s">
        <v>4025</v>
      </c>
      <c r="F587" s="580">
        <v>1</v>
      </c>
      <c r="G587" s="1131">
        <f>+I580</f>
        <v>39352.950000000004</v>
      </c>
      <c r="H587" s="580">
        <v>0.05</v>
      </c>
      <c r="I587" s="745">
        <f t="shared" si="115"/>
        <v>1967.6475000000003</v>
      </c>
      <c r="K587" s="609"/>
      <c r="L587" s="628"/>
      <c r="M587" s="628"/>
      <c r="N587" s="628"/>
      <c r="O587" s="628"/>
      <c r="Q587" s="1090"/>
    </row>
    <row r="588" spans="2:17" x14ac:dyDescent="0.25">
      <c r="B588" s="671" t="s">
        <v>204</v>
      </c>
      <c r="C588" s="671" t="s">
        <v>204</v>
      </c>
      <c r="D588" s="444" t="s">
        <v>4110</v>
      </c>
      <c r="E588" s="445" t="s">
        <v>4025</v>
      </c>
      <c r="F588" s="580">
        <v>1</v>
      </c>
      <c r="G588" s="1130">
        <f>+I580</f>
        <v>39352.950000000004</v>
      </c>
      <c r="H588" s="580">
        <v>0.05</v>
      </c>
      <c r="I588" s="745">
        <f t="shared" si="115"/>
        <v>1967.6475000000003</v>
      </c>
      <c r="K588" s="609"/>
      <c r="L588" s="628"/>
      <c r="M588" s="628"/>
      <c r="N588" s="628"/>
      <c r="O588" s="628"/>
      <c r="Q588" s="1090"/>
    </row>
    <row r="589" spans="2:17" ht="15.75" thickBot="1" x14ac:dyDescent="0.3">
      <c r="B589" s="672" t="s">
        <v>204</v>
      </c>
      <c r="C589" s="672" t="s">
        <v>204</v>
      </c>
      <c r="D589" s="654" t="s">
        <v>18</v>
      </c>
      <c r="E589" s="673" t="s">
        <v>4025</v>
      </c>
      <c r="F589" s="656">
        <v>1</v>
      </c>
      <c r="G589" s="1132">
        <f>+I580</f>
        <v>39352.950000000004</v>
      </c>
      <c r="H589" s="656">
        <v>0.05</v>
      </c>
      <c r="I589" s="748">
        <f t="shared" si="115"/>
        <v>1967.6475000000003</v>
      </c>
      <c r="K589" s="609"/>
      <c r="L589" s="628"/>
      <c r="M589" s="628"/>
      <c r="N589" s="628"/>
      <c r="O589" s="628"/>
      <c r="Q589" s="1090"/>
    </row>
    <row r="590" spans="2:17" ht="15.75" thickBot="1" x14ac:dyDescent="0.3">
      <c r="B590" s="749"/>
      <c r="C590" s="749"/>
      <c r="D590" s="729"/>
      <c r="E590" s="750"/>
      <c r="F590" s="751"/>
      <c r="G590" s="1133"/>
      <c r="H590" s="749"/>
      <c r="I590" s="752"/>
      <c r="Q590" s="1090"/>
    </row>
    <row r="591" spans="2:17" ht="24.75" thickBot="1" x14ac:dyDescent="0.3">
      <c r="B591" s="645" t="s">
        <v>8</v>
      </c>
      <c r="C591" s="645" t="s">
        <v>8</v>
      </c>
      <c r="D591" s="630" t="s">
        <v>9</v>
      </c>
      <c r="E591" s="645" t="s">
        <v>11</v>
      </c>
      <c r="F591" s="645" t="s">
        <v>2</v>
      </c>
      <c r="G591" s="1124" t="s">
        <v>3987</v>
      </c>
      <c r="H591" s="645" t="s">
        <v>4101</v>
      </c>
      <c r="I591" s="711" t="s">
        <v>14</v>
      </c>
      <c r="K591" s="609"/>
      <c r="L591" s="610"/>
      <c r="M591" s="610"/>
      <c r="N591" s="610"/>
      <c r="O591" s="610"/>
      <c r="P591" s="610"/>
      <c r="Q591" s="1090"/>
    </row>
    <row r="592" spans="2:17" ht="39.75" customHeight="1" x14ac:dyDescent="0.25">
      <c r="B592" s="688" t="s">
        <v>5110</v>
      </c>
      <c r="C592" s="688" t="s">
        <v>4270</v>
      </c>
      <c r="D592" s="753" t="s">
        <v>4267</v>
      </c>
      <c r="E592" s="754" t="s">
        <v>4016</v>
      </c>
      <c r="F592" s="754"/>
      <c r="G592" s="1134">
        <f>ROUND(SUM(I593:I601),0)</f>
        <v>313477</v>
      </c>
      <c r="H592" s="755"/>
      <c r="I592" s="756"/>
      <c r="K592" s="609" t="str">
        <f>+B592</f>
        <v>8.3</v>
      </c>
      <c r="L592" s="610">
        <f>SUM(I599)</f>
        <v>4163.541666666667</v>
      </c>
      <c r="M592" s="610">
        <f>+I593+I601</f>
        <v>87434.375000000015</v>
      </c>
      <c r="N592" s="610">
        <f>SUM(I594:I598)</f>
        <v>217715.05000000002</v>
      </c>
      <c r="O592" s="610">
        <f>+I600</f>
        <v>4163.541666666667</v>
      </c>
      <c r="P592" s="610">
        <f>ROUND(SUM(L592:O592),0)</f>
        <v>313477</v>
      </c>
      <c r="Q592" s="1090">
        <f>+G592-P592</f>
        <v>0</v>
      </c>
    </row>
    <row r="593" spans="2:17" x14ac:dyDescent="0.25">
      <c r="B593" s="669" t="str">
        <f>+B579</f>
        <v>M.O</v>
      </c>
      <c r="C593" s="669" t="str">
        <f>+C579</f>
        <v>M.O</v>
      </c>
      <c r="D593" s="444" t="str">
        <f>+D579</f>
        <v>CUADRILLA FF TIPO 1 (1 OFICIAL + 1 AYUDANTE) (Electricas)</v>
      </c>
      <c r="E593" s="743" t="str">
        <f>+E579</f>
        <v>DIA</v>
      </c>
      <c r="F593" s="744">
        <v>1</v>
      </c>
      <c r="G593" s="1130">
        <f>+G579</f>
        <v>319760</v>
      </c>
      <c r="H593" s="580">
        <f>(125/480)</f>
        <v>0.26041666666666669</v>
      </c>
      <c r="I593" s="745">
        <f>(F593*G593*H593)</f>
        <v>83270.833333333343</v>
      </c>
      <c r="K593" s="747"/>
      <c r="L593" s="610"/>
      <c r="M593" s="610"/>
      <c r="N593" s="610"/>
      <c r="O593" s="610"/>
      <c r="Q593" s="1090"/>
    </row>
    <row r="594" spans="2:17" x14ac:dyDescent="0.25">
      <c r="B594" s="669" t="s">
        <v>4083</v>
      </c>
      <c r="C594" s="669" t="s">
        <v>4083</v>
      </c>
      <c r="D594" s="444" t="str">
        <f>+D580</f>
        <v>TUERIA EMT 3/4"</v>
      </c>
      <c r="E594" s="743" t="str">
        <f>+E581</f>
        <v>M</v>
      </c>
      <c r="F594" s="744">
        <v>3</v>
      </c>
      <c r="G594" s="1130">
        <f>+G580</f>
        <v>12493</v>
      </c>
      <c r="H594" s="580">
        <v>1.05</v>
      </c>
      <c r="I594" s="745">
        <f t="shared" ref="I594:I601" si="116">(F594*G594*H594)</f>
        <v>39352.950000000004</v>
      </c>
      <c r="K594" s="609"/>
      <c r="L594" s="610"/>
      <c r="M594" s="610"/>
      <c r="N594" s="610"/>
      <c r="O594" s="610"/>
      <c r="Q594" s="1090"/>
    </row>
    <row r="595" spans="2:17" x14ac:dyDescent="0.25">
      <c r="B595" s="669" t="s">
        <v>4083</v>
      </c>
      <c r="C595" s="669" t="s">
        <v>4083</v>
      </c>
      <c r="D595" s="444" t="str">
        <f>+D581</f>
        <v>ALAMBRE 12 AWG FASE 1</v>
      </c>
      <c r="E595" s="743" t="str">
        <f>+E583</f>
        <v>M</v>
      </c>
      <c r="F595" s="744">
        <v>3</v>
      </c>
      <c r="G595" s="1130">
        <f>+G581</f>
        <v>2226</v>
      </c>
      <c r="H595" s="580">
        <v>1.05</v>
      </c>
      <c r="I595" s="745">
        <f t="shared" si="116"/>
        <v>7011.9000000000005</v>
      </c>
      <c r="K595" s="747"/>
      <c r="L595" s="610"/>
      <c r="M595" s="610"/>
      <c r="N595" s="610"/>
      <c r="O595" s="610"/>
      <c r="Q595" s="1091"/>
    </row>
    <row r="596" spans="2:17" x14ac:dyDescent="0.25">
      <c r="B596" s="669" t="s">
        <v>4083</v>
      </c>
      <c r="C596" s="669" t="s">
        <v>4083</v>
      </c>
      <c r="D596" s="444" t="str">
        <f>+D582</f>
        <v>ALAMBRE 12 AWG FASE 2</v>
      </c>
      <c r="E596" s="743" t="str">
        <f>+E583</f>
        <v>M</v>
      </c>
      <c r="F596" s="744">
        <v>3</v>
      </c>
      <c r="G596" s="1130">
        <v>2226</v>
      </c>
      <c r="H596" s="580">
        <v>1.05</v>
      </c>
      <c r="I596" s="745">
        <f t="shared" si="116"/>
        <v>7011.9000000000005</v>
      </c>
      <c r="K596" s="609"/>
      <c r="L596" s="610"/>
      <c r="M596" s="610"/>
      <c r="N596" s="610"/>
      <c r="O596" s="610"/>
      <c r="Q596" s="1090"/>
    </row>
    <row r="597" spans="2:17" x14ac:dyDescent="0.25">
      <c r="B597" s="669" t="s">
        <v>4083</v>
      </c>
      <c r="C597" s="669" t="s">
        <v>4083</v>
      </c>
      <c r="D597" s="444" t="str">
        <f>+D583</f>
        <v>ALAMBRE 12 AWG POLO A TIERRA</v>
      </c>
      <c r="E597" s="743" t="str">
        <f>+E583</f>
        <v>M</v>
      </c>
      <c r="F597" s="744">
        <v>1</v>
      </c>
      <c r="G597" s="1130">
        <f>+G583</f>
        <v>2226</v>
      </c>
      <c r="H597" s="580">
        <v>1.05</v>
      </c>
      <c r="I597" s="745">
        <f t="shared" si="116"/>
        <v>2337.3000000000002</v>
      </c>
      <c r="K597" s="609"/>
      <c r="L597" s="628"/>
      <c r="M597" s="628"/>
      <c r="N597" s="628"/>
      <c r="O597" s="628"/>
      <c r="Q597" s="1090"/>
    </row>
    <row r="598" spans="2:17" x14ac:dyDescent="0.25">
      <c r="B598" s="669" t="s">
        <v>4083</v>
      </c>
      <c r="C598" s="669" t="s">
        <v>4083</v>
      </c>
      <c r="D598" s="444" t="s">
        <v>4280</v>
      </c>
      <c r="E598" s="696" t="s">
        <v>4016</v>
      </c>
      <c r="F598" s="699">
        <v>1</v>
      </c>
      <c r="G598" s="1130">
        <f>+INSUMOS!E150</f>
        <v>162001</v>
      </c>
      <c r="H598" s="580">
        <v>1</v>
      </c>
      <c r="I598" s="745">
        <f t="shared" si="116"/>
        <v>162001</v>
      </c>
      <c r="K598" s="609"/>
      <c r="L598" s="628"/>
      <c r="M598" s="628"/>
      <c r="N598" s="628"/>
      <c r="O598" s="628"/>
      <c r="Q598" s="1090"/>
    </row>
    <row r="599" spans="2:17" x14ac:dyDescent="0.25">
      <c r="B599" s="669" t="s">
        <v>205</v>
      </c>
      <c r="C599" s="669" t="s">
        <v>205</v>
      </c>
      <c r="D599" s="444" t="s">
        <v>4146</v>
      </c>
      <c r="E599" s="445" t="s">
        <v>4025</v>
      </c>
      <c r="F599" s="580">
        <v>1</v>
      </c>
      <c r="G599" s="1131">
        <f>+I593</f>
        <v>83270.833333333343</v>
      </c>
      <c r="H599" s="580">
        <v>0.05</v>
      </c>
      <c r="I599" s="745">
        <f t="shared" si="116"/>
        <v>4163.541666666667</v>
      </c>
      <c r="K599" s="609"/>
      <c r="L599" s="628"/>
      <c r="M599" s="628"/>
      <c r="N599" s="628"/>
      <c r="O599" s="628"/>
      <c r="Q599" s="1090"/>
    </row>
    <row r="600" spans="2:17" x14ac:dyDescent="0.25">
      <c r="B600" s="671" t="s">
        <v>204</v>
      </c>
      <c r="C600" s="671" t="s">
        <v>204</v>
      </c>
      <c r="D600" s="444" t="s">
        <v>4110</v>
      </c>
      <c r="E600" s="445" t="s">
        <v>4025</v>
      </c>
      <c r="F600" s="580">
        <v>1</v>
      </c>
      <c r="G600" s="1130">
        <f>+I593</f>
        <v>83270.833333333343</v>
      </c>
      <c r="H600" s="580">
        <v>0.05</v>
      </c>
      <c r="I600" s="745">
        <f t="shared" si="116"/>
        <v>4163.541666666667</v>
      </c>
      <c r="K600" s="609"/>
      <c r="L600" s="628"/>
      <c r="M600" s="628"/>
      <c r="N600" s="628"/>
      <c r="O600" s="628"/>
      <c r="Q600" s="1090"/>
    </row>
    <row r="601" spans="2:17" ht="15.75" thickBot="1" x14ac:dyDescent="0.3">
      <c r="B601" s="672" t="s">
        <v>204</v>
      </c>
      <c r="C601" s="672" t="s">
        <v>204</v>
      </c>
      <c r="D601" s="654" t="s">
        <v>18</v>
      </c>
      <c r="E601" s="673" t="s">
        <v>4025</v>
      </c>
      <c r="F601" s="656">
        <v>1</v>
      </c>
      <c r="G601" s="1132">
        <f>+I593</f>
        <v>83270.833333333343</v>
      </c>
      <c r="H601" s="656">
        <v>0.05</v>
      </c>
      <c r="I601" s="748">
        <f t="shared" si="116"/>
        <v>4163.541666666667</v>
      </c>
      <c r="K601" s="609"/>
      <c r="L601" s="628"/>
      <c r="M601" s="628"/>
      <c r="N601" s="628"/>
      <c r="O601" s="628"/>
      <c r="Q601" s="1090"/>
    </row>
    <row r="602" spans="2:17" ht="15.75" thickBot="1" x14ac:dyDescent="0.3">
      <c r="B602" s="757"/>
      <c r="C602" s="757"/>
      <c r="D602" s="729"/>
      <c r="E602" s="758"/>
      <c r="F602" s="759"/>
      <c r="G602" s="1135"/>
      <c r="H602" s="757"/>
      <c r="I602" s="757"/>
      <c r="Q602" s="1090"/>
    </row>
    <row r="603" spans="2:17" ht="24.75" thickBot="1" x14ac:dyDescent="0.3">
      <c r="B603" s="645" t="s">
        <v>8</v>
      </c>
      <c r="C603" s="645" t="s">
        <v>8</v>
      </c>
      <c r="D603" s="630" t="s">
        <v>9</v>
      </c>
      <c r="E603" s="630" t="s">
        <v>11</v>
      </c>
      <c r="F603" s="630" t="s">
        <v>2</v>
      </c>
      <c r="G603" s="1113" t="s">
        <v>3987</v>
      </c>
      <c r="H603" s="760" t="s">
        <v>4101</v>
      </c>
      <c r="I603" s="631" t="s">
        <v>14</v>
      </c>
      <c r="K603" s="609"/>
      <c r="L603" s="610"/>
      <c r="M603" s="610"/>
      <c r="N603" s="610"/>
      <c r="O603" s="610"/>
      <c r="P603" s="610"/>
      <c r="Q603" s="1090"/>
    </row>
    <row r="604" spans="2:17" ht="24" x14ac:dyDescent="0.25">
      <c r="B604" s="688" t="s">
        <v>5111</v>
      </c>
      <c r="C604" s="688" t="s">
        <v>4272</v>
      </c>
      <c r="D604" s="761" t="s">
        <v>4268</v>
      </c>
      <c r="E604" s="762" t="s">
        <v>4016</v>
      </c>
      <c r="F604" s="762"/>
      <c r="G604" s="1118">
        <f>ROUND(SUM(I605:I613),0)</f>
        <v>130012</v>
      </c>
      <c r="H604" s="677"/>
      <c r="I604" s="763"/>
      <c r="K604" s="609" t="str">
        <f>+B604</f>
        <v>8.4</v>
      </c>
      <c r="L604" s="610">
        <f>SUM(I611)</f>
        <v>4196.8500000000004</v>
      </c>
      <c r="M604" s="610">
        <f>+I605+I613</f>
        <v>88133.85</v>
      </c>
      <c r="N604" s="610">
        <f>SUM(I606:I610)</f>
        <v>33484.65</v>
      </c>
      <c r="O604" s="610">
        <f>+I612</f>
        <v>4196.8500000000004</v>
      </c>
      <c r="P604" s="610">
        <f>ROUND(SUM(L604:O604),0)</f>
        <v>130012</v>
      </c>
      <c r="Q604" s="1090">
        <f>+G604-P604</f>
        <v>0</v>
      </c>
    </row>
    <row r="605" spans="2:17" x14ac:dyDescent="0.25">
      <c r="B605" s="669" t="str">
        <f t="shared" ref="B605" si="117">+B593</f>
        <v>M.O</v>
      </c>
      <c r="C605" s="669" t="str">
        <f t="shared" ref="C605:D609" si="118">+C593</f>
        <v>M.O</v>
      </c>
      <c r="D605" s="444" t="str">
        <f t="shared" si="118"/>
        <v>CUADRILLA FF TIPO 1 (1 OFICIAL + 1 AYUDANTE) (Electricas)</v>
      </c>
      <c r="E605" s="743" t="s">
        <v>292</v>
      </c>
      <c r="F605" s="744">
        <f>+F593</f>
        <v>1</v>
      </c>
      <c r="G605" s="1130">
        <f>+G593</f>
        <v>319760</v>
      </c>
      <c r="H605" s="580">
        <f>(126/480)</f>
        <v>0.26250000000000001</v>
      </c>
      <c r="I605" s="745">
        <f>(F605*G605*H605)</f>
        <v>83937</v>
      </c>
      <c r="L605" s="610"/>
      <c r="M605" s="610"/>
      <c r="N605" s="610"/>
      <c r="O605" s="610"/>
      <c r="Q605" s="1090"/>
    </row>
    <row r="606" spans="2:17" x14ac:dyDescent="0.25">
      <c r="B606" s="669" t="str">
        <f t="shared" ref="B606" si="119">+B594</f>
        <v>MAT.</v>
      </c>
      <c r="C606" s="669" t="str">
        <f t="shared" si="118"/>
        <v>MAT.</v>
      </c>
      <c r="D606" s="444" t="str">
        <f t="shared" si="118"/>
        <v>TUERIA EMT 3/4"</v>
      </c>
      <c r="E606" s="743" t="s">
        <v>292</v>
      </c>
      <c r="F606" s="744">
        <f>+F594</f>
        <v>3</v>
      </c>
      <c r="G606" s="1130">
        <v>2226</v>
      </c>
      <c r="H606" s="580">
        <v>1.05</v>
      </c>
      <c r="I606" s="745">
        <f t="shared" ref="I606:I613" si="120">(F606*G606*H606)</f>
        <v>7011.9000000000005</v>
      </c>
      <c r="K606" s="609"/>
      <c r="Q606" s="1090"/>
    </row>
    <row r="607" spans="2:17" x14ac:dyDescent="0.25">
      <c r="B607" s="669" t="str">
        <f t="shared" ref="B607" si="121">+B595</f>
        <v>MAT.</v>
      </c>
      <c r="C607" s="669" t="str">
        <f t="shared" si="118"/>
        <v>MAT.</v>
      </c>
      <c r="D607" s="444" t="str">
        <f t="shared" si="118"/>
        <v>ALAMBRE 12 AWG FASE 1</v>
      </c>
      <c r="E607" s="743" t="s">
        <v>292</v>
      </c>
      <c r="F607" s="744">
        <f>+F595</f>
        <v>3</v>
      </c>
      <c r="G607" s="1130">
        <v>2226</v>
      </c>
      <c r="H607" s="580">
        <v>1.05</v>
      </c>
      <c r="I607" s="745">
        <f t="shared" si="120"/>
        <v>7011.9000000000005</v>
      </c>
      <c r="K607" s="747"/>
      <c r="L607" s="610"/>
      <c r="M607" s="610"/>
      <c r="N607" s="610"/>
      <c r="O607" s="610"/>
      <c r="Q607" s="1090"/>
    </row>
    <row r="608" spans="2:17" x14ac:dyDescent="0.25">
      <c r="B608" s="669" t="str">
        <f t="shared" ref="B608" si="122">+B596</f>
        <v>MAT.</v>
      </c>
      <c r="C608" s="669" t="str">
        <f t="shared" si="118"/>
        <v>MAT.</v>
      </c>
      <c r="D608" s="444" t="str">
        <f t="shared" si="118"/>
        <v>ALAMBRE 12 AWG FASE 2</v>
      </c>
      <c r="E608" s="743" t="s">
        <v>292</v>
      </c>
      <c r="F608" s="744">
        <f>+F596</f>
        <v>3</v>
      </c>
      <c r="G608" s="1130">
        <v>2226</v>
      </c>
      <c r="H608" s="580">
        <v>1.05</v>
      </c>
      <c r="I608" s="745">
        <f t="shared" si="120"/>
        <v>7011.9000000000005</v>
      </c>
      <c r="K608" s="609"/>
      <c r="L608" s="610"/>
      <c r="M608" s="610"/>
      <c r="N608" s="610"/>
      <c r="O608" s="610"/>
      <c r="Q608" s="1090"/>
    </row>
    <row r="609" spans="2:17" x14ac:dyDescent="0.25">
      <c r="B609" s="669" t="str">
        <f t="shared" ref="B609" si="123">+B597</f>
        <v>MAT.</v>
      </c>
      <c r="C609" s="669" t="str">
        <f t="shared" si="118"/>
        <v>MAT.</v>
      </c>
      <c r="D609" s="444" t="str">
        <f t="shared" si="118"/>
        <v>ALAMBRE 12 AWG POLO A TIERRA</v>
      </c>
      <c r="E609" s="743" t="s">
        <v>4001</v>
      </c>
      <c r="F609" s="744">
        <f>+F597</f>
        <v>1</v>
      </c>
      <c r="G609" s="1130">
        <v>5679</v>
      </c>
      <c r="H609" s="580">
        <v>1.05</v>
      </c>
      <c r="I609" s="745">
        <f t="shared" si="120"/>
        <v>5962.95</v>
      </c>
      <c r="L609" s="610"/>
      <c r="M609" s="610"/>
      <c r="N609" s="610"/>
      <c r="O609" s="610"/>
      <c r="Q609" s="1090"/>
    </row>
    <row r="610" spans="2:17" x14ac:dyDescent="0.25">
      <c r="B610" s="669" t="str">
        <f>+B598</f>
        <v>MAT.</v>
      </c>
      <c r="C610" s="669" t="str">
        <f>+C598</f>
        <v>MAT.</v>
      </c>
      <c r="D610" s="444" t="str">
        <f>+INSUMOS!B151</f>
        <v>INTERRUPTOR SENCILLO</v>
      </c>
      <c r="E610" s="696" t="str">
        <f>+INSUMOS!D151</f>
        <v>UN</v>
      </c>
      <c r="F610" s="699">
        <v>1</v>
      </c>
      <c r="G610" s="1130">
        <v>6486</v>
      </c>
      <c r="H610" s="580">
        <v>1</v>
      </c>
      <c r="I610" s="745">
        <f t="shared" si="120"/>
        <v>6486</v>
      </c>
      <c r="L610" s="610"/>
      <c r="M610" s="610"/>
      <c r="N610" s="610"/>
      <c r="O610" s="610"/>
      <c r="Q610" s="1090"/>
    </row>
    <row r="611" spans="2:17" x14ac:dyDescent="0.25">
      <c r="B611" s="669" t="s">
        <v>205</v>
      </c>
      <c r="C611" s="669" t="s">
        <v>205</v>
      </c>
      <c r="D611" s="444" t="s">
        <v>4146</v>
      </c>
      <c r="E611" s="445" t="s">
        <v>4025</v>
      </c>
      <c r="F611" s="580">
        <v>1</v>
      </c>
      <c r="G611" s="1130">
        <f>+I605</f>
        <v>83937</v>
      </c>
      <c r="H611" s="580">
        <v>0.05</v>
      </c>
      <c r="I611" s="745">
        <f t="shared" si="120"/>
        <v>4196.8500000000004</v>
      </c>
      <c r="L611" s="610"/>
      <c r="M611" s="610"/>
      <c r="N611" s="610"/>
      <c r="O611" s="610"/>
      <c r="Q611" s="1090"/>
    </row>
    <row r="612" spans="2:17" x14ac:dyDescent="0.25">
      <c r="B612" s="671" t="s">
        <v>204</v>
      </c>
      <c r="C612" s="671" t="s">
        <v>204</v>
      </c>
      <c r="D612" s="444" t="s">
        <v>4110</v>
      </c>
      <c r="E612" s="445" t="s">
        <v>4025</v>
      </c>
      <c r="F612" s="580">
        <v>1</v>
      </c>
      <c r="G612" s="1130">
        <f>+I605</f>
        <v>83937</v>
      </c>
      <c r="H612" s="580">
        <v>0.05</v>
      </c>
      <c r="I612" s="745">
        <f t="shared" si="120"/>
        <v>4196.8500000000004</v>
      </c>
      <c r="L612" s="610"/>
      <c r="M612" s="610"/>
      <c r="N612" s="610"/>
      <c r="O612" s="610"/>
      <c r="Q612" s="1090"/>
    </row>
    <row r="613" spans="2:17" ht="15.75" thickBot="1" x14ac:dyDescent="0.3">
      <c r="B613" s="672" t="s">
        <v>204</v>
      </c>
      <c r="C613" s="672" t="s">
        <v>204</v>
      </c>
      <c r="D613" s="654" t="s">
        <v>18</v>
      </c>
      <c r="E613" s="673" t="s">
        <v>4025</v>
      </c>
      <c r="F613" s="656">
        <v>1</v>
      </c>
      <c r="G613" s="1132">
        <f>+I605</f>
        <v>83937</v>
      </c>
      <c r="H613" s="656">
        <v>0.05</v>
      </c>
      <c r="I613" s="748">
        <f t="shared" si="120"/>
        <v>4196.8500000000004</v>
      </c>
      <c r="L613" s="610"/>
      <c r="M613" s="610"/>
      <c r="N613" s="610"/>
      <c r="O613" s="610"/>
      <c r="Q613" s="1090"/>
    </row>
    <row r="614" spans="2:17" x14ac:dyDescent="0.25">
      <c r="Q614" s="1090"/>
    </row>
    <row r="615" spans="2:17" ht="18" x14ac:dyDescent="0.25">
      <c r="D615" s="764" t="s">
        <v>4542</v>
      </c>
      <c r="Q615" s="1090"/>
    </row>
    <row r="616" spans="2:17" x14ac:dyDescent="0.25">
      <c r="Q616" s="1090"/>
    </row>
    <row r="617" spans="2:17" ht="30.75" customHeight="1" x14ac:dyDescent="0.25">
      <c r="B617" s="691" t="s">
        <v>4429</v>
      </c>
      <c r="C617" s="691" t="s">
        <v>4453</v>
      </c>
      <c r="D617" s="765" t="s">
        <v>4884</v>
      </c>
      <c r="E617" s="691" t="s">
        <v>4012</v>
      </c>
      <c r="F617" s="693"/>
      <c r="G617" s="1121">
        <f>ROUND(SUM(I618:I620),0)</f>
        <v>73262</v>
      </c>
      <c r="H617" s="694"/>
      <c r="I617" s="694"/>
      <c r="K617" s="609" t="str">
        <f>+B617</f>
        <v>1.4</v>
      </c>
      <c r="L617" s="610">
        <f>+I619+I618</f>
        <v>30613.200000000001</v>
      </c>
      <c r="M617" s="610">
        <f>+I620</f>
        <v>42649.1</v>
      </c>
      <c r="N617" s="610"/>
      <c r="O617" s="610"/>
      <c r="P617" s="610">
        <f>ROUND(SUM(L617:O617),0)</f>
        <v>73262</v>
      </c>
      <c r="Q617" s="1090">
        <f>+G617-P617</f>
        <v>0</v>
      </c>
    </row>
    <row r="618" spans="2:17" x14ac:dyDescent="0.25">
      <c r="B618" s="696" t="s">
        <v>4530</v>
      </c>
      <c r="C618" s="696">
        <v>151</v>
      </c>
      <c r="D618" s="444" t="str">
        <f>VLOOKUP($C618,INSUMOS!$A$4:$M$199,2,0)</f>
        <v>EQUIPO DE OXICORTE</v>
      </c>
      <c r="E618" s="445" t="str">
        <f>VLOOKUP($C618,INSUMOS!$A$4:$M$199,4,0)</f>
        <v>HR</v>
      </c>
      <c r="F618" s="766">
        <v>1.3</v>
      </c>
      <c r="G618" s="1122">
        <f>+VLOOKUP(C618,INSUMOS!$A$2:$E$495,5,FALSE)</f>
        <v>22614</v>
      </c>
      <c r="H618" s="697"/>
      <c r="I618" s="698">
        <f>+F618*G618</f>
        <v>29398.2</v>
      </c>
      <c r="Q618" s="1090"/>
    </row>
    <row r="619" spans="2:17" x14ac:dyDescent="0.25">
      <c r="B619" s="696" t="s">
        <v>4529</v>
      </c>
      <c r="C619" s="696">
        <v>150</v>
      </c>
      <c r="D619" s="444" t="str">
        <f>VLOOKUP($C619,INSUMOS!$A$4:$M$199,2,0)</f>
        <v>HERRAMIENTA MENOR</v>
      </c>
      <c r="E619" s="445" t="str">
        <f>VLOOKUP($C619,INSUMOS!$A$4:$M$199,4,0)</f>
        <v>GLB</v>
      </c>
      <c r="F619" s="695">
        <v>0.3</v>
      </c>
      <c r="G619" s="1122">
        <f>+VLOOKUP(C619,INSUMOS!$A$2:$E$495,5,FALSE)</f>
        <v>4050</v>
      </c>
      <c r="H619" s="697"/>
      <c r="I619" s="698">
        <f>+F619*G619</f>
        <v>1215</v>
      </c>
      <c r="Q619" s="1090"/>
    </row>
    <row r="620" spans="2:17" ht="24" x14ac:dyDescent="0.25">
      <c r="B620" s="695" t="s">
        <v>4528</v>
      </c>
      <c r="C620" s="696" t="s">
        <v>4536</v>
      </c>
      <c r="D620" s="444" t="str">
        <f>VLOOKUP($C620,MO!$A$4:$N$199,2,0)</f>
        <v>CUADRILLA DD TIPO 1 (1 OFICIAL + 1 AYUDANTE) (Carpinteria)</v>
      </c>
      <c r="E620" s="445" t="str">
        <f>VLOOKUP($C620,MO!$A$4:$N$199,5,0)</f>
        <v>hr</v>
      </c>
      <c r="F620" s="695">
        <v>1.3</v>
      </c>
      <c r="G620" s="1122">
        <f>+VLOOKUP(C620,MO!$A$2:$F$199,6,FALSE)</f>
        <v>32807</v>
      </c>
      <c r="H620" s="697"/>
      <c r="I620" s="698">
        <f>+F620*G620</f>
        <v>42649.1</v>
      </c>
      <c r="Q620" s="1090"/>
    </row>
    <row r="621" spans="2:17" x14ac:dyDescent="0.25">
      <c r="Q621" s="1090"/>
    </row>
    <row r="622" spans="2:17" x14ac:dyDescent="0.25">
      <c r="B622" s="691" t="s">
        <v>4486</v>
      </c>
      <c r="C622" s="691" t="s">
        <v>4453</v>
      </c>
      <c r="D622" s="765" t="s">
        <v>4487</v>
      </c>
      <c r="E622" s="691" t="s">
        <v>4012</v>
      </c>
      <c r="F622" s="693"/>
      <c r="G622" s="1121">
        <f>ROUND(SUM(I623:I627),0)</f>
        <v>328694</v>
      </c>
      <c r="H622" s="694"/>
      <c r="I622" s="694"/>
      <c r="K622" s="609" t="str">
        <f>+B622</f>
        <v>4.13</v>
      </c>
      <c r="L622" s="610">
        <f>SUM(I627)</f>
        <v>1215</v>
      </c>
      <c r="M622" s="610">
        <f>+I623</f>
        <v>310023</v>
      </c>
      <c r="N622" s="610">
        <f>SUM(I624:I626)</f>
        <v>17456.420000000002</v>
      </c>
      <c r="O622" s="610"/>
      <c r="P622" s="610">
        <f>ROUND(SUM(L622:O622),0)</f>
        <v>328694</v>
      </c>
      <c r="Q622" s="1090">
        <f>+G622-P622</f>
        <v>0</v>
      </c>
    </row>
    <row r="623" spans="2:17" ht="24" x14ac:dyDescent="0.25">
      <c r="B623" s="695" t="s">
        <v>4528</v>
      </c>
      <c r="C623" s="696" t="s">
        <v>4541</v>
      </c>
      <c r="D623" s="444" t="str">
        <f>VLOOKUP($C623,MO!$A$4:$N$199,2,0)</f>
        <v>CUADRILLA BB TIPO 2 (1 OFICIAL + 2 AYUDANTE) (Instalaciones)</v>
      </c>
      <c r="E623" s="445" t="str">
        <f>VLOOKUP($C623,MO!$A$4:$N$199,5,0)</f>
        <v>hr</v>
      </c>
      <c r="F623" s="695">
        <v>7</v>
      </c>
      <c r="G623" s="1122">
        <f>+VLOOKUP(C623,MO!$A$2:$F$199,6,FALSE)</f>
        <v>44289</v>
      </c>
      <c r="H623" s="697"/>
      <c r="I623" s="698">
        <f>+F623*G623</f>
        <v>310023</v>
      </c>
      <c r="Q623" s="1090"/>
    </row>
    <row r="624" spans="2:17" x14ac:dyDescent="0.25">
      <c r="B624" s="695" t="s">
        <v>4543</v>
      </c>
      <c r="C624" s="696">
        <v>394</v>
      </c>
      <c r="D624" s="444" t="str">
        <f>VLOOKUP($C624,INSUMOS!$A$4:$E$495,2,0)</f>
        <v>Tubo PVC-P DE 1 1/2"</v>
      </c>
      <c r="E624" s="445" t="str">
        <f>VLOOKUP($C624,INSUMOS!$A$4:$M$495,4,0)</f>
        <v>m</v>
      </c>
      <c r="F624" s="695">
        <v>1</v>
      </c>
      <c r="G624" s="1122">
        <f>+VLOOKUP(C624,INSUMOS!$A$2:$E$495,5,FALSE)</f>
        <v>13094</v>
      </c>
      <c r="H624" s="697"/>
      <c r="I624" s="698">
        <f t="shared" ref="I624:I627" si="124">+F624*G624</f>
        <v>13094</v>
      </c>
      <c r="Q624" s="1090"/>
    </row>
    <row r="625" spans="2:18" x14ac:dyDescent="0.25">
      <c r="B625" s="695" t="s">
        <v>4543</v>
      </c>
      <c r="C625" s="696">
        <v>302</v>
      </c>
      <c r="D625" s="444" t="str">
        <f>VLOOKUP($C625,INSUMOS!$A$4:$E$495,2,0)</f>
        <v xml:space="preserve">Accesorios 10% tuberia </v>
      </c>
      <c r="E625" s="445" t="str">
        <f>VLOOKUP($C625,INSUMOS!$A$4:$M$495,4,0)</f>
        <v>%</v>
      </c>
      <c r="F625" s="695">
        <v>0.1</v>
      </c>
      <c r="G625" s="1122">
        <f>+VLOOKUP(C625,INSUMOS!$A$2:$E$495,5,FALSE)</f>
        <v>16092</v>
      </c>
      <c r="H625" s="697"/>
      <c r="I625" s="698">
        <f t="shared" si="124"/>
        <v>1609.2</v>
      </c>
      <c r="Q625" s="1090"/>
    </row>
    <row r="626" spans="2:18" x14ac:dyDescent="0.25">
      <c r="B626" s="695" t="s">
        <v>4543</v>
      </c>
      <c r="C626" s="696">
        <v>397</v>
      </c>
      <c r="D626" s="444" t="s">
        <v>4356</v>
      </c>
      <c r="E626" s="445">
        <f>VLOOKUP($C626,INSUMOS!$A$4:$M$495,4,0)</f>
        <v>0.01</v>
      </c>
      <c r="F626" s="695">
        <v>0.02</v>
      </c>
      <c r="G626" s="1122">
        <f>+VLOOKUP(C626,INSUMOS!$A$2:$E$495,5,FALSE)</f>
        <v>137661</v>
      </c>
      <c r="H626" s="697"/>
      <c r="I626" s="698">
        <f t="shared" si="124"/>
        <v>2753.2200000000003</v>
      </c>
      <c r="Q626" s="1090"/>
    </row>
    <row r="627" spans="2:18" x14ac:dyDescent="0.25">
      <c r="B627" s="696" t="s">
        <v>4529</v>
      </c>
      <c r="C627" s="696">
        <v>150</v>
      </c>
      <c r="D627" s="444" t="str">
        <f>VLOOKUP($C627,INSUMOS!$A$4:$E$495,2,0)</f>
        <v>HERRAMIENTA MENOR</v>
      </c>
      <c r="E627" s="445" t="str">
        <f>VLOOKUP($C627,INSUMOS!$A$4:$M$495,4,0)</f>
        <v>GLB</v>
      </c>
      <c r="F627" s="695">
        <v>0.3</v>
      </c>
      <c r="G627" s="1122">
        <f>+VLOOKUP(C627,INSUMOS!$A$2:$E$495,5,FALSE)</f>
        <v>4050</v>
      </c>
      <c r="H627" s="697"/>
      <c r="I627" s="698">
        <f t="shared" si="124"/>
        <v>1215</v>
      </c>
      <c r="Q627" s="1090"/>
    </row>
    <row r="628" spans="2:18" x14ac:dyDescent="0.25">
      <c r="Q628" s="1090"/>
    </row>
    <row r="629" spans="2:18" ht="36" x14ac:dyDescent="0.25">
      <c r="B629" s="691" t="s">
        <v>4490</v>
      </c>
      <c r="C629" s="691" t="s">
        <v>4453</v>
      </c>
      <c r="D629" s="765" t="s">
        <v>4488</v>
      </c>
      <c r="E629" s="691" t="s">
        <v>4021</v>
      </c>
      <c r="F629" s="693"/>
      <c r="G629" s="1121">
        <f>ROUND(SUM(I630:I634),0)</f>
        <v>48203</v>
      </c>
      <c r="H629" s="694"/>
      <c r="I629" s="694"/>
      <c r="K629" s="609" t="str">
        <f>+B629</f>
        <v>4.14</v>
      </c>
      <c r="L629" s="610">
        <f>SUM(I633:I634)</f>
        <v>5519.34</v>
      </c>
      <c r="M629" s="610">
        <f>+I630</f>
        <v>34282.600000000006</v>
      </c>
      <c r="N629" s="610">
        <f>SUM(I631:I632)</f>
        <v>8400.6764250000015</v>
      </c>
      <c r="O629" s="610"/>
      <c r="P629" s="610">
        <f>ROUND(SUM(L629:O629),0)</f>
        <v>48203</v>
      </c>
      <c r="Q629" s="1090">
        <f>+G629-P629</f>
        <v>0</v>
      </c>
    </row>
    <row r="630" spans="2:18" x14ac:dyDescent="0.25">
      <c r="B630" s="695" t="s">
        <v>4528</v>
      </c>
      <c r="C630" s="696" t="s">
        <v>4533</v>
      </c>
      <c r="D630" s="444" t="str">
        <f>VLOOKUP($C630,MO!$A$4:$N$199,2,0)</f>
        <v>CUADRILLA AA TIPO 1 (1 OFICIAL + 1 AYUDANTE) (Albañileria)</v>
      </c>
      <c r="E630" s="445" t="str">
        <f>VLOOKUP($C630,MO!$A$4:$N$199,5,0)</f>
        <v>hr</v>
      </c>
      <c r="F630" s="695">
        <v>1.1000000000000001</v>
      </c>
      <c r="G630" s="1122">
        <f>+VLOOKUP(C630,MO!$A$2:$F$199,6,FALSE)</f>
        <v>31166</v>
      </c>
      <c r="H630" s="697"/>
      <c r="I630" s="698">
        <f>+F630*G630</f>
        <v>34282.600000000006</v>
      </c>
      <c r="Q630" s="1090"/>
    </row>
    <row r="631" spans="2:18" x14ac:dyDescent="0.25">
      <c r="B631" s="695" t="s">
        <v>4543</v>
      </c>
      <c r="C631" s="696">
        <v>330</v>
      </c>
      <c r="D631" s="444" t="str">
        <f>VLOOKUP($C631,INSUMOS!$A$4:$E$495,2,0)</f>
        <v>Concreto 3000 PSI</v>
      </c>
      <c r="E631" s="445" t="str">
        <f>VLOOKUP($C631,INSUMOS!$A$4:$M$495,4,0)</f>
        <v>M3</v>
      </c>
      <c r="F631" s="695">
        <v>0.01</v>
      </c>
      <c r="G631" s="1122">
        <f>+VLOOKUP(C631,INSUMOS!$A$2:$E$495,5,FALSE)</f>
        <v>393249.64250000002</v>
      </c>
      <c r="H631" s="697"/>
      <c r="I631" s="698">
        <f t="shared" ref="I631:I634" si="125">+F631*G631</f>
        <v>3932.4964250000003</v>
      </c>
      <c r="Q631" s="1090"/>
    </row>
    <row r="632" spans="2:18" x14ac:dyDescent="0.25">
      <c r="B632" s="695" t="s">
        <v>4543</v>
      </c>
      <c r="C632" s="696">
        <v>405</v>
      </c>
      <c r="D632" s="444" t="str">
        <f>VLOOKUP($C632,INSUMOS!$A$4:$E$495,2,0)</f>
        <v>Tablero de madera para formaleta</v>
      </c>
      <c r="E632" s="445" t="str">
        <f>VLOOKUP($C632,INSUMOS!$A$4:$M$495,4,0)</f>
        <v>m2</v>
      </c>
      <c r="F632" s="695">
        <v>0.02</v>
      </c>
      <c r="G632" s="1122">
        <f>+VLOOKUP(C632,INSUMOS!$A$2:$E$495,5,FALSE)</f>
        <v>223409</v>
      </c>
      <c r="H632" s="697"/>
      <c r="I632" s="698">
        <f t="shared" si="125"/>
        <v>4468.18</v>
      </c>
      <c r="Q632" s="1090"/>
    </row>
    <row r="633" spans="2:18" x14ac:dyDescent="0.25">
      <c r="B633" s="695" t="s">
        <v>4543</v>
      </c>
      <c r="C633" s="696">
        <v>149</v>
      </c>
      <c r="D633" s="444" t="str">
        <f>VLOOKUP($C633,INSUMOS!$A$4:$E$495,2,0)</f>
        <v>MEZCLADORA</v>
      </c>
      <c r="E633" s="445" t="str">
        <f>VLOOKUP($C633,INSUMOS!$A$4:$M$495,4,0)</f>
        <v>DIA</v>
      </c>
      <c r="F633" s="695">
        <v>0.09</v>
      </c>
      <c r="G633" s="1122">
        <f>+VLOOKUP(C633,INSUMOS!$A$2:$E$495,5,FALSE)</f>
        <v>47826</v>
      </c>
      <c r="H633" s="697"/>
      <c r="I633" s="698">
        <f t="shared" si="125"/>
        <v>4304.34</v>
      </c>
      <c r="Q633" s="1090"/>
    </row>
    <row r="634" spans="2:18" x14ac:dyDescent="0.25">
      <c r="B634" s="696" t="s">
        <v>4529</v>
      </c>
      <c r="C634" s="696">
        <v>150</v>
      </c>
      <c r="D634" s="444" t="str">
        <f>VLOOKUP($C634,INSUMOS!$A$4:$E$495,2,0)</f>
        <v>HERRAMIENTA MENOR</v>
      </c>
      <c r="E634" s="445" t="str">
        <f>VLOOKUP($C634,INSUMOS!$A$4:$M$495,4,0)</f>
        <v>GLB</v>
      </c>
      <c r="F634" s="695">
        <v>0.3</v>
      </c>
      <c r="G634" s="1122">
        <f>+VLOOKUP(C634,INSUMOS!$A$2:$E$495,5,FALSE)</f>
        <v>4050</v>
      </c>
      <c r="H634" s="697"/>
      <c r="I634" s="698">
        <f t="shared" si="125"/>
        <v>1215</v>
      </c>
      <c r="Q634" s="1090"/>
    </row>
    <row r="635" spans="2:18" x14ac:dyDescent="0.25">
      <c r="K635" s="609"/>
      <c r="L635" s="610"/>
      <c r="M635" s="610"/>
      <c r="N635" s="610"/>
      <c r="O635" s="610"/>
      <c r="P635" s="610"/>
      <c r="Q635" s="1090"/>
    </row>
    <row r="636" spans="2:18" ht="42" customHeight="1" x14ac:dyDescent="0.25">
      <c r="B636" s="691" t="s">
        <v>4491</v>
      </c>
      <c r="C636" s="691" t="s">
        <v>4453</v>
      </c>
      <c r="D636" s="765" t="s">
        <v>4489</v>
      </c>
      <c r="E636" s="691" t="s">
        <v>4021</v>
      </c>
      <c r="F636" s="693"/>
      <c r="G636" s="1121">
        <f>ROUND(SUM(I637:I640),0)</f>
        <v>129913</v>
      </c>
      <c r="H636" s="694"/>
      <c r="I636" s="693"/>
      <c r="K636" s="609" t="str">
        <f>+B636</f>
        <v>4.15</v>
      </c>
      <c r="L636" s="610">
        <f>SUM(I640)</f>
        <v>607.5</v>
      </c>
      <c r="M636" s="610">
        <f>+I637</f>
        <v>34282.600000000006</v>
      </c>
      <c r="N636" s="610">
        <f>SUM(I638:I639)</f>
        <v>95022.6</v>
      </c>
      <c r="O636" s="610"/>
      <c r="P636" s="610">
        <f>ROUND(SUM(L636:O636),0)</f>
        <v>129913</v>
      </c>
      <c r="Q636" s="1090">
        <f>+G636-P636</f>
        <v>0</v>
      </c>
    </row>
    <row r="637" spans="2:18" ht="18.75" customHeight="1" x14ac:dyDescent="0.25">
      <c r="B637" s="695" t="s">
        <v>4528</v>
      </c>
      <c r="C637" s="696" t="s">
        <v>4533</v>
      </c>
      <c r="D637" s="444" t="str">
        <f>VLOOKUP($C637,MO!$A$4:$N$199,2,0)</f>
        <v>CUADRILLA AA TIPO 1 (1 OFICIAL + 1 AYUDANTE) (Albañileria)</v>
      </c>
      <c r="E637" s="445" t="str">
        <f>VLOOKUP($C637,MO!$A$4:$N$199,5,0)</f>
        <v>hr</v>
      </c>
      <c r="F637" s="695">
        <v>1.1000000000000001</v>
      </c>
      <c r="G637" s="1122">
        <f>+VLOOKUP(C637,MO!$A$2:$F$199,6,FALSE)</f>
        <v>31166</v>
      </c>
      <c r="H637" s="697"/>
      <c r="I637" s="698">
        <f>+F637*G637</f>
        <v>34282.600000000006</v>
      </c>
      <c r="Q637" s="1090"/>
      <c r="R637" s="611"/>
    </row>
    <row r="638" spans="2:18" ht="15" customHeight="1" x14ac:dyDescent="0.25">
      <c r="B638" s="695" t="s">
        <v>4543</v>
      </c>
      <c r="C638" s="696">
        <v>424</v>
      </c>
      <c r="D638" s="444" t="str">
        <f>VLOOKUP($C638,INSUMOS!$A$4:$E$495,2,0)</f>
        <v>Tubería PVC Novafort 8"</v>
      </c>
      <c r="E638" s="445" t="str">
        <f>VLOOKUP($C638,INSUMOS!$A$4:$M$495,4,0)</f>
        <v>ML</v>
      </c>
      <c r="F638" s="695">
        <v>0.5</v>
      </c>
      <c r="G638" s="1122">
        <f>+VLOOKUP(C638,INSUMOS!$A$2:$E$495,5,FALSE)</f>
        <v>58628</v>
      </c>
      <c r="H638" s="697"/>
      <c r="I638" s="698">
        <f t="shared" ref="I638:I640" si="126">+F638*G638</f>
        <v>29314</v>
      </c>
      <c r="Q638" s="1090"/>
    </row>
    <row r="639" spans="2:18" x14ac:dyDescent="0.25">
      <c r="B639" s="695" t="s">
        <v>4543</v>
      </c>
      <c r="C639" s="696">
        <v>346</v>
      </c>
      <c r="D639" s="444" t="str">
        <f>VLOOKUP($C639,INSUMOS!$A$4:$E$495,2,0)</f>
        <v>Mortero impermeabilizante</v>
      </c>
      <c r="E639" s="445" t="str">
        <f>VLOOKUP($C639,INSUMOS!$A$4:$M$495,4,0)</f>
        <v>M3</v>
      </c>
      <c r="F639" s="695">
        <v>0.1</v>
      </c>
      <c r="G639" s="1122">
        <f>+VLOOKUP(C639,INSUMOS!$A$2:$E$495,5,FALSE)</f>
        <v>657086</v>
      </c>
      <c r="H639" s="697"/>
      <c r="I639" s="698">
        <f t="shared" si="126"/>
        <v>65708.600000000006</v>
      </c>
      <c r="Q639" s="1090"/>
    </row>
    <row r="640" spans="2:18" x14ac:dyDescent="0.25">
      <c r="B640" s="696" t="s">
        <v>4529</v>
      </c>
      <c r="C640" s="696">
        <v>150</v>
      </c>
      <c r="D640" s="444" t="str">
        <f>VLOOKUP($C640,INSUMOS!$A$4:$E$495,2,0)</f>
        <v>HERRAMIENTA MENOR</v>
      </c>
      <c r="E640" s="445" t="str">
        <f>VLOOKUP($C640,INSUMOS!$A$4:$M$495,4,0)</f>
        <v>GLB</v>
      </c>
      <c r="F640" s="695">
        <v>0.15</v>
      </c>
      <c r="G640" s="1122">
        <f>+VLOOKUP(C640,INSUMOS!$A$2:$E$495,5,FALSE)</f>
        <v>4050</v>
      </c>
      <c r="H640" s="697"/>
      <c r="I640" s="698">
        <f t="shared" si="126"/>
        <v>607.5</v>
      </c>
      <c r="Q640" s="1090"/>
    </row>
    <row r="641" spans="2:17" x14ac:dyDescent="0.25">
      <c r="Q641" s="1090"/>
    </row>
    <row r="642" spans="2:17" ht="24" x14ac:dyDescent="0.25">
      <c r="B642" s="691" t="s">
        <v>5106</v>
      </c>
      <c r="C642" s="691" t="s">
        <v>4453</v>
      </c>
      <c r="D642" s="692" t="s">
        <v>4895</v>
      </c>
      <c r="E642" s="691" t="s">
        <v>3975</v>
      </c>
      <c r="F642" s="693"/>
      <c r="G642" s="1121">
        <f>ROUND(SUM(I643:I649),0)</f>
        <v>122672</v>
      </c>
      <c r="H642" s="694"/>
      <c r="I642" s="693"/>
      <c r="K642" s="609" t="str">
        <f>+B642</f>
        <v>5.4</v>
      </c>
      <c r="L642" s="610">
        <f>SUM(I647:I649)</f>
        <v>53150</v>
      </c>
      <c r="M642" s="610">
        <f>+I643</f>
        <v>5298.22</v>
      </c>
      <c r="N642" s="610">
        <f>SUM(I644:I646)</f>
        <v>64223.563999999998</v>
      </c>
      <c r="O642" s="610"/>
      <c r="P642" s="610">
        <f>ROUND(SUM(L642:O642),0)</f>
        <v>122672</v>
      </c>
      <c r="Q642" s="1090">
        <f>+G642-P642</f>
        <v>0</v>
      </c>
    </row>
    <row r="643" spans="2:17" x14ac:dyDescent="0.25">
      <c r="B643" s="695" t="s">
        <v>4528</v>
      </c>
      <c r="C643" s="696" t="s">
        <v>4533</v>
      </c>
      <c r="D643" s="444" t="str">
        <f>VLOOKUP($C643,MO!$A$4:$N$199,2,0)</f>
        <v>CUADRILLA AA TIPO 1 (1 OFICIAL + 1 AYUDANTE) (Albañileria)</v>
      </c>
      <c r="E643" s="445" t="str">
        <f>VLOOKUP($C643,MO!$A$4:$N$199,5,0)</f>
        <v>hr</v>
      </c>
      <c r="F643" s="695">
        <v>0.17</v>
      </c>
      <c r="G643" s="1122">
        <f>+VLOOKUP(C643,MO!$A$2:$F$199,6,FALSE)</f>
        <v>31166</v>
      </c>
      <c r="H643" s="697"/>
      <c r="I643" s="698">
        <f>+F643*G643</f>
        <v>5298.22</v>
      </c>
      <c r="Q643" s="1090"/>
    </row>
    <row r="644" spans="2:17" x14ac:dyDescent="0.25">
      <c r="B644" s="695" t="s">
        <v>4543</v>
      </c>
      <c r="C644" s="696">
        <v>351</v>
      </c>
      <c r="D644" s="444" t="str">
        <f>VLOOKUP($C644,INSUMOS!$A$4:$E$495,2,0)</f>
        <v>Perfileria en C 120X60 6mm</v>
      </c>
      <c r="E644" s="445" t="str">
        <f>VLOOKUP($C644,INSUMOS!$A$4:$M$495,4,0)</f>
        <v>ml</v>
      </c>
      <c r="F644" s="695">
        <v>2</v>
      </c>
      <c r="G644" s="1122">
        <f>+VLOOKUP(C644,INSUMOS!$A$2:$E$495,5,FALSE)</f>
        <v>31540</v>
      </c>
      <c r="H644" s="697"/>
      <c r="I644" s="698">
        <f t="shared" ref="I644:I646" si="127">+F644*G644</f>
        <v>63080</v>
      </c>
      <c r="Q644" s="1090"/>
    </row>
    <row r="645" spans="2:17" x14ac:dyDescent="0.25">
      <c r="B645" s="695" t="s">
        <v>4543</v>
      </c>
      <c r="C645" s="696">
        <v>371</v>
      </c>
      <c r="D645" s="444" t="str">
        <f>VLOOKUP($C645,INSUMOS!$A$4:$E$495,2,0)</f>
        <v>Soldadura west arco 6013</v>
      </c>
      <c r="E645" s="445" t="str">
        <f>VLOOKUP($C645,INSUMOS!$A$4:$M$495,4,0)</f>
        <v>kg</v>
      </c>
      <c r="F645" s="695">
        <v>0.04</v>
      </c>
      <c r="G645" s="1122">
        <f>+VLOOKUP(C645,INSUMOS!$A$2:$E$495,5,FALSE)</f>
        <v>21900</v>
      </c>
      <c r="H645" s="697"/>
      <c r="I645" s="698">
        <f t="shared" si="127"/>
        <v>876</v>
      </c>
      <c r="Q645" s="1090"/>
    </row>
    <row r="646" spans="2:17" x14ac:dyDescent="0.25">
      <c r="B646" s="695" t="s">
        <v>4543</v>
      </c>
      <c r="C646" s="696">
        <v>354</v>
      </c>
      <c r="D646" s="444" t="str">
        <f>VLOOKUP($C646,INSUMOS!$A$4:$E$495,2,0)</f>
        <v>Pintura anticorrosiva</v>
      </c>
      <c r="E646" s="445" t="str">
        <f>VLOOKUP($C646,INSUMOS!$A$4:$M$495,4,0)</f>
        <v>gl</v>
      </c>
      <c r="F646" s="695">
        <v>4.0000000000000001E-3</v>
      </c>
      <c r="G646" s="1122">
        <f>+VLOOKUP(C646,INSUMOS!$A$2:$E$495,5,FALSE)</f>
        <v>66891</v>
      </c>
      <c r="H646" s="697"/>
      <c r="I646" s="698">
        <f t="shared" si="127"/>
        <v>267.56400000000002</v>
      </c>
      <c r="Q646" s="1090"/>
    </row>
    <row r="647" spans="2:17" x14ac:dyDescent="0.25">
      <c r="B647" s="695"/>
      <c r="C647" s="696">
        <v>398</v>
      </c>
      <c r="D647" s="444" t="str">
        <f>VLOOKUP($C647,INSUMOS!$A$4:$E$495,2,0)</f>
        <v>Equipo de soldadura</v>
      </c>
      <c r="E647" s="445" t="str">
        <f>VLOOKUP($C647,INSUMOS!$A$4:$M$495,4,0)</f>
        <v>Dia</v>
      </c>
      <c r="F647" s="695">
        <v>1</v>
      </c>
      <c r="G647" s="1122">
        <f>+VLOOKUP(C647,INSUMOS!$A$2:$E$495,5,FALSE)</f>
        <v>48600</v>
      </c>
      <c r="H647" s="697"/>
      <c r="I647" s="698">
        <f t="shared" ref="I647:I649" si="128">+F647*G647</f>
        <v>48600</v>
      </c>
      <c r="K647" s="609"/>
      <c r="L647" s="610"/>
      <c r="M647" s="610"/>
      <c r="N647" s="610"/>
      <c r="O647" s="610"/>
      <c r="P647" s="610"/>
      <c r="Q647" s="1090"/>
    </row>
    <row r="648" spans="2:17" x14ac:dyDescent="0.25">
      <c r="B648" s="695" t="s">
        <v>4530</v>
      </c>
      <c r="C648" s="696">
        <v>399</v>
      </c>
      <c r="D648" s="444" t="str">
        <f>VLOOKUP($C648,INSUMOS!$A$4:$E$495,2,0)</f>
        <v>Cortadora pulidora</v>
      </c>
      <c r="E648" s="445" t="str">
        <f>VLOOKUP($C648,INSUMOS!$A$4:$M$495,4,0)</f>
        <v>Dia</v>
      </c>
      <c r="F648" s="695">
        <v>0.5</v>
      </c>
      <c r="G648" s="1122">
        <f>+VLOOKUP(C648,INSUMOS!$A$2:$E$495,5,FALSE)</f>
        <v>7885</v>
      </c>
      <c r="H648" s="697"/>
      <c r="I648" s="698">
        <f t="shared" si="128"/>
        <v>3942.5</v>
      </c>
      <c r="L648" s="610"/>
      <c r="M648" s="610"/>
      <c r="N648" s="610"/>
      <c r="O648" s="610"/>
      <c r="P648" s="610"/>
      <c r="Q648" s="1091"/>
    </row>
    <row r="649" spans="2:17" x14ac:dyDescent="0.25">
      <c r="B649" s="696" t="s">
        <v>4529</v>
      </c>
      <c r="C649" s="696">
        <v>150</v>
      </c>
      <c r="D649" s="444" t="str">
        <f>VLOOKUP($C649,INSUMOS!$A$4:$E$495,2,0)</f>
        <v>HERRAMIENTA MENOR</v>
      </c>
      <c r="E649" s="445" t="str">
        <f>VLOOKUP($C649,INSUMOS!$A$4:$M$495,4,0)</f>
        <v>GLB</v>
      </c>
      <c r="F649" s="695">
        <v>0.15</v>
      </c>
      <c r="G649" s="1122">
        <f>+VLOOKUP(C649,INSUMOS!$A$2:$E$495,5,FALSE)</f>
        <v>4050</v>
      </c>
      <c r="H649" s="697"/>
      <c r="I649" s="698">
        <f t="shared" si="128"/>
        <v>607.5</v>
      </c>
      <c r="L649" s="610"/>
      <c r="M649" s="610"/>
      <c r="N649" s="610"/>
      <c r="O649" s="610"/>
      <c r="P649" s="610"/>
      <c r="Q649" s="1090"/>
    </row>
    <row r="650" spans="2:17" x14ac:dyDescent="0.25">
      <c r="K650" s="679"/>
      <c r="L650" s="610"/>
      <c r="M650" s="610"/>
      <c r="N650" s="610"/>
      <c r="O650" s="610"/>
      <c r="P650" s="610"/>
      <c r="Q650" s="1090"/>
    </row>
    <row r="651" spans="2:17" ht="24" x14ac:dyDescent="0.25">
      <c r="B651" s="691" t="s">
        <v>5174</v>
      </c>
      <c r="C651" s="691" t="s">
        <v>4453</v>
      </c>
      <c r="D651" s="765" t="s">
        <v>4489</v>
      </c>
      <c r="E651" s="691" t="s">
        <v>4021</v>
      </c>
      <c r="F651" s="693"/>
      <c r="G651" s="1121">
        <f>ROUND(SUM(I652:I655),0)</f>
        <v>129913</v>
      </c>
      <c r="H651" s="694"/>
      <c r="I651" s="693"/>
      <c r="K651" s="609" t="str">
        <f>+B651</f>
        <v>5.15</v>
      </c>
      <c r="L651" s="610">
        <f>SUM(I655)</f>
        <v>607.5</v>
      </c>
      <c r="M651" s="610">
        <f>+I652</f>
        <v>34282.600000000006</v>
      </c>
      <c r="N651" s="610">
        <f>SUM(I653:I654)</f>
        <v>95022.6</v>
      </c>
      <c r="O651" s="610"/>
      <c r="P651" s="610">
        <f>ROUND(SUM(L651:O651),0)</f>
        <v>129913</v>
      </c>
      <c r="Q651" s="1090">
        <f>+G651-P651</f>
        <v>0</v>
      </c>
    </row>
    <row r="652" spans="2:17" x14ac:dyDescent="0.25">
      <c r="B652" s="695" t="s">
        <v>4528</v>
      </c>
      <c r="C652" s="696" t="s">
        <v>4533</v>
      </c>
      <c r="D652" s="444" t="str">
        <f>VLOOKUP($C652,MO!$A$4:$N$199,2,0)</f>
        <v>CUADRILLA AA TIPO 1 (1 OFICIAL + 1 AYUDANTE) (Albañileria)</v>
      </c>
      <c r="E652" s="445" t="str">
        <f>VLOOKUP($C652,MO!$A$4:$N$199,5,0)</f>
        <v>hr</v>
      </c>
      <c r="F652" s="695">
        <v>1.1000000000000001</v>
      </c>
      <c r="G652" s="1122">
        <f>+VLOOKUP(C652,MO!$A$2:$F$199,6,FALSE)</f>
        <v>31166</v>
      </c>
      <c r="H652" s="697"/>
      <c r="I652" s="698">
        <f>+F652*G652</f>
        <v>34282.600000000006</v>
      </c>
      <c r="Q652" s="1090"/>
    </row>
    <row r="653" spans="2:17" x14ac:dyDescent="0.25">
      <c r="B653" s="695" t="s">
        <v>4543</v>
      </c>
      <c r="C653" s="696">
        <v>424</v>
      </c>
      <c r="D653" s="444" t="str">
        <f>VLOOKUP($C653,INSUMOS!$A$4:$E$495,2,0)</f>
        <v>Tubería PVC Novafort 8"</v>
      </c>
      <c r="E653" s="445" t="str">
        <f>VLOOKUP($C653,INSUMOS!$A$4:$M$495,4,0)</f>
        <v>ML</v>
      </c>
      <c r="F653" s="695">
        <v>0.5</v>
      </c>
      <c r="G653" s="1122">
        <f>+VLOOKUP(C653,INSUMOS!$A$2:$E$495,5,FALSE)</f>
        <v>58628</v>
      </c>
      <c r="H653" s="697"/>
      <c r="I653" s="698">
        <f t="shared" ref="I653:I655" si="129">+F653*G653</f>
        <v>29314</v>
      </c>
      <c r="Q653" s="1090"/>
    </row>
    <row r="654" spans="2:17" x14ac:dyDescent="0.25">
      <c r="B654" s="695" t="s">
        <v>4543</v>
      </c>
      <c r="C654" s="696">
        <v>346</v>
      </c>
      <c r="D654" s="444" t="str">
        <f>VLOOKUP($C654,INSUMOS!$A$4:$E$495,2,0)</f>
        <v>Mortero impermeabilizante</v>
      </c>
      <c r="E654" s="445" t="str">
        <f>VLOOKUP($C654,INSUMOS!$A$4:$M$495,4,0)</f>
        <v>M3</v>
      </c>
      <c r="F654" s="695">
        <v>0.1</v>
      </c>
      <c r="G654" s="1122">
        <f>+VLOOKUP(C654,INSUMOS!$A$2:$E$495,5,FALSE)</f>
        <v>657086</v>
      </c>
      <c r="H654" s="697"/>
      <c r="I654" s="698">
        <f t="shared" si="129"/>
        <v>65708.600000000006</v>
      </c>
      <c r="Q654" s="1090"/>
    </row>
    <row r="655" spans="2:17" x14ac:dyDescent="0.25">
      <c r="B655" s="696" t="s">
        <v>4529</v>
      </c>
      <c r="C655" s="696">
        <v>150</v>
      </c>
      <c r="D655" s="444" t="str">
        <f>VLOOKUP($C655,INSUMOS!$A$4:$E$495,2,0)</f>
        <v>HERRAMIENTA MENOR</v>
      </c>
      <c r="E655" s="445" t="str">
        <f>VLOOKUP($C655,INSUMOS!$A$4:$M$495,4,0)</f>
        <v>GLB</v>
      </c>
      <c r="F655" s="695">
        <v>0.15</v>
      </c>
      <c r="G655" s="1122">
        <f>+VLOOKUP(C655,INSUMOS!$A$2:$E$495,5,FALSE)</f>
        <v>4050</v>
      </c>
      <c r="H655" s="697"/>
      <c r="I655" s="698">
        <f t="shared" si="129"/>
        <v>607.5</v>
      </c>
      <c r="Q655" s="1090"/>
    </row>
    <row r="656" spans="2:17" x14ac:dyDescent="0.25">
      <c r="Q656" s="1090"/>
    </row>
    <row r="657" spans="2:17" ht="24" x14ac:dyDescent="0.25">
      <c r="B657" s="691" t="s">
        <v>4427</v>
      </c>
      <c r="C657" s="691" t="s">
        <v>4453</v>
      </c>
      <c r="D657" s="692" t="s">
        <v>4545</v>
      </c>
      <c r="E657" s="691" t="s">
        <v>3975</v>
      </c>
      <c r="F657" s="693"/>
      <c r="G657" s="1121">
        <f>ROUND(SUM(I658:I660),0)</f>
        <v>58788</v>
      </c>
      <c r="H657" s="694"/>
      <c r="I657" s="693"/>
      <c r="K657" s="609" t="str">
        <f>+B657</f>
        <v>6.3</v>
      </c>
      <c r="L657" s="610">
        <f>+I660</f>
        <v>1012.5</v>
      </c>
      <c r="M657" s="610">
        <f>+I658</f>
        <v>46749</v>
      </c>
      <c r="N657" s="610">
        <f>+I659</f>
        <v>11026.32</v>
      </c>
      <c r="O657" s="610"/>
      <c r="P657" s="610">
        <f>ROUND(SUM(L657:O657),0)</f>
        <v>58788</v>
      </c>
      <c r="Q657" s="1090">
        <f>+G657-P657</f>
        <v>0</v>
      </c>
    </row>
    <row r="658" spans="2:17" x14ac:dyDescent="0.25">
      <c r="B658" s="695" t="s">
        <v>4528</v>
      </c>
      <c r="C658" s="696" t="s">
        <v>4533</v>
      </c>
      <c r="D658" s="444" t="str">
        <f>VLOOKUP($C658,MO!$A$4:$N$199,2,0)</f>
        <v>CUADRILLA AA TIPO 1 (1 OFICIAL + 1 AYUDANTE) (Albañileria)</v>
      </c>
      <c r="E658" s="445" t="str">
        <f>VLOOKUP($C658,MO!$A$4:$N$199,5,0)</f>
        <v>hr</v>
      </c>
      <c r="F658" s="695">
        <v>1.5</v>
      </c>
      <c r="G658" s="1122">
        <f>+VLOOKUP(C658,MO!$A$2:$F$199,6,FALSE)</f>
        <v>31166</v>
      </c>
      <c r="H658" s="697"/>
      <c r="I658" s="698">
        <f>+F658*G658</f>
        <v>46749</v>
      </c>
      <c r="Q658" s="1090"/>
    </row>
    <row r="659" spans="2:17" x14ac:dyDescent="0.25">
      <c r="B659" s="695" t="s">
        <v>4543</v>
      </c>
      <c r="C659" s="696">
        <v>425</v>
      </c>
      <c r="D659" s="444" t="str">
        <f>VLOOKUP($C659,INSUMOS!$A$4:$E$495,2,0)</f>
        <v>Mortero 1:3</v>
      </c>
      <c r="E659" s="445" t="str">
        <f>VLOOKUP($C659,INSUMOS!$A$4:$M$495,4,0)</f>
        <v>M3</v>
      </c>
      <c r="F659" s="695">
        <v>0.02</v>
      </c>
      <c r="G659" s="1122">
        <f>+VLOOKUP(C659,INSUMOS!$A$2:$E$495,5,FALSE)</f>
        <v>551316</v>
      </c>
      <c r="H659" s="697"/>
      <c r="I659" s="698">
        <f t="shared" ref="I659:I660" si="130">+F659*G659</f>
        <v>11026.32</v>
      </c>
      <c r="Q659" s="1090"/>
    </row>
    <row r="660" spans="2:17" x14ac:dyDescent="0.25">
      <c r="B660" s="695" t="s">
        <v>4544</v>
      </c>
      <c r="C660" s="696">
        <v>150</v>
      </c>
      <c r="D660" s="444" t="str">
        <f>VLOOKUP($C660,INSUMOS!$A$4:$E$495,2,0)</f>
        <v>HERRAMIENTA MENOR</v>
      </c>
      <c r="E660" s="445" t="str">
        <f>VLOOKUP($C660,INSUMOS!$A$4:$M$495,4,0)</f>
        <v>GLB</v>
      </c>
      <c r="F660" s="695">
        <v>0.25</v>
      </c>
      <c r="G660" s="1122">
        <f>+VLOOKUP(C660,INSUMOS!$A$2:$E$495,5,FALSE)</f>
        <v>4050</v>
      </c>
      <c r="H660" s="697"/>
      <c r="I660" s="698">
        <f t="shared" si="130"/>
        <v>1012.5</v>
      </c>
      <c r="Q660" s="1090"/>
    </row>
    <row r="661" spans="2:17" x14ac:dyDescent="0.25">
      <c r="Q661" s="1090"/>
    </row>
    <row r="662" spans="2:17" ht="48" x14ac:dyDescent="0.25">
      <c r="B662" s="691" t="s">
        <v>4474</v>
      </c>
      <c r="C662" s="691" t="s">
        <v>4453</v>
      </c>
      <c r="D662" s="692" t="s">
        <v>4470</v>
      </c>
      <c r="E662" s="691" t="s">
        <v>3975</v>
      </c>
      <c r="F662" s="693"/>
      <c r="G662" s="1121">
        <f>ROUND(SUM(I663:I670),0)</f>
        <v>191119</v>
      </c>
      <c r="H662" s="694"/>
      <c r="I662" s="693"/>
      <c r="K662" s="609" t="str">
        <f>+B662</f>
        <v>6.4</v>
      </c>
      <c r="L662" s="610">
        <f>SUM(I670)</f>
        <v>1012.5</v>
      </c>
      <c r="M662" s="610">
        <f>+I663</f>
        <v>60692.950000000004</v>
      </c>
      <c r="N662" s="610">
        <f>SUM(I664:I668)</f>
        <v>111274</v>
      </c>
      <c r="O662" s="610">
        <f>+I669</f>
        <v>18139.600000000002</v>
      </c>
      <c r="P662" s="610">
        <f>ROUND(SUM(L662:O662),0)</f>
        <v>191119</v>
      </c>
      <c r="Q662" s="1090">
        <f>+G662-P662</f>
        <v>0</v>
      </c>
    </row>
    <row r="663" spans="2:17" ht="24" x14ac:dyDescent="0.25">
      <c r="B663" s="695" t="s">
        <v>4528</v>
      </c>
      <c r="C663" s="696" t="s">
        <v>4536</v>
      </c>
      <c r="D663" s="444" t="str">
        <f>VLOOKUP($C663,MO!$A$4:$N$199,2,0)</f>
        <v>CUADRILLA DD TIPO 1 (1 OFICIAL + 1 AYUDANTE) (Carpinteria)</v>
      </c>
      <c r="E663" s="445" t="str">
        <f>VLOOKUP($C663,MO!$A$4:$N$199,5,0)</f>
        <v>hr</v>
      </c>
      <c r="F663" s="695">
        <v>1.85</v>
      </c>
      <c r="G663" s="1122">
        <f>+VLOOKUP(C663,MO!$A$2:$F$199,6,FALSE)</f>
        <v>32807</v>
      </c>
      <c r="H663" s="697"/>
      <c r="I663" s="698">
        <f>+F663*G663</f>
        <v>60692.950000000004</v>
      </c>
      <c r="Q663" s="1090"/>
    </row>
    <row r="664" spans="2:17" x14ac:dyDescent="0.25">
      <c r="B664" s="695" t="s">
        <v>4543</v>
      </c>
      <c r="C664" s="696">
        <v>373</v>
      </c>
      <c r="D664" s="444" t="str">
        <f>VLOOKUP($C664,INSUMOS!$A$4:$E$495,2,0)</f>
        <v>Superboard 6 mm</v>
      </c>
      <c r="E664" s="445" t="str">
        <f>VLOOKUP($C664,INSUMOS!$A$4:$M$495,4,0)</f>
        <v>m2</v>
      </c>
      <c r="F664" s="695">
        <v>2</v>
      </c>
      <c r="G664" s="1122">
        <f>+VLOOKUP(C664,INSUMOS!$A$2:$E$495,5,FALSE)</f>
        <v>30279</v>
      </c>
      <c r="H664" s="697"/>
      <c r="I664" s="698">
        <f t="shared" ref="I664:I670" si="131">+F664*G664</f>
        <v>60558</v>
      </c>
      <c r="Q664" s="1090"/>
    </row>
    <row r="665" spans="2:17" x14ac:dyDescent="0.25">
      <c r="B665" s="695" t="s">
        <v>4543</v>
      </c>
      <c r="C665" s="696">
        <v>352</v>
      </c>
      <c r="D665" s="444" t="str">
        <f>VLOOKUP($C665,INSUMOS!$A$4:$E$495,2,0)</f>
        <v xml:space="preserve">Perfileria Soporte </v>
      </c>
      <c r="E665" s="445" t="str">
        <f>VLOOKUP($C665,INSUMOS!$A$4:$M$495,4,0)</f>
        <v>ml</v>
      </c>
      <c r="F665" s="695">
        <v>2.5</v>
      </c>
      <c r="G665" s="1122">
        <f>+VLOOKUP(C665,INSUMOS!$A$2:$E$495,5,FALSE)</f>
        <v>13602</v>
      </c>
      <c r="H665" s="697"/>
      <c r="I665" s="698">
        <f t="shared" si="131"/>
        <v>34005</v>
      </c>
      <c r="Q665" s="1090"/>
    </row>
    <row r="666" spans="2:17" x14ac:dyDescent="0.25">
      <c r="B666" s="695" t="s">
        <v>4543</v>
      </c>
      <c r="C666" s="696">
        <v>342</v>
      </c>
      <c r="D666" s="444" t="str">
        <f>VLOOKUP($C666,INSUMOS!$A$4:$E$495,2,0)</f>
        <v>Macilla</v>
      </c>
      <c r="E666" s="445" t="str">
        <f>VLOOKUP($C666,INSUMOS!$A$4:$M$495,4,0)</f>
        <v xml:space="preserve"> ml</v>
      </c>
      <c r="F666" s="695">
        <v>1</v>
      </c>
      <c r="G666" s="1122">
        <f>+VLOOKUP(C666,INSUMOS!$A$2:$E$495,5,FALSE)</f>
        <v>589</v>
      </c>
      <c r="H666" s="697"/>
      <c r="I666" s="698">
        <f t="shared" si="131"/>
        <v>589</v>
      </c>
      <c r="Q666" s="1090"/>
    </row>
    <row r="667" spans="2:17" x14ac:dyDescent="0.25">
      <c r="B667" s="695" t="s">
        <v>4543</v>
      </c>
      <c r="C667" s="696">
        <v>26</v>
      </c>
      <c r="D667" s="444" t="str">
        <f>VLOOKUP($C667,INSUMOS!$A$4:$E$495,2,0)</f>
        <v>CINTA PAPEL ( 75 M.)</v>
      </c>
      <c r="E667" s="445" t="str">
        <f>VLOOKUP($C667,INSUMOS!$A$4:$M$495,4,0)</f>
        <v>ROLLO</v>
      </c>
      <c r="F667" s="695">
        <v>1</v>
      </c>
      <c r="G667" s="1122">
        <f>+VLOOKUP(C667,INSUMOS!$A$2:$E$495,5,FALSE)</f>
        <v>15864</v>
      </c>
      <c r="H667" s="697"/>
      <c r="I667" s="698">
        <f t="shared" si="131"/>
        <v>15864</v>
      </c>
      <c r="Q667" s="1090"/>
    </row>
    <row r="668" spans="2:17" x14ac:dyDescent="0.25">
      <c r="B668" s="695" t="s">
        <v>4530</v>
      </c>
      <c r="C668" s="696">
        <v>380</v>
      </c>
      <c r="D668" s="444" t="str">
        <f>VLOOKUP($C668,INSUMOS!$A$4:$E$495,2,0)</f>
        <v>Torinlleria</v>
      </c>
      <c r="E668" s="445" t="str">
        <f>VLOOKUP($C668,INSUMOS!$A$4:$M$495,4,0)</f>
        <v>und</v>
      </c>
      <c r="F668" s="695">
        <v>6</v>
      </c>
      <c r="G668" s="1122">
        <f>+VLOOKUP(C668,INSUMOS!$A$2:$E$495,5,FALSE)</f>
        <v>43</v>
      </c>
      <c r="H668" s="697"/>
      <c r="I668" s="698">
        <f t="shared" si="131"/>
        <v>258</v>
      </c>
      <c r="Q668" s="1090"/>
    </row>
    <row r="669" spans="2:17" x14ac:dyDescent="0.25">
      <c r="B669" s="695" t="s">
        <v>4546</v>
      </c>
      <c r="C669" s="696">
        <v>428</v>
      </c>
      <c r="D669" s="444" t="str">
        <f>VLOOKUP($C669,INSUMOS!$A$4:$E$495,2,0)</f>
        <v>EQUIPO DE TRANSPORTE</v>
      </c>
      <c r="E669" s="445" t="str">
        <f>VLOOKUP($C669,INSUMOS!$A$4:$M$495,4,0)</f>
        <v>DIA</v>
      </c>
      <c r="F669" s="695">
        <v>0.1</v>
      </c>
      <c r="G669" s="1122">
        <f>+VLOOKUP(C669,INSUMOS!$A$2:$E$495,5,FALSE)</f>
        <v>181396</v>
      </c>
      <c r="H669" s="697"/>
      <c r="I669" s="698">
        <f t="shared" ref="I669" si="132">+F669*G669</f>
        <v>18139.600000000002</v>
      </c>
      <c r="Q669" s="1090"/>
    </row>
    <row r="670" spans="2:17" x14ac:dyDescent="0.25">
      <c r="B670" s="696" t="s">
        <v>4529</v>
      </c>
      <c r="C670" s="696">
        <v>150</v>
      </c>
      <c r="D670" s="444" t="str">
        <f>VLOOKUP($C670,INSUMOS!$A$4:$E$495,2,0)</f>
        <v>HERRAMIENTA MENOR</v>
      </c>
      <c r="E670" s="445" t="str">
        <f>VLOOKUP($C670,INSUMOS!$A$4:$M$495,4,0)</f>
        <v>GLB</v>
      </c>
      <c r="F670" s="695">
        <v>0.25</v>
      </c>
      <c r="G670" s="1122">
        <f>+VLOOKUP(C670,INSUMOS!$A$2:$E$495,5,FALSE)</f>
        <v>4050</v>
      </c>
      <c r="H670" s="697"/>
      <c r="I670" s="698">
        <f t="shared" si="131"/>
        <v>1012.5</v>
      </c>
      <c r="Q670" s="1090"/>
    </row>
    <row r="671" spans="2:17" ht="15.75" thickBot="1" x14ac:dyDescent="0.3">
      <c r="Q671" s="1090"/>
    </row>
    <row r="672" spans="2:17" ht="45" x14ac:dyDescent="0.25">
      <c r="B672" s="691" t="s">
        <v>5141</v>
      </c>
      <c r="C672" s="691" t="s">
        <v>4453</v>
      </c>
      <c r="D672" s="1076" t="s">
        <v>5144</v>
      </c>
      <c r="E672" s="1076" t="s">
        <v>4016</v>
      </c>
      <c r="F672" s="693"/>
      <c r="G672" s="1136">
        <f>ROUND(SUM(I673:I677),0)</f>
        <v>16696</v>
      </c>
      <c r="H672" s="694"/>
      <c r="I672" s="693"/>
      <c r="K672" s="609" t="str">
        <f>+B672</f>
        <v>7.8</v>
      </c>
      <c r="L672" s="610">
        <f>+I675</f>
        <v>405</v>
      </c>
      <c r="M672" s="610">
        <f>+I674</f>
        <v>4674.8999999999996</v>
      </c>
      <c r="N672" s="610">
        <f>+I676+I677</f>
        <v>11616.541000000001</v>
      </c>
      <c r="O672" s="610">
        <f>+I679</f>
        <v>0</v>
      </c>
      <c r="P672" s="610">
        <f>ROUND(SUM(L672:O672),0)</f>
        <v>16696</v>
      </c>
      <c r="Q672" s="1090">
        <f>+G672-P672</f>
        <v>0</v>
      </c>
    </row>
    <row r="673" spans="2:17" x14ac:dyDescent="0.25">
      <c r="B673" s="695"/>
      <c r="C673" s="696"/>
      <c r="D673" s="1061" t="s">
        <v>4799</v>
      </c>
      <c r="E673" s="1062"/>
      <c r="F673" s="1063"/>
      <c r="G673" s="1064"/>
      <c r="H673" s="1063"/>
      <c r="I673" s="1064"/>
      <c r="Q673" s="1090"/>
    </row>
    <row r="674" spans="2:17" ht="24.75" customHeight="1" x14ac:dyDescent="0.25">
      <c r="B674" s="695"/>
      <c r="C674" s="696"/>
      <c r="D674" s="1" t="s">
        <v>5126</v>
      </c>
      <c r="E674" s="1075" t="s">
        <v>4532</v>
      </c>
      <c r="F674" s="2">
        <v>0.15</v>
      </c>
      <c r="G674" s="1122">
        <f>+MO!F68</f>
        <v>31166</v>
      </c>
      <c r="H674" s="697"/>
      <c r="I674" s="698">
        <f t="shared" ref="I674:I677" si="133">+F674*G674</f>
        <v>4674.8999999999996</v>
      </c>
      <c r="Q674" s="1090"/>
    </row>
    <row r="675" spans="2:17" x14ac:dyDescent="0.25">
      <c r="B675" s="695"/>
      <c r="C675" s="696"/>
      <c r="D675" s="1" t="s">
        <v>3925</v>
      </c>
      <c r="E675" s="1075" t="s">
        <v>4012</v>
      </c>
      <c r="F675" s="2">
        <v>0.1</v>
      </c>
      <c r="G675" s="1122">
        <f>+G670</f>
        <v>4050</v>
      </c>
      <c r="H675" s="697"/>
      <c r="I675" s="698">
        <f t="shared" si="133"/>
        <v>405</v>
      </c>
      <c r="Q675" s="1090"/>
    </row>
    <row r="676" spans="2:17" x14ac:dyDescent="0.25">
      <c r="B676" s="695"/>
      <c r="C676" s="696"/>
      <c r="D676" s="444" t="s">
        <v>5143</v>
      </c>
      <c r="E676" s="445" t="s">
        <v>4016</v>
      </c>
      <c r="F676" s="695">
        <v>1</v>
      </c>
      <c r="G676" s="1122">
        <f>+INSUMOS!E292</f>
        <v>11254.941000000001</v>
      </c>
      <c r="H676" s="697"/>
      <c r="I676" s="698">
        <f t="shared" si="133"/>
        <v>11254.941000000001</v>
      </c>
      <c r="Q676" s="1090"/>
    </row>
    <row r="677" spans="2:17" x14ac:dyDescent="0.25">
      <c r="B677" s="696"/>
      <c r="C677" s="696"/>
      <c r="D677" s="444" t="s">
        <v>2878</v>
      </c>
      <c r="E677" s="445" t="s">
        <v>4142</v>
      </c>
      <c r="F677" s="695">
        <v>0.2</v>
      </c>
      <c r="G677" s="1122">
        <v>1808</v>
      </c>
      <c r="H677" s="697"/>
      <c r="I677" s="698">
        <f t="shared" si="133"/>
        <v>361.6</v>
      </c>
      <c r="Q677" s="1090"/>
    </row>
    <row r="678" spans="2:17" ht="15.75" thickBot="1" x14ac:dyDescent="0.3">
      <c r="Q678" s="1090"/>
    </row>
    <row r="679" spans="2:17" ht="60" x14ac:dyDescent="0.25">
      <c r="B679" s="1076" t="s">
        <v>5142</v>
      </c>
      <c r="C679" s="1076"/>
      <c r="D679" s="1076" t="s">
        <v>5145</v>
      </c>
      <c r="E679" s="1076" t="s">
        <v>3986</v>
      </c>
      <c r="F679" s="1082"/>
      <c r="G679" s="1136">
        <f>ROUND(SUM(I681:I694),0)</f>
        <v>913367</v>
      </c>
      <c r="H679" s="694"/>
      <c r="I679" s="694"/>
      <c r="K679" s="594" t="str">
        <f>+B679</f>
        <v>7.9</v>
      </c>
      <c r="L679" s="1083">
        <f>+I683</f>
        <v>29795.22</v>
      </c>
      <c r="M679" s="1083">
        <f>+I681+I682</f>
        <v>14282.11</v>
      </c>
      <c r="N679" s="1083">
        <f>SUM(I685:I694)</f>
        <v>854728.31842500006</v>
      </c>
      <c r="O679" s="1083">
        <f>+I684</f>
        <v>14561.18</v>
      </c>
      <c r="P679" s="593">
        <f>ROUND(SUM(L679:O679),0)</f>
        <v>913367</v>
      </c>
      <c r="Q679" s="1090">
        <f>+G679-P679</f>
        <v>0</v>
      </c>
    </row>
    <row r="680" spans="2:17" ht="25.5" x14ac:dyDescent="0.25">
      <c r="B680" s="1078"/>
      <c r="C680" s="1060" t="s">
        <v>5115</v>
      </c>
      <c r="D680" s="1061" t="s">
        <v>4799</v>
      </c>
      <c r="E680" s="1062" t="s">
        <v>11</v>
      </c>
      <c r="F680" s="1063" t="s">
        <v>2</v>
      </c>
      <c r="G680" s="1064" t="s">
        <v>5116</v>
      </c>
      <c r="H680" s="1063"/>
      <c r="I680" s="1064"/>
      <c r="Q680" s="1090"/>
    </row>
    <row r="681" spans="2:17" x14ac:dyDescent="0.25">
      <c r="B681" s="1"/>
      <c r="C681" s="1079" t="s">
        <v>4539</v>
      </c>
      <c r="D681" s="1" t="s">
        <v>5157</v>
      </c>
      <c r="E681" s="1075" t="s">
        <v>4532</v>
      </c>
      <c r="F681" s="1">
        <v>0.13</v>
      </c>
      <c r="G681" s="189">
        <f>+MO!F90</f>
        <v>68347</v>
      </c>
      <c r="H681" s="697"/>
      <c r="I681" s="698">
        <f t="shared" ref="I681:I684" si="134">+F681*G681</f>
        <v>8885.11</v>
      </c>
      <c r="Q681" s="1090"/>
    </row>
    <row r="682" spans="2:17" x14ac:dyDescent="0.25">
      <c r="B682" s="1"/>
      <c r="C682" s="1079" t="s">
        <v>357</v>
      </c>
      <c r="D682" s="1" t="s">
        <v>18</v>
      </c>
      <c r="E682" s="1075" t="s">
        <v>4532</v>
      </c>
      <c r="F682" s="1">
        <v>3</v>
      </c>
      <c r="G682" s="189">
        <v>1799</v>
      </c>
      <c r="H682" s="697"/>
      <c r="I682" s="698">
        <f t="shared" si="134"/>
        <v>5397</v>
      </c>
      <c r="Q682" s="1090"/>
    </row>
    <row r="683" spans="2:17" x14ac:dyDescent="0.25">
      <c r="B683" s="1"/>
      <c r="C683" s="5" t="s">
        <v>5117</v>
      </c>
      <c r="D683" s="1" t="s">
        <v>3925</v>
      </c>
      <c r="E683" s="1075" t="s">
        <v>4012</v>
      </c>
      <c r="F683" s="1">
        <v>9</v>
      </c>
      <c r="G683" s="189">
        <v>3310.58</v>
      </c>
      <c r="H683" s="697"/>
      <c r="I683" s="698">
        <f t="shared" si="134"/>
        <v>29795.22</v>
      </c>
      <c r="Q683" s="1090"/>
    </row>
    <row r="684" spans="2:17" x14ac:dyDescent="0.25">
      <c r="B684" s="1"/>
      <c r="C684" s="5" t="s">
        <v>5146</v>
      </c>
      <c r="D684" s="1" t="s">
        <v>5127</v>
      </c>
      <c r="E684" s="1075" t="s">
        <v>4302</v>
      </c>
      <c r="F684" s="1">
        <v>8.5000000000000006E-2</v>
      </c>
      <c r="G684" s="189">
        <v>171308</v>
      </c>
      <c r="H684" s="697"/>
      <c r="I684" s="698">
        <f t="shared" si="134"/>
        <v>14561.18</v>
      </c>
      <c r="Q684" s="1090"/>
    </row>
    <row r="685" spans="2:17" x14ac:dyDescent="0.25">
      <c r="B685" s="1"/>
      <c r="C685" s="1080" t="s">
        <v>5147</v>
      </c>
      <c r="D685" s="1" t="s">
        <v>5158</v>
      </c>
      <c r="E685" s="1075" t="s">
        <v>4142</v>
      </c>
      <c r="F685" s="1">
        <f>40*0.2</f>
        <v>8</v>
      </c>
      <c r="G685" s="189">
        <f>+INSUMOS!E15</f>
        <v>12900</v>
      </c>
      <c r="H685" s="697"/>
      <c r="I685" s="698">
        <f t="shared" ref="I685:I694" si="135">+F685*G685</f>
        <v>103200</v>
      </c>
      <c r="Q685" s="1090"/>
    </row>
    <row r="686" spans="2:17" x14ac:dyDescent="0.25">
      <c r="B686" s="1"/>
      <c r="C686" s="5" t="s">
        <v>5148</v>
      </c>
      <c r="D686" s="1" t="s">
        <v>5159</v>
      </c>
      <c r="E686" s="1075" t="s">
        <v>1027</v>
      </c>
      <c r="F686" s="1">
        <f>40*0.2</f>
        <v>8</v>
      </c>
      <c r="G686" s="189">
        <f>+INSUMOS!E16</f>
        <v>17100</v>
      </c>
      <c r="H686" s="697"/>
      <c r="I686" s="698">
        <f t="shared" si="135"/>
        <v>136800</v>
      </c>
      <c r="Q686" s="1090"/>
    </row>
    <row r="687" spans="2:17" x14ac:dyDescent="0.25">
      <c r="B687" s="1"/>
      <c r="C687" s="1081" t="s">
        <v>5149</v>
      </c>
      <c r="D687" s="1" t="s">
        <v>240</v>
      </c>
      <c r="E687" s="1075" t="s">
        <v>3975</v>
      </c>
      <c r="F687" s="1077">
        <f>1.32*1.1*4</f>
        <v>5.8080000000000007</v>
      </c>
      <c r="G687" s="189">
        <f>+INSUMOS!E290</f>
        <v>6667</v>
      </c>
      <c r="H687" s="697"/>
      <c r="I687" s="698">
        <f t="shared" si="135"/>
        <v>38721.936000000002</v>
      </c>
      <c r="Q687" s="1090"/>
    </row>
    <row r="688" spans="2:17" x14ac:dyDescent="0.25">
      <c r="B688" s="1"/>
      <c r="C688" s="1081" t="s">
        <v>5150</v>
      </c>
      <c r="D688" s="1" t="s">
        <v>5160</v>
      </c>
      <c r="E688" s="1075" t="s">
        <v>4142</v>
      </c>
      <c r="F688" s="1">
        <v>15</v>
      </c>
      <c r="G688" s="189">
        <f>+INSUMOS!E291</f>
        <v>1350</v>
      </c>
      <c r="H688" s="697"/>
      <c r="I688" s="698">
        <f t="shared" si="135"/>
        <v>20250</v>
      </c>
      <c r="Q688" s="1090"/>
    </row>
    <row r="689" spans="2:17" x14ac:dyDescent="0.25">
      <c r="B689" s="1"/>
      <c r="C689" s="1081" t="s">
        <v>5151</v>
      </c>
      <c r="D689" s="1" t="s">
        <v>5161</v>
      </c>
      <c r="E689" s="1075" t="s">
        <v>4021</v>
      </c>
      <c r="F689" s="1">
        <v>18</v>
      </c>
      <c r="G689" s="189">
        <v>4875</v>
      </c>
      <c r="H689" s="697"/>
      <c r="I689" s="698">
        <f t="shared" si="135"/>
        <v>87750</v>
      </c>
      <c r="Q689" s="1090"/>
    </row>
    <row r="690" spans="2:17" x14ac:dyDescent="0.25">
      <c r="B690" s="1"/>
      <c r="C690" s="1081" t="s">
        <v>5152</v>
      </c>
      <c r="D690" s="1" t="s">
        <v>1293</v>
      </c>
      <c r="E690" s="1075" t="s">
        <v>4027</v>
      </c>
      <c r="F690" s="1">
        <v>4.5</v>
      </c>
      <c r="G690" s="189">
        <f>+INSUMOS!E23</f>
        <v>2910</v>
      </c>
      <c r="H690" s="697"/>
      <c r="I690" s="698">
        <f t="shared" si="135"/>
        <v>13095</v>
      </c>
      <c r="Q690" s="1090"/>
    </row>
    <row r="691" spans="2:17" x14ac:dyDescent="0.25">
      <c r="B691" s="1"/>
      <c r="C691" s="1081" t="s">
        <v>5153</v>
      </c>
      <c r="D691" s="1" t="s">
        <v>5162</v>
      </c>
      <c r="E691" s="1075" t="s">
        <v>4027</v>
      </c>
      <c r="F691" s="1">
        <v>0.25</v>
      </c>
      <c r="G691" s="189">
        <f>+INSUMOS!E21</f>
        <v>7517</v>
      </c>
      <c r="H691" s="697"/>
      <c r="I691" s="698">
        <f t="shared" si="135"/>
        <v>1879.25</v>
      </c>
      <c r="Q691" s="1090"/>
    </row>
    <row r="692" spans="2:17" x14ac:dyDescent="0.25">
      <c r="B692" s="1"/>
      <c r="C692" s="1081" t="s">
        <v>5154</v>
      </c>
      <c r="D692" s="1" t="s">
        <v>5165</v>
      </c>
      <c r="E692" s="1075" t="s">
        <v>3975</v>
      </c>
      <c r="F692" s="1">
        <v>8.5</v>
      </c>
      <c r="G692" s="189">
        <f>+INSUMOS!E293</f>
        <v>27000</v>
      </c>
      <c r="H692" s="697"/>
      <c r="I692" s="698">
        <f t="shared" si="135"/>
        <v>229500</v>
      </c>
      <c r="Q692" s="1090"/>
    </row>
    <row r="693" spans="2:17" x14ac:dyDescent="0.25">
      <c r="B693" s="1"/>
      <c r="C693" s="5" t="s">
        <v>5155</v>
      </c>
      <c r="D693" s="1" t="s">
        <v>4143</v>
      </c>
      <c r="E693" s="1075" t="s">
        <v>301</v>
      </c>
      <c r="F693" s="1">
        <f>8.5*0.015</f>
        <v>0.1275</v>
      </c>
      <c r="G693" s="189">
        <f>+'SUB ANALISIS MORTERO'!I25</f>
        <v>396096.39</v>
      </c>
      <c r="H693" s="697"/>
      <c r="I693" s="698">
        <f t="shared" si="135"/>
        <v>50502.289725000002</v>
      </c>
      <c r="Q693" s="1090"/>
    </row>
    <row r="694" spans="2:17" x14ac:dyDescent="0.25">
      <c r="B694" s="1"/>
      <c r="C694" s="5" t="s">
        <v>5156</v>
      </c>
      <c r="D694" s="1" t="s">
        <v>5163</v>
      </c>
      <c r="E694" s="1075" t="s">
        <v>301</v>
      </c>
      <c r="F694" s="1">
        <f>0.1*1.1*4</f>
        <v>0.44000000000000006</v>
      </c>
      <c r="G694" s="189">
        <f>+'SUB ANALISIS CONCRETO'!I25</f>
        <v>393249.64250000002</v>
      </c>
      <c r="H694" s="697"/>
      <c r="I694" s="698">
        <f t="shared" si="135"/>
        <v>173029.84270000004</v>
      </c>
      <c r="Q694" s="1090"/>
    </row>
    <row r="695" spans="2:17" x14ac:dyDescent="0.25">
      <c r="Q695" s="1090"/>
    </row>
    <row r="696" spans="2:17" x14ac:dyDescent="0.25">
      <c r="Q696" s="1090"/>
    </row>
    <row r="697" spans="2:17" ht="36" x14ac:dyDescent="0.25">
      <c r="B697" s="691" t="s">
        <v>4448</v>
      </c>
      <c r="C697" s="691" t="s">
        <v>4453</v>
      </c>
      <c r="D697" s="692" t="s">
        <v>4547</v>
      </c>
      <c r="E697" s="691" t="s">
        <v>3975</v>
      </c>
      <c r="F697" s="693"/>
      <c r="G697" s="1121">
        <f>ROUND(SUM(I698:I702),0)</f>
        <v>13542</v>
      </c>
      <c r="H697" s="694"/>
      <c r="I697" s="693"/>
      <c r="K697" s="609" t="str">
        <f>+B697</f>
        <v>9.2</v>
      </c>
      <c r="L697" s="610">
        <f>SUM(I702)</f>
        <v>1012.5</v>
      </c>
      <c r="M697" s="610">
        <f>+I698</f>
        <v>8201.75</v>
      </c>
      <c r="N697" s="610">
        <f>SUM(I699:I700)</f>
        <v>3964.652</v>
      </c>
      <c r="O697" s="610">
        <f>+I701</f>
        <v>362.79200000000003</v>
      </c>
      <c r="P697" s="610">
        <f>ROUND(SUM(L697:O697),0)</f>
        <v>13542</v>
      </c>
      <c r="Q697" s="1090">
        <f>+G697-P697</f>
        <v>0</v>
      </c>
    </row>
    <row r="698" spans="2:17" x14ac:dyDescent="0.25">
      <c r="B698" s="695" t="s">
        <v>4528</v>
      </c>
      <c r="C698" s="696" t="s">
        <v>4535</v>
      </c>
      <c r="D698" s="444" t="str">
        <f>VLOOKUP($C698,MO!$A$4:$N$199,2,0)</f>
        <v>CUADRILLA CC TIPO 1 (1 OFICIAL + 1 AYUDANTE) (Pintura)</v>
      </c>
      <c r="E698" s="445" t="str">
        <f>VLOOKUP($C698,MO!$A$4:$N$199,5,0)</f>
        <v>hr</v>
      </c>
      <c r="F698" s="695">
        <v>0.25</v>
      </c>
      <c r="G698" s="1122">
        <f>+VLOOKUP(C698,MO!$A$2:$F$199,6,FALSE)</f>
        <v>32807</v>
      </c>
      <c r="H698" s="697"/>
      <c r="I698" s="698">
        <f>+F698*G698</f>
        <v>8201.75</v>
      </c>
      <c r="Q698" s="1090"/>
    </row>
    <row r="699" spans="2:17" ht="24.75" customHeight="1" x14ac:dyDescent="0.25">
      <c r="B699" s="695" t="s">
        <v>4543</v>
      </c>
      <c r="C699" s="696">
        <v>81</v>
      </c>
      <c r="D699" s="444" t="str">
        <f>VLOOKUP($C699,INSUMOS!$A$4:$E$495,2,0)</f>
        <v>INTERVINILO TIPO PINTUCO, REFERENCIA SEGÚN COLOR, DISEÑO O SIMILAR.</v>
      </c>
      <c r="E699" s="445" t="str">
        <f>VLOOKUP($C699,INSUMOS!$A$4:$M$495,4,0)</f>
        <v>GALÓN</v>
      </c>
      <c r="F699" s="695">
        <v>4.7E-2</v>
      </c>
      <c r="G699" s="1122">
        <f>+VLOOKUP(C699,INSUMOS!$A$2:$E$495,5,FALSE)</f>
        <v>68416</v>
      </c>
      <c r="H699" s="697"/>
      <c r="I699" s="698">
        <f t="shared" ref="I699:I702" si="136">+F699*G699</f>
        <v>3215.5520000000001</v>
      </c>
      <c r="Q699" s="1090"/>
    </row>
    <row r="700" spans="2:17" x14ac:dyDescent="0.25">
      <c r="B700" s="695" t="s">
        <v>4530</v>
      </c>
      <c r="C700" s="696">
        <v>402</v>
      </c>
      <c r="D700" s="444" t="str">
        <f>VLOOKUP($C700,INSUMOS!$A$4:$E$495,2,0)</f>
        <v>Andamio metálico certificado</v>
      </c>
      <c r="E700" s="445" t="str">
        <f>VLOOKUP($C700,INSUMOS!$A$4:$M$495,4,0)</f>
        <v>día</v>
      </c>
      <c r="F700" s="695">
        <v>0.1</v>
      </c>
      <c r="G700" s="1122">
        <f>+VLOOKUP(C700,INSUMOS!$A$2:$E$495,5,FALSE)</f>
        <v>7491</v>
      </c>
      <c r="H700" s="697"/>
      <c r="I700" s="698">
        <f t="shared" si="136"/>
        <v>749.1</v>
      </c>
      <c r="Q700" s="1090"/>
    </row>
    <row r="701" spans="2:17" x14ac:dyDescent="0.25">
      <c r="B701" s="695" t="s">
        <v>4546</v>
      </c>
      <c r="C701" s="696">
        <v>428</v>
      </c>
      <c r="D701" s="444" t="str">
        <f>VLOOKUP($C701,INSUMOS!$A$4:$E$495,2,0)</f>
        <v>EQUIPO DE TRANSPORTE</v>
      </c>
      <c r="E701" s="445" t="str">
        <f>VLOOKUP($C701,INSUMOS!$A$4:$M$495,4,0)</f>
        <v>DIA</v>
      </c>
      <c r="F701" s="695">
        <v>2E-3</v>
      </c>
      <c r="G701" s="1122">
        <f>+VLOOKUP(C701,INSUMOS!$A$2:$E$495,5,FALSE)</f>
        <v>181396</v>
      </c>
      <c r="H701" s="697"/>
      <c r="I701" s="698">
        <f t="shared" si="136"/>
        <v>362.79200000000003</v>
      </c>
      <c r="Q701" s="1090"/>
    </row>
    <row r="702" spans="2:17" x14ac:dyDescent="0.25">
      <c r="B702" s="696" t="s">
        <v>4529</v>
      </c>
      <c r="C702" s="696">
        <v>150</v>
      </c>
      <c r="D702" s="444" t="str">
        <f>VLOOKUP($C702,INSUMOS!$A$4:$E$495,2,0)</f>
        <v>HERRAMIENTA MENOR</v>
      </c>
      <c r="E702" s="445" t="str">
        <f>VLOOKUP($C702,INSUMOS!$A$4:$M$495,4,0)</f>
        <v>GLB</v>
      </c>
      <c r="F702" s="695">
        <v>0.25</v>
      </c>
      <c r="G702" s="1122">
        <f>+VLOOKUP(C702,INSUMOS!$A$2:$E$495,5,FALSE)</f>
        <v>4050</v>
      </c>
      <c r="H702" s="697"/>
      <c r="I702" s="698">
        <f t="shared" si="136"/>
        <v>1012.5</v>
      </c>
      <c r="Q702" s="1090"/>
    </row>
    <row r="703" spans="2:17" x14ac:dyDescent="0.25">
      <c r="Q703" s="1090"/>
    </row>
    <row r="704" spans="2:17" ht="24" x14ac:dyDescent="0.25">
      <c r="B704" s="691" t="s">
        <v>4445</v>
      </c>
      <c r="C704" s="691" t="s">
        <v>4453</v>
      </c>
      <c r="D704" s="692" t="s">
        <v>4548</v>
      </c>
      <c r="E704" s="691" t="s">
        <v>3975</v>
      </c>
      <c r="F704" s="693"/>
      <c r="G704" s="1121">
        <f>ROUND(SUM(I705:I708),0)</f>
        <v>34680</v>
      </c>
      <c r="H704" s="694"/>
      <c r="I704" s="693"/>
      <c r="K704" s="609" t="str">
        <f>+B704</f>
        <v>10.5</v>
      </c>
      <c r="L704" s="610">
        <f>SUM(I708)</f>
        <v>2025</v>
      </c>
      <c r="M704" s="610">
        <f>+I705</f>
        <v>17452.960000000003</v>
      </c>
      <c r="N704" s="610">
        <f>SUM(I706:I707)</f>
        <v>15202.41</v>
      </c>
      <c r="O704" s="610"/>
      <c r="P704" s="610">
        <f>ROUND(SUM(L704:O704),0)</f>
        <v>34680</v>
      </c>
      <c r="Q704" s="1090">
        <f>+G704-P704</f>
        <v>0</v>
      </c>
    </row>
    <row r="705" spans="2:17" x14ac:dyDescent="0.25">
      <c r="B705" s="695" t="s">
        <v>4528</v>
      </c>
      <c r="C705" s="696" t="s">
        <v>4533</v>
      </c>
      <c r="D705" s="444" t="str">
        <f>VLOOKUP($C705,MO!$A$4:$N$199,2,0)</f>
        <v>CUADRILLA AA TIPO 1 (1 OFICIAL + 1 AYUDANTE) (Albañileria)</v>
      </c>
      <c r="E705" s="445" t="str">
        <f>VLOOKUP($C705,MO!$A$4:$N$199,5,0)</f>
        <v>hr</v>
      </c>
      <c r="F705" s="695">
        <v>0.56000000000000005</v>
      </c>
      <c r="G705" s="1122">
        <f>+VLOOKUP(C705,MO!$A$2:$F$199,6,FALSE)</f>
        <v>31166</v>
      </c>
      <c r="H705" s="697"/>
      <c r="I705" s="698">
        <f>+F705*G705</f>
        <v>17452.960000000003</v>
      </c>
      <c r="Q705" s="1090"/>
    </row>
    <row r="706" spans="2:17" x14ac:dyDescent="0.25">
      <c r="B706" s="695" t="s">
        <v>4543</v>
      </c>
      <c r="C706" s="696">
        <v>420</v>
      </c>
      <c r="D706" s="444" t="str">
        <f>VLOOKUP($C706,INSUMOS!$A$4:$E$495,2,0)</f>
        <v>Flanche 20x240cm calibre 26</v>
      </c>
      <c r="E706" s="445" t="str">
        <f>VLOOKUP($C706,INSUMOS!$A$4:$M$495,4,0)</f>
        <v>Unidad</v>
      </c>
      <c r="F706" s="695">
        <v>0.42</v>
      </c>
      <c r="G706" s="1122">
        <f>+VLOOKUP(C706,INSUMOS!$A$2:$E$495,5,FALSE)</f>
        <v>32723</v>
      </c>
      <c r="H706" s="697"/>
      <c r="I706" s="698">
        <f t="shared" ref="I706:I708" si="137">+F706*G706</f>
        <v>13743.66</v>
      </c>
      <c r="Q706" s="1090"/>
    </row>
    <row r="707" spans="2:17" x14ac:dyDescent="0.25">
      <c r="B707" s="695" t="s">
        <v>4530</v>
      </c>
      <c r="C707" s="696">
        <v>421</v>
      </c>
      <c r="D707" s="444" t="str">
        <f>VLOOKUP($C707,INSUMOS!$A$4:$E$495,2,0)</f>
        <v xml:space="preserve">Silicona Transparente </v>
      </c>
      <c r="E707" s="445" t="str">
        <f>VLOOKUP($C707,INSUMOS!$A$4:$M$495,4,0)</f>
        <v>Unidad</v>
      </c>
      <c r="F707" s="695">
        <v>0.05</v>
      </c>
      <c r="G707" s="1122">
        <f>+VLOOKUP(C707,INSUMOS!$A$2:$E$495,5,FALSE)</f>
        <v>29175</v>
      </c>
      <c r="H707" s="697"/>
      <c r="I707" s="698">
        <f t="shared" si="137"/>
        <v>1458.75</v>
      </c>
      <c r="Q707" s="1090"/>
    </row>
    <row r="708" spans="2:17" x14ac:dyDescent="0.25">
      <c r="B708" s="696" t="s">
        <v>4529</v>
      </c>
      <c r="C708" s="696">
        <v>150</v>
      </c>
      <c r="D708" s="444" t="str">
        <f>VLOOKUP($C708,INSUMOS!$A$4:$E$495,2,0)</f>
        <v>HERRAMIENTA MENOR</v>
      </c>
      <c r="E708" s="445" t="str">
        <f>VLOOKUP($C708,INSUMOS!$A$4:$M$495,4,0)</f>
        <v>GLB</v>
      </c>
      <c r="F708" s="695">
        <v>0.5</v>
      </c>
      <c r="G708" s="1122">
        <f>+VLOOKUP(C708,INSUMOS!$A$2:$E$495,5,FALSE)</f>
        <v>4050</v>
      </c>
      <c r="H708" s="697"/>
      <c r="I708" s="698">
        <f t="shared" si="137"/>
        <v>2025</v>
      </c>
      <c r="Q708" s="1090"/>
    </row>
    <row r="709" spans="2:17" x14ac:dyDescent="0.25">
      <c r="Q709" s="1090"/>
    </row>
    <row r="710" spans="2:17" ht="48" x14ac:dyDescent="0.25">
      <c r="B710" s="691" t="s">
        <v>4473</v>
      </c>
      <c r="C710" s="691" t="s">
        <v>4453</v>
      </c>
      <c r="D710" s="692" t="s">
        <v>4493</v>
      </c>
      <c r="E710" s="691" t="s">
        <v>3975</v>
      </c>
      <c r="F710" s="693"/>
      <c r="G710" s="1121">
        <f>ROUND(SUM(I711:I716),0)</f>
        <v>113397</v>
      </c>
      <c r="H710" s="694"/>
      <c r="I710" s="693"/>
      <c r="K710" s="609" t="str">
        <f>+B710</f>
        <v>12.1</v>
      </c>
      <c r="L710" s="610">
        <f>SUM(I716)</f>
        <v>1012.5</v>
      </c>
      <c r="M710" s="610">
        <f>+I711</f>
        <v>32260</v>
      </c>
      <c r="N710" s="610">
        <f>SUM(I712:I715)</f>
        <v>80124.010000000009</v>
      </c>
      <c r="O710" s="610"/>
      <c r="P710" s="610">
        <f>ROUND(SUM(L710:O710),0)</f>
        <v>113397</v>
      </c>
      <c r="Q710" s="1090">
        <f>+G710-P710</f>
        <v>0</v>
      </c>
    </row>
    <row r="711" spans="2:17" ht="24" x14ac:dyDescent="0.25">
      <c r="B711" s="695" t="s">
        <v>4528</v>
      </c>
      <c r="C711" s="696" t="s">
        <v>4534</v>
      </c>
      <c r="D711" s="444" t="str">
        <f>VLOOKUP($C711,MO!$A$4:$N$199,2,0)</f>
        <v>CUADRILLA BB TIPO 1 (1 OFICIAL + 1 AYUDANTE) (Instalaciones)</v>
      </c>
      <c r="E711" s="445" t="str">
        <f>VLOOKUP($C711,MO!$A$4:$N$199,5,0)</f>
        <v>hr</v>
      </c>
      <c r="F711" s="695">
        <v>1</v>
      </c>
      <c r="G711" s="1122">
        <f>+VLOOKUP(C711,MO!$A$2:$F$199,6,FALSE)</f>
        <v>32260</v>
      </c>
      <c r="H711" s="697"/>
      <c r="I711" s="698">
        <f>+F711*G711</f>
        <v>32260</v>
      </c>
      <c r="Q711" s="1090"/>
    </row>
    <row r="712" spans="2:17" x14ac:dyDescent="0.25">
      <c r="B712" s="695" t="s">
        <v>4543</v>
      </c>
      <c r="C712" s="696">
        <v>340</v>
      </c>
      <c r="D712" s="444" t="str">
        <f>VLOOKUP($C712,INSUMOS!$A$4:$E$495,2,0)</f>
        <v>Lámina de cielo raso en PVC 10 mm de espesor</v>
      </c>
      <c r="E712" s="445" t="str">
        <f>VLOOKUP($C712,INSUMOS!$A$4:$M$495,4,0)</f>
        <v>m2</v>
      </c>
      <c r="F712" s="695">
        <v>0.66700000000000004</v>
      </c>
      <c r="G712" s="1122">
        <f>+VLOOKUP(C712,INSUMOS!$A$2:$E$495,5,FALSE)</f>
        <v>78850</v>
      </c>
      <c r="H712" s="697"/>
      <c r="I712" s="698">
        <f t="shared" ref="I712:I716" si="138">+F712*G712</f>
        <v>52592.950000000004</v>
      </c>
      <c r="Q712" s="1090"/>
    </row>
    <row r="713" spans="2:17" x14ac:dyDescent="0.25">
      <c r="B713" s="695" t="s">
        <v>4543</v>
      </c>
      <c r="C713" s="696">
        <v>393</v>
      </c>
      <c r="D713" s="444" t="str">
        <f>VLOOKUP($C713,INSUMOS!$A$4:$E$495,2,0)</f>
        <v xml:space="preserve">Viguetas y Omega para soporte </v>
      </c>
      <c r="E713" s="445" t="str">
        <f>VLOOKUP($C713,INSUMOS!$A$4:$M$495,4,0)</f>
        <v>ml</v>
      </c>
      <c r="F713" s="695">
        <v>1</v>
      </c>
      <c r="G713" s="1122">
        <f>+VLOOKUP(C713,INSUMOS!$A$2:$E$495,5,FALSE)</f>
        <v>18398</v>
      </c>
      <c r="H713" s="697"/>
      <c r="I713" s="698">
        <f t="shared" si="138"/>
        <v>18398</v>
      </c>
      <c r="Q713" s="1090"/>
    </row>
    <row r="714" spans="2:17" x14ac:dyDescent="0.25">
      <c r="B714" s="695" t="s">
        <v>4543</v>
      </c>
      <c r="C714" s="696">
        <v>331</v>
      </c>
      <c r="D714" s="444" t="str">
        <f>VLOOKUP($C714,INSUMOS!$A$4:$E$495,2,0)</f>
        <v>Cornisa de PVC esquinas</v>
      </c>
      <c r="E714" s="445" t="str">
        <f>VLOOKUP($C714,INSUMOS!$A$4:$M$495,4,0)</f>
        <v>ml</v>
      </c>
      <c r="F714" s="695">
        <v>0.83</v>
      </c>
      <c r="G714" s="1122">
        <f>+VLOOKUP(C714,INSUMOS!$A$2:$E$495,5,FALSE)</f>
        <v>10382</v>
      </c>
      <c r="H714" s="697"/>
      <c r="I714" s="698">
        <f t="shared" si="138"/>
        <v>8617.06</v>
      </c>
      <c r="Q714" s="1090"/>
    </row>
    <row r="715" spans="2:17" x14ac:dyDescent="0.25">
      <c r="B715" s="695" t="s">
        <v>4543</v>
      </c>
      <c r="C715" s="696">
        <v>380</v>
      </c>
      <c r="D715" s="444" t="str">
        <f>VLOOKUP($C715,INSUMOS!$A$4:$E$495,2,0)</f>
        <v>Torinlleria</v>
      </c>
      <c r="E715" s="445" t="str">
        <f>VLOOKUP($C715,INSUMOS!$A$4:$M$495,4,0)</f>
        <v>und</v>
      </c>
      <c r="F715" s="695">
        <v>12</v>
      </c>
      <c r="G715" s="1122">
        <f>+VLOOKUP(C715,INSUMOS!$A$2:$E$495,5,FALSE)</f>
        <v>43</v>
      </c>
      <c r="H715" s="697"/>
      <c r="I715" s="698">
        <f t="shared" si="138"/>
        <v>516</v>
      </c>
      <c r="Q715" s="1090"/>
    </row>
    <row r="716" spans="2:17" x14ac:dyDescent="0.25">
      <c r="B716" s="696" t="s">
        <v>4529</v>
      </c>
      <c r="C716" s="696">
        <v>150</v>
      </c>
      <c r="D716" s="444" t="str">
        <f>VLOOKUP($C716,INSUMOS!$A$4:$E$495,2,0)</f>
        <v>HERRAMIENTA MENOR</v>
      </c>
      <c r="E716" s="445" t="str">
        <f>VLOOKUP($C716,INSUMOS!$A$4:$M$495,4,0)</f>
        <v>GLB</v>
      </c>
      <c r="F716" s="695">
        <v>0.25</v>
      </c>
      <c r="G716" s="1122">
        <f>+VLOOKUP(C716,INSUMOS!$A$2:$E$495,5,FALSE)</f>
        <v>4050</v>
      </c>
      <c r="H716" s="697"/>
      <c r="I716" s="698">
        <f t="shared" si="138"/>
        <v>1012.5</v>
      </c>
      <c r="Q716" s="1090"/>
    </row>
    <row r="717" spans="2:17" x14ac:dyDescent="0.25">
      <c r="Q717" s="1090"/>
    </row>
    <row r="718" spans="2:17" x14ac:dyDescent="0.25">
      <c r="B718" s="691" t="s">
        <v>4447</v>
      </c>
      <c r="C718" s="691" t="s">
        <v>4453</v>
      </c>
      <c r="D718" s="692" t="s">
        <v>4476</v>
      </c>
      <c r="E718" s="691" t="s">
        <v>3975</v>
      </c>
      <c r="F718" s="693"/>
      <c r="G718" s="1121">
        <f>ROUND(SUM(I719:I722),0)</f>
        <v>17439</v>
      </c>
      <c r="H718" s="694"/>
      <c r="I718" s="693"/>
      <c r="K718" s="609" t="str">
        <f>+B718</f>
        <v>13.1</v>
      </c>
      <c r="L718" s="610">
        <f>SUM(I722)</f>
        <v>1012.5</v>
      </c>
      <c r="M718" s="610">
        <f>+I719</f>
        <v>3871.2</v>
      </c>
      <c r="N718" s="610">
        <f>SUM(I720:I721)</f>
        <v>12555.2</v>
      </c>
      <c r="O718" s="610"/>
      <c r="P718" s="610">
        <f>ROUND(SUM(L718:O718),0)</f>
        <v>17439</v>
      </c>
      <c r="Q718" s="1090">
        <f>+G718-P718</f>
        <v>0</v>
      </c>
    </row>
    <row r="719" spans="2:17" ht="24" x14ac:dyDescent="0.25">
      <c r="B719" s="695" t="s">
        <v>4528</v>
      </c>
      <c r="C719" s="696" t="s">
        <v>4534</v>
      </c>
      <c r="D719" s="444" t="str">
        <f>VLOOKUP($C719,MO!$A$4:$N$199,2,0)</f>
        <v>CUADRILLA BB TIPO 1 (1 OFICIAL + 1 AYUDANTE) (Instalaciones)</v>
      </c>
      <c r="E719" s="445" t="str">
        <f>VLOOKUP($C719,MO!$A$4:$N$199,5,0)</f>
        <v>hr</v>
      </c>
      <c r="F719" s="695">
        <v>0.12</v>
      </c>
      <c r="G719" s="1122">
        <f>+VLOOKUP(C719,MO!$A$2:$F$199,6,FALSE)</f>
        <v>32260</v>
      </c>
      <c r="H719" s="697"/>
      <c r="I719" s="698">
        <f>+F719*G719</f>
        <v>3871.2</v>
      </c>
      <c r="Q719" s="1090"/>
    </row>
    <row r="720" spans="2:17" x14ac:dyDescent="0.25">
      <c r="B720" s="695" t="s">
        <v>4543</v>
      </c>
      <c r="C720" s="696">
        <v>152</v>
      </c>
      <c r="D720" s="444" t="str">
        <f>VLOOKUP($C720,INSUMOS!$A$4:$E$495,2,0)</f>
        <v>ENDURECEDOR DE PISO</v>
      </c>
      <c r="E720" s="445" t="str">
        <f>VLOOKUP($C720,INSUMOS!$A$4:$M$495,4,0)</f>
        <v>KG</v>
      </c>
      <c r="F720" s="695">
        <v>4</v>
      </c>
      <c r="G720" s="1122">
        <f>+VLOOKUP(C720,INSUMOS!$A$2:$E$495,5,FALSE)</f>
        <v>2889</v>
      </c>
      <c r="H720" s="697"/>
      <c r="I720" s="698">
        <f t="shared" ref="I720:I722" si="139">+F720*G720</f>
        <v>11556</v>
      </c>
      <c r="Q720" s="1090"/>
    </row>
    <row r="721" spans="2:17" x14ac:dyDescent="0.25">
      <c r="B721" s="695" t="s">
        <v>4543</v>
      </c>
      <c r="C721" s="696">
        <v>429</v>
      </c>
      <c r="D721" s="444" t="str">
        <f>VLOOKUP($C721,INSUMOS!$A$4:$E$495,2,0)</f>
        <v>ALLANADORA DE CONCRETO</v>
      </c>
      <c r="E721" s="445" t="str">
        <f>VLOOKUP($C721,INSUMOS!$A$4:$M$495,4,0)</f>
        <v>HR</v>
      </c>
      <c r="F721" s="695">
        <v>0.05</v>
      </c>
      <c r="G721" s="1122">
        <f>+VLOOKUP(C721,INSUMOS!$A$2:$E$495,5,FALSE)</f>
        <v>19984</v>
      </c>
      <c r="H721" s="697"/>
      <c r="I721" s="698">
        <f t="shared" si="139"/>
        <v>999.2</v>
      </c>
      <c r="Q721" s="1090"/>
    </row>
    <row r="722" spans="2:17" x14ac:dyDescent="0.25">
      <c r="B722" s="696" t="s">
        <v>4529</v>
      </c>
      <c r="C722" s="696">
        <v>150</v>
      </c>
      <c r="D722" s="444" t="str">
        <f>VLOOKUP($C722,INSUMOS!$A$4:$E$495,2,0)</f>
        <v>HERRAMIENTA MENOR</v>
      </c>
      <c r="E722" s="445" t="str">
        <f>VLOOKUP($C722,INSUMOS!$A$4:$M$495,4,0)</f>
        <v>GLB</v>
      </c>
      <c r="F722" s="695">
        <v>0.25</v>
      </c>
      <c r="G722" s="1122">
        <f>+VLOOKUP(C722,INSUMOS!$A$2:$E$495,5,FALSE)</f>
        <v>4050</v>
      </c>
      <c r="H722" s="697"/>
      <c r="I722" s="698">
        <f t="shared" si="139"/>
        <v>1012.5</v>
      </c>
      <c r="Q722" s="1090"/>
    </row>
    <row r="723" spans="2:17" x14ac:dyDescent="0.25">
      <c r="Q723" s="1090"/>
    </row>
    <row r="724" spans="2:17" ht="36" x14ac:dyDescent="0.25">
      <c r="B724" s="691" t="s">
        <v>4465</v>
      </c>
      <c r="C724" s="691" t="s">
        <v>4453</v>
      </c>
      <c r="D724" s="692" t="s">
        <v>4469</v>
      </c>
      <c r="E724" s="691" t="s">
        <v>3975</v>
      </c>
      <c r="F724" s="693"/>
      <c r="G724" s="1121">
        <f>ROUND(SUM(I725:I728),0)</f>
        <v>654474</v>
      </c>
      <c r="H724" s="694"/>
      <c r="I724" s="693"/>
      <c r="K724" s="609" t="str">
        <f>+B724</f>
        <v>15.3</v>
      </c>
      <c r="L724" s="610">
        <f>SUM(I728)</f>
        <v>1012.5</v>
      </c>
      <c r="M724" s="610">
        <f>+I725</f>
        <v>98421</v>
      </c>
      <c r="N724" s="610">
        <f>SUM(I726:I727)</f>
        <v>555040.80000000005</v>
      </c>
      <c r="O724" s="610"/>
      <c r="P724" s="610">
        <f>ROUND(SUM(L724:O724),0)</f>
        <v>654474</v>
      </c>
      <c r="Q724" s="1090">
        <f>+G724-P724</f>
        <v>0</v>
      </c>
    </row>
    <row r="725" spans="2:17" ht="24" x14ac:dyDescent="0.25">
      <c r="B725" s="695" t="s">
        <v>4528</v>
      </c>
      <c r="C725" s="696" t="s">
        <v>4536</v>
      </c>
      <c r="D725" s="444" t="str">
        <f>VLOOKUP($C725,MO!$A$4:$N$199,2,0)</f>
        <v>CUADRILLA DD TIPO 1 (1 OFICIAL + 1 AYUDANTE) (Carpinteria)</v>
      </c>
      <c r="E725" s="445" t="str">
        <f>VLOOKUP($C725,MO!$A$4:$N$199,5,0)</f>
        <v>hr</v>
      </c>
      <c r="F725" s="695">
        <v>3</v>
      </c>
      <c r="G725" s="1122">
        <f>+VLOOKUP(C725,MO!$A$2:$F$199,6,FALSE)</f>
        <v>32807</v>
      </c>
      <c r="H725" s="697"/>
      <c r="I725" s="698">
        <f>+F725*G725</f>
        <v>98421</v>
      </c>
      <c r="Q725" s="1090"/>
    </row>
    <row r="726" spans="2:17" x14ac:dyDescent="0.25">
      <c r="B726" s="695" t="s">
        <v>4543</v>
      </c>
      <c r="C726" s="696">
        <v>338</v>
      </c>
      <c r="D726" s="444" t="str">
        <f>VLOOKUP($C726,INSUMOS!$A$4:$E$495,2,0)</f>
        <v>Lámina de acero inoxidable figurado</v>
      </c>
      <c r="E726" s="445" t="str">
        <f>VLOOKUP($C726,INSUMOS!$A$4:$M$495,4,0)</f>
        <v>m2</v>
      </c>
      <c r="F726" s="695">
        <v>1</v>
      </c>
      <c r="G726" s="1122">
        <f>+VLOOKUP(C726,INSUMOS!$A$2:$E$495,5,FALSE)</f>
        <v>525669</v>
      </c>
      <c r="H726" s="697"/>
      <c r="I726" s="698">
        <f t="shared" ref="I726:I728" si="140">+F726*G726</f>
        <v>525669</v>
      </c>
      <c r="Q726" s="1090"/>
    </row>
    <row r="727" spans="2:17" x14ac:dyDescent="0.25">
      <c r="B727" s="695" t="s">
        <v>4543</v>
      </c>
      <c r="C727" s="696">
        <v>368</v>
      </c>
      <c r="D727" s="444" t="str">
        <f>VLOOKUP($C727,INSUMOS!$A$4:$E$495,2,0)</f>
        <v>SikaBond At metal</v>
      </c>
      <c r="E727" s="445" t="str">
        <f>VLOOKUP($C727,INSUMOS!$A$4:$M$495,4,0)</f>
        <v>un</v>
      </c>
      <c r="F727" s="695">
        <v>0.3</v>
      </c>
      <c r="G727" s="1122">
        <f>+VLOOKUP(C727,INSUMOS!$A$2:$E$495,5,FALSE)</f>
        <v>97906</v>
      </c>
      <c r="H727" s="697"/>
      <c r="I727" s="698">
        <f t="shared" si="140"/>
        <v>29371.8</v>
      </c>
      <c r="Q727" s="1090"/>
    </row>
    <row r="728" spans="2:17" x14ac:dyDescent="0.25">
      <c r="B728" s="696" t="s">
        <v>4529</v>
      </c>
      <c r="C728" s="696">
        <v>150</v>
      </c>
      <c r="D728" s="444" t="str">
        <f>VLOOKUP($C728,INSUMOS!$A$4:$E$495,2,0)</f>
        <v>HERRAMIENTA MENOR</v>
      </c>
      <c r="E728" s="445" t="str">
        <f>VLOOKUP($C728,INSUMOS!$A$4:$M$495,4,0)</f>
        <v>GLB</v>
      </c>
      <c r="F728" s="695">
        <v>0.25</v>
      </c>
      <c r="G728" s="1122">
        <f>+VLOOKUP(C728,INSUMOS!$A$2:$E$495,5,FALSE)</f>
        <v>4050</v>
      </c>
      <c r="H728" s="697"/>
      <c r="I728" s="698">
        <f t="shared" si="140"/>
        <v>1012.5</v>
      </c>
      <c r="Q728" s="1090"/>
    </row>
    <row r="729" spans="2:17" x14ac:dyDescent="0.25">
      <c r="Q729" s="1090"/>
    </row>
    <row r="730" spans="2:17" ht="48" x14ac:dyDescent="0.25">
      <c r="B730" s="691" t="s">
        <v>4467</v>
      </c>
      <c r="C730" s="691" t="s">
        <v>4453</v>
      </c>
      <c r="D730" s="692" t="s">
        <v>4468</v>
      </c>
      <c r="E730" s="691" t="s">
        <v>11</v>
      </c>
      <c r="F730" s="693"/>
      <c r="G730" s="1121">
        <f>ROUND(SUM(I731:I734),0)</f>
        <v>488954</v>
      </c>
      <c r="H730" s="694"/>
      <c r="I730" s="693"/>
      <c r="K730" s="609" t="str">
        <f>+B730</f>
        <v>15.4</v>
      </c>
      <c r="L730" s="610">
        <f>SUM(I734)</f>
        <v>1012.5</v>
      </c>
      <c r="M730" s="610">
        <f>+I731</f>
        <v>9842.1</v>
      </c>
      <c r="N730" s="610">
        <f>SUM(I732:I733)</f>
        <v>478099.6</v>
      </c>
      <c r="O730" s="610"/>
      <c r="P730" s="610">
        <f>ROUND(SUM(L730:O730),0)</f>
        <v>488954</v>
      </c>
      <c r="Q730" s="1090">
        <f>+G730-P730</f>
        <v>0</v>
      </c>
    </row>
    <row r="731" spans="2:17" ht="24" x14ac:dyDescent="0.25">
      <c r="B731" s="695" t="s">
        <v>4528</v>
      </c>
      <c r="C731" s="696" t="s">
        <v>4536</v>
      </c>
      <c r="D731" s="444" t="str">
        <f>VLOOKUP($C731,MO!$A$4:$N$199,2,0)</f>
        <v>CUADRILLA DD TIPO 1 (1 OFICIAL + 1 AYUDANTE) (Carpinteria)</v>
      </c>
      <c r="E731" s="445" t="str">
        <f>VLOOKUP($C731,MO!$A$4:$N$199,5,0)</f>
        <v>hr</v>
      </c>
      <c r="F731" s="695">
        <v>0.3</v>
      </c>
      <c r="G731" s="1122">
        <f>+VLOOKUP(C731,MO!$A$2:$F$199,6,FALSE)</f>
        <v>32807</v>
      </c>
      <c r="H731" s="697"/>
      <c r="I731" s="698">
        <f>+F731*G731</f>
        <v>9842.1</v>
      </c>
      <c r="Q731" s="1090"/>
    </row>
    <row r="732" spans="2:17" x14ac:dyDescent="0.25">
      <c r="B732" s="695" t="s">
        <v>4543</v>
      </c>
      <c r="C732" s="696">
        <v>361</v>
      </c>
      <c r="D732" s="444" t="str">
        <f>VLOOKUP($C732,INSUMOS!$A$4:$E$495,2,0)</f>
        <v xml:space="preserve">Puerta en lámina calibre 16 de 0,90m ancho </v>
      </c>
      <c r="E732" s="445" t="str">
        <f>VLOOKUP($C732,INSUMOS!$A$4:$M$495,4,0)</f>
        <v>und</v>
      </c>
      <c r="F732" s="695">
        <v>1</v>
      </c>
      <c r="G732" s="1122">
        <f>+VLOOKUP(C732,INSUMOS!$A$2:$E$495,5,FALSE)</f>
        <v>459960</v>
      </c>
      <c r="H732" s="697"/>
      <c r="I732" s="698">
        <f t="shared" ref="I732:I734" si="141">+F732*G732</f>
        <v>459960</v>
      </c>
      <c r="Q732" s="1090"/>
    </row>
    <row r="733" spans="2:17" x14ac:dyDescent="0.25">
      <c r="B733" s="695" t="s">
        <v>4546</v>
      </c>
      <c r="C733" s="696">
        <v>428</v>
      </c>
      <c r="D733" s="444" t="str">
        <f>VLOOKUP($C733,INSUMOS!$A$4:$E$495,2,0)</f>
        <v>EQUIPO DE TRANSPORTE</v>
      </c>
      <c r="E733" s="445" t="s">
        <v>202</v>
      </c>
      <c r="F733" s="695">
        <v>0.1</v>
      </c>
      <c r="G733" s="1122">
        <f>+VLOOKUP(C733,INSUMOS!$A$2:$E$495,5,FALSE)</f>
        <v>181396</v>
      </c>
      <c r="H733" s="697"/>
      <c r="I733" s="698">
        <f t="shared" ref="I733" si="142">+F733*G733</f>
        <v>18139.600000000002</v>
      </c>
      <c r="Q733" s="1090"/>
    </row>
    <row r="734" spans="2:17" x14ac:dyDescent="0.25">
      <c r="B734" s="696" t="s">
        <v>4529</v>
      </c>
      <c r="C734" s="696">
        <v>150</v>
      </c>
      <c r="D734" s="444" t="str">
        <f>VLOOKUP($C734,INSUMOS!$A$4:$E$495,2,0)</f>
        <v>HERRAMIENTA MENOR</v>
      </c>
      <c r="E734" s="445" t="str">
        <f>VLOOKUP($C734,INSUMOS!$A$4:$M$495,4,0)</f>
        <v>GLB</v>
      </c>
      <c r="F734" s="695">
        <v>0.25</v>
      </c>
      <c r="G734" s="1122">
        <f>+VLOOKUP(C734,INSUMOS!$A$2:$E$495,5,FALSE)</f>
        <v>4050</v>
      </c>
      <c r="H734" s="697"/>
      <c r="I734" s="698">
        <f t="shared" si="141"/>
        <v>1012.5</v>
      </c>
      <c r="Q734" s="1090"/>
    </row>
    <row r="735" spans="2:17" x14ac:dyDescent="0.25">
      <c r="Q735" s="1090"/>
    </row>
    <row r="736" spans="2:17" ht="36" x14ac:dyDescent="0.25">
      <c r="B736" s="691" t="s">
        <v>4484</v>
      </c>
      <c r="C736" s="691" t="s">
        <v>4453</v>
      </c>
      <c r="D736" s="692" t="s">
        <v>4485</v>
      </c>
      <c r="E736" s="691" t="s">
        <v>3975</v>
      </c>
      <c r="F736" s="693"/>
      <c r="G736" s="1121">
        <f>ROUND(SUM(I737:I745),0)</f>
        <v>327822</v>
      </c>
      <c r="H736" s="694"/>
      <c r="I736" s="693"/>
      <c r="K736" s="609" t="str">
        <f>+B736</f>
        <v>15.5</v>
      </c>
      <c r="L736" s="610">
        <f>SUM(I744:I745)</f>
        <v>25515</v>
      </c>
      <c r="M736" s="610">
        <f>+I737</f>
        <v>98421</v>
      </c>
      <c r="N736" s="610">
        <f>SUM(I738:I742)</f>
        <v>200258.55</v>
      </c>
      <c r="O736" s="610">
        <f>+I743</f>
        <v>3627.92</v>
      </c>
      <c r="P736" s="610">
        <f>ROUND(SUM(L736:O736),0)</f>
        <v>327822</v>
      </c>
      <c r="Q736" s="1090">
        <f>+G736-P736</f>
        <v>0</v>
      </c>
    </row>
    <row r="737" spans="2:17" ht="24" x14ac:dyDescent="0.25">
      <c r="B737" s="695" t="s">
        <v>4528</v>
      </c>
      <c r="C737" s="696" t="s">
        <v>4536</v>
      </c>
      <c r="D737" s="444" t="str">
        <f>VLOOKUP($C737,MO!$A$4:$N$199,2,0)</f>
        <v>CUADRILLA DD TIPO 1 (1 OFICIAL + 1 AYUDANTE) (Carpinteria)</v>
      </c>
      <c r="E737" s="445" t="str">
        <f>VLOOKUP($C737,MO!$A$4:$N$199,5,0)</f>
        <v>hr</v>
      </c>
      <c r="F737" s="695">
        <v>3</v>
      </c>
      <c r="G737" s="1122">
        <f>+VLOOKUP(C737,MO!$A$2:$F$199,6,FALSE)</f>
        <v>32807</v>
      </c>
      <c r="H737" s="697"/>
      <c r="I737" s="698">
        <f>+F737*G737</f>
        <v>98421</v>
      </c>
      <c r="Q737" s="1090"/>
    </row>
    <row r="738" spans="2:17" x14ac:dyDescent="0.25">
      <c r="B738" s="695" t="s">
        <v>4543</v>
      </c>
      <c r="C738" s="696">
        <v>418</v>
      </c>
      <c r="D738" s="444" t="str">
        <f>VLOOKUP($C738,INSUMOS!$A$4:$E$495,2,0)</f>
        <v>Tubo redondo galvanizado cerramiento 2"</v>
      </c>
      <c r="E738" s="445" t="str">
        <f>VLOOKUP($C738,INSUMOS!$A$4:$M$495,4,0)</f>
        <v>ml</v>
      </c>
      <c r="F738" s="695">
        <v>5</v>
      </c>
      <c r="G738" s="1122">
        <f>+VLOOKUP(C738,INSUMOS!$A$2:$E$495,5,FALSE)</f>
        <v>28769</v>
      </c>
      <c r="H738" s="697"/>
      <c r="I738" s="698">
        <f t="shared" ref="I738:I742" si="143">+F738*G738</f>
        <v>143845</v>
      </c>
      <c r="Q738" s="1090"/>
    </row>
    <row r="739" spans="2:17" x14ac:dyDescent="0.25">
      <c r="B739" s="695" t="s">
        <v>4543</v>
      </c>
      <c r="C739" s="696">
        <v>371</v>
      </c>
      <c r="D739" s="444" t="str">
        <f>VLOOKUP($C739,INSUMOS!$A$4:$E$495,2,0)</f>
        <v>Soldadura west arco 6013</v>
      </c>
      <c r="E739" s="445" t="str">
        <f>VLOOKUP($C739,INSUMOS!$A$4:$M$495,4,0)</f>
        <v>kg</v>
      </c>
      <c r="F739" s="695">
        <v>0.3</v>
      </c>
      <c r="G739" s="1122">
        <f>+VLOOKUP(C739,INSUMOS!$A$2:$E$495,5,FALSE)</f>
        <v>21900</v>
      </c>
      <c r="H739" s="697"/>
      <c r="I739" s="698">
        <f t="shared" si="143"/>
        <v>6570</v>
      </c>
      <c r="Q739" s="1090"/>
    </row>
    <row r="740" spans="2:17" x14ac:dyDescent="0.25">
      <c r="B740" s="695" t="s">
        <v>4543</v>
      </c>
      <c r="C740" s="696">
        <v>354</v>
      </c>
      <c r="D740" s="444" t="str">
        <f>VLOOKUP($C740,INSUMOS!$A$4:$E$495,2,0)</f>
        <v>Pintura anticorrosiva</v>
      </c>
      <c r="E740" s="445" t="str">
        <f>VLOOKUP($C740,INSUMOS!$A$4:$M$495,4,0)</f>
        <v>gl</v>
      </c>
      <c r="F740" s="695">
        <v>0.05</v>
      </c>
      <c r="G740" s="1122">
        <f>+VLOOKUP(C740,INSUMOS!$A$2:$E$495,5,FALSE)</f>
        <v>66891</v>
      </c>
      <c r="H740" s="697"/>
      <c r="I740" s="698">
        <f t="shared" si="143"/>
        <v>3344.55</v>
      </c>
      <c r="Q740" s="1090"/>
    </row>
    <row r="741" spans="2:17" x14ac:dyDescent="0.25">
      <c r="B741" s="695" t="s">
        <v>4543</v>
      </c>
      <c r="C741" s="696">
        <v>353</v>
      </c>
      <c r="D741" s="444" t="str">
        <f>VLOOKUP($C741,INSUMOS!$A$4:$E$495,2,0)</f>
        <v>Pernos de anclaje</v>
      </c>
      <c r="E741" s="445" t="str">
        <f>VLOOKUP($C741,INSUMOS!$A$4:$M$495,4,0)</f>
        <v>und</v>
      </c>
      <c r="F741" s="695">
        <v>4</v>
      </c>
      <c r="G741" s="1122">
        <f>+VLOOKUP(C741,INSUMOS!$A$2:$E$495,5,FALSE)</f>
        <v>10251</v>
      </c>
      <c r="H741" s="697"/>
      <c r="I741" s="698">
        <f t="shared" si="143"/>
        <v>41004</v>
      </c>
      <c r="Q741" s="1090"/>
    </row>
    <row r="742" spans="2:17" x14ac:dyDescent="0.25">
      <c r="B742" s="695" t="s">
        <v>4543</v>
      </c>
      <c r="C742" s="696">
        <v>417</v>
      </c>
      <c r="D742" s="444" t="str">
        <f>VLOOKUP($C742,INSUMOS!$A$4:$E$495,2,0)</f>
        <v>Esmalte sintetico pintulux - tipo pintuco. Color blanco</v>
      </c>
      <c r="E742" s="445" t="str">
        <f>VLOOKUP($C742,INSUMOS!$A$4:$M$495,4,0)</f>
        <v>gal</v>
      </c>
      <c r="F742" s="695">
        <v>0.05</v>
      </c>
      <c r="G742" s="1122">
        <f>+VLOOKUP(C742,INSUMOS!$A$2:$E$495,5,FALSE)</f>
        <v>109900</v>
      </c>
      <c r="H742" s="697"/>
      <c r="I742" s="698">
        <f t="shared" si="143"/>
        <v>5495</v>
      </c>
      <c r="Q742" s="1090"/>
    </row>
    <row r="743" spans="2:17" x14ac:dyDescent="0.25">
      <c r="B743" s="695" t="s">
        <v>4546</v>
      </c>
      <c r="C743" s="696">
        <v>428</v>
      </c>
      <c r="D743" s="444" t="str">
        <f>VLOOKUP($C743,INSUMOS!$A$4:$E$495,2,0)</f>
        <v>EQUIPO DE TRANSPORTE</v>
      </c>
      <c r="E743" s="445" t="str">
        <f>VLOOKUP($C743,INSUMOS!$A$4:$M$495,4,0)</f>
        <v>DIA</v>
      </c>
      <c r="F743" s="695">
        <v>0.02</v>
      </c>
      <c r="G743" s="1122">
        <f>+VLOOKUP(C743,INSUMOS!$A$2:$E$495,5,FALSE)</f>
        <v>181396</v>
      </c>
      <c r="H743" s="697"/>
      <c r="I743" s="698">
        <f t="shared" ref="I743:I745" si="144">+F743*G743</f>
        <v>3627.92</v>
      </c>
      <c r="Q743" s="1090"/>
    </row>
    <row r="744" spans="2:17" x14ac:dyDescent="0.25">
      <c r="B744" s="695" t="s">
        <v>4530</v>
      </c>
      <c r="C744" s="696">
        <v>398</v>
      </c>
      <c r="D744" s="444" t="str">
        <f>VLOOKUP($C744,INSUMOS!$A$4:$E$495,2,0)</f>
        <v>Equipo de soldadura</v>
      </c>
      <c r="E744" s="445" t="str">
        <f>VLOOKUP($C744,INSUMOS!$A$4:$M$495,4,0)</f>
        <v>Dia</v>
      </c>
      <c r="F744" s="695">
        <v>0.5</v>
      </c>
      <c r="G744" s="1122">
        <f>+VLOOKUP(C744,INSUMOS!$A$2:$E$495,5,FALSE)</f>
        <v>48600</v>
      </c>
      <c r="H744" s="697"/>
      <c r="I744" s="698">
        <f t="shared" ref="I744" si="145">+F744*G744</f>
        <v>24300</v>
      </c>
      <c r="Q744" s="1090"/>
    </row>
    <row r="745" spans="2:17" x14ac:dyDescent="0.25">
      <c r="B745" s="696" t="s">
        <v>4529</v>
      </c>
      <c r="C745" s="696">
        <v>150</v>
      </c>
      <c r="D745" s="444" t="str">
        <f>VLOOKUP($C745,INSUMOS!$A$4:$E$495,2,0)</f>
        <v>HERRAMIENTA MENOR</v>
      </c>
      <c r="E745" s="445" t="str">
        <f>VLOOKUP($C745,INSUMOS!$A$4:$M$495,4,0)</f>
        <v>GLB</v>
      </c>
      <c r="F745" s="695">
        <v>0.3</v>
      </c>
      <c r="G745" s="1122">
        <f>+VLOOKUP(C745,INSUMOS!$A$2:$E$495,5,FALSE)</f>
        <v>4050</v>
      </c>
      <c r="H745" s="697"/>
      <c r="I745" s="698">
        <f t="shared" si="144"/>
        <v>1215</v>
      </c>
      <c r="Q745" s="1090"/>
    </row>
    <row r="746" spans="2:17" x14ac:dyDescent="0.25">
      <c r="Q746" s="1090"/>
    </row>
    <row r="747" spans="2:17" ht="27.75" customHeight="1" x14ac:dyDescent="0.25">
      <c r="B747" s="691" t="s">
        <v>4566</v>
      </c>
      <c r="C747" s="691" t="s">
        <v>4453</v>
      </c>
      <c r="D747" s="691" t="s">
        <v>4567</v>
      </c>
      <c r="E747" s="691" t="s">
        <v>3975</v>
      </c>
      <c r="F747" s="693"/>
      <c r="G747" s="1121">
        <f>ROUND(SUM(I748:I749),0)</f>
        <v>3335</v>
      </c>
      <c r="H747" s="694"/>
      <c r="I747" s="693"/>
      <c r="K747" s="609" t="str">
        <f>+B747</f>
        <v>20.1</v>
      </c>
      <c r="L747" s="610"/>
      <c r="M747" s="610">
        <f>ROUND(SUM(I748:I749),0)</f>
        <v>3335</v>
      </c>
      <c r="N747" s="610"/>
      <c r="O747" s="610"/>
      <c r="P747" s="610">
        <f>ROUND(SUM(L747:O747),0)</f>
        <v>3335</v>
      </c>
      <c r="Q747" s="1090">
        <f>+G747-P747</f>
        <v>0</v>
      </c>
    </row>
    <row r="748" spans="2:17" x14ac:dyDescent="0.25">
      <c r="B748" s="1296" t="s">
        <v>4528</v>
      </c>
      <c r="C748" s="599">
        <v>8</v>
      </c>
      <c r="D748" s="444" t="str">
        <f>VLOOKUP($C748,INSUMOS!$A$4:$E$495,2,0)</f>
        <v>ACARREO INTERNO</v>
      </c>
      <c r="E748" s="475" t="str">
        <f>VLOOKUP($C748,INSUMOS!$A$4:$M$495,4,0)</f>
        <v>% M.O</v>
      </c>
      <c r="F748" s="767">
        <v>0.15</v>
      </c>
      <c r="G748" s="1137">
        <v>1500</v>
      </c>
      <c r="H748" s="768"/>
      <c r="I748" s="769">
        <f t="shared" ref="I748:I749" si="146">+F748*G748</f>
        <v>225</v>
      </c>
      <c r="Q748" s="1090"/>
    </row>
    <row r="749" spans="2:17" x14ac:dyDescent="0.25">
      <c r="B749" s="1296"/>
      <c r="C749" s="599">
        <v>430</v>
      </c>
      <c r="D749" s="444" t="str">
        <f>VLOOKUP($C749,INSUMOS!$A$4:$E$495,2,0)</f>
        <v>AYUDANTE AA (Albañileria)</v>
      </c>
      <c r="E749" s="475" t="str">
        <f>VLOOKUP($C749,INSUMOS!$A$4:$M$495,4,0)</f>
        <v>HR</v>
      </c>
      <c r="F749" s="767">
        <v>0.3</v>
      </c>
      <c r="G749" s="1122">
        <f>+VLOOKUP(C749,INSUMOS!$A$2:$E$495,5,FALSE)</f>
        <v>10365</v>
      </c>
      <c r="H749" s="768"/>
      <c r="I749" s="769">
        <f t="shared" si="146"/>
        <v>3109.5</v>
      </c>
      <c r="Q749" s="1090"/>
    </row>
    <row r="750" spans="2:17" x14ac:dyDescent="0.25">
      <c r="Q750" s="1090"/>
    </row>
    <row r="751" spans="2:17" ht="30.75" customHeight="1" x14ac:dyDescent="0.25">
      <c r="B751" s="1092" t="s">
        <v>5207</v>
      </c>
      <c r="C751" s="1092">
        <v>20</v>
      </c>
      <c r="D751" s="1094" t="s">
        <v>5038</v>
      </c>
      <c r="E751" s="1092" t="s">
        <v>4016</v>
      </c>
      <c r="F751" s="1092"/>
      <c r="G751" s="1121">
        <f>ROUND(SUM(I752:I753),0)</f>
        <v>262367</v>
      </c>
      <c r="H751" s="1087"/>
      <c r="I751" s="1087"/>
      <c r="K751" s="609" t="str">
        <f>+B751</f>
        <v>18.1</v>
      </c>
      <c r="L751" s="610"/>
      <c r="M751" s="610">
        <f>+I753</f>
        <v>56373</v>
      </c>
      <c r="N751" s="610">
        <f>+I752</f>
        <v>205994</v>
      </c>
      <c r="O751" s="610"/>
      <c r="P751" s="610">
        <f>ROUND(SUM(L751:O751),0)</f>
        <v>262367</v>
      </c>
      <c r="Q751" s="1090">
        <f>+G751-P751</f>
        <v>0</v>
      </c>
    </row>
    <row r="752" spans="2:17" x14ac:dyDescent="0.25">
      <c r="B752" s="1087"/>
      <c r="C752" s="1087" t="s">
        <v>3821</v>
      </c>
      <c r="D752" s="1087" t="s">
        <v>276</v>
      </c>
      <c r="E752" s="1087" t="s">
        <v>3986</v>
      </c>
      <c r="F752" s="1093">
        <v>1</v>
      </c>
      <c r="G752" s="1106">
        <v>205994</v>
      </c>
      <c r="H752" s="1087"/>
      <c r="I752" s="698">
        <f t="shared" ref="I752:I753" si="147">+F752*G752</f>
        <v>205994</v>
      </c>
    </row>
    <row r="753" spans="2:17" x14ac:dyDescent="0.25">
      <c r="B753" s="1087"/>
      <c r="C753" s="1087" t="s">
        <v>400</v>
      </c>
      <c r="D753" s="1087" t="s">
        <v>135</v>
      </c>
      <c r="E753" s="1087" t="s">
        <v>4532</v>
      </c>
      <c r="F753" s="1093">
        <v>1</v>
      </c>
      <c r="G753" s="1106">
        <f>+MO!F80</f>
        <v>56373</v>
      </c>
      <c r="H753" s="1087"/>
      <c r="I753" s="698">
        <f t="shared" si="147"/>
        <v>56373</v>
      </c>
    </row>
    <row r="755" spans="2:17" s="1096" customFormat="1" ht="32.25" customHeight="1" x14ac:dyDescent="0.25">
      <c r="B755" s="1097" t="s">
        <v>5214</v>
      </c>
      <c r="C755" s="1097"/>
      <c r="D755" s="1097" t="s">
        <v>5039</v>
      </c>
      <c r="E755" s="1097" t="s">
        <v>4016</v>
      </c>
      <c r="F755" s="1097"/>
      <c r="G755" s="1138">
        <f>SUM(I756:I762)</f>
        <v>818863.93160000013</v>
      </c>
      <c r="H755" s="1099"/>
      <c r="I755" s="1099"/>
      <c r="K755" s="609" t="str">
        <f>+B755</f>
        <v>18.2</v>
      </c>
      <c r="L755" s="610">
        <f>+I758</f>
        <v>6622</v>
      </c>
      <c r="M755" s="610">
        <f>+I756+I762</f>
        <v>69861.3</v>
      </c>
      <c r="N755" s="610">
        <f>SUM(I759:I761)</f>
        <v>728813.03800000006</v>
      </c>
      <c r="O755" s="610">
        <f>+I757</f>
        <v>13567.593600000002</v>
      </c>
      <c r="P755" s="610">
        <f>ROUND(SUM(L755:O755),0)</f>
        <v>818864</v>
      </c>
      <c r="Q755" s="1090">
        <f>+G755-P755</f>
        <v>-6.8399999872781336E-2</v>
      </c>
    </row>
    <row r="756" spans="2:17" x14ac:dyDescent="0.25">
      <c r="C756" s="1087" t="s">
        <v>445</v>
      </c>
      <c r="D756" s="1087" t="s">
        <v>187</v>
      </c>
      <c r="E756" s="1087" t="s">
        <v>4532</v>
      </c>
      <c r="F756" s="1093">
        <v>0.5</v>
      </c>
      <c r="G756" s="1139">
        <v>125512</v>
      </c>
      <c r="H756" s="1087"/>
      <c r="I756" s="698">
        <f t="shared" ref="I756:I762" si="148">+F756*G756</f>
        <v>62756</v>
      </c>
    </row>
    <row r="757" spans="2:17" x14ac:dyDescent="0.25">
      <c r="C757" s="1087" t="s">
        <v>721</v>
      </c>
      <c r="D757" s="1087" t="s">
        <v>1054</v>
      </c>
      <c r="E757" s="1087" t="s">
        <v>202</v>
      </c>
      <c r="F757" s="1093">
        <v>7.9200000000000007E-2</v>
      </c>
      <c r="G757" s="1139">
        <v>171308</v>
      </c>
      <c r="H757" s="1087"/>
      <c r="I757" s="698">
        <f t="shared" si="148"/>
        <v>13567.593600000002</v>
      </c>
    </row>
    <row r="758" spans="2:17" x14ac:dyDescent="0.25">
      <c r="C758" s="1087" t="s">
        <v>5208</v>
      </c>
      <c r="D758" s="1087" t="s">
        <v>5209</v>
      </c>
      <c r="E758" s="1087" t="s">
        <v>3986</v>
      </c>
      <c r="F758" s="1093">
        <v>2</v>
      </c>
      <c r="G758" s="1139">
        <v>3311</v>
      </c>
      <c r="H758" s="1087"/>
      <c r="I758" s="698">
        <f t="shared" si="148"/>
        <v>6622</v>
      </c>
    </row>
    <row r="759" spans="2:17" x14ac:dyDescent="0.25">
      <c r="C759" s="1087" t="s">
        <v>5210</v>
      </c>
      <c r="D759" s="1087" t="s">
        <v>2878</v>
      </c>
      <c r="E759" s="1087" t="s">
        <v>3986</v>
      </c>
      <c r="F759" s="1093">
        <v>10</v>
      </c>
      <c r="G759" s="1139">
        <f>+INSUMOS!E308</f>
        <v>2341</v>
      </c>
      <c r="H759" s="1087"/>
      <c r="I759" s="698">
        <f t="shared" si="148"/>
        <v>23410</v>
      </c>
    </row>
    <row r="760" spans="2:17" x14ac:dyDescent="0.25">
      <c r="C760" s="1087" t="s">
        <v>5211</v>
      </c>
      <c r="D760" s="1087" t="s">
        <v>2982</v>
      </c>
      <c r="E760" s="1087" t="s">
        <v>3986</v>
      </c>
      <c r="F760" s="1093">
        <v>1</v>
      </c>
      <c r="G760" s="1139">
        <f>+INSUMOS!E306</f>
        <v>37900.456000000006</v>
      </c>
      <c r="H760" s="1087"/>
      <c r="I760" s="698">
        <f t="shared" si="148"/>
        <v>37900.456000000006</v>
      </c>
    </row>
    <row r="761" spans="2:17" x14ac:dyDescent="0.25">
      <c r="C761" s="1087" t="s">
        <v>5212</v>
      </c>
      <c r="D761" s="1087" t="s">
        <v>3413</v>
      </c>
      <c r="E761" s="1087" t="s">
        <v>3986</v>
      </c>
      <c r="F761" s="1093">
        <v>1</v>
      </c>
      <c r="G761" s="1139">
        <f>+INSUMOS!E307</f>
        <v>667502.58200000005</v>
      </c>
      <c r="H761" s="1087"/>
      <c r="I761" s="698">
        <f t="shared" si="148"/>
        <v>667502.58200000005</v>
      </c>
    </row>
    <row r="762" spans="2:17" x14ac:dyDescent="0.25">
      <c r="C762" s="1087" t="s">
        <v>5213</v>
      </c>
      <c r="D762" s="1087" t="s">
        <v>18</v>
      </c>
      <c r="E762" s="1087" t="s">
        <v>3986</v>
      </c>
      <c r="F762" s="1093">
        <v>4.0999999999999996</v>
      </c>
      <c r="G762" s="1139">
        <v>1733</v>
      </c>
      <c r="H762" s="1087"/>
      <c r="I762" s="698">
        <f t="shared" si="148"/>
        <v>7105.2999999999993</v>
      </c>
    </row>
    <row r="764" spans="2:17" s="1108" customFormat="1" ht="41.25" customHeight="1" x14ac:dyDescent="0.25">
      <c r="B764" s="1097" t="s">
        <v>5219</v>
      </c>
      <c r="C764" s="1097"/>
      <c r="D764" s="1109" t="s">
        <v>5040</v>
      </c>
      <c r="E764" s="1097" t="s">
        <v>3975</v>
      </c>
      <c r="F764" s="1098"/>
      <c r="G764" s="1140">
        <f>SUM(I765:I775)</f>
        <v>159110.84487999999</v>
      </c>
      <c r="H764" s="1097"/>
      <c r="I764" s="1097"/>
      <c r="K764" s="609" t="str">
        <f>+B764</f>
        <v>18.3</v>
      </c>
      <c r="L764" s="610">
        <f>+I768+I769+I766+I770</f>
        <v>2514.75</v>
      </c>
      <c r="M764" s="610">
        <f>+I765+I771</f>
        <v>13274.975999999999</v>
      </c>
      <c r="N764" s="610">
        <f>SUM(I772:I775)</f>
        <v>141608.03888000001</v>
      </c>
      <c r="O764" s="610">
        <f>+I767</f>
        <v>1713.08</v>
      </c>
      <c r="P764" s="610">
        <f>ROUND(SUM(L764:O764),0)</f>
        <v>159111</v>
      </c>
      <c r="Q764" s="1090">
        <f>+G764-P764</f>
        <v>-0.15512000001035631</v>
      </c>
    </row>
    <row r="765" spans="2:17" x14ac:dyDescent="0.25">
      <c r="C765" s="1087" t="s">
        <v>4540</v>
      </c>
      <c r="D765" s="1087" t="s">
        <v>133</v>
      </c>
      <c r="E765" s="1087" t="s">
        <v>4532</v>
      </c>
      <c r="F765" s="1093">
        <v>0.3</v>
      </c>
      <c r="G765" s="1139">
        <f>+MO!F75</f>
        <v>42101</v>
      </c>
      <c r="H765" s="1087"/>
      <c r="I765" s="698">
        <f t="shared" ref="I765:I775" si="149">+F765*G765</f>
        <v>12630.3</v>
      </c>
    </row>
    <row r="766" spans="2:17" ht="48" customHeight="1" x14ac:dyDescent="0.25">
      <c r="C766" s="1087" t="s">
        <v>3770</v>
      </c>
      <c r="D766" s="1110" t="s">
        <v>1030</v>
      </c>
      <c r="E766" s="1087" t="s">
        <v>3986</v>
      </c>
      <c r="F766" s="1093">
        <v>0.1</v>
      </c>
      <c r="G766" s="1139">
        <f>+INSUMOS!E260</f>
        <v>7491</v>
      </c>
      <c r="H766" s="1087"/>
      <c r="I766" s="698">
        <f t="shared" si="149"/>
        <v>749.1</v>
      </c>
    </row>
    <row r="767" spans="2:17" x14ac:dyDescent="0.25">
      <c r="C767" s="1087" t="s">
        <v>721</v>
      </c>
      <c r="D767" s="1087" t="s">
        <v>1054</v>
      </c>
      <c r="E767" s="1087" t="s">
        <v>202</v>
      </c>
      <c r="F767" s="1093">
        <v>0.01</v>
      </c>
      <c r="G767" s="1139">
        <v>171308</v>
      </c>
      <c r="H767" s="1087"/>
      <c r="I767" s="698">
        <f t="shared" si="149"/>
        <v>1713.08</v>
      </c>
    </row>
    <row r="768" spans="2:17" x14ac:dyDescent="0.25">
      <c r="C768" s="1087" t="s">
        <v>732</v>
      </c>
      <c r="D768" s="1087" t="s">
        <v>1066</v>
      </c>
      <c r="E768" s="1087" t="s">
        <v>202</v>
      </c>
      <c r="F768" s="1093">
        <v>2.5000000000000001E-2</v>
      </c>
      <c r="G768" s="1139">
        <v>18970</v>
      </c>
      <c r="H768" s="1087"/>
      <c r="I768" s="698">
        <f t="shared" si="149"/>
        <v>474.25</v>
      </c>
    </row>
    <row r="769" spans="2:17" x14ac:dyDescent="0.25">
      <c r="C769" s="1087" t="s">
        <v>753</v>
      </c>
      <c r="D769" s="1087" t="s">
        <v>1189</v>
      </c>
      <c r="E769" s="1087" t="s">
        <v>202</v>
      </c>
      <c r="F769" s="1093">
        <v>0.1</v>
      </c>
      <c r="G769" s="1139">
        <f>+INSUMOS!E309</f>
        <v>2981</v>
      </c>
      <c r="H769" s="1087"/>
      <c r="I769" s="698">
        <f t="shared" si="149"/>
        <v>298.10000000000002</v>
      </c>
    </row>
    <row r="770" spans="2:17" x14ac:dyDescent="0.25">
      <c r="C770" s="1087" t="s">
        <v>5208</v>
      </c>
      <c r="D770" s="1087" t="s">
        <v>5209</v>
      </c>
      <c r="E770" s="1087" t="s">
        <v>3986</v>
      </c>
      <c r="F770" s="1093">
        <v>0.3</v>
      </c>
      <c r="G770" s="1139">
        <v>3311</v>
      </c>
      <c r="H770" s="1087"/>
      <c r="I770" s="698">
        <f t="shared" si="149"/>
        <v>993.3</v>
      </c>
    </row>
    <row r="771" spans="2:17" x14ac:dyDescent="0.25">
      <c r="C771" s="1087" t="s">
        <v>5213</v>
      </c>
      <c r="D771" s="1087" t="s">
        <v>18</v>
      </c>
      <c r="E771" s="1087" t="s">
        <v>3986</v>
      </c>
      <c r="F771" s="1093">
        <v>0.372</v>
      </c>
      <c r="G771" s="1139">
        <v>1733</v>
      </c>
      <c r="H771" s="1087"/>
      <c r="I771" s="698">
        <f t="shared" si="149"/>
        <v>644.67600000000004</v>
      </c>
    </row>
    <row r="772" spans="2:17" x14ac:dyDescent="0.25">
      <c r="C772" s="1087" t="s">
        <v>5215</v>
      </c>
      <c r="D772" s="1087" t="s">
        <v>889</v>
      </c>
      <c r="E772" s="1087" t="s">
        <v>3986</v>
      </c>
      <c r="F772" s="1093">
        <v>8</v>
      </c>
      <c r="G772" s="1139">
        <f>+INSUMOS!E120</f>
        <v>412</v>
      </c>
      <c r="H772" s="1087"/>
      <c r="I772" s="698">
        <f t="shared" si="149"/>
        <v>3296</v>
      </c>
    </row>
    <row r="773" spans="2:17" x14ac:dyDescent="0.25">
      <c r="C773" s="1087" t="s">
        <v>5216</v>
      </c>
      <c r="D773" s="1087" t="s">
        <v>904</v>
      </c>
      <c r="E773" s="1087" t="s">
        <v>3986</v>
      </c>
      <c r="F773" s="1093">
        <v>0.8</v>
      </c>
      <c r="G773" s="1139">
        <f>+INSUMOS!E119</f>
        <v>31691.298600000002</v>
      </c>
      <c r="H773" s="1087"/>
      <c r="I773" s="698">
        <f t="shared" si="149"/>
        <v>25353.038880000004</v>
      </c>
    </row>
    <row r="774" spans="2:17" x14ac:dyDescent="0.25">
      <c r="C774" s="1087" t="s">
        <v>5217</v>
      </c>
      <c r="D774" s="1087" t="s">
        <v>2552</v>
      </c>
      <c r="E774" s="1087" t="s">
        <v>202</v>
      </c>
      <c r="F774" s="1093">
        <v>1</v>
      </c>
      <c r="G774" s="1139">
        <f>+INSUMOS!E311</f>
        <v>1131</v>
      </c>
      <c r="H774" s="1087"/>
      <c r="I774" s="698">
        <f t="shared" si="149"/>
        <v>1131</v>
      </c>
    </row>
    <row r="775" spans="2:17" x14ac:dyDescent="0.25">
      <c r="C775" s="1087"/>
      <c r="D775" s="1087" t="s">
        <v>5218</v>
      </c>
      <c r="E775" s="1087" t="s">
        <v>4027</v>
      </c>
      <c r="F775" s="1093">
        <v>6</v>
      </c>
      <c r="G775" s="1139">
        <f>+INSUMOS!E312</f>
        <v>18638</v>
      </c>
      <c r="H775" s="1087"/>
      <c r="I775" s="698">
        <f t="shared" si="149"/>
        <v>111828</v>
      </c>
    </row>
    <row r="777" spans="2:17" s="1107" customFormat="1" ht="75" x14ac:dyDescent="0.25">
      <c r="B777" s="1097" t="s">
        <v>5232</v>
      </c>
      <c r="C777" s="1092">
        <v>24</v>
      </c>
      <c r="D777" s="1094" t="s">
        <v>5042</v>
      </c>
      <c r="E777" s="1142" t="s">
        <v>4021</v>
      </c>
      <c r="F777" s="1092"/>
      <c r="G777" s="1138">
        <f>SUM(I778:I790)</f>
        <v>417381.04598</v>
      </c>
      <c r="H777" s="1092"/>
      <c r="I777" s="1092"/>
      <c r="K777" s="609" t="str">
        <f>+B777</f>
        <v>18.4</v>
      </c>
      <c r="L777" s="610">
        <f>+I781</f>
        <v>13244</v>
      </c>
      <c r="M777" s="610">
        <f>+I779+I784</f>
        <v>101848.7</v>
      </c>
      <c r="N777" s="610">
        <f>SUM(I782:I790)-I784+I778</f>
        <v>296121.25797999999</v>
      </c>
      <c r="O777" s="610">
        <f>+I780</f>
        <v>6167.0879999999997</v>
      </c>
      <c r="P777" s="610">
        <f>ROUND(SUM(L777:O777),0)</f>
        <v>417381</v>
      </c>
      <c r="Q777" s="1090">
        <f>+G777-P777</f>
        <v>4.5979999995324761E-2</v>
      </c>
    </row>
    <row r="778" spans="2:17" x14ac:dyDescent="0.25">
      <c r="C778" s="1087" t="s">
        <v>5220</v>
      </c>
      <c r="D778" s="1087" t="s">
        <v>5221</v>
      </c>
      <c r="E778" s="1087" t="s">
        <v>3980</v>
      </c>
      <c r="F778" s="1095">
        <f>0.4*0.3</f>
        <v>0.12</v>
      </c>
      <c r="G778" s="1139">
        <f>+INSUMOS!E9</f>
        <v>393249.64250000002</v>
      </c>
      <c r="H778" s="1087"/>
      <c r="I778" s="1139">
        <f t="shared" ref="I778:I790" si="150">+F778*G778</f>
        <v>47189.9571</v>
      </c>
    </row>
    <row r="779" spans="2:17" x14ac:dyDescent="0.25">
      <c r="C779" s="1087" t="s">
        <v>402</v>
      </c>
      <c r="D779" s="1087" t="s">
        <v>161</v>
      </c>
      <c r="E779" s="1087" t="s">
        <v>4532</v>
      </c>
      <c r="F779" s="1095">
        <v>1.5</v>
      </c>
      <c r="G779" s="1139">
        <f>+MO!F89</f>
        <v>63971</v>
      </c>
      <c r="H779" s="1087"/>
      <c r="I779" s="1139">
        <f t="shared" si="150"/>
        <v>95956.5</v>
      </c>
    </row>
    <row r="780" spans="2:17" x14ac:dyDescent="0.25">
      <c r="C780" s="1087" t="s">
        <v>721</v>
      </c>
      <c r="D780" s="1087" t="s">
        <v>1054</v>
      </c>
      <c r="E780" s="1087" t="s">
        <v>202</v>
      </c>
      <c r="F780" s="1095">
        <v>3.5999999999999997E-2</v>
      </c>
      <c r="G780" s="1139">
        <v>171308</v>
      </c>
      <c r="H780" s="1087"/>
      <c r="I780" s="1139">
        <f t="shared" si="150"/>
        <v>6167.0879999999997</v>
      </c>
    </row>
    <row r="781" spans="2:17" x14ac:dyDescent="0.25">
      <c r="C781" s="1087" t="s">
        <v>5208</v>
      </c>
      <c r="D781" s="1087" t="s">
        <v>5209</v>
      </c>
      <c r="E781" s="1087" t="s">
        <v>3986</v>
      </c>
      <c r="F781" s="1095">
        <v>4</v>
      </c>
      <c r="G781" s="1139">
        <v>3311</v>
      </c>
      <c r="H781" s="1087"/>
      <c r="I781" s="1139">
        <f t="shared" si="150"/>
        <v>13244</v>
      </c>
    </row>
    <row r="782" spans="2:17" x14ac:dyDescent="0.25">
      <c r="C782" s="1087" t="s">
        <v>5222</v>
      </c>
      <c r="D782" s="1087" t="s">
        <v>2623</v>
      </c>
      <c r="E782" s="1087" t="s">
        <v>5184</v>
      </c>
      <c r="F782" s="1095">
        <v>0.02</v>
      </c>
      <c r="G782" s="1139">
        <f>+INSUMOS!E129</f>
        <v>79959</v>
      </c>
      <c r="H782" s="1087"/>
      <c r="I782" s="1139">
        <f t="shared" si="150"/>
        <v>1599.18</v>
      </c>
    </row>
    <row r="783" spans="2:17" x14ac:dyDescent="0.25">
      <c r="C783" s="1087" t="s">
        <v>5223</v>
      </c>
      <c r="D783" s="1087" t="s">
        <v>2626</v>
      </c>
      <c r="E783" s="1087" t="s">
        <v>5184</v>
      </c>
      <c r="F783" s="1095">
        <v>0.02</v>
      </c>
      <c r="G783" s="1139">
        <f>+INSUMOS!E275</f>
        <v>109900</v>
      </c>
      <c r="H783" s="1087"/>
      <c r="I783" s="1139">
        <f t="shared" si="150"/>
        <v>2198</v>
      </c>
    </row>
    <row r="784" spans="2:17" x14ac:dyDescent="0.25">
      <c r="C784" s="1087" t="s">
        <v>5213</v>
      </c>
      <c r="D784" s="1087" t="s">
        <v>18</v>
      </c>
      <c r="E784" s="1087" t="s">
        <v>3986</v>
      </c>
      <c r="F784" s="1095">
        <v>3.4</v>
      </c>
      <c r="G784" s="1139">
        <v>1733</v>
      </c>
      <c r="H784" s="1087"/>
      <c r="I784" s="1139">
        <f t="shared" si="150"/>
        <v>5892.2</v>
      </c>
    </row>
    <row r="785" spans="2:17" x14ac:dyDescent="0.25">
      <c r="C785" s="1087" t="s">
        <v>5224</v>
      </c>
      <c r="D785" s="1087" t="s">
        <v>582</v>
      </c>
      <c r="E785" s="1087" t="s">
        <v>1027</v>
      </c>
      <c r="F785" s="1095">
        <v>3.3</v>
      </c>
      <c r="G785" s="1139">
        <f>+INSUMOS!E304</f>
        <v>4843</v>
      </c>
      <c r="H785" s="1087"/>
      <c r="I785" s="1139">
        <f t="shared" si="150"/>
        <v>15981.9</v>
      </c>
    </row>
    <row r="786" spans="2:17" x14ac:dyDescent="0.25">
      <c r="C786" s="1087" t="s">
        <v>5225</v>
      </c>
      <c r="D786" s="1087" t="s">
        <v>600</v>
      </c>
      <c r="E786" s="1087" t="s">
        <v>3975</v>
      </c>
      <c r="F786" s="1095">
        <v>2.0499999999999998</v>
      </c>
      <c r="G786" s="1139">
        <f>+INSUMOS!E313</f>
        <v>20407.299200000001</v>
      </c>
      <c r="H786" s="1087"/>
      <c r="I786" s="1139">
        <f t="shared" si="150"/>
        <v>41834.963360000002</v>
      </c>
    </row>
    <row r="787" spans="2:17" ht="45" x14ac:dyDescent="0.25">
      <c r="C787" s="1087" t="s">
        <v>5226</v>
      </c>
      <c r="D787" s="1110" t="s">
        <v>602</v>
      </c>
      <c r="E787" s="1087" t="s">
        <v>1027</v>
      </c>
      <c r="F787" s="1095">
        <v>1.1000000000000001</v>
      </c>
      <c r="G787" s="1139">
        <f>+INSUMOS!E314</f>
        <v>35953.5432</v>
      </c>
      <c r="H787" s="1087"/>
      <c r="I787" s="1139">
        <f t="shared" si="150"/>
        <v>39548.897520000006</v>
      </c>
    </row>
    <row r="788" spans="2:17" x14ac:dyDescent="0.25">
      <c r="C788" s="1087" t="s">
        <v>5227</v>
      </c>
      <c r="D788" s="1087" t="s">
        <v>1381</v>
      </c>
      <c r="E788" s="1087" t="s">
        <v>4027</v>
      </c>
      <c r="F788" s="1095">
        <v>0.08</v>
      </c>
      <c r="G788" s="1139">
        <v>14042</v>
      </c>
      <c r="H788" s="1087"/>
      <c r="I788" s="1139">
        <f t="shared" si="150"/>
        <v>1123.3600000000001</v>
      </c>
    </row>
    <row r="789" spans="2:17" x14ac:dyDescent="0.25">
      <c r="C789" s="1087" t="s">
        <v>5228</v>
      </c>
      <c r="D789" s="1087" t="s">
        <v>1962</v>
      </c>
      <c r="E789" s="1087" t="s">
        <v>1027</v>
      </c>
      <c r="F789" s="1095">
        <v>1.5</v>
      </c>
      <c r="G789" s="1139">
        <f>+INSUMOS!E315</f>
        <v>25566.666666666668</v>
      </c>
      <c r="H789" s="1087"/>
      <c r="I789" s="1139">
        <f t="shared" si="150"/>
        <v>38350</v>
      </c>
    </row>
    <row r="790" spans="2:17" x14ac:dyDescent="0.25">
      <c r="C790" s="1087" t="s">
        <v>5229</v>
      </c>
      <c r="D790" s="1087" t="s">
        <v>1970</v>
      </c>
      <c r="E790" s="1087" t="s">
        <v>1027</v>
      </c>
      <c r="F790" s="1095">
        <v>3.3</v>
      </c>
      <c r="G790" s="1139">
        <f>+INSUMOS!E316</f>
        <v>32816.666666666664</v>
      </c>
      <c r="H790" s="1087"/>
      <c r="I790" s="1139">
        <f t="shared" si="150"/>
        <v>108294.99999999999</v>
      </c>
    </row>
    <row r="791" spans="2:17" x14ac:dyDescent="0.25">
      <c r="F791" s="1089"/>
      <c r="I791" s="611"/>
    </row>
    <row r="792" spans="2:17" s="1107" customFormat="1" ht="45" x14ac:dyDescent="0.25">
      <c r="B792" s="1092" t="s">
        <v>5233</v>
      </c>
      <c r="C792" s="1092">
        <v>25</v>
      </c>
      <c r="D792" s="1094" t="s">
        <v>5043</v>
      </c>
      <c r="E792" s="1143" t="s">
        <v>3975</v>
      </c>
      <c r="F792" s="1143" t="s">
        <v>3975</v>
      </c>
      <c r="G792" s="1138">
        <f>ROUND(SUM(I793:I799),0)</f>
        <v>27274</v>
      </c>
      <c r="H792" s="1092"/>
      <c r="I792" s="1141"/>
      <c r="K792" s="609" t="str">
        <f>+B792</f>
        <v>18.5</v>
      </c>
      <c r="L792" s="610">
        <f>+I795</f>
        <v>331.1</v>
      </c>
      <c r="M792" s="610">
        <f>+I793+I797</f>
        <v>5094.3500000000004</v>
      </c>
      <c r="N792" s="610">
        <f>SUM(I798:I799)+I796</f>
        <v>20135.150000000001</v>
      </c>
      <c r="O792" s="610">
        <f>+I794</f>
        <v>1713.08</v>
      </c>
      <c r="P792" s="610">
        <f>ROUND(SUM(L792:O792),0)</f>
        <v>27274</v>
      </c>
      <c r="Q792" s="1090">
        <f>+G792-P792</f>
        <v>0</v>
      </c>
    </row>
    <row r="793" spans="2:17" x14ac:dyDescent="0.25">
      <c r="C793" s="1087" t="s">
        <v>4533</v>
      </c>
      <c r="D793" s="1087" t="s">
        <v>119</v>
      </c>
      <c r="E793" s="1087" t="s">
        <v>4532</v>
      </c>
      <c r="F793" s="1095">
        <v>0.15</v>
      </c>
      <c r="G793" s="1139">
        <f>+MO!F71</f>
        <v>32807</v>
      </c>
      <c r="H793" s="1087"/>
      <c r="I793" s="1139">
        <f t="shared" ref="I793:I799" si="151">+F793*G793</f>
        <v>4921.05</v>
      </c>
    </row>
    <row r="794" spans="2:17" x14ac:dyDescent="0.25">
      <c r="C794" s="1087" t="s">
        <v>721</v>
      </c>
      <c r="D794" s="1087" t="s">
        <v>1054</v>
      </c>
      <c r="E794" s="1087" t="s">
        <v>202</v>
      </c>
      <c r="F794" s="1095">
        <v>0.01</v>
      </c>
      <c r="G794" s="1139">
        <v>171308</v>
      </c>
      <c r="H794" s="1087"/>
      <c r="I794" s="1139">
        <f t="shared" si="151"/>
        <v>1713.08</v>
      </c>
    </row>
    <row r="795" spans="2:17" x14ac:dyDescent="0.25">
      <c r="C795" s="1087" t="s">
        <v>5208</v>
      </c>
      <c r="D795" s="1087" t="s">
        <v>5209</v>
      </c>
      <c r="E795" s="1087" t="s">
        <v>3986</v>
      </c>
      <c r="F795" s="1095">
        <v>0.1</v>
      </c>
      <c r="G795" s="1139">
        <v>3311</v>
      </c>
      <c r="H795" s="1087"/>
      <c r="I795" s="1139">
        <f t="shared" si="151"/>
        <v>331.1</v>
      </c>
    </row>
    <row r="796" spans="2:17" x14ac:dyDescent="0.25">
      <c r="C796" s="1087" t="s">
        <v>5210</v>
      </c>
      <c r="D796" s="1087" t="s">
        <v>2878</v>
      </c>
      <c r="E796" s="1087" t="s">
        <v>3986</v>
      </c>
      <c r="F796" s="1095">
        <v>4</v>
      </c>
      <c r="G796" s="1139">
        <f>+INSUMOS!E308</f>
        <v>2341</v>
      </c>
      <c r="H796" s="1087"/>
      <c r="I796" s="1139">
        <f t="shared" si="151"/>
        <v>9364</v>
      </c>
    </row>
    <row r="797" spans="2:17" x14ac:dyDescent="0.25">
      <c r="C797" s="1087" t="s">
        <v>5213</v>
      </c>
      <c r="D797" s="1087" t="s">
        <v>18</v>
      </c>
      <c r="E797" s="1087" t="s">
        <v>3986</v>
      </c>
      <c r="F797" s="1095">
        <v>0.1</v>
      </c>
      <c r="G797" s="1139">
        <v>1733</v>
      </c>
      <c r="H797" s="1087"/>
      <c r="I797" s="1139">
        <f t="shared" si="151"/>
        <v>173.3</v>
      </c>
    </row>
    <row r="798" spans="2:17" x14ac:dyDescent="0.25">
      <c r="C798" s="1087" t="s">
        <v>5230</v>
      </c>
      <c r="D798" s="1087" t="s">
        <v>5231</v>
      </c>
      <c r="E798" s="1087" t="s">
        <v>3975</v>
      </c>
      <c r="F798" s="1095">
        <v>1.05</v>
      </c>
      <c r="G798" s="1139">
        <v>1383</v>
      </c>
      <c r="H798" s="1087"/>
      <c r="I798" s="1139">
        <f t="shared" si="151"/>
        <v>1452.15</v>
      </c>
    </row>
    <row r="799" spans="2:17" x14ac:dyDescent="0.25">
      <c r="C799" s="1087"/>
      <c r="D799" s="1087" t="s">
        <v>5218</v>
      </c>
      <c r="E799" s="1087" t="s">
        <v>4027</v>
      </c>
      <c r="F799" s="1095">
        <v>0.5</v>
      </c>
      <c r="G799" s="1139">
        <f>+INSUMOS!E312</f>
        <v>18638</v>
      </c>
      <c r="H799" s="1087"/>
      <c r="I799" s="1139">
        <f t="shared" si="151"/>
        <v>9319</v>
      </c>
    </row>
    <row r="800" spans="2:17" x14ac:dyDescent="0.25">
      <c r="I800" s="611"/>
    </row>
    <row r="801" spans="2:17" s="1107" customFormat="1" ht="30.75" customHeight="1" x14ac:dyDescent="0.25">
      <c r="B801" s="1092" t="s">
        <v>5239</v>
      </c>
      <c r="C801" s="1092"/>
      <c r="D801" s="1097" t="s">
        <v>5047</v>
      </c>
      <c r="E801" s="1092" t="s">
        <v>4016</v>
      </c>
      <c r="F801" s="1092" t="s">
        <v>4016</v>
      </c>
      <c r="G801" s="1138">
        <f>SUM(I802:I804)</f>
        <v>2532938.1</v>
      </c>
      <c r="H801" s="1092"/>
      <c r="I801" s="1092"/>
      <c r="K801" s="609" t="str">
        <f>+B801</f>
        <v>18.6</v>
      </c>
      <c r="L801" s="610">
        <f>+I803</f>
        <v>331.1</v>
      </c>
      <c r="M801" s="610">
        <f>+I802+I806</f>
        <v>32807</v>
      </c>
      <c r="N801" s="610">
        <f>+I804</f>
        <v>2499800</v>
      </c>
      <c r="O801" s="610"/>
      <c r="P801" s="610">
        <f>ROUND(SUM(L801:O801),0)</f>
        <v>2532938</v>
      </c>
      <c r="Q801" s="1090">
        <f>+G801-P801</f>
        <v>0.10000000009313226</v>
      </c>
    </row>
    <row r="802" spans="2:17" x14ac:dyDescent="0.25">
      <c r="C802" s="1087" t="s">
        <v>4533</v>
      </c>
      <c r="D802" s="1087" t="s">
        <v>119</v>
      </c>
      <c r="E802" s="1087" t="s">
        <v>4532</v>
      </c>
      <c r="F802" s="1095">
        <v>1</v>
      </c>
      <c r="G802" s="1139">
        <f>+MO!F71</f>
        <v>32807</v>
      </c>
      <c r="H802" s="1087"/>
      <c r="I802" s="1139">
        <f t="shared" ref="I802:I803" si="152">+F802*G802</f>
        <v>32807</v>
      </c>
    </row>
    <row r="803" spans="2:17" x14ac:dyDescent="0.25">
      <c r="C803" s="1087" t="s">
        <v>5208</v>
      </c>
      <c r="D803" s="1087" t="s">
        <v>5209</v>
      </c>
      <c r="E803" s="1087" t="s">
        <v>3986</v>
      </c>
      <c r="F803" s="1095">
        <v>0.1</v>
      </c>
      <c r="G803" s="1139">
        <v>3311</v>
      </c>
      <c r="H803" s="1087"/>
      <c r="I803" s="1139">
        <f t="shared" si="152"/>
        <v>331.1</v>
      </c>
    </row>
    <row r="804" spans="2:17" x14ac:dyDescent="0.25">
      <c r="C804" s="1087"/>
      <c r="D804" s="1087" t="s">
        <v>5238</v>
      </c>
      <c r="E804" s="1087" t="s">
        <v>3986</v>
      </c>
      <c r="F804" s="1095">
        <v>1</v>
      </c>
      <c r="G804" s="1139">
        <v>2499800</v>
      </c>
      <c r="H804" s="1087"/>
      <c r="I804" s="1139">
        <f>+INSUMOS!E317</f>
        <v>2499800</v>
      </c>
    </row>
    <row r="805" spans="2:17" x14ac:dyDescent="0.25">
      <c r="F805" s="1089"/>
    </row>
    <row r="806" spans="2:17" s="1107" customFormat="1" ht="26.25" customHeight="1" x14ac:dyDescent="0.25">
      <c r="B806" s="1092" t="s">
        <v>5241</v>
      </c>
      <c r="C806" s="1092">
        <v>31</v>
      </c>
      <c r="D806" s="1092" t="s">
        <v>5049</v>
      </c>
      <c r="E806" s="1092" t="s">
        <v>4016</v>
      </c>
      <c r="F806" s="1143"/>
      <c r="G806" s="1138">
        <f>SUM(I807:I809)</f>
        <v>5486925</v>
      </c>
      <c r="H806" s="1092"/>
      <c r="I806" s="1092"/>
      <c r="K806" s="609" t="str">
        <f>+B806</f>
        <v>18.7</v>
      </c>
      <c r="L806" s="610">
        <f>+I808</f>
        <v>66220</v>
      </c>
      <c r="M806" s="610">
        <f>+I807+I811</f>
        <v>910605</v>
      </c>
      <c r="N806" s="610">
        <f>+I809</f>
        <v>4510100</v>
      </c>
      <c r="O806" s="610"/>
      <c r="P806" s="610">
        <f>ROUND(SUM(L806:O806),0)</f>
        <v>5486925</v>
      </c>
      <c r="Q806" s="1090">
        <f>+G806-P806</f>
        <v>0</v>
      </c>
    </row>
    <row r="807" spans="2:17" x14ac:dyDescent="0.25">
      <c r="C807" s="1087" t="s">
        <v>380</v>
      </c>
      <c r="D807" s="1087" t="s">
        <v>175</v>
      </c>
      <c r="E807" s="1087" t="s">
        <v>4532</v>
      </c>
      <c r="F807" s="1095">
        <v>15</v>
      </c>
      <c r="G807" s="1139">
        <f>+MO!F97</f>
        <v>80376</v>
      </c>
      <c r="H807" s="1087"/>
      <c r="I807" s="1139">
        <v>910605</v>
      </c>
    </row>
    <row r="808" spans="2:17" x14ac:dyDescent="0.25">
      <c r="C808" s="1087" t="s">
        <v>5208</v>
      </c>
      <c r="D808" s="1087" t="s">
        <v>5209</v>
      </c>
      <c r="E808" s="1087" t="s">
        <v>3986</v>
      </c>
      <c r="F808" s="1095">
        <v>20</v>
      </c>
      <c r="G808" s="1139">
        <v>3311</v>
      </c>
      <c r="H808" s="1087"/>
      <c r="I808" s="1139">
        <v>66220</v>
      </c>
    </row>
    <row r="809" spans="2:17" x14ac:dyDescent="0.25">
      <c r="C809" s="1087"/>
      <c r="D809" s="1087" t="s">
        <v>5240</v>
      </c>
      <c r="E809" s="1087" t="s">
        <v>3986</v>
      </c>
      <c r="F809" s="1095">
        <v>1</v>
      </c>
      <c r="G809" s="1139">
        <f>+INSUMOS!E318</f>
        <v>4510100</v>
      </c>
      <c r="H809" s="1087"/>
      <c r="I809" s="1139">
        <v>4510100</v>
      </c>
    </row>
  </sheetData>
  <mergeCells count="2">
    <mergeCell ref="C2:I2"/>
    <mergeCell ref="B748:B749"/>
  </mergeCells>
  <phoneticPr fontId="42" type="noConversion"/>
  <pageMargins left="0.7" right="0.7" top="0.75" bottom="0.75" header="0.3" footer="0.3"/>
  <pageSetup paperSize="9" orientation="portrait" verticalDpi="0" r:id="rId1"/>
  <drawing r:id="rId2"/>
  <tableParts count="9">
    <tablePart r:id="rId3"/>
    <tablePart r:id="rId4"/>
    <tablePart r:id="rId5"/>
    <tablePart r:id="rId6"/>
    <tablePart r:id="rId7"/>
    <tablePart r:id="rId8"/>
    <tablePart r:id="rId9"/>
    <tablePart r:id="rId10"/>
    <tablePart r:id="rId1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
  <sheetViews>
    <sheetView showGridLines="0" view="pageBreakPreview" zoomScaleNormal="110" zoomScaleSheetLayoutView="100" workbookViewId="0">
      <selection activeCell="K17" sqref="K17"/>
    </sheetView>
  </sheetViews>
  <sheetFormatPr baseColWidth="10" defaultColWidth="11.42578125" defaultRowHeight="12.75" x14ac:dyDescent="0.25"/>
  <cols>
    <col min="1" max="1" width="2.7109375" style="876" customWidth="1"/>
    <col min="2" max="2" width="44" style="876" customWidth="1"/>
    <col min="3" max="3" width="4.7109375" style="876" bestFit="1" customWidth="1"/>
    <col min="4" max="4" width="15" style="877" bestFit="1" customWidth="1"/>
    <col min="5" max="5" width="12.140625" style="876" customWidth="1"/>
    <col min="6" max="6" width="10.42578125" style="876" customWidth="1"/>
    <col min="7" max="7" width="7" style="876" bestFit="1" customWidth="1"/>
    <col min="8" max="8" width="17.42578125" style="876" bestFit="1" customWidth="1"/>
    <col min="9" max="9" width="11" style="942" customWidth="1"/>
    <col min="10" max="10" width="18" style="876" hidden="1" customWidth="1"/>
    <col min="11" max="11" width="18" style="876" bestFit="1" customWidth="1"/>
    <col min="12" max="12" width="18.42578125" style="876" customWidth="1"/>
    <col min="13" max="16384" width="11.42578125" style="876"/>
  </cols>
  <sheetData>
    <row r="1" spans="1:11" ht="18" x14ac:dyDescent="0.25">
      <c r="A1" s="1297" t="s">
        <v>4917</v>
      </c>
      <c r="B1" s="1297"/>
      <c r="C1" s="1297"/>
      <c r="D1" s="1297"/>
      <c r="E1" s="1297"/>
      <c r="F1" s="1297"/>
      <c r="G1" s="1297"/>
      <c r="H1" s="1297"/>
      <c r="I1" s="1297"/>
    </row>
    <row r="2" spans="1:11" ht="18" x14ac:dyDescent="0.25">
      <c r="A2" s="1297" t="s">
        <v>4918</v>
      </c>
      <c r="B2" s="1297"/>
      <c r="C2" s="1297"/>
      <c r="D2" s="1297"/>
      <c r="E2" s="1297"/>
      <c r="F2" s="1297"/>
      <c r="G2" s="1297"/>
      <c r="H2" s="1297"/>
      <c r="I2" s="1297"/>
    </row>
    <row r="3" spans="1:11" ht="48.75" customHeight="1" x14ac:dyDescent="0.25">
      <c r="A3" s="1298" t="s">
        <v>4952</v>
      </c>
      <c r="B3" s="1298"/>
      <c r="C3" s="1298"/>
      <c r="D3" s="1298"/>
      <c r="E3" s="1298"/>
      <c r="F3" s="1298"/>
      <c r="G3" s="1298"/>
      <c r="H3" s="1298"/>
      <c r="I3" s="1299"/>
    </row>
    <row r="4" spans="1:11" ht="16.5" x14ac:dyDescent="0.25">
      <c r="A4" s="1300" t="s">
        <v>4919</v>
      </c>
      <c r="B4" s="1300"/>
      <c r="C4" s="1300"/>
      <c r="D4" s="1300"/>
      <c r="E4" s="1300"/>
      <c r="F4" s="1300"/>
      <c r="G4" s="1300"/>
      <c r="H4" s="1300"/>
      <c r="I4" s="1300"/>
    </row>
    <row r="5" spans="1:11" x14ac:dyDescent="0.25">
      <c r="I5" s="878">
        <v>45720</v>
      </c>
    </row>
    <row r="6" spans="1:11" s="882" customFormat="1" ht="48" customHeight="1" x14ac:dyDescent="0.25">
      <c r="A6" s="879"/>
      <c r="B6" s="879" t="s">
        <v>4920</v>
      </c>
      <c r="C6" s="879" t="s">
        <v>4016</v>
      </c>
      <c r="D6" s="880" t="s">
        <v>4921</v>
      </c>
      <c r="E6" s="881" t="s">
        <v>4922</v>
      </c>
      <c r="F6" s="881" t="s">
        <v>4923</v>
      </c>
      <c r="G6" s="880" t="s">
        <v>4260</v>
      </c>
      <c r="H6" s="880" t="s">
        <v>4590</v>
      </c>
      <c r="I6" s="880" t="s">
        <v>4141</v>
      </c>
    </row>
    <row r="7" spans="1:11" x14ac:dyDescent="0.25">
      <c r="A7" s="883"/>
      <c r="B7" s="884"/>
      <c r="C7" s="885"/>
      <c r="D7" s="886"/>
      <c r="E7" s="887"/>
      <c r="F7" s="888"/>
      <c r="G7" s="888"/>
      <c r="H7" s="888"/>
      <c r="I7" s="888"/>
    </row>
    <row r="8" spans="1:11" x14ac:dyDescent="0.25">
      <c r="A8" s="883"/>
      <c r="B8" s="884" t="s">
        <v>5020</v>
      </c>
      <c r="C8" s="885"/>
      <c r="D8" s="886"/>
      <c r="E8" s="887"/>
      <c r="F8" s="888"/>
      <c r="G8" s="888">
        <v>3</v>
      </c>
      <c r="H8" s="889">
        <f>+PRESUPUESTO!H186</f>
        <v>346963880</v>
      </c>
      <c r="I8" s="890"/>
    </row>
    <row r="9" spans="1:11" x14ac:dyDescent="0.25">
      <c r="A9" s="883"/>
      <c r="B9" s="884" t="s">
        <v>5016</v>
      </c>
      <c r="C9" s="885"/>
      <c r="D9" s="886"/>
      <c r="E9" s="887"/>
      <c r="F9" s="888"/>
      <c r="G9" s="888"/>
      <c r="H9" s="889">
        <f>+PRESUPUESTO!H110</f>
        <v>312936918</v>
      </c>
      <c r="I9" s="890"/>
    </row>
    <row r="10" spans="1:11" x14ac:dyDescent="0.25">
      <c r="A10" s="883"/>
      <c r="B10" s="884"/>
      <c r="C10" s="885"/>
      <c r="D10" s="886"/>
      <c r="E10" s="887"/>
      <c r="F10" s="888"/>
      <c r="G10" s="888"/>
      <c r="H10" s="891"/>
      <c r="I10" s="890"/>
    </row>
    <row r="11" spans="1:11" x14ac:dyDescent="0.25">
      <c r="A11" s="892" t="s">
        <v>221</v>
      </c>
      <c r="B11" s="884" t="s">
        <v>4924</v>
      </c>
      <c r="C11" s="893"/>
      <c r="D11" s="894"/>
      <c r="E11" s="887"/>
      <c r="F11" s="888"/>
      <c r="G11" s="888"/>
      <c r="H11" s="888"/>
      <c r="I11" s="895">
        <f>ROUND(I13+I20+I23+I36+I40,2)</f>
        <v>0.25</v>
      </c>
    </row>
    <row r="12" spans="1:11" x14ac:dyDescent="0.25">
      <c r="A12" s="883"/>
      <c r="B12" s="884"/>
      <c r="C12" s="885"/>
      <c r="D12" s="886"/>
      <c r="E12" s="887"/>
      <c r="F12" s="888"/>
      <c r="G12" s="888"/>
      <c r="H12" s="888"/>
      <c r="I12" s="890"/>
    </row>
    <row r="13" spans="1:11" x14ac:dyDescent="0.25">
      <c r="A13" s="883">
        <v>1</v>
      </c>
      <c r="B13" s="884" t="s">
        <v>4925</v>
      </c>
      <c r="C13" s="885"/>
      <c r="D13" s="886"/>
      <c r="E13" s="896"/>
      <c r="F13" s="897"/>
      <c r="G13" s="897"/>
      <c r="H13" s="898">
        <f>SUM(H14:H17)</f>
        <v>49380924.284999996</v>
      </c>
      <c r="I13" s="899">
        <f>SUM(I14:I17)</f>
        <v>0.14232295386194088</v>
      </c>
    </row>
    <row r="14" spans="1:11" x14ac:dyDescent="0.25">
      <c r="A14" s="883"/>
      <c r="B14" s="900" t="s">
        <v>4926</v>
      </c>
      <c r="C14" s="893" t="s">
        <v>4927</v>
      </c>
      <c r="D14" s="901">
        <v>7420131</v>
      </c>
      <c r="E14" s="886">
        <v>1.65</v>
      </c>
      <c r="F14" s="886">
        <v>0.1</v>
      </c>
      <c r="G14" s="902">
        <f>$G$8+1</f>
        <v>4</v>
      </c>
      <c r="H14" s="903">
        <f t="shared" ref="H14:H17" si="0">G14*F14*E14*D14</f>
        <v>4897286.46</v>
      </c>
      <c r="I14" s="904">
        <f t="shared" ref="I14:I17" si="1">H14/$H$8</f>
        <v>1.4114686693035597E-2</v>
      </c>
      <c r="J14" s="905">
        <f>H14/G14</f>
        <v>1224321.615</v>
      </c>
      <c r="K14" s="906"/>
    </row>
    <row r="15" spans="1:11" x14ac:dyDescent="0.25">
      <c r="A15" s="883"/>
      <c r="B15" s="900" t="s">
        <v>4928</v>
      </c>
      <c r="C15" s="893" t="s">
        <v>4927</v>
      </c>
      <c r="D15" s="901">
        <v>4446382</v>
      </c>
      <c r="E15" s="886">
        <f>+E14</f>
        <v>1.65</v>
      </c>
      <c r="F15" s="886">
        <v>1</v>
      </c>
      <c r="G15" s="902">
        <v>3</v>
      </c>
      <c r="H15" s="903">
        <f t="shared" si="0"/>
        <v>22009590.899999999</v>
      </c>
      <c r="I15" s="904">
        <f t="shared" si="1"/>
        <v>6.3434818921208738E-2</v>
      </c>
      <c r="J15" s="905">
        <f>H15/G15</f>
        <v>7336530.2999999998</v>
      </c>
      <c r="K15" s="906"/>
    </row>
    <row r="16" spans="1:11" x14ac:dyDescent="0.25">
      <c r="A16" s="883"/>
      <c r="B16" s="900" t="s">
        <v>4929</v>
      </c>
      <c r="C16" s="893" t="s">
        <v>4927</v>
      </c>
      <c r="D16" s="901">
        <v>3160171</v>
      </c>
      <c r="E16" s="886">
        <f t="shared" ref="E16:E17" si="2">+E15</f>
        <v>1.65</v>
      </c>
      <c r="F16" s="886">
        <v>0.5</v>
      </c>
      <c r="G16" s="902">
        <f t="shared" ref="G16:G17" si="3">$G$8</f>
        <v>3</v>
      </c>
      <c r="H16" s="903">
        <f t="shared" si="0"/>
        <v>7821423.2249999987</v>
      </c>
      <c r="I16" s="904">
        <f t="shared" si="1"/>
        <v>2.2542471063558542E-2</v>
      </c>
    </row>
    <row r="17" spans="1:11" x14ac:dyDescent="0.25">
      <c r="A17" s="883"/>
      <c r="B17" s="900" t="s">
        <v>4930</v>
      </c>
      <c r="C17" s="893" t="s">
        <v>4927</v>
      </c>
      <c r="D17" s="901">
        <v>2960126</v>
      </c>
      <c r="E17" s="886">
        <f t="shared" si="2"/>
        <v>1.65</v>
      </c>
      <c r="F17" s="907">
        <v>1</v>
      </c>
      <c r="G17" s="902">
        <f t="shared" si="3"/>
        <v>3</v>
      </c>
      <c r="H17" s="903">
        <f t="shared" si="0"/>
        <v>14652623.699999997</v>
      </c>
      <c r="I17" s="904">
        <f t="shared" si="1"/>
        <v>4.2230977184138006E-2</v>
      </c>
      <c r="J17" s="908">
        <f>J14+J15</f>
        <v>8560851.9149999991</v>
      </c>
    </row>
    <row r="18" spans="1:11" x14ac:dyDescent="0.25">
      <c r="A18" s="883"/>
      <c r="C18" s="909"/>
      <c r="D18" s="910"/>
      <c r="E18" s="886"/>
      <c r="F18" s="886"/>
      <c r="G18" s="902"/>
      <c r="H18" s="903"/>
      <c r="I18" s="904"/>
    </row>
    <row r="19" spans="1:11" x14ac:dyDescent="0.25">
      <c r="A19" s="883"/>
      <c r="C19" s="909"/>
      <c r="D19" s="910"/>
      <c r="E19" s="886"/>
      <c r="F19" s="886"/>
      <c r="G19" s="902"/>
      <c r="H19" s="903"/>
      <c r="I19" s="904"/>
    </row>
    <row r="20" spans="1:11" ht="25.5" x14ac:dyDescent="0.25">
      <c r="A20" s="883">
        <v>3</v>
      </c>
      <c r="B20" s="912" t="s">
        <v>4931</v>
      </c>
      <c r="C20" s="909"/>
      <c r="D20" s="910"/>
      <c r="E20" s="886"/>
      <c r="F20" s="886"/>
      <c r="G20" s="902"/>
      <c r="H20" s="898">
        <f>SUM(H21)</f>
        <v>600000</v>
      </c>
      <c r="I20" s="911">
        <f>SUM(I21)</f>
        <v>1.7292866335250805E-3</v>
      </c>
    </row>
    <row r="21" spans="1:11" x14ac:dyDescent="0.25">
      <c r="A21" s="883"/>
      <c r="B21" s="876" t="s">
        <v>4932</v>
      </c>
      <c r="C21" s="893" t="s">
        <v>4927</v>
      </c>
      <c r="D21" s="913">
        <v>100000</v>
      </c>
      <c r="E21" s="886">
        <v>1</v>
      </c>
      <c r="F21" s="886">
        <f>ROUNDUP(SUM(F15:F16),0)</f>
        <v>2</v>
      </c>
      <c r="G21" s="902">
        <f t="shared" ref="G21" si="4">+$G$8</f>
        <v>3</v>
      </c>
      <c r="H21" s="903">
        <f t="shared" ref="H21" si="5">G21*F21*E21*D21</f>
        <v>600000</v>
      </c>
      <c r="I21" s="904">
        <f t="shared" ref="I21" si="6">H21/$H$8</f>
        <v>1.7292866335250805E-3</v>
      </c>
    </row>
    <row r="22" spans="1:11" x14ac:dyDescent="0.25">
      <c r="A22" s="883"/>
      <c r="C22" s="909"/>
      <c r="D22" s="910"/>
      <c r="E22" s="886"/>
      <c r="F22" s="886"/>
      <c r="G22" s="914"/>
      <c r="H22" s="903"/>
      <c r="I22" s="904"/>
    </row>
    <row r="23" spans="1:11" ht="12" customHeight="1" x14ac:dyDescent="0.25">
      <c r="A23" s="883">
        <v>4</v>
      </c>
      <c r="B23" s="884" t="s">
        <v>4933</v>
      </c>
      <c r="C23" s="909"/>
      <c r="D23" s="910"/>
      <c r="E23" s="886"/>
      <c r="F23" s="886"/>
      <c r="G23" s="914"/>
      <c r="H23" s="898">
        <f>SUM(H24:H33)</f>
        <v>33915719.796000004</v>
      </c>
      <c r="I23" s="911">
        <f t="shared" ref="I23:I28" si="7">H23/$H$8</f>
        <v>9.7750001516007962E-2</v>
      </c>
      <c r="K23" s="915"/>
    </row>
    <row r="24" spans="1:11" x14ac:dyDescent="0.25">
      <c r="A24" s="883"/>
      <c r="B24" s="876" t="s">
        <v>4934</v>
      </c>
      <c r="C24" s="893" t="s">
        <v>3965</v>
      </c>
      <c r="D24" s="910">
        <f>ROUND(H8*10%*0.5%,0)</f>
        <v>173482</v>
      </c>
      <c r="E24" s="886">
        <v>0.1</v>
      </c>
      <c r="F24" s="886">
        <v>1</v>
      </c>
      <c r="G24" s="902">
        <v>1</v>
      </c>
      <c r="H24" s="903">
        <f>G24*F24*D24</f>
        <v>173482</v>
      </c>
      <c r="I24" s="904">
        <f t="shared" si="7"/>
        <v>5.0000017292866337E-4</v>
      </c>
    </row>
    <row r="25" spans="1:11" x14ac:dyDescent="0.25">
      <c r="A25" s="883"/>
      <c r="B25" s="876" t="s">
        <v>4935</v>
      </c>
      <c r="C25" s="893" t="s">
        <v>3965</v>
      </c>
      <c r="D25" s="910">
        <f>ROUND(H8*20%*100%*0.4%,0)</f>
        <v>277571</v>
      </c>
      <c r="E25" s="886">
        <v>1</v>
      </c>
      <c r="F25" s="886">
        <v>1</v>
      </c>
      <c r="G25" s="902">
        <v>1</v>
      </c>
      <c r="H25" s="903">
        <f>G25*F25*D25</f>
        <v>277571</v>
      </c>
      <c r="I25" s="904">
        <f t="shared" si="7"/>
        <v>7.999997002569835E-4</v>
      </c>
    </row>
    <row r="26" spans="1:11" x14ac:dyDescent="0.25">
      <c r="A26" s="883"/>
      <c r="B26" s="876" t="s">
        <v>4936</v>
      </c>
      <c r="C26" s="893" t="s">
        <v>3965</v>
      </c>
      <c r="D26" s="910">
        <f>ROUND(H8*20%*1%,0)</f>
        <v>693928</v>
      </c>
      <c r="E26" s="886">
        <v>0.2</v>
      </c>
      <c r="F26" s="886">
        <v>1</v>
      </c>
      <c r="G26" s="902">
        <v>1</v>
      </c>
      <c r="H26" s="903">
        <f>G26*F26*D26</f>
        <v>693928</v>
      </c>
      <c r="I26" s="904">
        <f t="shared" si="7"/>
        <v>2.0000006917146535E-3</v>
      </c>
    </row>
    <row r="27" spans="1:11" x14ac:dyDescent="0.25">
      <c r="A27" s="883"/>
      <c r="B27" s="876" t="s">
        <v>4937</v>
      </c>
      <c r="C27" s="893" t="s">
        <v>3965</v>
      </c>
      <c r="D27" s="910">
        <f>ROUND(H8*30%*0.5%,0)</f>
        <v>520446</v>
      </c>
      <c r="E27" s="886">
        <v>0.3</v>
      </c>
      <c r="F27" s="886">
        <v>1</v>
      </c>
      <c r="G27" s="902">
        <v>1</v>
      </c>
      <c r="H27" s="903">
        <f>G27*F27*D27</f>
        <v>520446</v>
      </c>
      <c r="I27" s="904">
        <f t="shared" si="7"/>
        <v>1.5000005187859901E-3</v>
      </c>
    </row>
    <row r="28" spans="1:11" x14ac:dyDescent="0.25">
      <c r="A28" s="883"/>
      <c r="B28" s="876" t="s">
        <v>4938</v>
      </c>
      <c r="C28" s="893" t="s">
        <v>3965</v>
      </c>
      <c r="D28" s="910">
        <f>ROUND(H8*5%*2.5%,0)</f>
        <v>433705</v>
      </c>
      <c r="E28" s="886">
        <v>0.05</v>
      </c>
      <c r="F28" s="886">
        <v>1</v>
      </c>
      <c r="G28" s="902">
        <v>1</v>
      </c>
      <c r="H28" s="903">
        <f>G28*F28*D28</f>
        <v>433705</v>
      </c>
      <c r="I28" s="904">
        <f t="shared" si="7"/>
        <v>1.2500004323216583E-3</v>
      </c>
    </row>
    <row r="29" spans="1:11" x14ac:dyDescent="0.25">
      <c r="A29" s="883"/>
      <c r="B29" s="884" t="s">
        <v>4939</v>
      </c>
      <c r="C29" s="893"/>
      <c r="D29" s="910"/>
      <c r="E29" s="886"/>
      <c r="F29" s="886"/>
      <c r="G29" s="902"/>
      <c r="H29" s="903"/>
      <c r="I29" s="904"/>
    </row>
    <row r="30" spans="1:11" x14ac:dyDescent="0.25">
      <c r="A30" s="883"/>
      <c r="B30" s="876" t="s">
        <v>4940</v>
      </c>
      <c r="C30" s="893" t="s">
        <v>3965</v>
      </c>
      <c r="D30" s="910">
        <f>H8*1.31</f>
        <v>454522682.80000001</v>
      </c>
      <c r="E30" s="886">
        <v>0.01</v>
      </c>
      <c r="F30" s="886">
        <v>1</v>
      </c>
      <c r="G30" s="902">
        <v>1</v>
      </c>
      <c r="H30" s="903">
        <f t="shared" ref="H30:H33" si="8">(G30*F30*E30*D30)</f>
        <v>4545226.8280000007</v>
      </c>
      <c r="I30" s="904">
        <f t="shared" ref="I30:I33" si="9">H30/$H$8</f>
        <v>1.3100000000000002E-2</v>
      </c>
    </row>
    <row r="31" spans="1:11" x14ac:dyDescent="0.25">
      <c r="A31" s="883"/>
      <c r="B31" s="876" t="s">
        <v>4941</v>
      </c>
      <c r="C31" s="893" t="s">
        <v>3965</v>
      </c>
      <c r="D31" s="910">
        <f>+D30</f>
        <v>454522682.80000001</v>
      </c>
      <c r="E31" s="886">
        <v>0.02</v>
      </c>
      <c r="F31" s="886">
        <v>1</v>
      </c>
      <c r="G31" s="902">
        <v>1</v>
      </c>
      <c r="H31" s="903">
        <f t="shared" si="8"/>
        <v>9090453.6560000014</v>
      </c>
      <c r="I31" s="904">
        <f t="shared" si="9"/>
        <v>2.6200000000000005E-2</v>
      </c>
    </row>
    <row r="32" spans="1:11" x14ac:dyDescent="0.25">
      <c r="A32" s="883"/>
      <c r="B32" s="876" t="s">
        <v>4942</v>
      </c>
      <c r="C32" s="893" t="s">
        <v>3965</v>
      </c>
      <c r="D32" s="910">
        <f t="shared" ref="D32:D34" si="10">+D31</f>
        <v>454522682.80000001</v>
      </c>
      <c r="E32" s="886">
        <v>0.01</v>
      </c>
      <c r="F32" s="886">
        <v>1</v>
      </c>
      <c r="G32" s="902">
        <v>1</v>
      </c>
      <c r="H32" s="903">
        <f t="shared" si="8"/>
        <v>4545226.8280000007</v>
      </c>
      <c r="I32" s="904">
        <f t="shared" si="9"/>
        <v>1.3100000000000002E-2</v>
      </c>
    </row>
    <row r="33" spans="1:14" x14ac:dyDescent="0.25">
      <c r="A33" s="883"/>
      <c r="B33" s="876" t="s">
        <v>4943</v>
      </c>
      <c r="C33" s="893" t="s">
        <v>3965</v>
      </c>
      <c r="D33" s="910">
        <f t="shared" si="10"/>
        <v>454522682.80000001</v>
      </c>
      <c r="E33" s="886">
        <v>0.03</v>
      </c>
      <c r="F33" s="886">
        <v>1</v>
      </c>
      <c r="G33" s="902">
        <v>1</v>
      </c>
      <c r="H33" s="903">
        <f t="shared" si="8"/>
        <v>13635680.483999999</v>
      </c>
      <c r="I33" s="904">
        <f t="shared" si="9"/>
        <v>3.9299999999999995E-2</v>
      </c>
    </row>
    <row r="34" spans="1:14" x14ac:dyDescent="0.25">
      <c r="A34" s="883"/>
      <c r="B34" s="876" t="s">
        <v>5021</v>
      </c>
      <c r="C34" s="893" t="s">
        <v>3965</v>
      </c>
      <c r="D34" s="910">
        <f t="shared" si="10"/>
        <v>454522682.80000001</v>
      </c>
      <c r="E34" s="886">
        <v>0.01</v>
      </c>
      <c r="F34" s="886">
        <v>1</v>
      </c>
      <c r="G34" s="902">
        <v>1</v>
      </c>
      <c r="H34" s="903">
        <f t="shared" ref="H34" si="11">(G34*F34*E34*D34)</f>
        <v>4545226.8280000007</v>
      </c>
      <c r="I34" s="904">
        <f t="shared" ref="I34" si="12">H34/$H$8</f>
        <v>1.3100000000000002E-2</v>
      </c>
    </row>
    <row r="35" spans="1:14" x14ac:dyDescent="0.25">
      <c r="A35" s="883"/>
      <c r="C35" s="893"/>
      <c r="D35" s="910"/>
      <c r="E35" s="886"/>
      <c r="F35" s="886"/>
      <c r="G35" s="902"/>
      <c r="H35" s="903"/>
      <c r="I35" s="904"/>
    </row>
    <row r="36" spans="1:14" x14ac:dyDescent="0.25">
      <c r="A36" s="883">
        <v>5</v>
      </c>
      <c r="B36" s="884" t="s">
        <v>4944</v>
      </c>
      <c r="C36" s="909"/>
      <c r="D36" s="910"/>
      <c r="E36" s="886"/>
      <c r="F36" s="886"/>
      <c r="G36" s="914"/>
      <c r="H36" s="898">
        <f>SUM(H37:H38)</f>
        <v>570000</v>
      </c>
      <c r="I36" s="911">
        <f>SUM(I37:I38)</f>
        <v>1.6428223018488265E-3</v>
      </c>
    </row>
    <row r="37" spans="1:14" x14ac:dyDescent="0.25">
      <c r="A37" s="883"/>
      <c r="B37" s="876" t="s">
        <v>4945</v>
      </c>
      <c r="C37" s="893" t="s">
        <v>4927</v>
      </c>
      <c r="D37" s="910">
        <v>90000</v>
      </c>
      <c r="E37" s="886">
        <v>1</v>
      </c>
      <c r="F37" s="886">
        <v>1</v>
      </c>
      <c r="G37" s="902">
        <f t="shared" ref="G37:G38" si="13">+$G$8</f>
        <v>3</v>
      </c>
      <c r="H37" s="903">
        <f>G37*F37*E37*D37</f>
        <v>270000</v>
      </c>
      <c r="I37" s="904">
        <f>H37/$H$8</f>
        <v>7.7817898508628623E-4</v>
      </c>
    </row>
    <row r="38" spans="1:14" x14ac:dyDescent="0.25">
      <c r="A38" s="883"/>
      <c r="B38" s="876" t="s">
        <v>4946</v>
      </c>
      <c r="C38" s="893" t="s">
        <v>4927</v>
      </c>
      <c r="D38" s="910">
        <v>100000</v>
      </c>
      <c r="E38" s="886">
        <v>1</v>
      </c>
      <c r="F38" s="886">
        <v>1</v>
      </c>
      <c r="G38" s="902">
        <f t="shared" si="13"/>
        <v>3</v>
      </c>
      <c r="H38" s="903">
        <f>G38*F38*E38*D38</f>
        <v>300000</v>
      </c>
      <c r="I38" s="904">
        <f>H38/$H$8</f>
        <v>8.6464331676254025E-4</v>
      </c>
    </row>
    <row r="39" spans="1:14" x14ac:dyDescent="0.25">
      <c r="A39" s="883"/>
      <c r="C39" s="909"/>
      <c r="D39" s="910"/>
      <c r="E39" s="886"/>
      <c r="F39" s="886"/>
      <c r="G39" s="914"/>
      <c r="H39" s="903"/>
      <c r="I39" s="904"/>
    </row>
    <row r="40" spans="1:14" x14ac:dyDescent="0.25">
      <c r="A40" s="883">
        <v>6</v>
      </c>
      <c r="B40" s="884" t="s">
        <v>4947</v>
      </c>
      <c r="C40" s="909"/>
      <c r="D40" s="910"/>
      <c r="E40" s="886"/>
      <c r="F40" s="886"/>
      <c r="G40" s="914"/>
      <c r="H40" s="898">
        <f>SUM(H41:H41)</f>
        <v>1500000</v>
      </c>
      <c r="I40" s="911">
        <f>SUM(I41:I41)</f>
        <v>4.3232165838127008E-3</v>
      </c>
    </row>
    <row r="41" spans="1:14" ht="25.5" x14ac:dyDescent="0.25">
      <c r="A41" s="883"/>
      <c r="B41" s="916" t="s">
        <v>4948</v>
      </c>
      <c r="C41" s="893" t="s">
        <v>3965</v>
      </c>
      <c r="D41" s="910">
        <v>1500000</v>
      </c>
      <c r="E41" s="886">
        <v>1</v>
      </c>
      <c r="F41" s="886">
        <v>1</v>
      </c>
      <c r="G41" s="902">
        <v>1</v>
      </c>
      <c r="H41" s="903">
        <f>G41*F41*E41*D41</f>
        <v>1500000</v>
      </c>
      <c r="I41" s="904">
        <f t="shared" ref="I41" si="14">H41/$H$8</f>
        <v>4.3232165838127008E-3</v>
      </c>
      <c r="K41" s="917"/>
      <c r="L41" s="918"/>
      <c r="M41" s="918"/>
      <c r="N41" s="918"/>
    </row>
    <row r="42" spans="1:14" x14ac:dyDescent="0.25">
      <c r="A42" s="883"/>
      <c r="C42" s="893"/>
      <c r="D42" s="910"/>
      <c r="E42" s="886"/>
      <c r="F42" s="886"/>
      <c r="G42" s="902"/>
      <c r="H42" s="903"/>
      <c r="I42" s="904"/>
      <c r="J42" s="919"/>
      <c r="K42" s="918"/>
      <c r="L42" s="918"/>
      <c r="M42" s="918"/>
      <c r="N42" s="918"/>
    </row>
    <row r="43" spans="1:14" x14ac:dyDescent="0.25">
      <c r="A43" s="892" t="s">
        <v>4949</v>
      </c>
      <c r="B43" s="884" t="s">
        <v>4950</v>
      </c>
      <c r="C43" s="893"/>
      <c r="D43" s="894"/>
      <c r="E43" s="920"/>
      <c r="F43" s="886"/>
      <c r="G43" s="914"/>
      <c r="H43" s="921">
        <f>ROUND(H8*I43,0)</f>
        <v>17348194</v>
      </c>
      <c r="I43" s="895">
        <v>0.05</v>
      </c>
      <c r="J43" s="919"/>
      <c r="K43" s="918"/>
    </row>
    <row r="44" spans="1:14" x14ac:dyDescent="0.25">
      <c r="A44" s="892"/>
      <c r="B44" s="884"/>
      <c r="C44" s="893"/>
      <c r="D44" s="894"/>
      <c r="E44" s="920"/>
      <c r="F44" s="886"/>
      <c r="G44" s="914"/>
      <c r="H44" s="921"/>
      <c r="I44" s="895"/>
      <c r="J44" s="919"/>
      <c r="K44" s="918"/>
    </row>
    <row r="45" spans="1:14" x14ac:dyDescent="0.25">
      <c r="A45" s="883"/>
      <c r="C45" s="909"/>
      <c r="D45" s="910"/>
      <c r="E45" s="910"/>
      <c r="F45" s="910"/>
      <c r="G45" s="910"/>
      <c r="H45" s="903"/>
      <c r="I45" s="904"/>
      <c r="J45" s="919"/>
      <c r="K45" s="917"/>
    </row>
    <row r="46" spans="1:14" x14ac:dyDescent="0.25">
      <c r="A46" s="922"/>
      <c r="B46" s="923" t="s">
        <v>4953</v>
      </c>
      <c r="C46" s="924"/>
      <c r="D46" s="925"/>
      <c r="E46" s="925"/>
      <c r="F46" s="925"/>
      <c r="G46" s="925"/>
      <c r="H46" s="926">
        <f>H13++H20+H23+H36+H40+H43</f>
        <v>103314838.081</v>
      </c>
      <c r="I46" s="927">
        <f>I11+I43+I44</f>
        <v>0.3</v>
      </c>
      <c r="J46" s="928"/>
      <c r="K46" s="918"/>
      <c r="L46" s="919"/>
    </row>
    <row r="47" spans="1:14" s="882" customFormat="1" ht="11.25" x14ac:dyDescent="0.25">
      <c r="C47" s="929"/>
      <c r="D47" s="930"/>
      <c r="H47" s="931"/>
      <c r="I47" s="932"/>
      <c r="J47" s="933"/>
      <c r="K47" s="934"/>
    </row>
    <row r="48" spans="1:14" s="882" customFormat="1" ht="11.25" x14ac:dyDescent="0.25">
      <c r="C48" s="929"/>
      <c r="D48" s="930"/>
      <c r="H48" s="931"/>
      <c r="I48" s="932"/>
      <c r="J48" s="933"/>
      <c r="K48" s="934"/>
    </row>
    <row r="49" spans="2:11" s="882" customFormat="1" ht="11.25" x14ac:dyDescent="0.25">
      <c r="C49" s="929"/>
      <c r="D49" s="930"/>
      <c r="H49" s="931"/>
      <c r="I49" s="932"/>
      <c r="J49" s="933"/>
      <c r="K49" s="934"/>
    </row>
    <row r="50" spans="2:11" s="882" customFormat="1" ht="11.25" x14ac:dyDescent="0.25">
      <c r="C50" s="929"/>
      <c r="D50" s="930"/>
      <c r="H50" s="931"/>
      <c r="I50" s="932"/>
      <c r="J50" s="933"/>
      <c r="K50" s="934"/>
    </row>
    <row r="51" spans="2:11" s="882" customFormat="1" ht="11.25" x14ac:dyDescent="0.25">
      <c r="C51" s="929"/>
      <c r="D51" s="930"/>
      <c r="H51" s="931"/>
      <c r="I51" s="932"/>
      <c r="J51" s="933"/>
      <c r="K51" s="934"/>
    </row>
    <row r="52" spans="2:11" x14ac:dyDescent="0.25">
      <c r="H52" s="917"/>
      <c r="I52" s="935"/>
      <c r="J52" s="936"/>
    </row>
    <row r="53" spans="2:11" x14ac:dyDescent="0.25">
      <c r="H53" s="917"/>
      <c r="I53" s="937"/>
      <c r="K53" s="919"/>
    </row>
    <row r="54" spans="2:11" x14ac:dyDescent="0.25">
      <c r="B54" s="938" t="s">
        <v>4236</v>
      </c>
      <c r="C54" s="939" t="s">
        <v>5247</v>
      </c>
      <c r="D54" s="939"/>
      <c r="E54" s="939"/>
      <c r="F54" s="939"/>
      <c r="H54" s="917"/>
      <c r="I54" s="937"/>
    </row>
    <row r="55" spans="2:11" x14ac:dyDescent="0.25">
      <c r="B55" s="940"/>
      <c r="C55" s="941" t="s">
        <v>4951</v>
      </c>
      <c r="E55" s="941"/>
      <c r="F55" s="941"/>
      <c r="H55" s="917"/>
      <c r="I55" s="937"/>
    </row>
    <row r="56" spans="2:11" x14ac:dyDescent="0.25">
      <c r="C56" s="941" t="s">
        <v>5248</v>
      </c>
      <c r="H56" s="917"/>
      <c r="I56" s="937"/>
    </row>
    <row r="57" spans="2:11" x14ac:dyDescent="0.25">
      <c r="H57" s="917"/>
      <c r="I57" s="937"/>
    </row>
  </sheetData>
  <mergeCells count="4">
    <mergeCell ref="A1:I1"/>
    <mergeCell ref="A2:I2"/>
    <mergeCell ref="A3:I3"/>
    <mergeCell ref="A4:I4"/>
  </mergeCells>
  <pageMargins left="0.7" right="0.7" top="0.75" bottom="0.75" header="0.3" footer="0.3"/>
  <pageSetup scale="7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workbookViewId="0">
      <selection activeCell="C28" sqref="C28"/>
    </sheetView>
  </sheetViews>
  <sheetFormatPr baseColWidth="10" defaultRowHeight="15" x14ac:dyDescent="0.25"/>
  <cols>
    <col min="1" max="1" width="9.85546875" style="1037" customWidth="1"/>
    <col min="3" max="3" width="47.85546875" customWidth="1"/>
    <col min="4" max="4" width="14.5703125" style="1038" bestFit="1" customWidth="1"/>
    <col min="5" max="8" width="11.42578125" style="1038"/>
    <col min="9" max="9" width="21.140625" customWidth="1"/>
    <col min="257" max="257" width="9.85546875" customWidth="1"/>
    <col min="259" max="259" width="47.85546875" customWidth="1"/>
    <col min="260" max="260" width="14.5703125" bestFit="1" customWidth="1"/>
    <col min="265" max="265" width="21.140625" customWidth="1"/>
    <col min="513" max="513" width="9.85546875" customWidth="1"/>
    <col min="515" max="515" width="47.85546875" customWidth="1"/>
    <col min="516" max="516" width="14.5703125" bestFit="1" customWidth="1"/>
    <col min="521" max="521" width="21.140625" customWidth="1"/>
    <col min="769" max="769" width="9.85546875" customWidth="1"/>
    <col min="771" max="771" width="47.85546875" customWidth="1"/>
    <col min="772" max="772" width="14.5703125" bestFit="1" customWidth="1"/>
    <col min="777" max="777" width="21.140625" customWidth="1"/>
    <col min="1025" max="1025" width="9.85546875" customWidth="1"/>
    <col min="1027" max="1027" width="47.85546875" customWidth="1"/>
    <col min="1028" max="1028" width="14.5703125" bestFit="1" customWidth="1"/>
    <col min="1033" max="1033" width="21.140625" customWidth="1"/>
    <col min="1281" max="1281" width="9.85546875" customWidth="1"/>
    <col min="1283" max="1283" width="47.85546875" customWidth="1"/>
    <col min="1284" max="1284" width="14.5703125" bestFit="1" customWidth="1"/>
    <col min="1289" max="1289" width="21.140625" customWidth="1"/>
    <col min="1537" max="1537" width="9.85546875" customWidth="1"/>
    <col min="1539" max="1539" width="47.85546875" customWidth="1"/>
    <col min="1540" max="1540" width="14.5703125" bestFit="1" customWidth="1"/>
    <col min="1545" max="1545" width="21.140625" customWidth="1"/>
    <col min="1793" max="1793" width="9.85546875" customWidth="1"/>
    <col min="1795" max="1795" width="47.85546875" customWidth="1"/>
    <col min="1796" max="1796" width="14.5703125" bestFit="1" customWidth="1"/>
    <col min="1801" max="1801" width="21.140625" customWidth="1"/>
    <col min="2049" max="2049" width="9.85546875" customWidth="1"/>
    <col min="2051" max="2051" width="47.85546875" customWidth="1"/>
    <col min="2052" max="2052" width="14.5703125" bestFit="1" customWidth="1"/>
    <col min="2057" max="2057" width="21.140625" customWidth="1"/>
    <col min="2305" max="2305" width="9.85546875" customWidth="1"/>
    <col min="2307" max="2307" width="47.85546875" customWidth="1"/>
    <col min="2308" max="2308" width="14.5703125" bestFit="1" customWidth="1"/>
    <col min="2313" max="2313" width="21.140625" customWidth="1"/>
    <col min="2561" max="2561" width="9.85546875" customWidth="1"/>
    <col min="2563" max="2563" width="47.85546875" customWidth="1"/>
    <col min="2564" max="2564" width="14.5703125" bestFit="1" customWidth="1"/>
    <col min="2569" max="2569" width="21.140625" customWidth="1"/>
    <col min="2817" max="2817" width="9.85546875" customWidth="1"/>
    <col min="2819" max="2819" width="47.85546875" customWidth="1"/>
    <col min="2820" max="2820" width="14.5703125" bestFit="1" customWidth="1"/>
    <col min="2825" max="2825" width="21.140625" customWidth="1"/>
    <col min="3073" max="3073" width="9.85546875" customWidth="1"/>
    <col min="3075" max="3075" width="47.85546875" customWidth="1"/>
    <col min="3076" max="3076" width="14.5703125" bestFit="1" customWidth="1"/>
    <col min="3081" max="3081" width="21.140625" customWidth="1"/>
    <col min="3329" max="3329" width="9.85546875" customWidth="1"/>
    <col min="3331" max="3331" width="47.85546875" customWidth="1"/>
    <col min="3332" max="3332" width="14.5703125" bestFit="1" customWidth="1"/>
    <col min="3337" max="3337" width="21.140625" customWidth="1"/>
    <col min="3585" max="3585" width="9.85546875" customWidth="1"/>
    <col min="3587" max="3587" width="47.85546875" customWidth="1"/>
    <col min="3588" max="3588" width="14.5703125" bestFit="1" customWidth="1"/>
    <col min="3593" max="3593" width="21.140625" customWidth="1"/>
    <col min="3841" max="3841" width="9.85546875" customWidth="1"/>
    <col min="3843" max="3843" width="47.85546875" customWidth="1"/>
    <col min="3844" max="3844" width="14.5703125" bestFit="1" customWidth="1"/>
    <col min="3849" max="3849" width="21.140625" customWidth="1"/>
    <col min="4097" max="4097" width="9.85546875" customWidth="1"/>
    <col min="4099" max="4099" width="47.85546875" customWidth="1"/>
    <col min="4100" max="4100" width="14.5703125" bestFit="1" customWidth="1"/>
    <col min="4105" max="4105" width="21.140625" customWidth="1"/>
    <col min="4353" max="4353" width="9.85546875" customWidth="1"/>
    <col min="4355" max="4355" width="47.85546875" customWidth="1"/>
    <col min="4356" max="4356" width="14.5703125" bestFit="1" customWidth="1"/>
    <col min="4361" max="4361" width="21.140625" customWidth="1"/>
    <col min="4609" max="4609" width="9.85546875" customWidth="1"/>
    <col min="4611" max="4611" width="47.85546875" customWidth="1"/>
    <col min="4612" max="4612" width="14.5703125" bestFit="1" customWidth="1"/>
    <col min="4617" max="4617" width="21.140625" customWidth="1"/>
    <col min="4865" max="4865" width="9.85546875" customWidth="1"/>
    <col min="4867" max="4867" width="47.85546875" customWidth="1"/>
    <col min="4868" max="4868" width="14.5703125" bestFit="1" customWidth="1"/>
    <col min="4873" max="4873" width="21.140625" customWidth="1"/>
    <col min="5121" max="5121" width="9.85546875" customWidth="1"/>
    <col min="5123" max="5123" width="47.85546875" customWidth="1"/>
    <col min="5124" max="5124" width="14.5703125" bestFit="1" customWidth="1"/>
    <col min="5129" max="5129" width="21.140625" customWidth="1"/>
    <col min="5377" max="5377" width="9.85546875" customWidth="1"/>
    <col min="5379" max="5379" width="47.85546875" customWidth="1"/>
    <col min="5380" max="5380" width="14.5703125" bestFit="1" customWidth="1"/>
    <col min="5385" max="5385" width="21.140625" customWidth="1"/>
    <col min="5633" max="5633" width="9.85546875" customWidth="1"/>
    <col min="5635" max="5635" width="47.85546875" customWidth="1"/>
    <col min="5636" max="5636" width="14.5703125" bestFit="1" customWidth="1"/>
    <col min="5641" max="5641" width="21.140625" customWidth="1"/>
    <col min="5889" max="5889" width="9.85546875" customWidth="1"/>
    <col min="5891" max="5891" width="47.85546875" customWidth="1"/>
    <col min="5892" max="5892" width="14.5703125" bestFit="1" customWidth="1"/>
    <col min="5897" max="5897" width="21.140625" customWidth="1"/>
    <col min="6145" max="6145" width="9.85546875" customWidth="1"/>
    <col min="6147" max="6147" width="47.85546875" customWidth="1"/>
    <col min="6148" max="6148" width="14.5703125" bestFit="1" customWidth="1"/>
    <col min="6153" max="6153" width="21.140625" customWidth="1"/>
    <col min="6401" max="6401" width="9.85546875" customWidth="1"/>
    <col min="6403" max="6403" width="47.85546875" customWidth="1"/>
    <col min="6404" max="6404" width="14.5703125" bestFit="1" customWidth="1"/>
    <col min="6409" max="6409" width="21.140625" customWidth="1"/>
    <col min="6657" max="6657" width="9.85546875" customWidth="1"/>
    <col min="6659" max="6659" width="47.85546875" customWidth="1"/>
    <col min="6660" max="6660" width="14.5703125" bestFit="1" customWidth="1"/>
    <col min="6665" max="6665" width="21.140625" customWidth="1"/>
    <col min="6913" max="6913" width="9.85546875" customWidth="1"/>
    <col min="6915" max="6915" width="47.85546875" customWidth="1"/>
    <col min="6916" max="6916" width="14.5703125" bestFit="1" customWidth="1"/>
    <col min="6921" max="6921" width="21.140625" customWidth="1"/>
    <col min="7169" max="7169" width="9.85546875" customWidth="1"/>
    <col min="7171" max="7171" width="47.85546875" customWidth="1"/>
    <col min="7172" max="7172" width="14.5703125" bestFit="1" customWidth="1"/>
    <col min="7177" max="7177" width="21.140625" customWidth="1"/>
    <col min="7425" max="7425" width="9.85546875" customWidth="1"/>
    <col min="7427" max="7427" width="47.85546875" customWidth="1"/>
    <col min="7428" max="7428" width="14.5703125" bestFit="1" customWidth="1"/>
    <col min="7433" max="7433" width="21.140625" customWidth="1"/>
    <col min="7681" max="7681" width="9.85546875" customWidth="1"/>
    <col min="7683" max="7683" width="47.85546875" customWidth="1"/>
    <col min="7684" max="7684" width="14.5703125" bestFit="1" customWidth="1"/>
    <col min="7689" max="7689" width="21.140625" customWidth="1"/>
    <col min="7937" max="7937" width="9.85546875" customWidth="1"/>
    <col min="7939" max="7939" width="47.85546875" customWidth="1"/>
    <col min="7940" max="7940" width="14.5703125" bestFit="1" customWidth="1"/>
    <col min="7945" max="7945" width="21.140625" customWidth="1"/>
    <col min="8193" max="8193" width="9.85546875" customWidth="1"/>
    <col min="8195" max="8195" width="47.85546875" customWidth="1"/>
    <col min="8196" max="8196" width="14.5703125" bestFit="1" customWidth="1"/>
    <col min="8201" max="8201" width="21.140625" customWidth="1"/>
    <col min="8449" max="8449" width="9.85546875" customWidth="1"/>
    <col min="8451" max="8451" width="47.85546875" customWidth="1"/>
    <col min="8452" max="8452" width="14.5703125" bestFit="1" customWidth="1"/>
    <col min="8457" max="8457" width="21.140625" customWidth="1"/>
    <col min="8705" max="8705" width="9.85546875" customWidth="1"/>
    <col min="8707" max="8707" width="47.85546875" customWidth="1"/>
    <col min="8708" max="8708" width="14.5703125" bestFit="1" customWidth="1"/>
    <col min="8713" max="8713" width="21.140625" customWidth="1"/>
    <col min="8961" max="8961" width="9.85546875" customWidth="1"/>
    <col min="8963" max="8963" width="47.85546875" customWidth="1"/>
    <col min="8964" max="8964" width="14.5703125" bestFit="1" customWidth="1"/>
    <col min="8969" max="8969" width="21.140625" customWidth="1"/>
    <col min="9217" max="9217" width="9.85546875" customWidth="1"/>
    <col min="9219" max="9219" width="47.85546875" customWidth="1"/>
    <col min="9220" max="9220" width="14.5703125" bestFit="1" customWidth="1"/>
    <col min="9225" max="9225" width="21.140625" customWidth="1"/>
    <col min="9473" max="9473" width="9.85546875" customWidth="1"/>
    <col min="9475" max="9475" width="47.85546875" customWidth="1"/>
    <col min="9476" max="9476" width="14.5703125" bestFit="1" customWidth="1"/>
    <col min="9481" max="9481" width="21.140625" customWidth="1"/>
    <col min="9729" max="9729" width="9.85546875" customWidth="1"/>
    <col min="9731" max="9731" width="47.85546875" customWidth="1"/>
    <col min="9732" max="9732" width="14.5703125" bestFit="1" customWidth="1"/>
    <col min="9737" max="9737" width="21.140625" customWidth="1"/>
    <col min="9985" max="9985" width="9.85546875" customWidth="1"/>
    <col min="9987" max="9987" width="47.85546875" customWidth="1"/>
    <col min="9988" max="9988" width="14.5703125" bestFit="1" customWidth="1"/>
    <col min="9993" max="9993" width="21.140625" customWidth="1"/>
    <col min="10241" max="10241" width="9.85546875" customWidth="1"/>
    <col min="10243" max="10243" width="47.85546875" customWidth="1"/>
    <col min="10244" max="10244" width="14.5703125" bestFit="1" customWidth="1"/>
    <col min="10249" max="10249" width="21.140625" customWidth="1"/>
    <col min="10497" max="10497" width="9.85546875" customWidth="1"/>
    <col min="10499" max="10499" width="47.85546875" customWidth="1"/>
    <col min="10500" max="10500" width="14.5703125" bestFit="1" customWidth="1"/>
    <col min="10505" max="10505" width="21.140625" customWidth="1"/>
    <col min="10753" max="10753" width="9.85546875" customWidth="1"/>
    <col min="10755" max="10755" width="47.85546875" customWidth="1"/>
    <col min="10756" max="10756" width="14.5703125" bestFit="1" customWidth="1"/>
    <col min="10761" max="10761" width="21.140625" customWidth="1"/>
    <col min="11009" max="11009" width="9.85546875" customWidth="1"/>
    <col min="11011" max="11011" width="47.85546875" customWidth="1"/>
    <col min="11012" max="11012" width="14.5703125" bestFit="1" customWidth="1"/>
    <col min="11017" max="11017" width="21.140625" customWidth="1"/>
    <col min="11265" max="11265" width="9.85546875" customWidth="1"/>
    <col min="11267" max="11267" width="47.85546875" customWidth="1"/>
    <col min="11268" max="11268" width="14.5703125" bestFit="1" customWidth="1"/>
    <col min="11273" max="11273" width="21.140625" customWidth="1"/>
    <col min="11521" max="11521" width="9.85546875" customWidth="1"/>
    <col min="11523" max="11523" width="47.85546875" customWidth="1"/>
    <col min="11524" max="11524" width="14.5703125" bestFit="1" customWidth="1"/>
    <col min="11529" max="11529" width="21.140625" customWidth="1"/>
    <col min="11777" max="11777" width="9.85546875" customWidth="1"/>
    <col min="11779" max="11779" width="47.85546875" customWidth="1"/>
    <col min="11780" max="11780" width="14.5703125" bestFit="1" customWidth="1"/>
    <col min="11785" max="11785" width="21.140625" customWidth="1"/>
    <col min="12033" max="12033" width="9.85546875" customWidth="1"/>
    <col min="12035" max="12035" width="47.85546875" customWidth="1"/>
    <col min="12036" max="12036" width="14.5703125" bestFit="1" customWidth="1"/>
    <col min="12041" max="12041" width="21.140625" customWidth="1"/>
    <col min="12289" max="12289" width="9.85546875" customWidth="1"/>
    <col min="12291" max="12291" width="47.85546875" customWidth="1"/>
    <col min="12292" max="12292" width="14.5703125" bestFit="1" customWidth="1"/>
    <col min="12297" max="12297" width="21.140625" customWidth="1"/>
    <col min="12545" max="12545" width="9.85546875" customWidth="1"/>
    <col min="12547" max="12547" width="47.85546875" customWidth="1"/>
    <col min="12548" max="12548" width="14.5703125" bestFit="1" customWidth="1"/>
    <col min="12553" max="12553" width="21.140625" customWidth="1"/>
    <col min="12801" max="12801" width="9.85546875" customWidth="1"/>
    <col min="12803" max="12803" width="47.85546875" customWidth="1"/>
    <col min="12804" max="12804" width="14.5703125" bestFit="1" customWidth="1"/>
    <col min="12809" max="12809" width="21.140625" customWidth="1"/>
    <col min="13057" max="13057" width="9.85546875" customWidth="1"/>
    <col min="13059" max="13059" width="47.85546875" customWidth="1"/>
    <col min="13060" max="13060" width="14.5703125" bestFit="1" customWidth="1"/>
    <col min="13065" max="13065" width="21.140625" customWidth="1"/>
    <col min="13313" max="13313" width="9.85546875" customWidth="1"/>
    <col min="13315" max="13315" width="47.85546875" customWidth="1"/>
    <col min="13316" max="13316" width="14.5703125" bestFit="1" customWidth="1"/>
    <col min="13321" max="13321" width="21.140625" customWidth="1"/>
    <col min="13569" max="13569" width="9.85546875" customWidth="1"/>
    <col min="13571" max="13571" width="47.85546875" customWidth="1"/>
    <col min="13572" max="13572" width="14.5703125" bestFit="1" customWidth="1"/>
    <col min="13577" max="13577" width="21.140625" customWidth="1"/>
    <col min="13825" max="13825" width="9.85546875" customWidth="1"/>
    <col min="13827" max="13827" width="47.85546875" customWidth="1"/>
    <col min="13828" max="13828" width="14.5703125" bestFit="1" customWidth="1"/>
    <col min="13833" max="13833" width="21.140625" customWidth="1"/>
    <col min="14081" max="14081" width="9.85546875" customWidth="1"/>
    <col min="14083" max="14083" width="47.85546875" customWidth="1"/>
    <col min="14084" max="14084" width="14.5703125" bestFit="1" customWidth="1"/>
    <col min="14089" max="14089" width="21.140625" customWidth="1"/>
    <col min="14337" max="14337" width="9.85546875" customWidth="1"/>
    <col min="14339" max="14339" width="47.85546875" customWidth="1"/>
    <col min="14340" max="14340" width="14.5703125" bestFit="1" customWidth="1"/>
    <col min="14345" max="14345" width="21.140625" customWidth="1"/>
    <col min="14593" max="14593" width="9.85546875" customWidth="1"/>
    <col min="14595" max="14595" width="47.85546875" customWidth="1"/>
    <col min="14596" max="14596" width="14.5703125" bestFit="1" customWidth="1"/>
    <col min="14601" max="14601" width="21.140625" customWidth="1"/>
    <col min="14849" max="14849" width="9.85546875" customWidth="1"/>
    <col min="14851" max="14851" width="47.85546875" customWidth="1"/>
    <col min="14852" max="14852" width="14.5703125" bestFit="1" customWidth="1"/>
    <col min="14857" max="14857" width="21.140625" customWidth="1"/>
    <col min="15105" max="15105" width="9.85546875" customWidth="1"/>
    <col min="15107" max="15107" width="47.85546875" customWidth="1"/>
    <col min="15108" max="15108" width="14.5703125" bestFit="1" customWidth="1"/>
    <col min="15113" max="15113" width="21.140625" customWidth="1"/>
    <col min="15361" max="15361" width="9.85546875" customWidth="1"/>
    <col min="15363" max="15363" width="47.85546875" customWidth="1"/>
    <col min="15364" max="15364" width="14.5703125" bestFit="1" customWidth="1"/>
    <col min="15369" max="15369" width="21.140625" customWidth="1"/>
    <col min="15617" max="15617" width="9.85546875" customWidth="1"/>
    <col min="15619" max="15619" width="47.85546875" customWidth="1"/>
    <col min="15620" max="15620" width="14.5703125" bestFit="1" customWidth="1"/>
    <col min="15625" max="15625" width="21.140625" customWidth="1"/>
    <col min="15873" max="15873" width="9.85546875" customWidth="1"/>
    <col min="15875" max="15875" width="47.85546875" customWidth="1"/>
    <col min="15876" max="15876" width="14.5703125" bestFit="1" customWidth="1"/>
    <col min="15881" max="15881" width="21.140625" customWidth="1"/>
    <col min="16129" max="16129" width="9.85546875" customWidth="1"/>
    <col min="16131" max="16131" width="47.85546875" customWidth="1"/>
    <col min="16132" max="16132" width="14.5703125" bestFit="1" customWidth="1"/>
    <col min="16137" max="16137" width="21.140625" customWidth="1"/>
  </cols>
  <sheetData>
    <row r="1" spans="1:9" ht="22.5" customHeight="1" thickBot="1" x14ac:dyDescent="0.3">
      <c r="B1" s="1301" t="s">
        <v>5051</v>
      </c>
      <c r="C1" s="1302"/>
    </row>
    <row r="2" spans="1:9" ht="12" customHeight="1" x14ac:dyDescent="0.25"/>
    <row r="3" spans="1:9" ht="28.5" customHeight="1" x14ac:dyDescent="0.25">
      <c r="C3" s="1039" t="s">
        <v>5052</v>
      </c>
    </row>
    <row r="4" spans="1:9" ht="15.75" customHeight="1" thickBot="1" x14ac:dyDescent="0.3">
      <c r="D4" s="1303" t="s">
        <v>5053</v>
      </c>
      <c r="E4" s="1304"/>
      <c r="F4" s="1304"/>
      <c r="G4" s="1304"/>
      <c r="H4" s="1304"/>
    </row>
    <row r="5" spans="1:9" ht="25.5" x14ac:dyDescent="0.25">
      <c r="B5" s="1040" t="s">
        <v>10</v>
      </c>
      <c r="C5" s="1041" t="s">
        <v>5054</v>
      </c>
      <c r="D5" s="1042" t="s">
        <v>5055</v>
      </c>
      <c r="E5" s="1042" t="s">
        <v>5056</v>
      </c>
      <c r="F5" s="1042" t="s">
        <v>5057</v>
      </c>
      <c r="G5" s="1043" t="s">
        <v>5058</v>
      </c>
      <c r="H5" s="1044" t="s">
        <v>5059</v>
      </c>
      <c r="I5" s="1045" t="s">
        <v>5060</v>
      </c>
    </row>
    <row r="6" spans="1:9" x14ac:dyDescent="0.25">
      <c r="B6" s="1046" t="s">
        <v>4164</v>
      </c>
      <c r="C6" s="1047" t="s">
        <v>5061</v>
      </c>
      <c r="D6" s="1048">
        <v>3</v>
      </c>
      <c r="E6" s="1048">
        <v>3</v>
      </c>
      <c r="F6" s="1048">
        <f>+D6-E6</f>
        <v>0</v>
      </c>
      <c r="G6" s="1049">
        <f t="shared" ref="G6:G37" si="0">+D6</f>
        <v>3</v>
      </c>
      <c r="H6" s="1048"/>
      <c r="I6" s="1"/>
    </row>
    <row r="7" spans="1:9" x14ac:dyDescent="0.25">
      <c r="B7" s="1046" t="s">
        <v>5062</v>
      </c>
      <c r="C7" s="1047" t="s">
        <v>5063</v>
      </c>
      <c r="D7" s="1048">
        <v>2</v>
      </c>
      <c r="E7" s="1048">
        <v>2</v>
      </c>
      <c r="F7" s="1048">
        <f t="shared" ref="F7:F37" si="1">+D7-E7</f>
        <v>0</v>
      </c>
      <c r="G7" s="1049">
        <f t="shared" si="0"/>
        <v>2</v>
      </c>
      <c r="H7" s="1048"/>
      <c r="I7" s="1"/>
    </row>
    <row r="8" spans="1:9" x14ac:dyDescent="0.25">
      <c r="B8" s="1046" t="s">
        <v>5064</v>
      </c>
      <c r="C8" s="1047" t="s">
        <v>5065</v>
      </c>
      <c r="D8" s="1048">
        <v>2</v>
      </c>
      <c r="E8" s="1048">
        <v>2</v>
      </c>
      <c r="F8" s="1048">
        <f t="shared" si="1"/>
        <v>0</v>
      </c>
      <c r="G8" s="1049">
        <f t="shared" si="0"/>
        <v>2</v>
      </c>
      <c r="H8" s="1048"/>
      <c r="I8" s="1"/>
    </row>
    <row r="9" spans="1:9" x14ac:dyDescent="0.25">
      <c r="B9" s="1046" t="s">
        <v>4165</v>
      </c>
      <c r="C9" s="1047" t="s">
        <v>4413</v>
      </c>
      <c r="D9" s="1048">
        <v>0</v>
      </c>
      <c r="E9" s="1048">
        <f>+D9</f>
        <v>0</v>
      </c>
      <c r="F9" s="1048">
        <f t="shared" si="1"/>
        <v>0</v>
      </c>
      <c r="G9" s="1049">
        <f t="shared" si="0"/>
        <v>0</v>
      </c>
      <c r="H9" s="1048"/>
      <c r="I9" s="1"/>
    </row>
    <row r="10" spans="1:9" x14ac:dyDescent="0.25">
      <c r="B10" s="1046" t="s">
        <v>4166</v>
      </c>
      <c r="C10" s="1047" t="s">
        <v>5066</v>
      </c>
      <c r="D10" s="1048">
        <v>0</v>
      </c>
      <c r="E10" s="1048">
        <f t="shared" ref="E10:E15" si="2">+D10</f>
        <v>0</v>
      </c>
      <c r="F10" s="1048">
        <f t="shared" si="1"/>
        <v>0</v>
      </c>
      <c r="G10" s="1049">
        <f t="shared" si="0"/>
        <v>0</v>
      </c>
      <c r="H10" s="1048"/>
      <c r="I10" s="1"/>
    </row>
    <row r="11" spans="1:9" x14ac:dyDescent="0.25">
      <c r="B11" s="1046" t="s">
        <v>5067</v>
      </c>
      <c r="C11" s="1047" t="s">
        <v>5068</v>
      </c>
      <c r="D11" s="1048">
        <v>7</v>
      </c>
      <c r="E11" s="1048">
        <v>7</v>
      </c>
      <c r="F11" s="1048">
        <f t="shared" si="1"/>
        <v>0</v>
      </c>
      <c r="G11" s="1049">
        <f t="shared" si="0"/>
        <v>7</v>
      </c>
      <c r="H11" s="1048"/>
      <c r="I11" s="1"/>
    </row>
    <row r="12" spans="1:9" x14ac:dyDescent="0.25">
      <c r="B12" s="1046" t="s">
        <v>4167</v>
      </c>
      <c r="C12" s="1047" t="s">
        <v>2482</v>
      </c>
      <c r="D12" s="1048">
        <v>1</v>
      </c>
      <c r="E12" s="1048">
        <v>1</v>
      </c>
      <c r="F12" s="1048">
        <f t="shared" si="1"/>
        <v>0</v>
      </c>
      <c r="G12" s="1049">
        <f t="shared" si="0"/>
        <v>1</v>
      </c>
      <c r="H12" s="1048"/>
      <c r="I12" s="1"/>
    </row>
    <row r="13" spans="1:9" x14ac:dyDescent="0.25">
      <c r="B13" s="1046" t="s">
        <v>4168</v>
      </c>
      <c r="C13" s="1047" t="s">
        <v>5069</v>
      </c>
      <c r="D13" s="1048">
        <v>0</v>
      </c>
      <c r="E13" s="1048">
        <f t="shared" si="2"/>
        <v>0</v>
      </c>
      <c r="F13" s="1048">
        <f t="shared" si="1"/>
        <v>0</v>
      </c>
      <c r="G13" s="1049">
        <f t="shared" si="0"/>
        <v>0</v>
      </c>
      <c r="H13" s="1048"/>
      <c r="I13" s="1"/>
    </row>
    <row r="14" spans="1:9" x14ac:dyDescent="0.25">
      <c r="B14" s="1046" t="s">
        <v>4169</v>
      </c>
      <c r="C14" s="1047" t="s">
        <v>2857</v>
      </c>
      <c r="D14" s="1048">
        <v>0</v>
      </c>
      <c r="E14" s="1048">
        <f t="shared" si="2"/>
        <v>0</v>
      </c>
      <c r="F14" s="1048">
        <f t="shared" si="1"/>
        <v>0</v>
      </c>
      <c r="G14" s="1049">
        <f t="shared" si="0"/>
        <v>0</v>
      </c>
      <c r="H14" s="1048"/>
      <c r="I14" s="1"/>
    </row>
    <row r="15" spans="1:9" x14ac:dyDescent="0.25">
      <c r="B15" s="1046" t="s">
        <v>4170</v>
      </c>
      <c r="C15" s="1047" t="s">
        <v>5070</v>
      </c>
      <c r="D15" s="1048">
        <v>0</v>
      </c>
      <c r="E15" s="1048">
        <f t="shared" si="2"/>
        <v>0</v>
      </c>
      <c r="F15" s="1048">
        <f t="shared" si="1"/>
        <v>0</v>
      </c>
      <c r="G15" s="1049">
        <f t="shared" si="0"/>
        <v>0</v>
      </c>
      <c r="H15" s="1048"/>
      <c r="I15" s="1050"/>
    </row>
    <row r="16" spans="1:9" x14ac:dyDescent="0.25">
      <c r="A16" s="1051"/>
      <c r="B16" s="1046" t="s">
        <v>4565</v>
      </c>
      <c r="C16" s="1047" t="s">
        <v>4417</v>
      </c>
      <c r="D16" s="1048">
        <v>2</v>
      </c>
      <c r="E16" s="1048">
        <v>2</v>
      </c>
      <c r="F16" s="1048">
        <f t="shared" si="1"/>
        <v>0</v>
      </c>
      <c r="G16" s="1049">
        <f t="shared" si="0"/>
        <v>2</v>
      </c>
      <c r="H16" s="1048"/>
      <c r="I16" s="1050"/>
    </row>
    <row r="17" spans="2:9" x14ac:dyDescent="0.25">
      <c r="B17" s="1046" t="s">
        <v>4238</v>
      </c>
      <c r="C17" s="1047" t="s">
        <v>5071</v>
      </c>
      <c r="D17" s="1048">
        <v>0</v>
      </c>
      <c r="E17" s="1048">
        <f t="shared" ref="E17:E37" si="3">+D17</f>
        <v>0</v>
      </c>
      <c r="F17" s="1048">
        <f t="shared" si="1"/>
        <v>0</v>
      </c>
      <c r="G17" s="1049">
        <f t="shared" si="0"/>
        <v>0</v>
      </c>
      <c r="H17" s="1048"/>
      <c r="I17" s="1050"/>
    </row>
    <row r="18" spans="2:9" x14ac:dyDescent="0.25">
      <c r="B18" s="1046" t="s">
        <v>4471</v>
      </c>
      <c r="C18" s="1047" t="s">
        <v>4568</v>
      </c>
      <c r="D18" s="1048">
        <v>0</v>
      </c>
      <c r="E18" s="1048">
        <f t="shared" si="3"/>
        <v>0</v>
      </c>
      <c r="F18" s="1048">
        <f t="shared" si="1"/>
        <v>0</v>
      </c>
      <c r="G18" s="1049">
        <f t="shared" si="0"/>
        <v>0</v>
      </c>
      <c r="H18" s="1048"/>
      <c r="I18" s="1050"/>
    </row>
    <row r="19" spans="2:9" x14ac:dyDescent="0.25">
      <c r="B19" s="1046" t="s">
        <v>4239</v>
      </c>
      <c r="C19" s="1047" t="s">
        <v>4569</v>
      </c>
      <c r="D19" s="1048">
        <v>2</v>
      </c>
      <c r="E19" s="1048">
        <v>2</v>
      </c>
      <c r="F19" s="1048">
        <f t="shared" si="1"/>
        <v>0</v>
      </c>
      <c r="G19" s="1049">
        <f t="shared" si="0"/>
        <v>2</v>
      </c>
      <c r="H19" s="1048"/>
      <c r="I19" s="1050"/>
    </row>
    <row r="20" spans="2:9" x14ac:dyDescent="0.25">
      <c r="B20" s="1046" t="s">
        <v>4478</v>
      </c>
      <c r="C20" s="1047" t="s">
        <v>5072</v>
      </c>
      <c r="D20" s="1048">
        <v>0</v>
      </c>
      <c r="E20" s="1048">
        <f t="shared" si="3"/>
        <v>0</v>
      </c>
      <c r="F20" s="1048">
        <f t="shared" si="1"/>
        <v>0</v>
      </c>
      <c r="G20" s="1049">
        <f>+D20</f>
        <v>0</v>
      </c>
      <c r="H20" s="1048"/>
      <c r="I20" s="1050"/>
    </row>
    <row r="21" spans="2:9" x14ac:dyDescent="0.25">
      <c r="B21" s="1046" t="s">
        <v>4560</v>
      </c>
      <c r="C21" s="1047" t="s">
        <v>5073</v>
      </c>
      <c r="D21" s="1048">
        <v>0</v>
      </c>
      <c r="E21" s="1048">
        <f t="shared" si="3"/>
        <v>0</v>
      </c>
      <c r="F21" s="1048">
        <f t="shared" si="1"/>
        <v>0</v>
      </c>
      <c r="G21" s="1049">
        <f t="shared" si="0"/>
        <v>0</v>
      </c>
      <c r="H21" s="1048"/>
      <c r="I21" s="1050"/>
    </row>
    <row r="22" spans="2:9" x14ac:dyDescent="0.25">
      <c r="B22" s="1046" t="s">
        <v>5074</v>
      </c>
      <c r="C22" s="1052" t="s">
        <v>5075</v>
      </c>
      <c r="D22" s="1048">
        <v>0</v>
      </c>
      <c r="E22" s="1048">
        <f t="shared" si="3"/>
        <v>0</v>
      </c>
      <c r="F22" s="1048">
        <f t="shared" si="1"/>
        <v>0</v>
      </c>
      <c r="G22" s="1049">
        <f t="shared" si="0"/>
        <v>0</v>
      </c>
      <c r="H22" s="1048"/>
      <c r="I22" s="1"/>
    </row>
    <row r="23" spans="2:9" x14ac:dyDescent="0.25">
      <c r="B23" s="1046" t="s">
        <v>5076</v>
      </c>
      <c r="C23" s="1052" t="s">
        <v>578</v>
      </c>
      <c r="D23" s="1048">
        <v>6</v>
      </c>
      <c r="E23" s="1048">
        <v>6</v>
      </c>
      <c r="F23" s="1048">
        <f t="shared" si="1"/>
        <v>0</v>
      </c>
      <c r="G23" s="1049">
        <f t="shared" si="0"/>
        <v>6</v>
      </c>
      <c r="H23" s="1048"/>
      <c r="I23" s="1"/>
    </row>
    <row r="24" spans="2:9" x14ac:dyDescent="0.25">
      <c r="B24" s="1046" t="s">
        <v>5077</v>
      </c>
      <c r="C24" s="1052" t="s">
        <v>4428</v>
      </c>
      <c r="D24" s="1048">
        <v>2</v>
      </c>
      <c r="E24" s="1048">
        <v>2</v>
      </c>
      <c r="F24" s="1048">
        <f t="shared" si="1"/>
        <v>0</v>
      </c>
      <c r="G24" s="1049">
        <f t="shared" si="0"/>
        <v>2</v>
      </c>
      <c r="H24" s="1048"/>
      <c r="I24" s="1050"/>
    </row>
    <row r="25" spans="2:9" x14ac:dyDescent="0.25">
      <c r="B25" s="1046" t="s">
        <v>4242</v>
      </c>
      <c r="C25" s="1052" t="s">
        <v>5078</v>
      </c>
      <c r="D25" s="1048">
        <v>0</v>
      </c>
      <c r="E25" s="1048">
        <f t="shared" si="3"/>
        <v>0</v>
      </c>
      <c r="F25" s="1048">
        <f t="shared" si="1"/>
        <v>0</v>
      </c>
      <c r="G25" s="1049">
        <f t="shared" si="0"/>
        <v>0</v>
      </c>
      <c r="H25" s="1048"/>
      <c r="I25" s="1"/>
    </row>
    <row r="26" spans="2:9" x14ac:dyDescent="0.25">
      <c r="B26" s="1046" t="s">
        <v>5079</v>
      </c>
      <c r="C26" s="1053" t="s">
        <v>5080</v>
      </c>
      <c r="D26" s="1048">
        <v>0</v>
      </c>
      <c r="E26" s="1048">
        <f t="shared" si="3"/>
        <v>0</v>
      </c>
      <c r="F26" s="1048">
        <f t="shared" si="1"/>
        <v>0</v>
      </c>
      <c r="G26" s="1049">
        <f t="shared" si="0"/>
        <v>0</v>
      </c>
      <c r="H26" s="1048"/>
      <c r="I26" s="1"/>
    </row>
    <row r="27" spans="2:9" x14ac:dyDescent="0.25">
      <c r="B27" s="1046" t="s">
        <v>5081</v>
      </c>
      <c r="C27" s="1052" t="s">
        <v>4567</v>
      </c>
      <c r="D27" s="1048">
        <v>1</v>
      </c>
      <c r="E27" s="1048">
        <v>1</v>
      </c>
      <c r="F27" s="1048">
        <f t="shared" si="1"/>
        <v>0</v>
      </c>
      <c r="G27" s="1049">
        <f t="shared" si="0"/>
        <v>1</v>
      </c>
      <c r="H27" s="1048"/>
      <c r="I27" s="1"/>
    </row>
    <row r="28" spans="2:9" x14ac:dyDescent="0.25">
      <c r="B28" s="1046" t="s">
        <v>5082</v>
      </c>
      <c r="C28" s="1052" t="s">
        <v>5083</v>
      </c>
      <c r="D28" s="1048">
        <v>4</v>
      </c>
      <c r="E28" s="1048">
        <v>4</v>
      </c>
      <c r="F28" s="1048">
        <f t="shared" si="1"/>
        <v>0</v>
      </c>
      <c r="G28" s="1049">
        <f t="shared" si="0"/>
        <v>4</v>
      </c>
      <c r="H28" s="1048"/>
      <c r="I28" s="1"/>
    </row>
    <row r="29" spans="2:9" x14ac:dyDescent="0.25">
      <c r="B29" s="1046" t="s">
        <v>5084</v>
      </c>
      <c r="C29" s="1052" t="s">
        <v>5085</v>
      </c>
      <c r="D29" s="1048"/>
      <c r="E29" s="1048">
        <f t="shared" si="3"/>
        <v>0</v>
      </c>
      <c r="F29" s="1048">
        <f t="shared" si="1"/>
        <v>0</v>
      </c>
      <c r="G29" s="1049">
        <f t="shared" si="0"/>
        <v>0</v>
      </c>
      <c r="H29" s="1048"/>
      <c r="I29" s="193"/>
    </row>
    <row r="30" spans="2:9" x14ac:dyDescent="0.25">
      <c r="B30" s="1046" t="s">
        <v>5086</v>
      </c>
      <c r="C30" s="1052" t="s">
        <v>5087</v>
      </c>
      <c r="D30" s="1048"/>
      <c r="E30" s="1048">
        <f t="shared" si="3"/>
        <v>0</v>
      </c>
      <c r="F30" s="1048">
        <f t="shared" si="1"/>
        <v>0</v>
      </c>
      <c r="G30" s="1049">
        <f t="shared" si="0"/>
        <v>0</v>
      </c>
      <c r="H30" s="1048"/>
      <c r="I30" s="1"/>
    </row>
    <row r="31" spans="2:9" x14ac:dyDescent="0.25">
      <c r="B31" s="1046" t="s">
        <v>5088</v>
      </c>
      <c r="C31" s="1052" t="s">
        <v>5089</v>
      </c>
      <c r="D31" s="1048"/>
      <c r="E31" s="1048">
        <f t="shared" si="3"/>
        <v>0</v>
      </c>
      <c r="F31" s="1048">
        <f t="shared" si="1"/>
        <v>0</v>
      </c>
      <c r="G31" s="1049">
        <f t="shared" si="0"/>
        <v>0</v>
      </c>
      <c r="H31" s="1048"/>
      <c r="I31" s="1"/>
    </row>
    <row r="32" spans="2:9" x14ac:dyDescent="0.25">
      <c r="B32" s="1046" t="s">
        <v>5090</v>
      </c>
      <c r="C32" s="1052" t="s">
        <v>5091</v>
      </c>
      <c r="D32" s="1048"/>
      <c r="E32" s="1048">
        <f t="shared" si="3"/>
        <v>0</v>
      </c>
      <c r="F32" s="1048">
        <f t="shared" si="1"/>
        <v>0</v>
      </c>
      <c r="G32" s="1049">
        <f t="shared" si="0"/>
        <v>0</v>
      </c>
      <c r="H32" s="1048"/>
      <c r="I32" s="1"/>
    </row>
    <row r="33" spans="2:9" x14ac:dyDescent="0.25">
      <c r="B33" s="1046" t="s">
        <v>5092</v>
      </c>
      <c r="C33" s="1052" t="s">
        <v>5093</v>
      </c>
      <c r="D33" s="1048"/>
      <c r="E33" s="1048"/>
      <c r="F33" s="1048">
        <f t="shared" si="1"/>
        <v>0</v>
      </c>
      <c r="G33" s="1049"/>
      <c r="H33" s="1048"/>
      <c r="I33" s="1"/>
    </row>
    <row r="34" spans="2:9" x14ac:dyDescent="0.25">
      <c r="B34" s="1046" t="s">
        <v>5094</v>
      </c>
      <c r="C34" s="1052" t="s">
        <v>5095</v>
      </c>
      <c r="D34" s="1048"/>
      <c r="E34" s="1048">
        <f t="shared" si="3"/>
        <v>0</v>
      </c>
      <c r="F34" s="1048">
        <f t="shared" si="1"/>
        <v>0</v>
      </c>
      <c r="G34" s="1049">
        <f t="shared" si="0"/>
        <v>0</v>
      </c>
      <c r="H34" s="1048"/>
      <c r="I34" s="1"/>
    </row>
    <row r="35" spans="2:9" x14ac:dyDescent="0.25">
      <c r="B35" s="1046" t="s">
        <v>5096</v>
      </c>
      <c r="C35" s="1052" t="s">
        <v>5097</v>
      </c>
      <c r="D35" s="1048"/>
      <c r="E35" s="1048">
        <f t="shared" si="3"/>
        <v>0</v>
      </c>
      <c r="F35" s="1048">
        <f t="shared" si="1"/>
        <v>0</v>
      </c>
      <c r="G35" s="1049">
        <f t="shared" si="0"/>
        <v>0</v>
      </c>
      <c r="H35" s="1048"/>
      <c r="I35" s="1"/>
    </row>
    <row r="36" spans="2:9" x14ac:dyDescent="0.25">
      <c r="B36" s="1046" t="s">
        <v>4269</v>
      </c>
      <c r="C36" s="1052" t="s">
        <v>5098</v>
      </c>
      <c r="D36" s="1048"/>
      <c r="E36" s="1048"/>
      <c r="F36" s="1048">
        <f t="shared" si="1"/>
        <v>0</v>
      </c>
      <c r="G36" s="1049"/>
      <c r="H36" s="1048"/>
      <c r="I36" s="1"/>
    </row>
    <row r="37" spans="2:9" x14ac:dyDescent="0.25">
      <c r="B37" s="1046" t="s">
        <v>4271</v>
      </c>
      <c r="C37" s="1052" t="s">
        <v>5099</v>
      </c>
      <c r="D37" s="1048"/>
      <c r="E37" s="1048">
        <f t="shared" si="3"/>
        <v>0</v>
      </c>
      <c r="F37" s="1048">
        <f t="shared" si="1"/>
        <v>0</v>
      </c>
      <c r="G37" s="1049">
        <f t="shared" si="0"/>
        <v>0</v>
      </c>
      <c r="H37" s="1048"/>
      <c r="I37" s="1050" t="s">
        <v>5100</v>
      </c>
    </row>
    <row r="38" spans="2:9" x14ac:dyDescent="0.25">
      <c r="B38" s="1046" t="s">
        <v>4576</v>
      </c>
      <c r="C38" s="1052" t="s">
        <v>5101</v>
      </c>
      <c r="D38" s="1048"/>
      <c r="E38" s="1048"/>
      <c r="F38" s="1048"/>
      <c r="G38" s="1049"/>
      <c r="H38" s="1048"/>
      <c r="I38" s="1"/>
    </row>
    <row r="39" spans="2:9" ht="15.75" x14ac:dyDescent="0.25">
      <c r="C39" s="1054" t="s">
        <v>4235</v>
      </c>
      <c r="D39" s="1055">
        <f>SUM(D6:D37)</f>
        <v>32</v>
      </c>
      <c r="E39" s="1055">
        <f>SUM(E6:E37)</f>
        <v>32</v>
      </c>
      <c r="F39" s="1055">
        <f>SUM(F6:F37)</f>
        <v>0</v>
      </c>
      <c r="G39" s="1056">
        <f>SUM(G6:G37)</f>
        <v>32</v>
      </c>
      <c r="H39" s="1055">
        <f>SUM(H6:H37)</f>
        <v>0</v>
      </c>
      <c r="I39" s="1"/>
    </row>
    <row r="41" spans="2:9" x14ac:dyDescent="0.25">
      <c r="B41" s="1057">
        <v>250</v>
      </c>
      <c r="C41" s="1058" t="s">
        <v>5102</v>
      </c>
      <c r="D41" s="1059">
        <f>+D39/$B41</f>
        <v>0.128</v>
      </c>
      <c r="E41" s="1059">
        <f>+E39/$B41</f>
        <v>0.128</v>
      </c>
      <c r="F41" s="1059">
        <f>+F39/$B41</f>
        <v>0</v>
      </c>
      <c r="G41" s="1059">
        <f>+G39/$B41</f>
        <v>0.128</v>
      </c>
      <c r="H41" s="1059">
        <f>+H39/$B41</f>
        <v>0</v>
      </c>
    </row>
    <row r="43" spans="2:9" x14ac:dyDescent="0.25">
      <c r="B43" s="56"/>
      <c r="C43" s="56"/>
    </row>
  </sheetData>
  <mergeCells count="2">
    <mergeCell ref="B1:C1"/>
    <mergeCell ref="D4:H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18"/>
  <sheetViews>
    <sheetView topLeftCell="A301" zoomScale="91" zoomScaleNormal="91" workbookViewId="0">
      <selection activeCell="B320" sqref="B320"/>
    </sheetView>
  </sheetViews>
  <sheetFormatPr baseColWidth="10" defaultColWidth="10.7109375" defaultRowHeight="15" x14ac:dyDescent="0.25"/>
  <cols>
    <col min="2" max="2" width="60.7109375" customWidth="1"/>
    <col min="4" max="4" width="10.7109375" style="195"/>
    <col min="5" max="5" width="16.28515625" style="249" customWidth="1"/>
    <col min="6" max="6" width="14.85546875" customWidth="1"/>
    <col min="8" max="8" width="11" customWidth="1"/>
  </cols>
  <sheetData>
    <row r="1" spans="1:9" ht="90" customHeight="1" thickBot="1" x14ac:dyDescent="0.3">
      <c r="A1" s="1305" t="s">
        <v>4694</v>
      </c>
      <c r="B1" s="1306"/>
      <c r="C1" s="1306"/>
      <c r="D1" s="1306"/>
      <c r="E1" s="1306"/>
      <c r="F1" s="1306"/>
      <c r="G1" s="1306"/>
      <c r="H1" s="1306"/>
      <c r="I1" s="1307"/>
    </row>
    <row r="2" spans="1:9" ht="36" customHeight="1" x14ac:dyDescent="0.25">
      <c r="A2" s="367" t="s">
        <v>4453</v>
      </c>
      <c r="B2" s="368" t="s">
        <v>4015</v>
      </c>
      <c r="C2" s="368" t="s">
        <v>8</v>
      </c>
      <c r="D2" s="368" t="s">
        <v>11</v>
      </c>
      <c r="E2" s="1100" t="s">
        <v>5012</v>
      </c>
      <c r="F2" s="368" t="s">
        <v>4454</v>
      </c>
      <c r="G2" s="368"/>
      <c r="H2" s="368"/>
      <c r="I2" s="368"/>
    </row>
    <row r="3" spans="1:9" x14ac:dyDescent="0.25">
      <c r="A3" s="360">
        <v>1</v>
      </c>
      <c r="B3" s="361" t="s">
        <v>1338</v>
      </c>
      <c r="C3" s="250" t="s">
        <v>4015</v>
      </c>
      <c r="D3" s="362" t="s">
        <v>4016</v>
      </c>
      <c r="E3" s="363">
        <v>4690</v>
      </c>
      <c r="F3" s="363">
        <v>3405.67</v>
      </c>
      <c r="G3" s="364">
        <v>1.19</v>
      </c>
      <c r="H3" s="365"/>
      <c r="I3" s="366"/>
    </row>
    <row r="4" spans="1:9" x14ac:dyDescent="0.25">
      <c r="A4" s="171">
        <v>2</v>
      </c>
      <c r="B4" s="172" t="s">
        <v>4017</v>
      </c>
      <c r="C4" s="9" t="s">
        <v>4015</v>
      </c>
      <c r="D4" s="177" t="s">
        <v>3993</v>
      </c>
      <c r="E4" s="363">
        <v>893202</v>
      </c>
      <c r="F4" s="178">
        <v>771900</v>
      </c>
      <c r="G4" s="173">
        <v>1.19</v>
      </c>
      <c r="H4" s="1"/>
      <c r="I4" s="3"/>
    </row>
    <row r="5" spans="1:9" ht="24" x14ac:dyDescent="0.25">
      <c r="A5" s="171">
        <v>3</v>
      </c>
      <c r="B5" s="174" t="s">
        <v>2626</v>
      </c>
      <c r="C5" s="9" t="s">
        <v>4015</v>
      </c>
      <c r="D5" s="177" t="s">
        <v>4018</v>
      </c>
      <c r="E5" s="363">
        <v>122755</v>
      </c>
      <c r="F5" s="178">
        <v>89146.31</v>
      </c>
      <c r="G5" s="173">
        <v>1.19</v>
      </c>
      <c r="H5" s="1"/>
      <c r="I5" s="3"/>
    </row>
    <row r="6" spans="1:9" x14ac:dyDescent="0.25">
      <c r="A6" s="171">
        <v>4</v>
      </c>
      <c r="B6" s="172" t="s">
        <v>4019</v>
      </c>
      <c r="C6" s="9" t="s">
        <v>4015</v>
      </c>
      <c r="D6" s="177" t="s">
        <v>3975</v>
      </c>
      <c r="E6" s="363">
        <v>89291</v>
      </c>
      <c r="F6" s="178">
        <v>64844</v>
      </c>
      <c r="G6" s="173">
        <v>1.19</v>
      </c>
      <c r="H6" s="1"/>
      <c r="I6" s="3"/>
    </row>
    <row r="7" spans="1:9" x14ac:dyDescent="0.25">
      <c r="A7" s="171">
        <v>5</v>
      </c>
      <c r="B7" s="172" t="s">
        <v>4020</v>
      </c>
      <c r="C7" s="9" t="s">
        <v>4015</v>
      </c>
      <c r="D7" s="177" t="s">
        <v>4021</v>
      </c>
      <c r="E7" s="363">
        <v>132192</v>
      </c>
      <c r="F7" s="178">
        <v>96000</v>
      </c>
      <c r="G7" s="173">
        <v>1.19</v>
      </c>
      <c r="H7" s="1"/>
      <c r="I7" s="3"/>
    </row>
    <row r="8" spans="1:9" ht="24" x14ac:dyDescent="0.25">
      <c r="A8" s="171">
        <v>6</v>
      </c>
      <c r="B8" s="174" t="s">
        <v>4022</v>
      </c>
      <c r="C8" s="9" t="s">
        <v>4015</v>
      </c>
      <c r="D8" s="177" t="s">
        <v>11</v>
      </c>
      <c r="E8" s="363">
        <v>1652406</v>
      </c>
      <c r="F8" s="178">
        <v>1200000</v>
      </c>
      <c r="G8" s="173">
        <v>1.19</v>
      </c>
      <c r="H8" s="1"/>
      <c r="I8" s="3"/>
    </row>
    <row r="9" spans="1:9" x14ac:dyDescent="0.25">
      <c r="A9" s="171" t="s">
        <v>5187</v>
      </c>
      <c r="B9" s="172" t="s">
        <v>4023</v>
      </c>
      <c r="C9" s="9" t="s">
        <v>4015</v>
      </c>
      <c r="D9" s="177" t="s">
        <v>4024</v>
      </c>
      <c r="E9" s="363">
        <f>+'SUB ANALISIS CONCRETO'!I25</f>
        <v>393249.64250000002</v>
      </c>
      <c r="F9" s="178">
        <f>+E9/G9</f>
        <v>330461.88445378153</v>
      </c>
      <c r="G9" s="173">
        <v>1.19</v>
      </c>
      <c r="H9" s="1"/>
      <c r="I9" s="3"/>
    </row>
    <row r="10" spans="1:9" x14ac:dyDescent="0.25">
      <c r="A10" s="171">
        <v>8</v>
      </c>
      <c r="B10" s="172" t="s">
        <v>18</v>
      </c>
      <c r="C10" s="9" t="s">
        <v>4015</v>
      </c>
      <c r="D10" s="177" t="s">
        <v>4025</v>
      </c>
      <c r="E10" s="363">
        <v>0</v>
      </c>
      <c r="F10" s="1"/>
      <c r="G10" s="173">
        <v>1.19</v>
      </c>
      <c r="H10" s="1"/>
      <c r="I10" s="3"/>
    </row>
    <row r="11" spans="1:9" x14ac:dyDescent="0.25">
      <c r="A11" s="171">
        <v>9</v>
      </c>
      <c r="B11" s="172" t="s">
        <v>1356</v>
      </c>
      <c r="C11" s="9" t="s">
        <v>4015</v>
      </c>
      <c r="D11" s="177" t="s">
        <v>4026</v>
      </c>
      <c r="E11" s="363">
        <v>4956</v>
      </c>
      <c r="F11" s="178">
        <v>3598.93</v>
      </c>
      <c r="G11" s="173">
        <v>1.19</v>
      </c>
      <c r="H11" s="1"/>
      <c r="I11" s="3"/>
    </row>
    <row r="12" spans="1:9" x14ac:dyDescent="0.25">
      <c r="A12" s="171">
        <v>10</v>
      </c>
      <c r="B12" s="172" t="s">
        <v>1360</v>
      </c>
      <c r="C12" s="9" t="s">
        <v>4015</v>
      </c>
      <c r="D12" s="177" t="s">
        <v>4026</v>
      </c>
      <c r="E12" s="363">
        <v>4956</v>
      </c>
      <c r="F12" s="178">
        <v>3598.93</v>
      </c>
      <c r="G12" s="173">
        <v>1.19</v>
      </c>
      <c r="H12" s="1"/>
      <c r="I12" s="3"/>
    </row>
    <row r="13" spans="1:9" x14ac:dyDescent="0.25">
      <c r="A13" s="171"/>
      <c r="B13" s="172" t="s">
        <v>4092</v>
      </c>
      <c r="C13" s="9" t="s">
        <v>4015</v>
      </c>
      <c r="D13" s="177" t="s">
        <v>11</v>
      </c>
      <c r="E13" s="363">
        <v>4484</v>
      </c>
      <c r="F13" s="178"/>
      <c r="G13" s="173"/>
      <c r="H13" s="1"/>
      <c r="I13" s="3"/>
    </row>
    <row r="14" spans="1:9" x14ac:dyDescent="0.25">
      <c r="A14" s="171">
        <v>11</v>
      </c>
      <c r="B14" s="172" t="s">
        <v>2536</v>
      </c>
      <c r="C14" s="9" t="s">
        <v>4015</v>
      </c>
      <c r="D14" s="177" t="s">
        <v>11</v>
      </c>
      <c r="E14" s="363">
        <v>23271</v>
      </c>
      <c r="F14" s="178">
        <v>16900</v>
      </c>
      <c r="G14" s="173">
        <v>1.19</v>
      </c>
      <c r="H14" s="179" t="s">
        <v>1027</v>
      </c>
      <c r="I14" s="180">
        <f>(E14/3)</f>
        <v>7757</v>
      </c>
    </row>
    <row r="15" spans="1:9" x14ac:dyDescent="0.25">
      <c r="A15" s="171">
        <v>12</v>
      </c>
      <c r="B15" s="172" t="s">
        <v>2572</v>
      </c>
      <c r="C15" s="9" t="s">
        <v>4015</v>
      </c>
      <c r="D15" s="177" t="s">
        <v>11</v>
      </c>
      <c r="E15" s="363">
        <v>12900</v>
      </c>
      <c r="F15" s="178">
        <v>10840.33</v>
      </c>
      <c r="G15" s="173">
        <v>1.19</v>
      </c>
      <c r="H15" s="179" t="s">
        <v>1027</v>
      </c>
      <c r="I15" s="180">
        <f>(E15/3)</f>
        <v>4300</v>
      </c>
    </row>
    <row r="16" spans="1:9" x14ac:dyDescent="0.25">
      <c r="A16" s="171">
        <v>13</v>
      </c>
      <c r="B16" s="172" t="s">
        <v>2574</v>
      </c>
      <c r="C16" s="9" t="s">
        <v>4015</v>
      </c>
      <c r="D16" s="177" t="s">
        <v>11</v>
      </c>
      <c r="E16" s="363">
        <v>17100</v>
      </c>
      <c r="F16" s="178">
        <f>(E16/G16)</f>
        <v>14369.747899159665</v>
      </c>
      <c r="G16" s="173">
        <v>1.19</v>
      </c>
      <c r="H16" s="178"/>
      <c r="I16" s="3"/>
    </row>
    <row r="17" spans="1:9" x14ac:dyDescent="0.25">
      <c r="A17" s="171">
        <v>14</v>
      </c>
      <c r="B17" s="172" t="s">
        <v>232</v>
      </c>
      <c r="C17" s="9" t="s">
        <v>4015</v>
      </c>
      <c r="D17" s="179" t="s">
        <v>4027</v>
      </c>
      <c r="E17" s="363">
        <v>4150</v>
      </c>
      <c r="F17" s="178">
        <v>4819.25</v>
      </c>
      <c r="G17" s="173">
        <v>1.19</v>
      </c>
      <c r="H17" s="1"/>
      <c r="I17" s="3"/>
    </row>
    <row r="18" spans="1:9" x14ac:dyDescent="0.25">
      <c r="A18" s="171">
        <v>15</v>
      </c>
      <c r="B18" s="172" t="s">
        <v>234</v>
      </c>
      <c r="C18" s="9" t="s">
        <v>4015</v>
      </c>
      <c r="D18" s="179" t="s">
        <v>4027</v>
      </c>
      <c r="E18" s="363">
        <v>11003</v>
      </c>
      <c r="F18" s="178">
        <v>4341.84</v>
      </c>
      <c r="G18" s="173">
        <v>1.19</v>
      </c>
      <c r="H18" s="1"/>
      <c r="I18" s="3"/>
    </row>
    <row r="19" spans="1:9" x14ac:dyDescent="0.25">
      <c r="A19" s="171">
        <v>16</v>
      </c>
      <c r="B19" s="172" t="s">
        <v>4028</v>
      </c>
      <c r="C19" s="9" t="s">
        <v>4015</v>
      </c>
      <c r="D19" s="179" t="s">
        <v>4027</v>
      </c>
      <c r="E19" s="363">
        <f>4150+420</f>
        <v>4570</v>
      </c>
      <c r="F19" s="178">
        <f>(E19/G19)</f>
        <v>3840.3361344537816</v>
      </c>
      <c r="G19" s="173">
        <v>1.19</v>
      </c>
      <c r="H19" s="1"/>
      <c r="I19" s="3"/>
    </row>
    <row r="20" spans="1:9" x14ac:dyDescent="0.25">
      <c r="A20" s="171">
        <v>17</v>
      </c>
      <c r="B20" s="172" t="s">
        <v>4029</v>
      </c>
      <c r="C20" s="9" t="s">
        <v>4015</v>
      </c>
      <c r="D20" s="179" t="s">
        <v>3980</v>
      </c>
      <c r="E20" s="363">
        <v>551316</v>
      </c>
      <c r="F20" s="178">
        <f>(E20/G19)</f>
        <v>463290.75630252104</v>
      </c>
      <c r="G20" s="173">
        <v>1.19</v>
      </c>
      <c r="H20" s="181"/>
      <c r="I20" s="3"/>
    </row>
    <row r="21" spans="1:9" x14ac:dyDescent="0.25">
      <c r="A21" s="171">
        <v>18</v>
      </c>
      <c r="B21" s="182" t="s">
        <v>2731</v>
      </c>
      <c r="C21" s="9" t="s">
        <v>4015</v>
      </c>
      <c r="D21" s="179" t="s">
        <v>4027</v>
      </c>
      <c r="E21" s="363">
        <v>7517</v>
      </c>
      <c r="F21" s="178">
        <f>(E21/G21)</f>
        <v>6316.8067226890762</v>
      </c>
      <c r="G21" s="173">
        <v>1.19</v>
      </c>
      <c r="H21" s="1"/>
      <c r="I21" s="3"/>
    </row>
    <row r="22" spans="1:9" x14ac:dyDescent="0.25">
      <c r="A22" s="171">
        <v>19</v>
      </c>
      <c r="B22" s="182" t="s">
        <v>4030</v>
      </c>
      <c r="C22" s="9" t="s">
        <v>4015</v>
      </c>
      <c r="D22" s="179" t="s">
        <v>3975</v>
      </c>
      <c r="E22" s="363">
        <v>59595</v>
      </c>
      <c r="F22" s="178">
        <f>(E22/G22)</f>
        <v>50079.831932773115</v>
      </c>
      <c r="G22" s="173">
        <v>1.19</v>
      </c>
      <c r="H22" s="1"/>
      <c r="I22" s="3"/>
    </row>
    <row r="23" spans="1:9" x14ac:dyDescent="0.25">
      <c r="A23" s="171">
        <v>20</v>
      </c>
      <c r="B23" s="172" t="s">
        <v>1290</v>
      </c>
      <c r="C23" s="9" t="s">
        <v>4015</v>
      </c>
      <c r="D23" s="179" t="s">
        <v>4027</v>
      </c>
      <c r="E23" s="363">
        <v>2910</v>
      </c>
      <c r="F23" s="178">
        <v>2113.1</v>
      </c>
      <c r="G23" s="173">
        <v>1.19</v>
      </c>
      <c r="H23" s="1"/>
      <c r="I23" s="3"/>
    </row>
    <row r="24" spans="1:9" ht="24" x14ac:dyDescent="0.25">
      <c r="A24" s="171">
        <v>21</v>
      </c>
      <c r="B24" s="174" t="s">
        <v>2620</v>
      </c>
      <c r="C24" s="9" t="s">
        <v>4015</v>
      </c>
      <c r="D24" s="179" t="s">
        <v>4018</v>
      </c>
      <c r="E24" s="363">
        <v>227326</v>
      </c>
      <c r="F24" s="178">
        <f>(E24/G24)</f>
        <v>191030.25210084036</v>
      </c>
      <c r="G24" s="173">
        <v>1.19</v>
      </c>
      <c r="H24" s="1"/>
      <c r="I24" s="3"/>
    </row>
    <row r="25" spans="1:9" x14ac:dyDescent="0.25">
      <c r="A25" s="171">
        <v>22</v>
      </c>
      <c r="B25" s="174" t="s">
        <v>2642</v>
      </c>
      <c r="C25" s="9" t="s">
        <v>4015</v>
      </c>
      <c r="D25" s="179" t="s">
        <v>4018</v>
      </c>
      <c r="E25" s="363">
        <v>68416</v>
      </c>
      <c r="F25" s="178">
        <v>49684.44</v>
      </c>
      <c r="G25" s="173">
        <v>1.19</v>
      </c>
      <c r="H25" s="1"/>
      <c r="I25" s="3"/>
    </row>
    <row r="26" spans="1:9" x14ac:dyDescent="0.25">
      <c r="A26" s="171">
        <v>23</v>
      </c>
      <c r="B26" s="172" t="s">
        <v>338</v>
      </c>
      <c r="C26" s="9" t="s">
        <v>4015</v>
      </c>
      <c r="D26" s="177" t="s">
        <v>4031</v>
      </c>
      <c r="E26" s="363">
        <v>39</v>
      </c>
      <c r="F26" s="178">
        <v>28.51</v>
      </c>
      <c r="G26" s="173">
        <v>1.19</v>
      </c>
      <c r="H26" s="1"/>
      <c r="I26" s="3"/>
    </row>
    <row r="27" spans="1:9" ht="24" x14ac:dyDescent="0.25">
      <c r="A27" s="171">
        <v>24</v>
      </c>
      <c r="B27" s="174" t="s">
        <v>2670</v>
      </c>
      <c r="C27" s="9" t="s">
        <v>4015</v>
      </c>
      <c r="D27" s="179" t="s">
        <v>4018</v>
      </c>
      <c r="E27" s="363">
        <v>146737</v>
      </c>
      <c r="F27" s="178">
        <f>(E27/G27)</f>
        <v>123308.40336134455</v>
      </c>
      <c r="G27" s="173">
        <v>1.19</v>
      </c>
      <c r="H27" s="1"/>
      <c r="I27" s="3"/>
    </row>
    <row r="28" spans="1:9" x14ac:dyDescent="0.25">
      <c r="A28" s="171">
        <v>25</v>
      </c>
      <c r="B28" s="172" t="s">
        <v>944</v>
      </c>
      <c r="C28" s="9" t="s">
        <v>4015</v>
      </c>
      <c r="D28" s="177" t="s">
        <v>4032</v>
      </c>
      <c r="E28" s="363">
        <v>13068</v>
      </c>
      <c r="F28" s="178">
        <v>9490</v>
      </c>
      <c r="G28" s="173">
        <v>1.19</v>
      </c>
      <c r="H28" s="1"/>
      <c r="I28" s="3"/>
    </row>
    <row r="29" spans="1:9" x14ac:dyDescent="0.25">
      <c r="A29" s="171">
        <v>26</v>
      </c>
      <c r="B29" s="175" t="s">
        <v>947</v>
      </c>
      <c r="C29" s="9" t="s">
        <v>4015</v>
      </c>
      <c r="D29" s="177" t="s">
        <v>4032</v>
      </c>
      <c r="E29" s="363">
        <v>15864</v>
      </c>
      <c r="F29" s="178">
        <v>11520.69</v>
      </c>
      <c r="G29" s="173">
        <v>1.19</v>
      </c>
      <c r="H29" s="1"/>
      <c r="I29" s="3"/>
    </row>
    <row r="30" spans="1:9" x14ac:dyDescent="0.25">
      <c r="A30" s="171">
        <v>27</v>
      </c>
      <c r="B30" s="175" t="s">
        <v>949</v>
      </c>
      <c r="C30" s="9" t="s">
        <v>4015</v>
      </c>
      <c r="D30" s="177" t="s">
        <v>4033</v>
      </c>
      <c r="E30" s="363">
        <v>11899</v>
      </c>
      <c r="F30" s="178">
        <v>8640.91</v>
      </c>
      <c r="G30" s="173">
        <v>1.19</v>
      </c>
      <c r="H30" s="1"/>
      <c r="I30" s="3"/>
    </row>
    <row r="31" spans="1:9" x14ac:dyDescent="0.25">
      <c r="A31" s="171">
        <v>28</v>
      </c>
      <c r="B31" s="175" t="s">
        <v>951</v>
      </c>
      <c r="C31" s="9" t="s">
        <v>4015</v>
      </c>
      <c r="D31" s="177" t="s">
        <v>4033</v>
      </c>
      <c r="E31" s="363">
        <v>14872</v>
      </c>
      <c r="F31" s="178">
        <v>10799.95</v>
      </c>
      <c r="G31" s="173">
        <v>1.19</v>
      </c>
      <c r="H31" s="1"/>
      <c r="I31" s="3"/>
    </row>
    <row r="32" spans="1:9" x14ac:dyDescent="0.25">
      <c r="A32" s="171">
        <v>29</v>
      </c>
      <c r="B32" s="172" t="s">
        <v>953</v>
      </c>
      <c r="C32" s="9" t="s">
        <v>4015</v>
      </c>
      <c r="D32" s="177" t="s">
        <v>4034</v>
      </c>
      <c r="E32" s="363">
        <v>67426</v>
      </c>
      <c r="F32" s="178">
        <v>48965.68</v>
      </c>
      <c r="G32" s="173">
        <v>1.19</v>
      </c>
      <c r="H32" s="1"/>
      <c r="I32" s="3"/>
    </row>
    <row r="33" spans="1:9" x14ac:dyDescent="0.25">
      <c r="A33" s="171">
        <v>30</v>
      </c>
      <c r="B33" s="172" t="s">
        <v>956</v>
      </c>
      <c r="C33" s="9" t="s">
        <v>4015</v>
      </c>
      <c r="D33" s="177" t="s">
        <v>11</v>
      </c>
      <c r="E33" s="363">
        <v>11105</v>
      </c>
      <c r="F33" s="178">
        <v>8064.32</v>
      </c>
      <c r="G33" s="173">
        <v>1.19</v>
      </c>
      <c r="H33" s="1"/>
      <c r="I33" s="3"/>
    </row>
    <row r="34" spans="1:9" x14ac:dyDescent="0.25">
      <c r="A34" s="171">
        <v>31</v>
      </c>
      <c r="B34" s="172" t="s">
        <v>958</v>
      </c>
      <c r="C34" s="9" t="s">
        <v>4015</v>
      </c>
      <c r="D34" s="177" t="s">
        <v>11</v>
      </c>
      <c r="E34" s="363">
        <v>15070</v>
      </c>
      <c r="F34" s="178">
        <v>10944.1</v>
      </c>
      <c r="G34" s="173">
        <v>1.19</v>
      </c>
      <c r="H34" s="9" t="s">
        <v>4035</v>
      </c>
      <c r="I34" s="180">
        <v>3684</v>
      </c>
    </row>
    <row r="35" spans="1:9" x14ac:dyDescent="0.25">
      <c r="A35" s="171">
        <v>32</v>
      </c>
      <c r="B35" s="172" t="s">
        <v>4036</v>
      </c>
      <c r="C35" s="9" t="s">
        <v>4015</v>
      </c>
      <c r="D35" s="177" t="s">
        <v>11</v>
      </c>
      <c r="E35" s="363">
        <v>15621</v>
      </c>
      <c r="F35" s="178">
        <f>(E35/G35)</f>
        <v>13126.890756302522</v>
      </c>
      <c r="G35" s="173">
        <v>1.19</v>
      </c>
      <c r="H35" s="9" t="s">
        <v>4035</v>
      </c>
      <c r="I35" s="180">
        <v>4426</v>
      </c>
    </row>
    <row r="36" spans="1:9" x14ac:dyDescent="0.25">
      <c r="A36" s="171">
        <v>33</v>
      </c>
      <c r="B36" s="172" t="s">
        <v>960</v>
      </c>
      <c r="C36" s="9" t="s">
        <v>4015</v>
      </c>
      <c r="D36" s="177" t="s">
        <v>11</v>
      </c>
      <c r="E36" s="363">
        <v>21415</v>
      </c>
      <c r="F36" s="178">
        <v>15552.05</v>
      </c>
      <c r="G36" s="173">
        <v>1.19</v>
      </c>
      <c r="H36" s="1"/>
      <c r="I36" s="3"/>
    </row>
    <row r="37" spans="1:9" x14ac:dyDescent="0.25">
      <c r="A37" s="171">
        <v>34</v>
      </c>
      <c r="B37" s="172" t="s">
        <v>962</v>
      </c>
      <c r="C37" s="9" t="s">
        <v>4015</v>
      </c>
      <c r="D37" s="177" t="s">
        <v>11</v>
      </c>
      <c r="E37" s="363">
        <v>7137</v>
      </c>
      <c r="F37" s="178">
        <v>5182.96</v>
      </c>
      <c r="G37" s="173">
        <v>1.19</v>
      </c>
      <c r="H37" s="1"/>
      <c r="I37" s="3"/>
    </row>
    <row r="38" spans="1:9" x14ac:dyDescent="0.25">
      <c r="A38" s="171">
        <v>35</v>
      </c>
      <c r="B38" s="172" t="s">
        <v>964</v>
      </c>
      <c r="C38" s="9" t="s">
        <v>4015</v>
      </c>
      <c r="D38" s="177" t="s">
        <v>11</v>
      </c>
      <c r="E38" s="363">
        <v>15663</v>
      </c>
      <c r="F38" s="178">
        <v>11374.95</v>
      </c>
      <c r="G38" s="173">
        <v>1.19</v>
      </c>
      <c r="H38" s="1"/>
      <c r="I38" s="3"/>
    </row>
    <row r="39" spans="1:9" x14ac:dyDescent="0.25">
      <c r="A39" s="171">
        <v>36</v>
      </c>
      <c r="B39" s="172" t="s">
        <v>966</v>
      </c>
      <c r="C39" s="9" t="s">
        <v>4015</v>
      </c>
      <c r="D39" s="177" t="s">
        <v>11</v>
      </c>
      <c r="E39" s="363">
        <v>11698</v>
      </c>
      <c r="F39" s="178">
        <v>8495.18</v>
      </c>
      <c r="G39" s="173">
        <v>1.19</v>
      </c>
      <c r="H39" s="1"/>
      <c r="I39" s="3"/>
    </row>
    <row r="40" spans="1:9" x14ac:dyDescent="0.25">
      <c r="A40" s="171">
        <v>37</v>
      </c>
      <c r="B40" s="172" t="s">
        <v>4037</v>
      </c>
      <c r="C40" s="9" t="s">
        <v>4015</v>
      </c>
      <c r="D40" s="177" t="s">
        <v>11</v>
      </c>
      <c r="E40" s="363">
        <v>11109</v>
      </c>
      <c r="F40" s="178">
        <f>(E40/G39)</f>
        <v>9335.2941176470595</v>
      </c>
      <c r="G40" s="173">
        <v>1.19</v>
      </c>
      <c r="H40" s="1"/>
      <c r="I40" s="3"/>
    </row>
    <row r="41" spans="1:9" ht="24" x14ac:dyDescent="0.25">
      <c r="A41" s="171">
        <v>38</v>
      </c>
      <c r="B41" s="176" t="s">
        <v>968</v>
      </c>
      <c r="C41" s="9" t="s">
        <v>4015</v>
      </c>
      <c r="D41" s="177" t="s">
        <v>11</v>
      </c>
      <c r="E41" s="363">
        <v>37480</v>
      </c>
      <c r="F41" s="178">
        <v>27218.47</v>
      </c>
      <c r="G41" s="173">
        <v>1.19</v>
      </c>
      <c r="H41" s="1"/>
      <c r="I41" s="3"/>
    </row>
    <row r="42" spans="1:9" ht="24" x14ac:dyDescent="0.25">
      <c r="A42" s="171">
        <v>39</v>
      </c>
      <c r="B42" s="176" t="s">
        <v>970</v>
      </c>
      <c r="C42" s="9" t="s">
        <v>4015</v>
      </c>
      <c r="D42" s="177" t="s">
        <v>4033</v>
      </c>
      <c r="E42" s="363">
        <v>42239</v>
      </c>
      <c r="F42" s="178">
        <v>30674.83</v>
      </c>
      <c r="G42" s="173">
        <v>1.19</v>
      </c>
      <c r="H42" s="1"/>
      <c r="I42" s="3"/>
    </row>
    <row r="43" spans="1:9" x14ac:dyDescent="0.25">
      <c r="A43" s="171">
        <v>40</v>
      </c>
      <c r="B43" s="172" t="s">
        <v>972</v>
      </c>
      <c r="C43" s="9" t="s">
        <v>4015</v>
      </c>
      <c r="D43" s="177" t="s">
        <v>4033</v>
      </c>
      <c r="E43" s="363">
        <v>47455</v>
      </c>
      <c r="F43" s="178">
        <v>34462.26</v>
      </c>
      <c r="G43" s="173">
        <v>1.19</v>
      </c>
      <c r="H43" s="1"/>
      <c r="I43" s="3"/>
    </row>
    <row r="44" spans="1:9" x14ac:dyDescent="0.25">
      <c r="A44" s="171">
        <v>41</v>
      </c>
      <c r="B44" s="172" t="s">
        <v>974</v>
      </c>
      <c r="C44" s="9" t="s">
        <v>4015</v>
      </c>
      <c r="D44" s="177" t="s">
        <v>4033</v>
      </c>
      <c r="E44" s="363">
        <v>47594</v>
      </c>
      <c r="F44" s="178">
        <v>34563.64</v>
      </c>
      <c r="G44" s="173">
        <v>1.19</v>
      </c>
      <c r="H44" s="1"/>
      <c r="I44" s="3"/>
    </row>
    <row r="45" spans="1:9" x14ac:dyDescent="0.25">
      <c r="A45" s="171">
        <v>42</v>
      </c>
      <c r="B45" s="172" t="s">
        <v>976</v>
      </c>
      <c r="C45" s="9" t="s">
        <v>4015</v>
      </c>
      <c r="D45" s="177" t="s">
        <v>4033</v>
      </c>
      <c r="E45" s="363">
        <v>67426</v>
      </c>
      <c r="F45" s="178">
        <v>48965.68</v>
      </c>
      <c r="G45" s="173">
        <v>1.19</v>
      </c>
      <c r="H45" s="1"/>
      <c r="I45" s="3"/>
    </row>
    <row r="46" spans="1:9" x14ac:dyDescent="0.25">
      <c r="A46" s="171">
        <v>43</v>
      </c>
      <c r="B46" s="172" t="s">
        <v>978</v>
      </c>
      <c r="C46" s="9" t="s">
        <v>4015</v>
      </c>
      <c r="D46" s="177" t="s">
        <v>11</v>
      </c>
      <c r="E46" s="363">
        <v>26</v>
      </c>
      <c r="F46" s="178">
        <v>19.010000000000002</v>
      </c>
      <c r="G46" s="173">
        <v>1.19</v>
      </c>
      <c r="H46" s="1"/>
      <c r="I46" s="3"/>
    </row>
    <row r="47" spans="1:9" x14ac:dyDescent="0.25">
      <c r="A47" s="171">
        <v>44</v>
      </c>
      <c r="B47" s="172" t="s">
        <v>980</v>
      </c>
      <c r="C47" s="9" t="s">
        <v>4015</v>
      </c>
      <c r="D47" s="177" t="s">
        <v>11</v>
      </c>
      <c r="E47" s="363">
        <v>26</v>
      </c>
      <c r="F47" s="178">
        <v>19.010000000000002</v>
      </c>
      <c r="G47" s="173">
        <v>1.19</v>
      </c>
      <c r="H47" s="1"/>
      <c r="I47" s="3"/>
    </row>
    <row r="48" spans="1:9" x14ac:dyDescent="0.25">
      <c r="A48" s="171">
        <v>45</v>
      </c>
      <c r="B48" s="172" t="s">
        <v>982</v>
      </c>
      <c r="C48" s="9" t="s">
        <v>4015</v>
      </c>
      <c r="D48" s="177" t="s">
        <v>11</v>
      </c>
      <c r="E48" s="363">
        <v>79</v>
      </c>
      <c r="F48" s="178">
        <v>57.03</v>
      </c>
      <c r="G48" s="173">
        <v>1.19</v>
      </c>
      <c r="H48" s="1"/>
      <c r="I48" s="3"/>
    </row>
    <row r="49" spans="1:9" x14ac:dyDescent="0.25">
      <c r="A49" s="171">
        <v>46</v>
      </c>
      <c r="B49" s="172" t="s">
        <v>984</v>
      </c>
      <c r="C49" s="9" t="s">
        <v>4015</v>
      </c>
      <c r="D49" s="177" t="s">
        <v>11</v>
      </c>
      <c r="E49" s="363">
        <v>71394</v>
      </c>
      <c r="F49" s="178">
        <v>51847.040000000001</v>
      </c>
      <c r="G49" s="173">
        <v>1.19</v>
      </c>
      <c r="H49" s="1"/>
      <c r="I49" s="3"/>
    </row>
    <row r="50" spans="1:9" x14ac:dyDescent="0.25">
      <c r="A50" s="171">
        <v>47</v>
      </c>
      <c r="B50" s="172" t="s">
        <v>986</v>
      </c>
      <c r="C50" s="9" t="s">
        <v>4015</v>
      </c>
      <c r="D50" s="179" t="s">
        <v>4027</v>
      </c>
      <c r="E50" s="363">
        <v>43624</v>
      </c>
      <c r="F50" s="178">
        <v>31680.7</v>
      </c>
      <c r="G50" s="173">
        <v>1.19</v>
      </c>
      <c r="H50" s="1"/>
      <c r="I50" s="3"/>
    </row>
    <row r="51" spans="1:9" x14ac:dyDescent="0.25">
      <c r="A51" s="171">
        <v>48</v>
      </c>
      <c r="B51" s="172" t="s">
        <v>4038</v>
      </c>
      <c r="C51" s="9" t="s">
        <v>4015</v>
      </c>
      <c r="D51" s="177" t="s">
        <v>4039</v>
      </c>
      <c r="E51" s="363">
        <v>4131</v>
      </c>
      <c r="F51" s="178">
        <v>3000</v>
      </c>
      <c r="G51" s="173">
        <v>1.19</v>
      </c>
      <c r="H51" s="177" t="s">
        <v>11</v>
      </c>
      <c r="I51" s="180">
        <f>(F51/100)</f>
        <v>30</v>
      </c>
    </row>
    <row r="52" spans="1:9" x14ac:dyDescent="0.25">
      <c r="A52" s="171">
        <v>49</v>
      </c>
      <c r="B52" s="172" t="s">
        <v>4040</v>
      </c>
      <c r="C52" s="9" t="s">
        <v>4015</v>
      </c>
      <c r="D52" s="177" t="s">
        <v>4039</v>
      </c>
      <c r="E52" s="363">
        <v>33442</v>
      </c>
      <c r="F52" s="178">
        <f>(E52/G50)</f>
        <v>28102.521008403364</v>
      </c>
      <c r="G52" s="173">
        <v>1.19</v>
      </c>
      <c r="H52" s="177" t="s">
        <v>11</v>
      </c>
      <c r="I52" s="180">
        <f>(E52/1000)</f>
        <v>33.442</v>
      </c>
    </row>
    <row r="53" spans="1:9" x14ac:dyDescent="0.25">
      <c r="A53" s="171">
        <v>50</v>
      </c>
      <c r="B53" s="172" t="s">
        <v>4041</v>
      </c>
      <c r="C53" s="9" t="s">
        <v>4015</v>
      </c>
      <c r="D53" s="177" t="s">
        <v>4039</v>
      </c>
      <c r="E53" s="363">
        <v>4860</v>
      </c>
      <c r="F53" s="178">
        <f>(E53/G50)</f>
        <v>4084.0336134453783</v>
      </c>
      <c r="G53" s="173">
        <v>1.19</v>
      </c>
      <c r="H53" s="177" t="s">
        <v>11</v>
      </c>
      <c r="I53" s="180">
        <v>42</v>
      </c>
    </row>
    <row r="54" spans="1:9" x14ac:dyDescent="0.25">
      <c r="A54" s="171">
        <v>51</v>
      </c>
      <c r="B54" s="172" t="s">
        <v>4042</v>
      </c>
      <c r="C54" s="9" t="s">
        <v>4015</v>
      </c>
      <c r="D54" s="177" t="s">
        <v>4039</v>
      </c>
      <c r="E54" s="363">
        <v>11291</v>
      </c>
      <c r="F54" s="178">
        <v>8200</v>
      </c>
      <c r="G54" s="173">
        <v>1.19</v>
      </c>
      <c r="H54" s="177" t="s">
        <v>11</v>
      </c>
      <c r="I54" s="180">
        <f>(E54/100)</f>
        <v>112.91</v>
      </c>
    </row>
    <row r="55" spans="1:9" x14ac:dyDescent="0.25">
      <c r="A55" s="171">
        <v>52</v>
      </c>
      <c r="B55" s="172" t="s">
        <v>4043</v>
      </c>
      <c r="C55" s="9" t="s">
        <v>4015</v>
      </c>
      <c r="D55" s="177" t="s">
        <v>11</v>
      </c>
      <c r="E55" s="363">
        <v>2387</v>
      </c>
      <c r="F55" s="178">
        <f>(E55/G50)</f>
        <v>2005.8823529411766</v>
      </c>
      <c r="G55" s="173">
        <v>1.19</v>
      </c>
      <c r="H55" s="177" t="s">
        <v>11</v>
      </c>
      <c r="I55" s="183"/>
    </row>
    <row r="56" spans="1:9" x14ac:dyDescent="0.25">
      <c r="A56" s="171">
        <v>53</v>
      </c>
      <c r="B56" s="172" t="s">
        <v>4044</v>
      </c>
      <c r="C56" s="9" t="s">
        <v>4015</v>
      </c>
      <c r="D56" s="177" t="s">
        <v>4026</v>
      </c>
      <c r="E56" s="363">
        <v>0</v>
      </c>
      <c r="F56" s="178"/>
      <c r="G56" s="173">
        <v>1.19</v>
      </c>
      <c r="H56" s="177"/>
      <c r="I56" s="183"/>
    </row>
    <row r="57" spans="1:9" x14ac:dyDescent="0.25">
      <c r="A57" s="171">
        <v>54</v>
      </c>
      <c r="B57" s="172" t="s">
        <v>4045</v>
      </c>
      <c r="C57" s="9" t="s">
        <v>4015</v>
      </c>
      <c r="D57" s="179" t="s">
        <v>4018</v>
      </c>
      <c r="E57" s="363">
        <v>0</v>
      </c>
      <c r="F57" s="178"/>
      <c r="G57" s="173">
        <v>1.19</v>
      </c>
      <c r="H57" s="177"/>
      <c r="I57" s="183"/>
    </row>
    <row r="58" spans="1:9" x14ac:dyDescent="0.25">
      <c r="A58" s="171">
        <v>55</v>
      </c>
      <c r="B58" s="172" t="s">
        <v>4046</v>
      </c>
      <c r="C58" s="9" t="s">
        <v>4015</v>
      </c>
      <c r="D58" s="179" t="s">
        <v>4018</v>
      </c>
      <c r="E58" s="363">
        <v>0</v>
      </c>
      <c r="F58" s="178"/>
      <c r="G58" s="173">
        <v>1.19</v>
      </c>
      <c r="H58" s="177"/>
      <c r="I58" s="183"/>
    </row>
    <row r="59" spans="1:9" x14ac:dyDescent="0.25">
      <c r="A59" s="171">
        <v>56</v>
      </c>
      <c r="B59" s="172" t="s">
        <v>4047</v>
      </c>
      <c r="C59" s="9" t="s">
        <v>4015</v>
      </c>
      <c r="D59" s="179" t="s">
        <v>4018</v>
      </c>
      <c r="E59" s="363">
        <v>112128</v>
      </c>
      <c r="F59" s="178">
        <f>(E59/G55)</f>
        <v>94225.210084033621</v>
      </c>
      <c r="G59" s="173">
        <v>1.19</v>
      </c>
      <c r="H59" s="177"/>
      <c r="I59" s="183"/>
    </row>
    <row r="60" spans="1:9" x14ac:dyDescent="0.25">
      <c r="A60" s="171">
        <v>57</v>
      </c>
      <c r="B60" s="172" t="s">
        <v>234</v>
      </c>
      <c r="C60" s="9" t="s">
        <v>4015</v>
      </c>
      <c r="D60" s="177" t="s">
        <v>4027</v>
      </c>
      <c r="E60" s="363">
        <v>5979</v>
      </c>
      <c r="F60" s="178">
        <v>4341.84</v>
      </c>
      <c r="G60" s="173">
        <v>1.19</v>
      </c>
      <c r="H60" s="1"/>
      <c r="I60" s="3"/>
    </row>
    <row r="61" spans="1:9" x14ac:dyDescent="0.25">
      <c r="A61" s="171">
        <v>58</v>
      </c>
      <c r="B61" s="172" t="s">
        <v>1395</v>
      </c>
      <c r="C61" s="9" t="s">
        <v>4015</v>
      </c>
      <c r="D61" s="177" t="s">
        <v>4027</v>
      </c>
      <c r="E61" s="363">
        <v>26683</v>
      </c>
      <c r="F61" s="178">
        <v>19377.5</v>
      </c>
      <c r="G61" s="173">
        <v>1.19</v>
      </c>
      <c r="H61" s="1"/>
      <c r="I61" s="3"/>
    </row>
    <row r="62" spans="1:9" x14ac:dyDescent="0.25">
      <c r="A62" s="171">
        <v>59</v>
      </c>
      <c r="B62" s="172" t="s">
        <v>4048</v>
      </c>
      <c r="C62" s="9" t="s">
        <v>4015</v>
      </c>
      <c r="D62" s="177" t="s">
        <v>11</v>
      </c>
      <c r="E62" s="363">
        <v>16084</v>
      </c>
      <c r="F62" s="178">
        <f>(E62/G62)</f>
        <v>13515.966386554623</v>
      </c>
      <c r="G62" s="173">
        <v>1.19</v>
      </c>
      <c r="H62" s="1"/>
      <c r="I62" s="3"/>
    </row>
    <row r="63" spans="1:9" x14ac:dyDescent="0.25">
      <c r="A63" s="171">
        <v>60</v>
      </c>
      <c r="B63" s="172" t="s">
        <v>2597</v>
      </c>
      <c r="C63" s="9" t="s">
        <v>4015</v>
      </c>
      <c r="D63" s="177" t="s">
        <v>11</v>
      </c>
      <c r="E63" s="363">
        <v>7634</v>
      </c>
      <c r="F63" s="178">
        <v>5544.12</v>
      </c>
      <c r="G63" s="173">
        <v>1.19</v>
      </c>
      <c r="H63" s="1"/>
      <c r="I63" s="3"/>
    </row>
    <row r="64" spans="1:9" ht="24" x14ac:dyDescent="0.25">
      <c r="A64" s="171">
        <v>61</v>
      </c>
      <c r="B64" s="174" t="s">
        <v>4049</v>
      </c>
      <c r="C64" s="9" t="s">
        <v>4015</v>
      </c>
      <c r="D64" s="177" t="s">
        <v>11</v>
      </c>
      <c r="E64" s="363">
        <v>912910</v>
      </c>
      <c r="F64" s="178">
        <f>(E64/G64)</f>
        <v>767151.26050420175</v>
      </c>
      <c r="G64" s="173">
        <v>1.19</v>
      </c>
      <c r="H64" s="1"/>
      <c r="I64" s="3"/>
    </row>
    <row r="65" spans="1:9" x14ac:dyDescent="0.25">
      <c r="A65" s="171">
        <v>62</v>
      </c>
      <c r="B65" s="172" t="s">
        <v>4050</v>
      </c>
      <c r="C65" s="9" t="s">
        <v>4015</v>
      </c>
      <c r="D65" s="177" t="s">
        <v>11</v>
      </c>
      <c r="E65" s="363">
        <v>58110</v>
      </c>
      <c r="F65" s="178">
        <v>42200</v>
      </c>
      <c r="G65" s="173">
        <v>1.19</v>
      </c>
      <c r="H65" s="1"/>
      <c r="I65" s="3"/>
    </row>
    <row r="66" spans="1:9" x14ac:dyDescent="0.25">
      <c r="A66" s="171">
        <v>63</v>
      </c>
      <c r="B66" s="172" t="s">
        <v>4051</v>
      </c>
      <c r="C66" s="9" t="s">
        <v>4015</v>
      </c>
      <c r="D66" s="177" t="s">
        <v>11</v>
      </c>
      <c r="E66" s="363">
        <v>45303</v>
      </c>
      <c r="F66" s="178">
        <v>32900</v>
      </c>
      <c r="G66" s="173">
        <v>1.19</v>
      </c>
      <c r="H66" s="1"/>
      <c r="I66" s="3"/>
    </row>
    <row r="67" spans="1:9" x14ac:dyDescent="0.25">
      <c r="A67" s="171">
        <v>64</v>
      </c>
      <c r="B67" s="172" t="s">
        <v>4052</v>
      </c>
      <c r="C67" s="9" t="s">
        <v>4015</v>
      </c>
      <c r="D67" s="177" t="s">
        <v>4035</v>
      </c>
      <c r="E67" s="363">
        <v>3718</v>
      </c>
      <c r="F67" s="178">
        <v>2700</v>
      </c>
      <c r="G67" s="173">
        <v>1.19</v>
      </c>
      <c r="H67" s="1"/>
      <c r="I67" s="3"/>
    </row>
    <row r="68" spans="1:9" x14ac:dyDescent="0.25">
      <c r="A68" s="171">
        <v>65</v>
      </c>
      <c r="B68" s="174" t="s">
        <v>4053</v>
      </c>
      <c r="C68" s="9" t="s">
        <v>4015</v>
      </c>
      <c r="D68" s="177" t="s">
        <v>11</v>
      </c>
      <c r="E68" s="363">
        <v>27772</v>
      </c>
      <c r="F68" s="178">
        <f>(E68/G68)</f>
        <v>23337.81512605042</v>
      </c>
      <c r="G68" s="173">
        <v>1.19</v>
      </c>
      <c r="H68" s="1"/>
      <c r="I68" s="3"/>
    </row>
    <row r="69" spans="1:9" x14ac:dyDescent="0.25">
      <c r="A69" s="171">
        <v>66</v>
      </c>
      <c r="B69" s="172" t="s">
        <v>3573</v>
      </c>
      <c r="C69" s="9" t="s">
        <v>4015</v>
      </c>
      <c r="D69" s="177" t="s">
        <v>4035</v>
      </c>
      <c r="E69" s="363">
        <v>5385</v>
      </c>
      <c r="F69" s="178">
        <v>3910.98</v>
      </c>
      <c r="G69" s="173">
        <v>1.19</v>
      </c>
      <c r="H69" s="1"/>
      <c r="I69" s="3"/>
    </row>
    <row r="70" spans="1:9" x14ac:dyDescent="0.25">
      <c r="A70" s="171">
        <v>67</v>
      </c>
      <c r="B70" s="172" t="s">
        <v>3635</v>
      </c>
      <c r="C70" s="9" t="s">
        <v>4015</v>
      </c>
      <c r="D70" s="177" t="s">
        <v>4032</v>
      </c>
      <c r="E70" s="363">
        <v>5750</v>
      </c>
      <c r="F70" s="178">
        <v>4175.5200000000004</v>
      </c>
      <c r="G70" s="173">
        <v>1.19</v>
      </c>
      <c r="H70" s="1"/>
      <c r="I70" s="3"/>
    </row>
    <row r="71" spans="1:9" ht="24" x14ac:dyDescent="0.25">
      <c r="A71" s="171">
        <v>68</v>
      </c>
      <c r="B71" s="174" t="s">
        <v>4054</v>
      </c>
      <c r="C71" s="9" t="s">
        <v>4015</v>
      </c>
      <c r="D71" s="177" t="s">
        <v>4032</v>
      </c>
      <c r="E71" s="363">
        <v>323654</v>
      </c>
      <c r="F71" s="178">
        <f>(E71/G71)</f>
        <v>271978.15126050421</v>
      </c>
      <c r="G71" s="173">
        <v>1.19</v>
      </c>
      <c r="H71" s="1"/>
      <c r="I71" s="3"/>
    </row>
    <row r="72" spans="1:9" x14ac:dyDescent="0.25">
      <c r="A72" s="171">
        <v>69</v>
      </c>
      <c r="B72" s="174" t="s">
        <v>4055</v>
      </c>
      <c r="C72" s="9" t="s">
        <v>4015</v>
      </c>
      <c r="D72" s="177" t="s">
        <v>11</v>
      </c>
      <c r="E72" s="363">
        <v>2094</v>
      </c>
      <c r="F72" s="178">
        <f>(E72/G72)</f>
        <v>1759.6638655462186</v>
      </c>
      <c r="G72" s="173">
        <v>1.19</v>
      </c>
      <c r="H72" s="1"/>
      <c r="I72" s="3"/>
    </row>
    <row r="73" spans="1:9" x14ac:dyDescent="0.25">
      <c r="A73" s="171">
        <v>70</v>
      </c>
      <c r="B73" s="174" t="s">
        <v>4056</v>
      </c>
      <c r="C73" s="9" t="s">
        <v>4015</v>
      </c>
      <c r="D73" s="177" t="s">
        <v>11</v>
      </c>
      <c r="E73" s="363">
        <v>1736</v>
      </c>
      <c r="F73" s="178">
        <f>(E73/G73)</f>
        <v>1458.8235294117649</v>
      </c>
      <c r="G73" s="173">
        <v>1.19</v>
      </c>
      <c r="H73" s="1"/>
      <c r="I73" s="3"/>
    </row>
    <row r="74" spans="1:9" x14ac:dyDescent="0.25">
      <c r="A74" s="171">
        <v>71</v>
      </c>
      <c r="B74" s="174" t="s">
        <v>4057</v>
      </c>
      <c r="C74" s="9" t="s">
        <v>4015</v>
      </c>
      <c r="D74" s="177" t="s">
        <v>11</v>
      </c>
      <c r="E74" s="363">
        <v>8679</v>
      </c>
      <c r="F74" s="178">
        <f>(E74/G74)</f>
        <v>7293.2773109243699</v>
      </c>
      <c r="G74" s="173">
        <v>1.19</v>
      </c>
      <c r="H74" s="1"/>
      <c r="I74" s="3"/>
    </row>
    <row r="75" spans="1:9" x14ac:dyDescent="0.25">
      <c r="A75" s="171">
        <v>72</v>
      </c>
      <c r="B75" s="174" t="s">
        <v>4058</v>
      </c>
      <c r="C75" s="9" t="s">
        <v>4015</v>
      </c>
      <c r="D75" s="177" t="s">
        <v>11</v>
      </c>
      <c r="E75" s="363">
        <v>19093</v>
      </c>
      <c r="F75" s="178">
        <f>(E75/G74)</f>
        <v>16044.537815126052</v>
      </c>
      <c r="G75" s="173">
        <v>1.19</v>
      </c>
      <c r="H75" s="1"/>
      <c r="I75" s="3"/>
    </row>
    <row r="76" spans="1:9" x14ac:dyDescent="0.25">
      <c r="A76" s="171">
        <v>73</v>
      </c>
      <c r="B76" s="174" t="s">
        <v>4059</v>
      </c>
      <c r="C76" s="9" t="s">
        <v>4015</v>
      </c>
      <c r="D76" s="177" t="s">
        <v>11</v>
      </c>
      <c r="E76" s="363">
        <v>2615</v>
      </c>
      <c r="F76" s="178">
        <f>(E76/G76)</f>
        <v>2197.4789915966389</v>
      </c>
      <c r="G76" s="173">
        <v>1.19</v>
      </c>
      <c r="H76" s="1"/>
      <c r="I76" s="3"/>
    </row>
    <row r="77" spans="1:9" x14ac:dyDescent="0.25">
      <c r="A77" s="171">
        <v>74</v>
      </c>
      <c r="B77" s="174" t="s">
        <v>4060</v>
      </c>
      <c r="C77" s="9" t="s">
        <v>4015</v>
      </c>
      <c r="D77" s="177" t="s">
        <v>11</v>
      </c>
      <c r="E77" s="363">
        <v>949</v>
      </c>
      <c r="F77" s="178">
        <f>(E77/G77)</f>
        <v>797.47899159663871</v>
      </c>
      <c r="G77" s="173">
        <v>1.19</v>
      </c>
      <c r="H77" s="1"/>
      <c r="I77" s="3"/>
    </row>
    <row r="78" spans="1:9" x14ac:dyDescent="0.25">
      <c r="A78" s="171">
        <v>75</v>
      </c>
      <c r="B78" s="172" t="s">
        <v>826</v>
      </c>
      <c r="C78" s="9" t="s">
        <v>4015</v>
      </c>
      <c r="D78" s="177" t="s">
        <v>4027</v>
      </c>
      <c r="E78" s="363">
        <v>636</v>
      </c>
      <c r="F78" s="178">
        <v>719.15</v>
      </c>
      <c r="G78" s="173">
        <v>1.19</v>
      </c>
      <c r="H78" s="177" t="s">
        <v>4061</v>
      </c>
      <c r="I78" s="180">
        <f>(E78*50)</f>
        <v>31800</v>
      </c>
    </row>
    <row r="79" spans="1:9" x14ac:dyDescent="0.25">
      <c r="A79" s="171">
        <v>76</v>
      </c>
      <c r="B79" s="172" t="s">
        <v>310</v>
      </c>
      <c r="C79" s="9" t="s">
        <v>4015</v>
      </c>
      <c r="D79" s="184" t="s">
        <v>4062</v>
      </c>
      <c r="E79" s="363">
        <v>138820</v>
      </c>
      <c r="F79" s="178">
        <v>79911</v>
      </c>
      <c r="G79" s="173">
        <v>1.19</v>
      </c>
      <c r="H79" s="177"/>
      <c r="I79" s="180"/>
    </row>
    <row r="80" spans="1:9" x14ac:dyDescent="0.25">
      <c r="A80" s="171">
        <v>77</v>
      </c>
      <c r="B80" s="172" t="s">
        <v>306</v>
      </c>
      <c r="C80" s="9" t="s">
        <v>4015</v>
      </c>
      <c r="D80" s="184" t="s">
        <v>4062</v>
      </c>
      <c r="E80" s="363">
        <v>64344</v>
      </c>
      <c r="F80" s="178">
        <v>45062.62</v>
      </c>
      <c r="G80" s="173">
        <v>1.19</v>
      </c>
      <c r="H80" s="1"/>
      <c r="I80" s="3"/>
    </row>
    <row r="81" spans="1:9" x14ac:dyDescent="0.25">
      <c r="A81" s="171">
        <v>78</v>
      </c>
      <c r="B81" s="172" t="s">
        <v>338</v>
      </c>
      <c r="C81" s="9" t="s">
        <v>4015</v>
      </c>
      <c r="D81" s="177" t="s">
        <v>4063</v>
      </c>
      <c r="E81" s="363">
        <v>40</v>
      </c>
      <c r="F81" s="178">
        <v>29</v>
      </c>
      <c r="G81" s="173">
        <v>1.19</v>
      </c>
      <c r="H81" s="1"/>
      <c r="I81" s="3"/>
    </row>
    <row r="82" spans="1:9" x14ac:dyDescent="0.25">
      <c r="A82" s="171">
        <v>79</v>
      </c>
      <c r="B82" s="172" t="s">
        <v>4082</v>
      </c>
      <c r="C82" s="9" t="s">
        <v>4015</v>
      </c>
      <c r="D82" s="177" t="s">
        <v>11</v>
      </c>
      <c r="E82" s="363">
        <v>1851</v>
      </c>
      <c r="F82" s="178">
        <f>(E82/G81)</f>
        <v>1555.4621848739496</v>
      </c>
      <c r="G82" s="173">
        <v>1.19</v>
      </c>
      <c r="H82" s="1"/>
      <c r="I82" s="3"/>
    </row>
    <row r="83" spans="1:9" x14ac:dyDescent="0.25">
      <c r="A83" s="171">
        <v>80</v>
      </c>
      <c r="B83" s="172" t="s">
        <v>4085</v>
      </c>
      <c r="C83" s="9" t="s">
        <v>4015</v>
      </c>
      <c r="D83" s="177" t="s">
        <v>4084</v>
      </c>
      <c r="E83" s="363">
        <v>9516</v>
      </c>
      <c r="F83" s="178">
        <f>(E83/G82)</f>
        <v>7996.6386554621849</v>
      </c>
      <c r="G83" s="173">
        <v>1.19</v>
      </c>
      <c r="H83" s="1"/>
      <c r="I83" s="3"/>
    </row>
    <row r="84" spans="1:9" ht="24" x14ac:dyDescent="0.25">
      <c r="A84" s="171">
        <v>81</v>
      </c>
      <c r="B84" s="174" t="s">
        <v>4089</v>
      </c>
      <c r="C84" s="9" t="s">
        <v>4015</v>
      </c>
      <c r="D84" s="177" t="s">
        <v>4018</v>
      </c>
      <c r="E84" s="363">
        <v>68416</v>
      </c>
      <c r="F84" s="1"/>
      <c r="G84" s="173">
        <v>1.19</v>
      </c>
      <c r="H84" s="1"/>
      <c r="I84" s="3"/>
    </row>
    <row r="85" spans="1:9" ht="24" x14ac:dyDescent="0.25">
      <c r="A85" s="171">
        <v>82</v>
      </c>
      <c r="B85" s="174" t="s">
        <v>4090</v>
      </c>
      <c r="C85" s="9" t="s">
        <v>4015</v>
      </c>
      <c r="D85" s="177" t="s">
        <v>4018</v>
      </c>
      <c r="E85" s="363">
        <v>165989</v>
      </c>
      <c r="F85" s="1"/>
      <c r="G85" s="1"/>
      <c r="H85" s="1"/>
      <c r="I85" s="3"/>
    </row>
    <row r="86" spans="1:9" ht="30" x14ac:dyDescent="0.25">
      <c r="A86" s="171">
        <v>83</v>
      </c>
      <c r="B86" s="193" t="s">
        <v>4091</v>
      </c>
      <c r="C86" s="9" t="s">
        <v>4015</v>
      </c>
      <c r="D86" s="177" t="s">
        <v>4018</v>
      </c>
      <c r="E86" s="363">
        <v>67724</v>
      </c>
      <c r="F86" s="1"/>
      <c r="G86" s="1"/>
      <c r="H86" s="1"/>
      <c r="I86" s="3"/>
    </row>
    <row r="87" spans="1:9" x14ac:dyDescent="0.25">
      <c r="A87" s="171">
        <v>84</v>
      </c>
      <c r="B87" s="1" t="str">
        <f>+[103]Insumos!$B$11</f>
        <v>MALLA ELECTROSOLDADA M-084  Q-2  4 MM  15 X 15 CM.</v>
      </c>
      <c r="C87" s="9" t="s">
        <v>4015</v>
      </c>
      <c r="D87" s="177" t="s">
        <v>4</v>
      </c>
      <c r="E87" s="363">
        <v>6667</v>
      </c>
      <c r="F87" s="1"/>
      <c r="G87" s="1"/>
      <c r="H87" s="1"/>
      <c r="I87" s="3"/>
    </row>
    <row r="88" spans="1:9" x14ac:dyDescent="0.25">
      <c r="A88" s="171">
        <v>85</v>
      </c>
      <c r="B88" s="1" t="s">
        <v>4095</v>
      </c>
      <c r="C88" s="9" t="s">
        <v>4015</v>
      </c>
      <c r="D88" s="177" t="s">
        <v>4016</v>
      </c>
      <c r="E88" s="363">
        <v>5454</v>
      </c>
      <c r="F88" s="1"/>
      <c r="G88" s="1"/>
      <c r="H88" s="1"/>
      <c r="I88" s="3"/>
    </row>
    <row r="89" spans="1:9" x14ac:dyDescent="0.25">
      <c r="A89" s="171">
        <v>86</v>
      </c>
      <c r="B89" s="1" t="s">
        <v>314</v>
      </c>
      <c r="C89" s="9" t="s">
        <v>4015</v>
      </c>
      <c r="D89" s="177" t="s">
        <v>3980</v>
      </c>
      <c r="E89" s="363">
        <v>79325</v>
      </c>
      <c r="F89" s="1"/>
      <c r="G89" s="1"/>
      <c r="H89" s="1"/>
      <c r="I89" s="3"/>
    </row>
    <row r="90" spans="1:9" x14ac:dyDescent="0.25">
      <c r="A90" s="171">
        <v>87</v>
      </c>
      <c r="B90" s="1" t="s">
        <v>4100</v>
      </c>
      <c r="C90" s="9" t="s">
        <v>4015</v>
      </c>
      <c r="D90" s="177" t="s">
        <v>4027</v>
      </c>
      <c r="E90" s="363">
        <v>4581</v>
      </c>
      <c r="F90" s="1"/>
      <c r="G90" s="1"/>
      <c r="H90" s="1"/>
      <c r="I90" s="3"/>
    </row>
    <row r="91" spans="1:9" x14ac:dyDescent="0.25">
      <c r="A91" s="171">
        <v>88</v>
      </c>
      <c r="B91" s="1" t="s">
        <v>2629</v>
      </c>
      <c r="C91" s="9" t="s">
        <v>4015</v>
      </c>
      <c r="D91" s="5" t="str">
        <f>+D86</f>
        <v>GALÓN</v>
      </c>
      <c r="E91" s="363">
        <v>30140</v>
      </c>
      <c r="F91" s="1"/>
      <c r="G91" s="1"/>
      <c r="H91" s="1"/>
      <c r="I91" s="3"/>
    </row>
    <row r="92" spans="1:9" x14ac:dyDescent="0.25">
      <c r="A92" s="171">
        <v>89</v>
      </c>
      <c r="B92" s="1" t="s">
        <v>2642</v>
      </c>
      <c r="C92" s="9" t="s">
        <v>4015</v>
      </c>
      <c r="D92" s="5" t="s">
        <v>4018</v>
      </c>
      <c r="E92" s="363">
        <v>68416</v>
      </c>
      <c r="F92" s="1"/>
      <c r="G92" s="1"/>
      <c r="H92" s="1"/>
      <c r="I92" s="3"/>
    </row>
    <row r="93" spans="1:9" x14ac:dyDescent="0.25">
      <c r="A93" s="171">
        <v>90</v>
      </c>
      <c r="B93" s="1" t="s">
        <v>2645</v>
      </c>
      <c r="C93" s="9" t="s">
        <v>4015</v>
      </c>
      <c r="D93" s="5" t="s">
        <v>4018</v>
      </c>
      <c r="E93" s="363">
        <v>117995</v>
      </c>
      <c r="F93" s="1"/>
      <c r="G93" s="1"/>
      <c r="H93" s="1"/>
      <c r="I93" s="3"/>
    </row>
    <row r="94" spans="1:9" ht="30" x14ac:dyDescent="0.25">
      <c r="A94" s="171">
        <v>91</v>
      </c>
      <c r="B94" s="193" t="s">
        <v>2670</v>
      </c>
      <c r="C94" s="9" t="s">
        <v>4015</v>
      </c>
      <c r="D94" s="5" t="s">
        <v>4018</v>
      </c>
      <c r="E94" s="363">
        <v>165989</v>
      </c>
      <c r="F94" s="1"/>
      <c r="G94" s="1"/>
      <c r="H94" s="1"/>
      <c r="I94" s="3"/>
    </row>
    <row r="95" spans="1:9" ht="30" x14ac:dyDescent="0.25">
      <c r="A95" s="171">
        <v>92</v>
      </c>
      <c r="B95" s="193" t="s">
        <v>2620</v>
      </c>
      <c r="C95" s="9" t="s">
        <v>4015</v>
      </c>
      <c r="D95" s="5" t="s">
        <v>4018</v>
      </c>
      <c r="E95" s="363">
        <v>67724</v>
      </c>
      <c r="F95" s="1"/>
      <c r="G95" s="1"/>
      <c r="H95" s="1"/>
      <c r="I95" s="3"/>
    </row>
    <row r="96" spans="1:9" x14ac:dyDescent="0.25">
      <c r="A96" s="171">
        <v>93</v>
      </c>
      <c r="B96" s="1" t="s">
        <v>1304</v>
      </c>
      <c r="C96" s="9" t="s">
        <v>4015</v>
      </c>
      <c r="D96" s="5" t="s">
        <v>4027</v>
      </c>
      <c r="E96" s="363">
        <v>2973</v>
      </c>
      <c r="F96" s="1"/>
      <c r="G96" s="1"/>
      <c r="H96" s="1"/>
      <c r="I96" s="3"/>
    </row>
    <row r="97" spans="1:9" x14ac:dyDescent="0.25">
      <c r="A97" s="171">
        <v>94</v>
      </c>
      <c r="B97" s="1" t="s">
        <v>1315</v>
      </c>
      <c r="C97" s="9" t="s">
        <v>4015</v>
      </c>
      <c r="D97" s="5" t="s">
        <v>4027</v>
      </c>
      <c r="E97" s="363">
        <v>21021</v>
      </c>
      <c r="F97" s="1"/>
      <c r="G97" s="1"/>
      <c r="H97" s="1"/>
      <c r="I97" s="3"/>
    </row>
    <row r="98" spans="1:9" x14ac:dyDescent="0.25">
      <c r="A98" s="171">
        <v>95</v>
      </c>
      <c r="B98" s="1" t="s">
        <v>4105</v>
      </c>
      <c r="C98" s="9" t="s">
        <v>4015</v>
      </c>
      <c r="D98" s="5" t="s">
        <v>4084</v>
      </c>
      <c r="E98" s="363">
        <v>18241</v>
      </c>
      <c r="F98" s="1"/>
      <c r="G98" s="1"/>
      <c r="H98" s="1"/>
      <c r="I98" s="3"/>
    </row>
    <row r="99" spans="1:9" x14ac:dyDescent="0.25">
      <c r="A99" s="171">
        <v>96</v>
      </c>
      <c r="B99" s="1" t="s">
        <v>2735</v>
      </c>
      <c r="C99" s="9" t="s">
        <v>4015</v>
      </c>
      <c r="D99" s="5" t="s">
        <v>4035</v>
      </c>
      <c r="E99" s="363">
        <v>19740</v>
      </c>
      <c r="F99" s="1"/>
      <c r="G99" s="1"/>
      <c r="H99" s="1"/>
      <c r="I99" s="3"/>
    </row>
    <row r="100" spans="1:9" x14ac:dyDescent="0.25">
      <c r="A100" s="171">
        <v>97</v>
      </c>
      <c r="B100" s="1" t="s">
        <v>4107</v>
      </c>
      <c r="C100" s="9" t="s">
        <v>4015</v>
      </c>
      <c r="D100" s="5" t="s">
        <v>4035</v>
      </c>
      <c r="E100" s="363">
        <v>19830</v>
      </c>
      <c r="F100" s="1"/>
      <c r="G100" s="1"/>
      <c r="H100" s="1"/>
      <c r="I100" s="3"/>
    </row>
    <row r="101" spans="1:9" x14ac:dyDescent="0.25">
      <c r="A101" s="171">
        <v>98</v>
      </c>
      <c r="B101" s="1" t="s">
        <v>4029</v>
      </c>
      <c r="C101" s="9" t="s">
        <v>4015</v>
      </c>
      <c r="D101" s="5" t="s">
        <v>4106</v>
      </c>
      <c r="E101" s="363">
        <f>+'SUB ANALISIS MORTERO'!I25</f>
        <v>396096.39</v>
      </c>
      <c r="F101" s="1"/>
      <c r="G101" s="1"/>
      <c r="H101" s="1"/>
      <c r="I101" s="3"/>
    </row>
    <row r="102" spans="1:9" ht="45" x14ac:dyDescent="0.25">
      <c r="A102" s="171">
        <v>99</v>
      </c>
      <c r="B102" s="193" t="s">
        <v>443</v>
      </c>
      <c r="C102" s="9" t="s">
        <v>4015</v>
      </c>
      <c r="D102" s="5" t="s">
        <v>4016</v>
      </c>
      <c r="E102" s="363">
        <v>237021</v>
      </c>
      <c r="F102" s="1"/>
      <c r="G102" s="1"/>
      <c r="H102" s="1"/>
      <c r="I102" s="3"/>
    </row>
    <row r="103" spans="1:9" ht="30" x14ac:dyDescent="0.25">
      <c r="A103" s="171">
        <v>100</v>
      </c>
      <c r="B103" s="193" t="s">
        <v>4111</v>
      </c>
      <c r="C103" s="9" t="s">
        <v>4015</v>
      </c>
      <c r="D103" s="5" t="s">
        <v>4016</v>
      </c>
      <c r="E103" s="363">
        <v>243001</v>
      </c>
      <c r="F103" s="1"/>
      <c r="G103" s="1"/>
      <c r="H103" s="1"/>
      <c r="I103" s="3"/>
    </row>
    <row r="104" spans="1:9" x14ac:dyDescent="0.25">
      <c r="A104" s="171">
        <v>101</v>
      </c>
      <c r="B104" s="1" t="s">
        <v>4113</v>
      </c>
      <c r="C104" s="9" t="s">
        <v>4015</v>
      </c>
      <c r="D104" s="5" t="s">
        <v>4112</v>
      </c>
      <c r="E104" s="363">
        <v>34599</v>
      </c>
      <c r="F104" s="1"/>
      <c r="G104" s="1"/>
      <c r="H104" s="1"/>
      <c r="I104" s="3"/>
    </row>
    <row r="105" spans="1:9" x14ac:dyDescent="0.25">
      <c r="A105" s="171">
        <v>102</v>
      </c>
      <c r="B105" s="1" t="s">
        <v>1391</v>
      </c>
      <c r="C105" s="9" t="s">
        <v>4015</v>
      </c>
      <c r="D105" s="5" t="s">
        <v>4035</v>
      </c>
      <c r="E105" s="363">
        <v>5782</v>
      </c>
      <c r="F105" s="1"/>
      <c r="G105" s="1"/>
      <c r="H105" s="1"/>
      <c r="I105" s="3"/>
    </row>
    <row r="106" spans="1:9" x14ac:dyDescent="0.25">
      <c r="A106" s="171">
        <v>103</v>
      </c>
      <c r="B106" s="1" t="s">
        <v>4115</v>
      </c>
      <c r="C106" s="9" t="s">
        <v>4015</v>
      </c>
      <c r="D106" s="5" t="s">
        <v>4035</v>
      </c>
      <c r="E106" s="363">
        <v>40384</v>
      </c>
      <c r="F106" s="1"/>
      <c r="G106" s="1"/>
      <c r="H106" s="1"/>
      <c r="I106" s="3"/>
    </row>
    <row r="107" spans="1:9" x14ac:dyDescent="0.25">
      <c r="A107" s="171">
        <v>104</v>
      </c>
      <c r="B107" s="1" t="s">
        <v>4116</v>
      </c>
      <c r="C107" s="9" t="s">
        <v>4015</v>
      </c>
      <c r="D107" s="5" t="s">
        <v>4016</v>
      </c>
      <c r="E107" s="363">
        <v>73838</v>
      </c>
      <c r="F107" s="1"/>
      <c r="G107" s="1"/>
      <c r="H107" s="1"/>
      <c r="I107" s="3"/>
    </row>
    <row r="108" spans="1:9" x14ac:dyDescent="0.25">
      <c r="A108" s="171">
        <v>105</v>
      </c>
      <c r="B108" s="1" t="s">
        <v>4117</v>
      </c>
      <c r="C108" s="9" t="s">
        <v>4015</v>
      </c>
      <c r="D108" s="5" t="s">
        <v>4035</v>
      </c>
      <c r="E108" s="363">
        <v>16951</v>
      </c>
      <c r="F108" s="1"/>
      <c r="G108" s="1"/>
      <c r="H108" s="1"/>
      <c r="I108" s="3"/>
    </row>
    <row r="109" spans="1:9" x14ac:dyDescent="0.25">
      <c r="A109" s="171">
        <v>106</v>
      </c>
      <c r="B109" s="1" t="s">
        <v>4118</v>
      </c>
      <c r="C109" s="9" t="s">
        <v>4015</v>
      </c>
      <c r="D109" s="5" t="s">
        <v>4016</v>
      </c>
      <c r="E109" s="363">
        <v>10654</v>
      </c>
      <c r="F109" s="1"/>
      <c r="G109" s="1"/>
      <c r="H109" s="1"/>
      <c r="I109" s="3"/>
    </row>
    <row r="110" spans="1:9" x14ac:dyDescent="0.25">
      <c r="A110" s="171">
        <v>107</v>
      </c>
      <c r="B110" s="1" t="s">
        <v>4119</v>
      </c>
      <c r="C110" s="9" t="s">
        <v>4015</v>
      </c>
      <c r="D110" s="5" t="s">
        <v>4016</v>
      </c>
      <c r="E110" s="363">
        <v>4644</v>
      </c>
      <c r="F110" s="1"/>
      <c r="G110" s="1"/>
      <c r="H110" s="1"/>
      <c r="I110" s="3"/>
    </row>
    <row r="111" spans="1:9" x14ac:dyDescent="0.25">
      <c r="A111" s="171">
        <v>108</v>
      </c>
      <c r="B111" s="1" t="s">
        <v>4120</v>
      </c>
      <c r="C111" s="9" t="s">
        <v>4015</v>
      </c>
      <c r="D111" s="5" t="s">
        <v>4016</v>
      </c>
      <c r="E111" s="363">
        <v>62802</v>
      </c>
      <c r="F111" s="1"/>
      <c r="G111" s="1"/>
      <c r="H111" s="1"/>
      <c r="I111" s="3"/>
    </row>
    <row r="112" spans="1:9" x14ac:dyDescent="0.25">
      <c r="A112" s="171">
        <v>109</v>
      </c>
      <c r="B112" s="1" t="s">
        <v>1893</v>
      </c>
      <c r="C112" s="9" t="s">
        <v>4015</v>
      </c>
      <c r="D112" s="5" t="s">
        <v>4016</v>
      </c>
      <c r="E112" s="363">
        <v>143174</v>
      </c>
      <c r="F112" s="1"/>
      <c r="G112" s="1"/>
      <c r="H112" s="1"/>
      <c r="I112" s="3"/>
    </row>
    <row r="113" spans="1:9" x14ac:dyDescent="0.25">
      <c r="A113" s="171">
        <v>110</v>
      </c>
      <c r="B113" s="1" t="s">
        <v>4122</v>
      </c>
      <c r="C113" s="9" t="s">
        <v>4015</v>
      </c>
      <c r="D113" s="5" t="s">
        <v>4016</v>
      </c>
      <c r="E113" s="363">
        <v>1836</v>
      </c>
      <c r="F113" s="1"/>
      <c r="G113" s="1"/>
      <c r="H113" s="1"/>
      <c r="I113" s="3"/>
    </row>
    <row r="114" spans="1:9" x14ac:dyDescent="0.25">
      <c r="A114" s="171">
        <v>111</v>
      </c>
      <c r="B114" s="1" t="s">
        <v>4123</v>
      </c>
      <c r="C114" s="9" t="s">
        <v>4015</v>
      </c>
      <c r="D114" s="5" t="s">
        <v>4016</v>
      </c>
      <c r="E114" s="363">
        <v>1191</v>
      </c>
      <c r="F114" s="1"/>
      <c r="G114" s="1"/>
      <c r="H114" s="1"/>
      <c r="I114" s="3"/>
    </row>
    <row r="115" spans="1:9" x14ac:dyDescent="0.25">
      <c r="A115" s="171">
        <v>112</v>
      </c>
      <c r="B115" s="1" t="s">
        <v>4124</v>
      </c>
      <c r="C115" s="9" t="s">
        <v>4015</v>
      </c>
      <c r="D115" s="5" t="s">
        <v>4035</v>
      </c>
      <c r="E115" s="363">
        <v>6078</v>
      </c>
      <c r="F115" s="1"/>
      <c r="G115" s="1"/>
      <c r="H115" s="1"/>
      <c r="I115" s="3"/>
    </row>
    <row r="116" spans="1:9" x14ac:dyDescent="0.25">
      <c r="A116" s="171">
        <v>113</v>
      </c>
      <c r="B116" s="1" t="s">
        <v>4125</v>
      </c>
      <c r="C116" s="9" t="s">
        <v>4015</v>
      </c>
      <c r="D116" s="5" t="s">
        <v>4035</v>
      </c>
      <c r="E116" s="363">
        <v>35608</v>
      </c>
      <c r="F116" s="1"/>
      <c r="G116" s="1"/>
      <c r="H116" s="1"/>
      <c r="I116" s="3"/>
    </row>
    <row r="117" spans="1:9" x14ac:dyDescent="0.25">
      <c r="A117" s="171">
        <v>114</v>
      </c>
      <c r="B117" s="1" t="s">
        <v>4126</v>
      </c>
      <c r="C117" s="9" t="s">
        <v>4015</v>
      </c>
      <c r="D117" s="5" t="s">
        <v>4035</v>
      </c>
      <c r="E117" s="363">
        <v>37849</v>
      </c>
      <c r="F117" s="1"/>
      <c r="G117" s="1"/>
      <c r="H117" s="1"/>
      <c r="I117" s="3"/>
    </row>
    <row r="118" spans="1:9" x14ac:dyDescent="0.25">
      <c r="A118" s="171">
        <v>115</v>
      </c>
      <c r="B118" s="1" t="s">
        <v>4127</v>
      </c>
      <c r="C118" s="9" t="s">
        <v>4015</v>
      </c>
      <c r="D118" s="5" t="s">
        <v>4035</v>
      </c>
      <c r="E118" s="363">
        <v>18704</v>
      </c>
      <c r="F118" s="1"/>
      <c r="G118" s="1"/>
      <c r="H118" s="1"/>
      <c r="I118" s="3"/>
    </row>
    <row r="119" spans="1:9" x14ac:dyDescent="0.25">
      <c r="A119" s="171">
        <v>116</v>
      </c>
      <c r="B119" s="1" t="str">
        <f>+[104]Insumos!$B$320</f>
        <v>TEJA ONDULADA FIBROCEMENTO PERFIL 7 0,92x1,52M</v>
      </c>
      <c r="C119" s="9" t="s">
        <v>4015</v>
      </c>
      <c r="D119" s="5" t="s">
        <v>4016</v>
      </c>
      <c r="E119" s="363">
        <f>30537*1.0378</f>
        <v>31691.298600000002</v>
      </c>
      <c r="F119" s="1"/>
      <c r="G119" s="1"/>
      <c r="H119" s="1"/>
      <c r="I119" s="3"/>
    </row>
    <row r="120" spans="1:9" x14ac:dyDescent="0.25">
      <c r="A120" s="171">
        <v>117</v>
      </c>
      <c r="B120" s="1" t="s">
        <v>4128</v>
      </c>
      <c r="C120" s="9" t="s">
        <v>4015</v>
      </c>
      <c r="D120" s="5" t="s">
        <v>4016</v>
      </c>
      <c r="E120" s="363">
        <v>412</v>
      </c>
      <c r="F120" s="1"/>
      <c r="G120" s="1"/>
      <c r="H120" s="1"/>
      <c r="I120" s="3"/>
    </row>
    <row r="121" spans="1:9" ht="75" x14ac:dyDescent="0.25">
      <c r="A121" s="171">
        <v>118</v>
      </c>
      <c r="B121" s="193" t="str">
        <f>+[104]Insumos!$B$1118</f>
        <v xml:space="preserve">PUERTA ENTAMBORADA EN MADEFONDO - TIPO PIZANO ARQUITECTÓNICA O SIMILAR. ANCHO: 0,76 A 1,10 M. ALTO: 1,80 A 2,40 M. HOJA LISA CON 4 RANURAS HORIZONTALES PINTADAS Y CON MARQUETE EN CANTO DECORATIVO. ACABADO: SEGÚN PINTA SELECCIONADA DE CARTA COLORES MADECOR. </v>
      </c>
      <c r="C121" s="9" t="s">
        <v>4015</v>
      </c>
      <c r="D121" s="5" t="s">
        <v>4016</v>
      </c>
      <c r="E121" s="363">
        <v>292075</v>
      </c>
      <c r="F121" s="1"/>
      <c r="G121" s="1"/>
      <c r="H121" s="1"/>
      <c r="I121" s="3"/>
    </row>
    <row r="122" spans="1:9" x14ac:dyDescent="0.25">
      <c r="A122" s="171">
        <v>119</v>
      </c>
      <c r="B122" s="1" t="str">
        <f>+[104]Insumos!$B$1166</f>
        <v>TINTILLA SELLADORA - TIPO MINWAX O SIMILAR.</v>
      </c>
      <c r="C122" s="9" t="s">
        <v>4015</v>
      </c>
      <c r="D122" s="5" t="str">
        <f>+[104]Insumos!$D$1166</f>
        <v>GALÓN</v>
      </c>
      <c r="E122" s="363">
        <v>188002</v>
      </c>
      <c r="F122" s="1"/>
      <c r="G122" s="1"/>
      <c r="H122" s="1"/>
      <c r="I122" s="3"/>
    </row>
    <row r="123" spans="1:9" x14ac:dyDescent="0.25">
      <c r="A123" s="171">
        <v>120</v>
      </c>
      <c r="B123" s="1" t="str">
        <f>+[104]Insumos!$B$1156</f>
        <v>LACA PINTULACA - TIPO PINTUCO O SIMILAR</v>
      </c>
      <c r="C123" s="9" t="s">
        <v>4015</v>
      </c>
      <c r="D123" s="5" t="str">
        <f>+[104]Insumos!$D$1156</f>
        <v>GALÓN</v>
      </c>
      <c r="E123" s="363">
        <v>83091</v>
      </c>
      <c r="F123" s="1"/>
      <c r="G123" s="1"/>
      <c r="H123" s="1"/>
      <c r="I123" s="3"/>
    </row>
    <row r="124" spans="1:9" x14ac:dyDescent="0.25">
      <c r="A124" s="171">
        <v>121</v>
      </c>
      <c r="B124" s="1" t="str">
        <f>+[104]Insumos!$B$511</f>
        <v>BISAGRAS ALUMINIO 3"</v>
      </c>
      <c r="C124" s="9" t="s">
        <v>4015</v>
      </c>
      <c r="D124" s="2" t="s">
        <v>4016</v>
      </c>
      <c r="E124" s="363">
        <v>4956</v>
      </c>
      <c r="F124" s="1"/>
      <c r="G124" s="1"/>
      <c r="H124" s="1"/>
      <c r="I124" s="3"/>
    </row>
    <row r="125" spans="1:9" x14ac:dyDescent="0.25">
      <c r="A125" s="171">
        <v>122</v>
      </c>
      <c r="B125" s="1" t="s">
        <v>4129</v>
      </c>
      <c r="C125" s="9" t="s">
        <v>4015</v>
      </c>
      <c r="D125" s="5" t="s">
        <v>4018</v>
      </c>
      <c r="E125" s="363">
        <v>94199</v>
      </c>
      <c r="F125" s="1"/>
      <c r="G125" s="1"/>
      <c r="H125" s="1"/>
      <c r="I125" s="3"/>
    </row>
    <row r="126" spans="1:9" x14ac:dyDescent="0.25">
      <c r="A126" s="171">
        <v>123</v>
      </c>
      <c r="B126" s="1" t="s">
        <v>2108</v>
      </c>
      <c r="C126" s="9" t="s">
        <v>4015</v>
      </c>
      <c r="D126" s="5" t="s">
        <v>4035</v>
      </c>
      <c r="E126" s="363">
        <v>25318</v>
      </c>
      <c r="F126" s="1"/>
      <c r="G126" s="1"/>
      <c r="H126" s="1"/>
      <c r="I126" s="3"/>
    </row>
    <row r="127" spans="1:9" x14ac:dyDescent="0.25">
      <c r="A127" s="171">
        <v>124</v>
      </c>
      <c r="B127" s="1" t="s">
        <v>4132</v>
      </c>
      <c r="C127" s="9" t="s">
        <v>4015</v>
      </c>
      <c r="D127" s="5" t="s">
        <v>4016</v>
      </c>
      <c r="E127" s="363">
        <v>13770</v>
      </c>
      <c r="F127" s="1"/>
      <c r="G127" s="1"/>
      <c r="H127" s="1"/>
      <c r="I127" s="3"/>
    </row>
    <row r="128" spans="1:9" x14ac:dyDescent="0.25">
      <c r="A128" s="171">
        <v>125</v>
      </c>
      <c r="B128" s="1" t="s">
        <v>4131</v>
      </c>
      <c r="C128" s="9" t="s">
        <v>4015</v>
      </c>
      <c r="D128" s="5" t="s">
        <v>4016</v>
      </c>
      <c r="E128" s="363">
        <v>5207</v>
      </c>
      <c r="F128" s="1"/>
      <c r="G128" s="1"/>
      <c r="H128" s="1"/>
      <c r="I128" s="3"/>
    </row>
    <row r="129" spans="1:9" x14ac:dyDescent="0.25">
      <c r="A129" s="171">
        <v>126</v>
      </c>
      <c r="B129" s="1" t="s">
        <v>4133</v>
      </c>
      <c r="C129" s="9" t="s">
        <v>4015</v>
      </c>
      <c r="D129" s="5" t="s">
        <v>4018</v>
      </c>
      <c r="E129" s="1085">
        <v>79959</v>
      </c>
      <c r="F129" s="1"/>
      <c r="G129" s="1"/>
      <c r="H129" s="1"/>
      <c r="I129" s="3"/>
    </row>
    <row r="130" spans="1:9" x14ac:dyDescent="0.25">
      <c r="A130" s="171">
        <v>127</v>
      </c>
      <c r="B130" s="1" t="s">
        <v>4135</v>
      </c>
      <c r="C130" s="9" t="s">
        <v>4015</v>
      </c>
      <c r="D130" s="5" t="s">
        <v>4016</v>
      </c>
      <c r="E130" s="363">
        <v>1075</v>
      </c>
      <c r="F130" s="1"/>
      <c r="G130" s="1"/>
      <c r="H130" s="1"/>
      <c r="I130" s="3"/>
    </row>
    <row r="131" spans="1:9" x14ac:dyDescent="0.25">
      <c r="A131" s="171">
        <v>128</v>
      </c>
      <c r="B131" s="1" t="s">
        <v>4136</v>
      </c>
      <c r="C131" s="9" t="s">
        <v>4015</v>
      </c>
      <c r="D131" s="5" t="s">
        <v>4016</v>
      </c>
      <c r="E131" s="363">
        <v>1411604</v>
      </c>
      <c r="F131" s="1"/>
      <c r="G131" s="1"/>
      <c r="H131" s="1"/>
      <c r="I131" s="3"/>
    </row>
    <row r="132" spans="1:9" x14ac:dyDescent="0.25">
      <c r="A132" s="171">
        <v>129</v>
      </c>
      <c r="B132" s="1" t="s">
        <v>4137</v>
      </c>
      <c r="C132" s="9" t="s">
        <v>4015</v>
      </c>
      <c r="D132" s="5" t="s">
        <v>1027</v>
      </c>
      <c r="E132" s="363">
        <v>12497</v>
      </c>
      <c r="F132" s="1"/>
      <c r="G132" s="1"/>
      <c r="H132" s="1"/>
      <c r="I132" s="3"/>
    </row>
    <row r="133" spans="1:9" x14ac:dyDescent="0.25">
      <c r="A133" s="171">
        <v>130</v>
      </c>
      <c r="B133" s="1" t="str">
        <f>+EQUIPOS!B936</f>
        <v>UNION SANITARIA  2'' PVC</v>
      </c>
      <c r="C133" s="9" t="s">
        <v>4015</v>
      </c>
      <c r="D133" s="2" t="str">
        <f>+EQUIPOS!D936</f>
        <v>UN</v>
      </c>
      <c r="E133" s="363">
        <v>3746</v>
      </c>
      <c r="F133" s="1"/>
      <c r="G133" s="1"/>
      <c r="H133" s="1"/>
      <c r="I133" s="3"/>
    </row>
    <row r="134" spans="1:9" x14ac:dyDescent="0.25">
      <c r="A134" s="171">
        <v>131</v>
      </c>
      <c r="B134" s="1" t="s">
        <v>4152</v>
      </c>
      <c r="C134" s="9" t="s">
        <v>4015</v>
      </c>
      <c r="D134" s="2" t="s">
        <v>4016</v>
      </c>
      <c r="E134" s="363">
        <v>55543</v>
      </c>
      <c r="F134" s="1"/>
      <c r="G134" s="1"/>
      <c r="H134" s="1"/>
      <c r="I134" s="3"/>
    </row>
    <row r="135" spans="1:9" x14ac:dyDescent="0.25">
      <c r="A135" s="171">
        <v>132</v>
      </c>
      <c r="B135" s="1" t="s">
        <v>4157</v>
      </c>
      <c r="C135" s="9" t="s">
        <v>4015</v>
      </c>
      <c r="D135" s="2" t="s">
        <v>4016</v>
      </c>
      <c r="E135" s="363">
        <v>3819</v>
      </c>
      <c r="F135" s="1"/>
      <c r="G135" s="1"/>
      <c r="H135" s="1"/>
      <c r="I135" s="3"/>
    </row>
    <row r="136" spans="1:9" ht="30" x14ac:dyDescent="0.25">
      <c r="A136" s="284">
        <v>133</v>
      </c>
      <c r="B136" s="193" t="s">
        <v>4172</v>
      </c>
      <c r="C136" s="9" t="s">
        <v>4015</v>
      </c>
      <c r="D136" s="5" t="s">
        <v>4016</v>
      </c>
      <c r="E136" s="363">
        <v>729677</v>
      </c>
      <c r="F136" s="1"/>
      <c r="G136" s="1"/>
      <c r="H136" s="1"/>
      <c r="I136" s="1"/>
    </row>
    <row r="137" spans="1:9" x14ac:dyDescent="0.25">
      <c r="A137" s="284">
        <v>134</v>
      </c>
      <c r="B137" s="1" t="s">
        <v>2681</v>
      </c>
      <c r="C137" s="9" t="s">
        <v>4015</v>
      </c>
      <c r="D137" s="5" t="s">
        <v>4016</v>
      </c>
      <c r="E137" s="363">
        <v>39262</v>
      </c>
      <c r="F137" s="1"/>
      <c r="G137" s="1"/>
      <c r="H137" s="1"/>
      <c r="I137" s="1"/>
    </row>
    <row r="138" spans="1:9" x14ac:dyDescent="0.25">
      <c r="A138" s="284">
        <v>135</v>
      </c>
      <c r="B138" s="1" t="s">
        <v>2684</v>
      </c>
      <c r="C138" s="9" t="s">
        <v>4015</v>
      </c>
      <c r="D138" s="5" t="s">
        <v>4016</v>
      </c>
      <c r="E138" s="363">
        <v>26175</v>
      </c>
      <c r="F138" s="1"/>
      <c r="G138" s="1"/>
      <c r="H138" s="1"/>
      <c r="I138" s="1"/>
    </row>
    <row r="139" spans="1:9" x14ac:dyDescent="0.25">
      <c r="A139" s="284">
        <v>136</v>
      </c>
      <c r="B139" s="1" t="s">
        <v>1378</v>
      </c>
      <c r="C139" s="9" t="s">
        <v>4015</v>
      </c>
      <c r="D139" s="5" t="s">
        <v>4016</v>
      </c>
      <c r="E139" s="363">
        <v>36090</v>
      </c>
      <c r="F139" s="1"/>
      <c r="G139" s="1"/>
      <c r="H139" s="1"/>
      <c r="I139" s="1"/>
    </row>
    <row r="140" spans="1:9" x14ac:dyDescent="0.25">
      <c r="A140" s="284">
        <v>137</v>
      </c>
      <c r="B140" s="1" t="s">
        <v>678</v>
      </c>
      <c r="C140" s="9" t="s">
        <v>4015</v>
      </c>
      <c r="D140" s="5" t="s">
        <v>4016</v>
      </c>
      <c r="E140" s="363">
        <v>4956</v>
      </c>
      <c r="F140" s="1"/>
      <c r="G140" s="1"/>
      <c r="H140" s="1"/>
      <c r="I140" s="1"/>
    </row>
    <row r="141" spans="1:9" ht="72" x14ac:dyDescent="0.25">
      <c r="A141" s="284">
        <v>138</v>
      </c>
      <c r="B141" s="248" t="s">
        <v>700</v>
      </c>
      <c r="C141" s="9" t="s">
        <v>4015</v>
      </c>
      <c r="D141" s="5" t="s">
        <v>4016</v>
      </c>
      <c r="E141" s="363">
        <v>651748</v>
      </c>
      <c r="F141" s="1"/>
      <c r="G141" s="1"/>
      <c r="H141" s="1"/>
      <c r="I141" s="1"/>
    </row>
    <row r="142" spans="1:9" x14ac:dyDescent="0.25">
      <c r="A142" s="284">
        <v>139</v>
      </c>
      <c r="B142" s="285" t="s">
        <v>3677</v>
      </c>
      <c r="C142" s="9" t="s">
        <v>4015</v>
      </c>
      <c r="D142" s="177" t="s">
        <v>4033</v>
      </c>
      <c r="E142" s="363">
        <v>6544</v>
      </c>
      <c r="F142" s="1"/>
      <c r="G142" s="1"/>
      <c r="H142" s="1"/>
      <c r="I142" s="1"/>
    </row>
    <row r="143" spans="1:9" x14ac:dyDescent="0.25">
      <c r="A143" s="284">
        <v>140</v>
      </c>
      <c r="B143" s="1" t="str">
        <f>+[104]Insumos!$B$1610</f>
        <v xml:space="preserve">TUBO CONDUIT GALVANIZADA EMT 3/4" </v>
      </c>
      <c r="C143" s="9" t="s">
        <v>4015</v>
      </c>
      <c r="D143" s="5" t="s">
        <v>1027</v>
      </c>
      <c r="E143" s="363">
        <v>14456</v>
      </c>
      <c r="F143" s="1"/>
      <c r="G143" s="1"/>
      <c r="H143" s="1"/>
      <c r="I143" s="1"/>
    </row>
    <row r="144" spans="1:9" x14ac:dyDescent="0.25">
      <c r="A144" s="284">
        <v>141</v>
      </c>
      <c r="B144" s="1" t="s">
        <v>4274</v>
      </c>
      <c r="C144" s="9" t="s">
        <v>4015</v>
      </c>
      <c r="D144" s="5" t="s">
        <v>1027</v>
      </c>
      <c r="E144" s="363">
        <v>2576</v>
      </c>
      <c r="F144" s="1"/>
      <c r="G144" s="1"/>
      <c r="H144" s="1"/>
      <c r="I144" s="1"/>
    </row>
    <row r="145" spans="1:9" x14ac:dyDescent="0.25">
      <c r="A145" s="284">
        <v>142</v>
      </c>
      <c r="B145" s="1" t="s">
        <v>4275</v>
      </c>
      <c r="C145" s="9" t="s">
        <v>4015</v>
      </c>
      <c r="D145" s="5" t="s">
        <v>1027</v>
      </c>
      <c r="E145" s="363">
        <v>2576</v>
      </c>
      <c r="F145" s="1"/>
      <c r="G145" s="1"/>
      <c r="H145" s="1"/>
      <c r="I145" s="1"/>
    </row>
    <row r="146" spans="1:9" x14ac:dyDescent="0.25">
      <c r="A146" s="284">
        <v>143</v>
      </c>
      <c r="B146" s="1" t="s">
        <v>4276</v>
      </c>
      <c r="C146" s="9" t="s">
        <v>4015</v>
      </c>
      <c r="D146" s="5" t="s">
        <v>1027</v>
      </c>
      <c r="E146" s="363">
        <v>2576</v>
      </c>
      <c r="F146" s="1"/>
      <c r="G146" s="1"/>
      <c r="H146" s="1"/>
      <c r="I146" s="1"/>
    </row>
    <row r="147" spans="1:9" x14ac:dyDescent="0.25">
      <c r="A147" s="284">
        <v>144</v>
      </c>
      <c r="B147" s="1" t="s">
        <v>4277</v>
      </c>
      <c r="C147" s="9" t="s">
        <v>4015</v>
      </c>
      <c r="D147" s="5" t="s">
        <v>4016</v>
      </c>
      <c r="E147" s="363">
        <v>53881</v>
      </c>
      <c r="F147" s="1"/>
      <c r="G147" s="1"/>
      <c r="H147" s="1"/>
      <c r="I147" s="1"/>
    </row>
    <row r="148" spans="1:9" x14ac:dyDescent="0.25">
      <c r="A148" s="284">
        <v>145</v>
      </c>
      <c r="B148" s="1" t="s">
        <v>4278</v>
      </c>
      <c r="C148" s="9" t="s">
        <v>4015</v>
      </c>
      <c r="D148" s="5" t="s">
        <v>4016</v>
      </c>
      <c r="E148" s="363">
        <v>11039</v>
      </c>
      <c r="F148" s="1"/>
      <c r="G148" s="1"/>
      <c r="H148" s="1"/>
      <c r="I148" s="1"/>
    </row>
    <row r="149" spans="1:9" x14ac:dyDescent="0.25">
      <c r="A149" s="284">
        <v>146</v>
      </c>
      <c r="B149" s="1" t="s">
        <v>4279</v>
      </c>
      <c r="C149" s="9" t="s">
        <v>4015</v>
      </c>
      <c r="D149" s="5" t="s">
        <v>4016</v>
      </c>
      <c r="E149" s="363">
        <v>57857</v>
      </c>
      <c r="F149" s="1"/>
      <c r="G149" s="1"/>
      <c r="H149" s="1"/>
      <c r="I149" s="1"/>
    </row>
    <row r="150" spans="1:9" x14ac:dyDescent="0.25">
      <c r="A150" s="284">
        <v>147</v>
      </c>
      <c r="B150" s="1" t="str">
        <f>+APU!D598</f>
        <v>LUMINARIA LED HERMETICA LUZ BLANCA</v>
      </c>
      <c r="C150" s="9" t="s">
        <v>4015</v>
      </c>
      <c r="D150" s="5" t="str">
        <f>+APU!E598</f>
        <v>UN</v>
      </c>
      <c r="E150" s="363">
        <v>162001</v>
      </c>
      <c r="F150" s="1"/>
      <c r="G150" s="1"/>
      <c r="H150" s="1"/>
      <c r="I150" s="1"/>
    </row>
    <row r="151" spans="1:9" x14ac:dyDescent="0.25">
      <c r="A151" s="284">
        <v>148</v>
      </c>
      <c r="B151" s="1" t="s">
        <v>4281</v>
      </c>
      <c r="C151" s="9" t="s">
        <v>4015</v>
      </c>
      <c r="D151" s="5" t="s">
        <v>4016</v>
      </c>
      <c r="E151" s="363">
        <v>6571</v>
      </c>
      <c r="F151" s="1"/>
      <c r="G151" s="1"/>
      <c r="H151" s="1"/>
      <c r="I151" s="1"/>
    </row>
    <row r="152" spans="1:9" x14ac:dyDescent="0.25">
      <c r="A152" s="284">
        <v>149</v>
      </c>
      <c r="B152" s="1" t="s">
        <v>4457</v>
      </c>
      <c r="C152" s="9" t="s">
        <v>4098</v>
      </c>
      <c r="D152" s="5" t="s">
        <v>202</v>
      </c>
      <c r="E152" s="363">
        <v>47826</v>
      </c>
      <c r="F152" s="1"/>
      <c r="G152" s="1"/>
      <c r="H152" s="1"/>
      <c r="I152" s="1"/>
    </row>
    <row r="153" spans="1:9" x14ac:dyDescent="0.25">
      <c r="A153" s="284">
        <v>150</v>
      </c>
      <c r="B153" s="1" t="s">
        <v>3925</v>
      </c>
      <c r="C153" s="9" t="s">
        <v>4458</v>
      </c>
      <c r="D153" s="5" t="s">
        <v>3993</v>
      </c>
      <c r="E153" s="363">
        <v>4050</v>
      </c>
      <c r="F153" s="1"/>
      <c r="G153" s="1"/>
      <c r="H153" s="1"/>
      <c r="I153" s="1"/>
    </row>
    <row r="154" spans="1:9" x14ac:dyDescent="0.25">
      <c r="A154" s="284">
        <v>151</v>
      </c>
      <c r="B154" s="1" t="s">
        <v>4531</v>
      </c>
      <c r="C154" s="9" t="s">
        <v>4098</v>
      </c>
      <c r="D154" s="5" t="s">
        <v>4532</v>
      </c>
      <c r="E154" s="363">
        <v>22614</v>
      </c>
      <c r="F154" s="1"/>
      <c r="G154" s="1"/>
      <c r="H154" s="1"/>
      <c r="I154" s="1"/>
    </row>
    <row r="155" spans="1:9" x14ac:dyDescent="0.25">
      <c r="A155" s="284">
        <v>152</v>
      </c>
      <c r="B155" s="1" t="s">
        <v>4549</v>
      </c>
      <c r="C155" s="9" t="s">
        <v>4543</v>
      </c>
      <c r="D155" s="5" t="s">
        <v>4027</v>
      </c>
      <c r="E155" s="363">
        <v>2889</v>
      </c>
      <c r="F155" s="1"/>
      <c r="G155" s="1"/>
      <c r="H155" s="1"/>
      <c r="I155" s="1"/>
    </row>
    <row r="156" spans="1:9" x14ac:dyDescent="0.25">
      <c r="A156" s="284">
        <v>153</v>
      </c>
      <c r="B156" s="1"/>
      <c r="C156" s="9"/>
      <c r="D156" s="2"/>
      <c r="E156" s="189">
        <v>0</v>
      </c>
      <c r="F156" s="1"/>
      <c r="G156" s="1"/>
      <c r="H156" s="1"/>
      <c r="I156" s="1"/>
    </row>
    <row r="157" spans="1:9" ht="15.75" thickBot="1" x14ac:dyDescent="0.3">
      <c r="C157" s="282"/>
      <c r="E157" s="249">
        <v>0</v>
      </c>
    </row>
    <row r="158" spans="1:9" ht="15.75" thickBot="1" x14ac:dyDescent="0.3">
      <c r="A158" s="298" t="s">
        <v>10</v>
      </c>
      <c r="B158" s="299" t="s">
        <v>4282</v>
      </c>
      <c r="C158" s="298" t="s">
        <v>10</v>
      </c>
      <c r="D158" s="300" t="s">
        <v>3986</v>
      </c>
      <c r="E158" s="1101"/>
    </row>
    <row r="159" spans="1:9" x14ac:dyDescent="0.25">
      <c r="A159" s="284">
        <v>301</v>
      </c>
      <c r="B159" s="301" t="s">
        <v>4283</v>
      </c>
      <c r="C159" s="9" t="s">
        <v>4015</v>
      </c>
      <c r="D159" s="302" t="s">
        <v>814</v>
      </c>
      <c r="E159" s="1102">
        <v>12938</v>
      </c>
    </row>
    <row r="160" spans="1:9" x14ac:dyDescent="0.25">
      <c r="A160" s="284">
        <v>302</v>
      </c>
      <c r="B160" s="303" t="s">
        <v>4284</v>
      </c>
      <c r="C160" s="9" t="s">
        <v>4015</v>
      </c>
      <c r="D160" s="304" t="s">
        <v>4141</v>
      </c>
      <c r="E160" s="1102">
        <v>16092</v>
      </c>
    </row>
    <row r="161" spans="1:5" x14ac:dyDescent="0.25">
      <c r="A161" s="284">
        <v>303</v>
      </c>
      <c r="B161" s="305" t="s">
        <v>4285</v>
      </c>
      <c r="C161" s="9" t="s">
        <v>4015</v>
      </c>
      <c r="D161" s="306" t="s">
        <v>262</v>
      </c>
      <c r="E161" s="1102">
        <v>3154</v>
      </c>
    </row>
    <row r="162" spans="1:5" x14ac:dyDescent="0.25">
      <c r="A162" s="284">
        <v>304</v>
      </c>
      <c r="B162" s="305" t="s">
        <v>4286</v>
      </c>
      <c r="C162" s="9" t="s">
        <v>4015</v>
      </c>
      <c r="D162" s="306" t="s">
        <v>227</v>
      </c>
      <c r="E162" s="1102">
        <v>6834</v>
      </c>
    </row>
    <row r="163" spans="1:5" x14ac:dyDescent="0.25">
      <c r="A163" s="284">
        <v>305</v>
      </c>
      <c r="B163" s="307" t="s">
        <v>4287</v>
      </c>
      <c r="C163" s="9" t="s">
        <v>4015</v>
      </c>
      <c r="D163" s="308" t="s">
        <v>292</v>
      </c>
      <c r="E163" s="1102">
        <v>2576</v>
      </c>
    </row>
    <row r="164" spans="1:5" x14ac:dyDescent="0.25">
      <c r="A164" s="284">
        <v>306</v>
      </c>
      <c r="B164" s="307" t="s">
        <v>4288</v>
      </c>
      <c r="C164" s="9" t="s">
        <v>4015</v>
      </c>
      <c r="D164" s="308" t="s">
        <v>292</v>
      </c>
      <c r="E164" s="1102">
        <v>2576</v>
      </c>
    </row>
    <row r="165" spans="1:5" x14ac:dyDescent="0.25">
      <c r="A165" s="284">
        <v>307</v>
      </c>
      <c r="B165" s="307" t="s">
        <v>4289</v>
      </c>
      <c r="C165" s="9" t="s">
        <v>4015</v>
      </c>
      <c r="D165" s="308" t="s">
        <v>292</v>
      </c>
      <c r="E165" s="1102">
        <v>2576</v>
      </c>
    </row>
    <row r="166" spans="1:5" x14ac:dyDescent="0.25">
      <c r="A166" s="284">
        <v>308</v>
      </c>
      <c r="B166" s="305" t="s">
        <v>4290</v>
      </c>
      <c r="C166" s="9" t="s">
        <v>4015</v>
      </c>
      <c r="D166" s="306" t="s">
        <v>227</v>
      </c>
      <c r="E166" s="1102">
        <v>4600</v>
      </c>
    </row>
    <row r="167" spans="1:5" x14ac:dyDescent="0.25">
      <c r="A167" s="284">
        <v>309</v>
      </c>
      <c r="B167" s="309" t="s">
        <v>4291</v>
      </c>
      <c r="C167" s="9" t="s">
        <v>4015</v>
      </c>
      <c r="D167" s="304" t="s">
        <v>262</v>
      </c>
      <c r="E167" s="1102">
        <v>2628</v>
      </c>
    </row>
    <row r="168" spans="1:5" x14ac:dyDescent="0.25">
      <c r="A168" s="284">
        <v>310</v>
      </c>
      <c r="B168" s="309" t="s">
        <v>4292</v>
      </c>
      <c r="C168" s="9" t="s">
        <v>4015</v>
      </c>
      <c r="D168" s="304" t="s">
        <v>262</v>
      </c>
      <c r="E168" s="1102">
        <v>1183</v>
      </c>
    </row>
    <row r="169" spans="1:5" x14ac:dyDescent="0.25">
      <c r="A169" s="284">
        <v>311</v>
      </c>
      <c r="B169" s="309" t="s">
        <v>4293</v>
      </c>
      <c r="C169" s="9" t="s">
        <v>4015</v>
      </c>
      <c r="D169" s="304" t="s">
        <v>301</v>
      </c>
      <c r="E169" s="1102">
        <v>538810</v>
      </c>
    </row>
    <row r="170" spans="1:5" x14ac:dyDescent="0.25">
      <c r="A170" s="284">
        <v>312</v>
      </c>
      <c r="B170" s="309" t="s">
        <v>4294</v>
      </c>
      <c r="C170" s="9" t="s">
        <v>4015</v>
      </c>
      <c r="D170" s="304" t="s">
        <v>262</v>
      </c>
      <c r="E170" s="1102">
        <v>7425</v>
      </c>
    </row>
    <row r="171" spans="1:5" x14ac:dyDescent="0.25">
      <c r="A171" s="284">
        <v>313</v>
      </c>
      <c r="B171" s="309" t="s">
        <v>4295</v>
      </c>
      <c r="C171" s="9" t="s">
        <v>4015</v>
      </c>
      <c r="D171" s="304" t="s">
        <v>4296</v>
      </c>
      <c r="E171" s="1102">
        <v>3471</v>
      </c>
    </row>
    <row r="172" spans="1:5" x14ac:dyDescent="0.25">
      <c r="A172" s="284">
        <v>314</v>
      </c>
      <c r="B172" s="309" t="s">
        <v>4297</v>
      </c>
      <c r="C172" s="9" t="s">
        <v>4015</v>
      </c>
      <c r="D172" s="304" t="s">
        <v>4296</v>
      </c>
      <c r="E172" s="1102">
        <v>3471</v>
      </c>
    </row>
    <row r="173" spans="1:5" x14ac:dyDescent="0.25">
      <c r="A173" s="284">
        <v>315</v>
      </c>
      <c r="B173" s="309" t="s">
        <v>4298</v>
      </c>
      <c r="C173" s="9" t="s">
        <v>4015</v>
      </c>
      <c r="D173" s="304" t="s">
        <v>4296</v>
      </c>
      <c r="E173" s="1102">
        <v>3471</v>
      </c>
    </row>
    <row r="174" spans="1:5" x14ac:dyDescent="0.25">
      <c r="A174" s="284">
        <v>316</v>
      </c>
      <c r="B174" s="307" t="s">
        <v>4299</v>
      </c>
      <c r="C174" s="9" t="s">
        <v>4015</v>
      </c>
      <c r="D174" s="308" t="s">
        <v>262</v>
      </c>
      <c r="E174" s="1102">
        <v>11039</v>
      </c>
    </row>
    <row r="175" spans="1:5" x14ac:dyDescent="0.25">
      <c r="A175" s="284">
        <v>317</v>
      </c>
      <c r="B175" s="309" t="s">
        <v>4300</v>
      </c>
      <c r="C175" s="9" t="s">
        <v>4015</v>
      </c>
      <c r="D175" s="304" t="s">
        <v>292</v>
      </c>
      <c r="E175" s="1102">
        <v>19055</v>
      </c>
    </row>
    <row r="176" spans="1:5" x14ac:dyDescent="0.25">
      <c r="A176" s="284">
        <v>318</v>
      </c>
      <c r="B176" s="309" t="s">
        <v>4301</v>
      </c>
      <c r="C176" s="9" t="s">
        <v>4015</v>
      </c>
      <c r="D176" s="304" t="s">
        <v>4302</v>
      </c>
      <c r="E176" s="1102">
        <v>350884</v>
      </c>
    </row>
    <row r="177" spans="1:5" x14ac:dyDescent="0.25">
      <c r="A177" s="284">
        <v>319</v>
      </c>
      <c r="B177" s="309" t="s">
        <v>4303</v>
      </c>
      <c r="C177" s="9" t="s">
        <v>4015</v>
      </c>
      <c r="D177" s="304" t="s">
        <v>4302</v>
      </c>
      <c r="E177" s="1102">
        <v>294861</v>
      </c>
    </row>
    <row r="178" spans="1:5" x14ac:dyDescent="0.25">
      <c r="A178" s="284">
        <v>320</v>
      </c>
      <c r="B178" s="309" t="s">
        <v>4304</v>
      </c>
      <c r="C178" s="9" t="s">
        <v>4015</v>
      </c>
      <c r="D178" s="304" t="s">
        <v>4302</v>
      </c>
      <c r="E178" s="1102">
        <v>320001</v>
      </c>
    </row>
    <row r="179" spans="1:5" x14ac:dyDescent="0.25">
      <c r="A179" s="284">
        <v>321</v>
      </c>
      <c r="B179" s="310" t="s">
        <v>4305</v>
      </c>
      <c r="C179" s="9" t="s">
        <v>4015</v>
      </c>
      <c r="D179" s="308" t="s">
        <v>4027</v>
      </c>
      <c r="E179" s="1102">
        <v>3285</v>
      </c>
    </row>
    <row r="180" spans="1:5" x14ac:dyDescent="0.25">
      <c r="A180" s="284">
        <v>322</v>
      </c>
      <c r="B180" s="309" t="s">
        <v>4306</v>
      </c>
      <c r="C180" s="9" t="s">
        <v>4015</v>
      </c>
      <c r="D180" s="304" t="s">
        <v>4</v>
      </c>
      <c r="E180" s="1102">
        <v>39425</v>
      </c>
    </row>
    <row r="181" spans="1:5" x14ac:dyDescent="0.25">
      <c r="A181" s="284">
        <v>323</v>
      </c>
      <c r="B181" s="305" t="s">
        <v>4307</v>
      </c>
      <c r="C181" s="9" t="s">
        <v>4015</v>
      </c>
      <c r="D181" s="306" t="s">
        <v>4</v>
      </c>
      <c r="E181" s="1102">
        <v>55852</v>
      </c>
    </row>
    <row r="182" spans="1:5" x14ac:dyDescent="0.25">
      <c r="A182" s="284">
        <v>324</v>
      </c>
      <c r="B182" s="309" t="s">
        <v>4308</v>
      </c>
      <c r="C182" s="9" t="s">
        <v>4015</v>
      </c>
      <c r="D182" s="304" t="s">
        <v>292</v>
      </c>
      <c r="E182" s="1102">
        <v>256</v>
      </c>
    </row>
    <row r="183" spans="1:5" x14ac:dyDescent="0.25">
      <c r="A183" s="284">
        <v>325</v>
      </c>
      <c r="B183" s="309" t="s">
        <v>4309</v>
      </c>
      <c r="C183" s="9" t="s">
        <v>4015</v>
      </c>
      <c r="D183" s="308" t="s">
        <v>262</v>
      </c>
      <c r="E183" s="1102">
        <v>17084</v>
      </c>
    </row>
    <row r="184" spans="1:5" x14ac:dyDescent="0.25">
      <c r="A184" s="284">
        <v>326</v>
      </c>
      <c r="B184" s="309" t="s">
        <v>4310</v>
      </c>
      <c r="C184" s="9" t="s">
        <v>4015</v>
      </c>
      <c r="D184" s="308" t="s">
        <v>262</v>
      </c>
      <c r="E184" s="1102">
        <v>14456</v>
      </c>
    </row>
    <row r="185" spans="1:5" x14ac:dyDescent="0.25">
      <c r="A185" s="284">
        <v>327</v>
      </c>
      <c r="B185" s="309" t="s">
        <v>4311</v>
      </c>
      <c r="C185" s="9" t="s">
        <v>4015</v>
      </c>
      <c r="D185" s="308" t="s">
        <v>262</v>
      </c>
      <c r="E185" s="1102">
        <v>4140</v>
      </c>
    </row>
    <row r="186" spans="1:5" x14ac:dyDescent="0.25">
      <c r="A186" s="284">
        <v>328</v>
      </c>
      <c r="B186" s="309" t="s">
        <v>4312</v>
      </c>
      <c r="C186" s="9" t="s">
        <v>4015</v>
      </c>
      <c r="D186" s="308" t="s">
        <v>262</v>
      </c>
      <c r="E186" s="1102">
        <v>9068</v>
      </c>
    </row>
    <row r="187" spans="1:5" x14ac:dyDescent="0.25">
      <c r="A187" s="284">
        <v>329</v>
      </c>
      <c r="B187" s="309" t="s">
        <v>4313</v>
      </c>
      <c r="C187" s="9" t="s">
        <v>4015</v>
      </c>
      <c r="D187" s="308" t="s">
        <v>262</v>
      </c>
      <c r="E187" s="1102">
        <v>2103</v>
      </c>
    </row>
    <row r="188" spans="1:5" x14ac:dyDescent="0.25">
      <c r="A188" s="284">
        <v>330</v>
      </c>
      <c r="B188" s="305" t="s">
        <v>4314</v>
      </c>
      <c r="C188" s="9" t="s">
        <v>4015</v>
      </c>
      <c r="D188" s="306" t="s">
        <v>3980</v>
      </c>
      <c r="E188" s="178">
        <f>+'SUB ANALISIS CONCRETO'!I25</f>
        <v>393249.64250000002</v>
      </c>
    </row>
    <row r="189" spans="1:5" x14ac:dyDescent="0.25">
      <c r="A189" s="284">
        <v>331</v>
      </c>
      <c r="B189" s="305" t="s">
        <v>4315</v>
      </c>
      <c r="C189" s="9" t="s">
        <v>4015</v>
      </c>
      <c r="D189" s="306" t="s">
        <v>292</v>
      </c>
      <c r="E189" s="1102">
        <v>10382</v>
      </c>
    </row>
    <row r="190" spans="1:5" x14ac:dyDescent="0.25">
      <c r="A190" s="284">
        <v>332</v>
      </c>
      <c r="B190" s="309" t="s">
        <v>4316</v>
      </c>
      <c r="C190" s="9" t="s">
        <v>4015</v>
      </c>
      <c r="D190" s="304" t="s">
        <v>4302</v>
      </c>
      <c r="E190" s="1102">
        <v>88050</v>
      </c>
    </row>
    <row r="191" spans="1:5" x14ac:dyDescent="0.25">
      <c r="A191" s="284">
        <v>333</v>
      </c>
      <c r="B191" s="309" t="s">
        <v>4317</v>
      </c>
      <c r="C191" s="9" t="s">
        <v>4015</v>
      </c>
      <c r="D191" s="304" t="s">
        <v>987</v>
      </c>
      <c r="E191" s="1102">
        <v>15770</v>
      </c>
    </row>
    <row r="192" spans="1:5" x14ac:dyDescent="0.25">
      <c r="A192" s="284">
        <v>334</v>
      </c>
      <c r="B192" s="309" t="s">
        <v>4318</v>
      </c>
      <c r="C192" s="9" t="s">
        <v>4015</v>
      </c>
      <c r="D192" s="304" t="s">
        <v>4302</v>
      </c>
      <c r="E192" s="1102">
        <v>320001</v>
      </c>
    </row>
    <row r="193" spans="1:5" x14ac:dyDescent="0.25">
      <c r="A193" s="284">
        <v>335</v>
      </c>
      <c r="B193" s="309" t="s">
        <v>4319</v>
      </c>
      <c r="C193" s="9" t="s">
        <v>4015</v>
      </c>
      <c r="D193" s="304" t="s">
        <v>227</v>
      </c>
      <c r="E193" s="1102">
        <v>7491</v>
      </c>
    </row>
    <row r="194" spans="1:5" x14ac:dyDescent="0.25">
      <c r="A194" s="284">
        <v>336</v>
      </c>
      <c r="B194" s="311" t="s">
        <v>4320</v>
      </c>
      <c r="C194" s="9" t="s">
        <v>4015</v>
      </c>
      <c r="D194" s="308" t="s">
        <v>262</v>
      </c>
      <c r="E194" s="1102">
        <v>39425</v>
      </c>
    </row>
    <row r="195" spans="1:5" x14ac:dyDescent="0.25">
      <c r="A195" s="284">
        <v>337</v>
      </c>
      <c r="B195" s="312" t="s">
        <v>4321</v>
      </c>
      <c r="C195" s="9" t="s">
        <v>4015</v>
      </c>
      <c r="D195" s="308" t="s">
        <v>262</v>
      </c>
      <c r="E195" s="1102">
        <v>6571</v>
      </c>
    </row>
    <row r="196" spans="1:5" x14ac:dyDescent="0.25">
      <c r="A196" s="284">
        <v>338</v>
      </c>
      <c r="B196" s="309" t="s">
        <v>4322</v>
      </c>
      <c r="C196" s="9" t="s">
        <v>4015</v>
      </c>
      <c r="D196" s="304" t="s">
        <v>4</v>
      </c>
      <c r="E196" s="1102">
        <v>525669</v>
      </c>
    </row>
    <row r="197" spans="1:5" x14ac:dyDescent="0.25">
      <c r="A197" s="284">
        <v>339</v>
      </c>
      <c r="B197" s="309" t="s">
        <v>4322</v>
      </c>
      <c r="C197" s="9" t="s">
        <v>4015</v>
      </c>
      <c r="D197" s="304" t="s">
        <v>4</v>
      </c>
      <c r="E197" s="1102">
        <v>525669</v>
      </c>
    </row>
    <row r="198" spans="1:5" x14ac:dyDescent="0.25">
      <c r="A198" s="284">
        <v>340</v>
      </c>
      <c r="B198" s="305" t="s">
        <v>4323</v>
      </c>
      <c r="C198" s="9" t="s">
        <v>4015</v>
      </c>
      <c r="D198" s="306" t="s">
        <v>4</v>
      </c>
      <c r="E198" s="1102">
        <v>78850</v>
      </c>
    </row>
    <row r="199" spans="1:5" x14ac:dyDescent="0.25">
      <c r="A199" s="284">
        <v>341</v>
      </c>
      <c r="B199" s="309" t="s">
        <v>4324</v>
      </c>
      <c r="C199" s="9" t="s">
        <v>4015</v>
      </c>
      <c r="D199" s="308" t="s">
        <v>262</v>
      </c>
      <c r="E199" s="1102">
        <v>6571</v>
      </c>
    </row>
    <row r="200" spans="1:5" x14ac:dyDescent="0.25">
      <c r="A200" s="284">
        <v>342</v>
      </c>
      <c r="B200" s="309" t="s">
        <v>4325</v>
      </c>
      <c r="C200" s="9" t="s">
        <v>4015</v>
      </c>
      <c r="D200" s="304" t="s">
        <v>4326</v>
      </c>
      <c r="E200" s="1102">
        <v>589</v>
      </c>
    </row>
    <row r="201" spans="1:5" x14ac:dyDescent="0.25">
      <c r="A201" s="284">
        <v>343</v>
      </c>
      <c r="B201" s="309" t="s">
        <v>4327</v>
      </c>
      <c r="C201" s="9" t="s">
        <v>4015</v>
      </c>
      <c r="D201" s="304" t="s">
        <v>292</v>
      </c>
      <c r="E201" s="1102">
        <v>16427</v>
      </c>
    </row>
    <row r="202" spans="1:5" x14ac:dyDescent="0.25">
      <c r="A202" s="284">
        <v>344</v>
      </c>
      <c r="B202" s="309" t="s">
        <v>4328</v>
      </c>
      <c r="C202" s="9" t="s">
        <v>4015</v>
      </c>
      <c r="D202" s="304" t="s">
        <v>301</v>
      </c>
      <c r="E202" s="1102">
        <v>551316</v>
      </c>
    </row>
    <row r="203" spans="1:5" x14ac:dyDescent="0.25">
      <c r="A203" s="284">
        <v>345</v>
      </c>
      <c r="B203" s="309" t="s">
        <v>4329</v>
      </c>
      <c r="C203" s="9" t="s">
        <v>4015</v>
      </c>
      <c r="D203" s="304" t="s">
        <v>4</v>
      </c>
      <c r="E203" s="1102">
        <v>512527</v>
      </c>
    </row>
    <row r="204" spans="1:5" x14ac:dyDescent="0.25">
      <c r="A204" s="284">
        <v>346</v>
      </c>
      <c r="B204" s="305" t="s">
        <v>4330</v>
      </c>
      <c r="C204" s="9" t="s">
        <v>4015</v>
      </c>
      <c r="D204" s="306" t="s">
        <v>3980</v>
      </c>
      <c r="E204" s="1102">
        <v>657086</v>
      </c>
    </row>
    <row r="205" spans="1:5" x14ac:dyDescent="0.25">
      <c r="A205" s="284">
        <v>347</v>
      </c>
      <c r="B205" s="309" t="s">
        <v>4331</v>
      </c>
      <c r="C205" s="9" t="s">
        <v>4015</v>
      </c>
      <c r="D205" s="304" t="s">
        <v>262</v>
      </c>
      <c r="E205" s="1102">
        <v>3811</v>
      </c>
    </row>
    <row r="206" spans="1:5" x14ac:dyDescent="0.25">
      <c r="A206" s="284">
        <v>348</v>
      </c>
      <c r="B206" s="307" t="s">
        <v>4332</v>
      </c>
      <c r="C206" s="9" t="s">
        <v>4015</v>
      </c>
      <c r="D206" s="308" t="s">
        <v>262</v>
      </c>
      <c r="E206" s="1102">
        <v>26283</v>
      </c>
    </row>
    <row r="207" spans="1:5" x14ac:dyDescent="0.25">
      <c r="A207" s="284">
        <v>349</v>
      </c>
      <c r="B207" s="309" t="s">
        <v>4333</v>
      </c>
      <c r="C207" s="9" t="s">
        <v>4015</v>
      </c>
      <c r="D207" s="304" t="s">
        <v>4</v>
      </c>
      <c r="E207" s="1102">
        <v>181356</v>
      </c>
    </row>
    <row r="208" spans="1:5" x14ac:dyDescent="0.25">
      <c r="A208" s="284">
        <v>350</v>
      </c>
      <c r="B208" s="309" t="s">
        <v>4334</v>
      </c>
      <c r="C208" s="9" t="s">
        <v>4015</v>
      </c>
      <c r="D208" s="304" t="s">
        <v>227</v>
      </c>
      <c r="E208" s="1102">
        <v>2013</v>
      </c>
    </row>
    <row r="209" spans="1:5" x14ac:dyDescent="0.25">
      <c r="A209" s="284">
        <v>351</v>
      </c>
      <c r="B209" s="311" t="s">
        <v>4335</v>
      </c>
      <c r="C209" s="9" t="s">
        <v>4015</v>
      </c>
      <c r="D209" s="313" t="s">
        <v>292</v>
      </c>
      <c r="E209" s="1102">
        <v>31540</v>
      </c>
    </row>
    <row r="210" spans="1:5" x14ac:dyDescent="0.25">
      <c r="A210" s="284">
        <v>352</v>
      </c>
      <c r="B210" s="309" t="s">
        <v>4336</v>
      </c>
      <c r="C210" s="9" t="s">
        <v>4015</v>
      </c>
      <c r="D210" s="304" t="s">
        <v>292</v>
      </c>
      <c r="E210" s="1102">
        <v>13602</v>
      </c>
    </row>
    <row r="211" spans="1:5" x14ac:dyDescent="0.25">
      <c r="A211" s="284">
        <v>353</v>
      </c>
      <c r="B211" s="314" t="s">
        <v>4337</v>
      </c>
      <c r="C211" s="9" t="s">
        <v>4015</v>
      </c>
      <c r="D211" s="315" t="s">
        <v>262</v>
      </c>
      <c r="E211" s="1102">
        <v>10251</v>
      </c>
    </row>
    <row r="212" spans="1:5" x14ac:dyDescent="0.25">
      <c r="A212" s="284">
        <v>354</v>
      </c>
      <c r="B212" s="314" t="s">
        <v>4338</v>
      </c>
      <c r="C212" s="9" t="s">
        <v>4015</v>
      </c>
      <c r="D212" s="315" t="s">
        <v>4302</v>
      </c>
      <c r="E212" s="1102">
        <v>66891</v>
      </c>
    </row>
    <row r="213" spans="1:5" x14ac:dyDescent="0.25">
      <c r="A213" s="284">
        <v>355</v>
      </c>
      <c r="B213" s="309" t="s">
        <v>4339</v>
      </c>
      <c r="C213" s="9" t="s">
        <v>4015</v>
      </c>
      <c r="D213" s="304" t="s">
        <v>4302</v>
      </c>
      <c r="E213" s="1102">
        <v>361397</v>
      </c>
    </row>
    <row r="214" spans="1:5" x14ac:dyDescent="0.25">
      <c r="A214" s="284">
        <v>356</v>
      </c>
      <c r="B214" s="309" t="s">
        <v>4340</v>
      </c>
      <c r="C214" s="9" t="s">
        <v>4015</v>
      </c>
      <c r="D214" s="304" t="s">
        <v>4302</v>
      </c>
      <c r="E214" s="1102">
        <v>303902</v>
      </c>
    </row>
    <row r="215" spans="1:5" x14ac:dyDescent="0.25">
      <c r="A215" s="284">
        <v>357</v>
      </c>
      <c r="B215" s="309" t="s">
        <v>4341</v>
      </c>
      <c r="C215" s="9" t="s">
        <v>4015</v>
      </c>
      <c r="D215" s="304" t="s">
        <v>4302</v>
      </c>
      <c r="E215" s="1102">
        <v>86735</v>
      </c>
    </row>
    <row r="216" spans="1:5" x14ac:dyDescent="0.25">
      <c r="A216" s="284">
        <v>358</v>
      </c>
      <c r="B216" s="309" t="s">
        <v>4342</v>
      </c>
      <c r="C216" s="9" t="s">
        <v>4015</v>
      </c>
      <c r="D216" s="304" t="s">
        <v>4343</v>
      </c>
      <c r="E216" s="1102">
        <v>86604</v>
      </c>
    </row>
    <row r="217" spans="1:5" x14ac:dyDescent="0.25">
      <c r="A217" s="284">
        <v>359</v>
      </c>
      <c r="B217" s="309" t="s">
        <v>4344</v>
      </c>
      <c r="C217" s="9" t="s">
        <v>4015</v>
      </c>
      <c r="D217" s="304" t="s">
        <v>4302</v>
      </c>
      <c r="E217" s="1102">
        <v>127343</v>
      </c>
    </row>
    <row r="218" spans="1:5" x14ac:dyDescent="0.25">
      <c r="A218" s="284">
        <v>360</v>
      </c>
      <c r="B218" s="316" t="s">
        <v>4345</v>
      </c>
      <c r="C218" s="9" t="s">
        <v>4015</v>
      </c>
      <c r="D218" s="304" t="s">
        <v>262</v>
      </c>
      <c r="E218" s="1102">
        <v>613718</v>
      </c>
    </row>
    <row r="219" spans="1:5" x14ac:dyDescent="0.25">
      <c r="A219" s="284">
        <v>361</v>
      </c>
      <c r="B219" s="316" t="s">
        <v>4346</v>
      </c>
      <c r="C219" s="9" t="s">
        <v>4015</v>
      </c>
      <c r="D219" s="304" t="s">
        <v>262</v>
      </c>
      <c r="E219" s="1102">
        <v>459960</v>
      </c>
    </row>
    <row r="220" spans="1:5" x14ac:dyDescent="0.25">
      <c r="A220" s="284">
        <v>362</v>
      </c>
      <c r="B220" s="316" t="s">
        <v>4347</v>
      </c>
      <c r="C220" s="9" t="s">
        <v>4015</v>
      </c>
      <c r="D220" s="304" t="s">
        <v>262</v>
      </c>
      <c r="E220" s="1102">
        <v>302260</v>
      </c>
    </row>
    <row r="221" spans="1:5" x14ac:dyDescent="0.25">
      <c r="A221" s="284">
        <v>363</v>
      </c>
      <c r="B221" s="309" t="s">
        <v>4348</v>
      </c>
      <c r="C221" s="9" t="s">
        <v>4015</v>
      </c>
      <c r="D221" s="304" t="s">
        <v>262</v>
      </c>
      <c r="E221" s="1102">
        <v>394252</v>
      </c>
    </row>
    <row r="222" spans="1:5" x14ac:dyDescent="0.25">
      <c r="A222" s="284">
        <v>364</v>
      </c>
      <c r="B222" s="309" t="s">
        <v>4349</v>
      </c>
      <c r="C222" s="9" t="s">
        <v>4015</v>
      </c>
      <c r="D222" s="304" t="s">
        <v>262</v>
      </c>
      <c r="E222" s="1102">
        <v>71400</v>
      </c>
    </row>
    <row r="223" spans="1:5" x14ac:dyDescent="0.25">
      <c r="A223" s="284">
        <v>365</v>
      </c>
      <c r="B223" s="309" t="s">
        <v>4350</v>
      </c>
      <c r="C223" s="9" t="s">
        <v>4015</v>
      </c>
      <c r="D223" s="304" t="s">
        <v>262</v>
      </c>
      <c r="E223" s="1102">
        <v>9199</v>
      </c>
    </row>
    <row r="224" spans="1:5" x14ac:dyDescent="0.25">
      <c r="A224" s="284">
        <v>366</v>
      </c>
      <c r="B224" s="305" t="s">
        <v>4351</v>
      </c>
      <c r="C224" s="9" t="s">
        <v>4015</v>
      </c>
      <c r="D224" s="306" t="s">
        <v>262</v>
      </c>
      <c r="E224" s="1102">
        <v>53881</v>
      </c>
    </row>
    <row r="225" spans="1:5" x14ac:dyDescent="0.25">
      <c r="A225" s="284">
        <v>367</v>
      </c>
      <c r="B225" s="317" t="s">
        <v>4352</v>
      </c>
      <c r="C225" s="9" t="s">
        <v>4015</v>
      </c>
      <c r="D225" s="318" t="s">
        <v>292</v>
      </c>
      <c r="E225" s="1102">
        <v>66891</v>
      </c>
    </row>
    <row r="226" spans="1:5" x14ac:dyDescent="0.25">
      <c r="A226" s="284">
        <v>368</v>
      </c>
      <c r="B226" s="309" t="s">
        <v>4353</v>
      </c>
      <c r="C226" s="9" t="s">
        <v>4015</v>
      </c>
      <c r="D226" s="304" t="s">
        <v>4142</v>
      </c>
      <c r="E226" s="1102">
        <v>97906</v>
      </c>
    </row>
    <row r="227" spans="1:5" x14ac:dyDescent="0.25">
      <c r="A227" s="284">
        <v>369</v>
      </c>
      <c r="B227" s="305" t="s">
        <v>4354</v>
      </c>
      <c r="C227" s="9" t="s">
        <v>4015</v>
      </c>
      <c r="D227" s="306" t="s">
        <v>292</v>
      </c>
      <c r="E227" s="1102">
        <v>127</v>
      </c>
    </row>
    <row r="228" spans="1:5" x14ac:dyDescent="0.25">
      <c r="A228" s="284">
        <v>370</v>
      </c>
      <c r="B228" s="309" t="s">
        <v>4355</v>
      </c>
      <c r="C228" s="9" t="s">
        <v>4015</v>
      </c>
      <c r="D228" s="304" t="s">
        <v>4012</v>
      </c>
      <c r="E228" s="1102">
        <v>29569</v>
      </c>
    </row>
    <row r="229" spans="1:5" x14ac:dyDescent="0.25">
      <c r="A229" s="284">
        <v>371</v>
      </c>
      <c r="B229" s="1086" t="s">
        <v>5189</v>
      </c>
      <c r="C229" s="9" t="s">
        <v>4015</v>
      </c>
      <c r="D229" s="313" t="s">
        <v>227</v>
      </c>
      <c r="E229" s="1102">
        <v>21900</v>
      </c>
    </row>
    <row r="230" spans="1:5" x14ac:dyDescent="0.25">
      <c r="A230" s="284">
        <v>372</v>
      </c>
      <c r="B230" s="309" t="s">
        <v>4356</v>
      </c>
      <c r="C230" s="9" t="s">
        <v>4015</v>
      </c>
      <c r="D230" s="304" t="s">
        <v>4357</v>
      </c>
      <c r="E230" s="1102">
        <v>44682</v>
      </c>
    </row>
    <row r="231" spans="1:5" x14ac:dyDescent="0.25">
      <c r="A231" s="284">
        <v>373</v>
      </c>
      <c r="B231" s="309" t="s">
        <v>4358</v>
      </c>
      <c r="C231" s="9" t="s">
        <v>4015</v>
      </c>
      <c r="D231" s="304" t="s">
        <v>4</v>
      </c>
      <c r="E231" s="1102">
        <v>30279</v>
      </c>
    </row>
    <row r="232" spans="1:5" x14ac:dyDescent="0.25">
      <c r="A232" s="284">
        <v>374</v>
      </c>
      <c r="B232" s="305" t="s">
        <v>4359</v>
      </c>
      <c r="C232" s="9" t="s">
        <v>4015</v>
      </c>
      <c r="D232" s="306" t="s">
        <v>262</v>
      </c>
      <c r="E232" s="1102">
        <v>86275</v>
      </c>
    </row>
    <row r="233" spans="1:5" x14ac:dyDescent="0.25">
      <c r="A233" s="284">
        <v>375</v>
      </c>
      <c r="B233" s="305" t="s">
        <v>4360</v>
      </c>
      <c r="C233" s="9" t="s">
        <v>4015</v>
      </c>
      <c r="D233" s="306" t="s">
        <v>262</v>
      </c>
      <c r="E233" s="1102">
        <v>28255</v>
      </c>
    </row>
    <row r="234" spans="1:5" x14ac:dyDescent="0.25">
      <c r="A234" s="284">
        <v>376</v>
      </c>
      <c r="B234" s="307" t="s">
        <v>4361</v>
      </c>
      <c r="C234" s="9" t="s">
        <v>4015</v>
      </c>
      <c r="D234" s="308" t="s">
        <v>262</v>
      </c>
      <c r="E234" s="1102">
        <v>53881</v>
      </c>
    </row>
    <row r="235" spans="1:5" x14ac:dyDescent="0.25">
      <c r="A235" s="284">
        <v>377</v>
      </c>
      <c r="B235" s="311" t="s">
        <v>4362</v>
      </c>
      <c r="C235" s="9" t="s">
        <v>4015</v>
      </c>
      <c r="D235" s="313" t="s">
        <v>4</v>
      </c>
      <c r="E235" s="1102">
        <v>34155</v>
      </c>
    </row>
    <row r="236" spans="1:5" x14ac:dyDescent="0.25">
      <c r="A236" s="284">
        <v>378</v>
      </c>
      <c r="B236" s="312" t="s">
        <v>4363</v>
      </c>
      <c r="C236" s="9" t="s">
        <v>4015</v>
      </c>
      <c r="D236" s="308" t="s">
        <v>262</v>
      </c>
      <c r="E236" s="1102">
        <v>141931</v>
      </c>
    </row>
    <row r="237" spans="1:5" x14ac:dyDescent="0.25">
      <c r="A237" s="284">
        <v>379</v>
      </c>
      <c r="B237" s="305" t="s">
        <v>4364</v>
      </c>
      <c r="C237" s="9" t="s">
        <v>4015</v>
      </c>
      <c r="D237" s="308" t="s">
        <v>262</v>
      </c>
      <c r="E237" s="1102">
        <v>6571</v>
      </c>
    </row>
    <row r="238" spans="1:5" x14ac:dyDescent="0.25">
      <c r="A238" s="284">
        <v>380</v>
      </c>
      <c r="B238" s="309" t="s">
        <v>4365</v>
      </c>
      <c r="C238" s="9" t="s">
        <v>4015</v>
      </c>
      <c r="D238" s="308" t="s">
        <v>262</v>
      </c>
      <c r="E238" s="1102">
        <v>43</v>
      </c>
    </row>
    <row r="239" spans="1:5" x14ac:dyDescent="0.25">
      <c r="A239" s="284">
        <v>381</v>
      </c>
      <c r="B239" s="309" t="s">
        <v>4366</v>
      </c>
      <c r="C239" s="9" t="s">
        <v>4015</v>
      </c>
      <c r="D239" s="304" t="s">
        <v>4296</v>
      </c>
      <c r="E239" s="1102">
        <v>29109</v>
      </c>
    </row>
    <row r="240" spans="1:5" x14ac:dyDescent="0.25">
      <c r="A240" s="284">
        <v>382</v>
      </c>
      <c r="B240" s="307" t="s">
        <v>4367</v>
      </c>
      <c r="C240" s="9" t="s">
        <v>4015</v>
      </c>
      <c r="D240" s="308" t="s">
        <v>292</v>
      </c>
      <c r="E240" s="1102">
        <v>14456</v>
      </c>
    </row>
    <row r="241" spans="1:5" x14ac:dyDescent="0.25">
      <c r="A241" s="284">
        <v>383</v>
      </c>
      <c r="B241" s="307" t="s">
        <v>4367</v>
      </c>
      <c r="C241" s="9" t="s">
        <v>4015</v>
      </c>
      <c r="D241" s="308" t="s">
        <v>292</v>
      </c>
      <c r="E241" s="1102">
        <v>14456</v>
      </c>
    </row>
    <row r="242" spans="1:5" x14ac:dyDescent="0.25">
      <c r="A242" s="284">
        <v>384</v>
      </c>
      <c r="B242" s="319" t="s">
        <v>4368</v>
      </c>
      <c r="C242" s="9" t="s">
        <v>4015</v>
      </c>
      <c r="D242" s="306" t="s">
        <v>292</v>
      </c>
      <c r="E242" s="1102">
        <v>34168</v>
      </c>
    </row>
    <row r="243" spans="1:5" x14ac:dyDescent="0.25">
      <c r="A243" s="284">
        <v>385</v>
      </c>
      <c r="B243" s="309" t="s">
        <v>4369</v>
      </c>
      <c r="C243" s="9" t="s">
        <v>4015</v>
      </c>
      <c r="D243" s="304" t="s">
        <v>292</v>
      </c>
      <c r="E243" s="1102">
        <v>3581</v>
      </c>
    </row>
    <row r="244" spans="1:5" x14ac:dyDescent="0.25">
      <c r="A244" s="284">
        <v>386</v>
      </c>
      <c r="B244" s="309" t="s">
        <v>4370</v>
      </c>
      <c r="C244" s="9" t="s">
        <v>4015</v>
      </c>
      <c r="D244" s="304" t="s">
        <v>292</v>
      </c>
      <c r="E244" s="1102">
        <v>13996</v>
      </c>
    </row>
    <row r="245" spans="1:5" x14ac:dyDescent="0.25">
      <c r="A245" s="284">
        <v>387</v>
      </c>
      <c r="B245" s="309" t="s">
        <v>4371</v>
      </c>
      <c r="C245" s="9" t="s">
        <v>4015</v>
      </c>
      <c r="D245" s="304" t="s">
        <v>292</v>
      </c>
      <c r="E245" s="1102">
        <v>21224</v>
      </c>
    </row>
    <row r="246" spans="1:5" x14ac:dyDescent="0.25">
      <c r="A246" s="284">
        <v>388</v>
      </c>
      <c r="B246" s="309" t="s">
        <v>4372</v>
      </c>
      <c r="C246" s="9" t="s">
        <v>4015</v>
      </c>
      <c r="D246" s="304" t="s">
        <v>292</v>
      </c>
      <c r="E246" s="1102">
        <v>29109</v>
      </c>
    </row>
    <row r="247" spans="1:5" ht="27" x14ac:dyDescent="0.25">
      <c r="A247" s="284">
        <v>389</v>
      </c>
      <c r="B247" s="316" t="s">
        <v>4373</v>
      </c>
      <c r="C247" s="9" t="s">
        <v>4015</v>
      </c>
      <c r="D247" s="304" t="s">
        <v>292</v>
      </c>
      <c r="E247" s="1102">
        <v>12494</v>
      </c>
    </row>
    <row r="248" spans="1:5" x14ac:dyDescent="0.25">
      <c r="A248" s="284">
        <v>390</v>
      </c>
      <c r="B248" s="309" t="s">
        <v>4374</v>
      </c>
      <c r="C248" s="9" t="s">
        <v>4015</v>
      </c>
      <c r="D248" s="308" t="s">
        <v>262</v>
      </c>
      <c r="E248" s="1102">
        <v>10119</v>
      </c>
    </row>
    <row r="249" spans="1:5" x14ac:dyDescent="0.25">
      <c r="A249" s="284">
        <v>391</v>
      </c>
      <c r="B249" s="320" t="s">
        <v>4375</v>
      </c>
      <c r="C249" s="9" t="s">
        <v>4015</v>
      </c>
      <c r="D249" s="308" t="s">
        <v>262</v>
      </c>
      <c r="E249" s="1102">
        <v>394</v>
      </c>
    </row>
    <row r="250" spans="1:5" x14ac:dyDescent="0.25">
      <c r="A250" s="284">
        <v>392</v>
      </c>
      <c r="B250" s="321" t="s">
        <v>4376</v>
      </c>
      <c r="C250" s="9" t="s">
        <v>4015</v>
      </c>
      <c r="D250" s="308" t="s">
        <v>262</v>
      </c>
      <c r="E250" s="1102">
        <v>7425</v>
      </c>
    </row>
    <row r="251" spans="1:5" x14ac:dyDescent="0.25">
      <c r="A251" s="284">
        <v>393</v>
      </c>
      <c r="B251" s="305" t="s">
        <v>4377</v>
      </c>
      <c r="C251" s="9" t="s">
        <v>4015</v>
      </c>
      <c r="D251" s="306" t="s">
        <v>292</v>
      </c>
      <c r="E251" s="1102">
        <v>18398</v>
      </c>
    </row>
    <row r="252" spans="1:5" x14ac:dyDescent="0.25">
      <c r="A252" s="284">
        <v>394</v>
      </c>
      <c r="B252" s="322" t="s">
        <v>4396</v>
      </c>
      <c r="C252" s="9" t="s">
        <v>4015</v>
      </c>
      <c r="D252" s="323" t="s">
        <v>255</v>
      </c>
      <c r="E252" s="1102">
        <v>13094</v>
      </c>
    </row>
    <row r="253" spans="1:5" x14ac:dyDescent="0.25">
      <c r="A253" s="284">
        <v>395</v>
      </c>
      <c r="B253" s="322" t="s">
        <v>4378</v>
      </c>
      <c r="C253" s="9" t="s">
        <v>4015</v>
      </c>
      <c r="D253" s="323">
        <v>0.2</v>
      </c>
      <c r="E253" s="1102">
        <v>0</v>
      </c>
    </row>
    <row r="254" spans="1:5" x14ac:dyDescent="0.25">
      <c r="A254" s="284">
        <v>396</v>
      </c>
      <c r="B254" s="322" t="s">
        <v>4379</v>
      </c>
      <c r="C254" s="9" t="s">
        <v>4015</v>
      </c>
      <c r="D254" s="323">
        <v>0.01</v>
      </c>
      <c r="E254" s="1102">
        <v>83976</v>
      </c>
    </row>
    <row r="255" spans="1:5" x14ac:dyDescent="0.25">
      <c r="A255" s="284">
        <v>397</v>
      </c>
      <c r="B255" s="322" t="s">
        <v>4380</v>
      </c>
      <c r="C255" s="9" t="s">
        <v>4015</v>
      </c>
      <c r="D255" s="323">
        <v>0.01</v>
      </c>
      <c r="E255" s="1102">
        <v>137661</v>
      </c>
    </row>
    <row r="256" spans="1:5" x14ac:dyDescent="0.25">
      <c r="A256" s="284">
        <v>398</v>
      </c>
      <c r="B256" s="324" t="s">
        <v>4381</v>
      </c>
      <c r="C256" s="9" t="s">
        <v>4015</v>
      </c>
      <c r="D256" s="325" t="s">
        <v>4382</v>
      </c>
      <c r="E256" s="1102">
        <v>48600</v>
      </c>
    </row>
    <row r="257" spans="1:5" x14ac:dyDescent="0.25">
      <c r="A257" s="284">
        <v>399</v>
      </c>
      <c r="B257" s="326" t="s">
        <v>4383</v>
      </c>
      <c r="C257" s="9" t="s">
        <v>4015</v>
      </c>
      <c r="D257" s="327" t="s">
        <v>4382</v>
      </c>
      <c r="E257" s="1102">
        <v>7885</v>
      </c>
    </row>
    <row r="258" spans="1:5" x14ac:dyDescent="0.25">
      <c r="A258" s="284">
        <v>400</v>
      </c>
      <c r="B258" s="326" t="s">
        <v>4384</v>
      </c>
      <c r="C258" s="9" t="s">
        <v>4015</v>
      </c>
      <c r="D258" s="327" t="s">
        <v>89</v>
      </c>
      <c r="E258" s="1102">
        <v>7392</v>
      </c>
    </row>
    <row r="259" spans="1:5" x14ac:dyDescent="0.25">
      <c r="A259" s="284">
        <v>401</v>
      </c>
      <c r="B259" s="326" t="s">
        <v>4385</v>
      </c>
      <c r="C259" s="9" t="s">
        <v>4015</v>
      </c>
      <c r="D259" s="327" t="s">
        <v>89</v>
      </c>
      <c r="E259" s="1102">
        <v>9988</v>
      </c>
    </row>
    <row r="260" spans="1:5" x14ac:dyDescent="0.25">
      <c r="A260" s="284">
        <v>402</v>
      </c>
      <c r="B260" s="326" t="s">
        <v>4386</v>
      </c>
      <c r="C260" s="9" t="s">
        <v>4015</v>
      </c>
      <c r="D260" s="327" t="s">
        <v>4387</v>
      </c>
      <c r="E260" s="1102">
        <v>7491</v>
      </c>
    </row>
    <row r="261" spans="1:5" x14ac:dyDescent="0.25">
      <c r="A261" s="284">
        <v>403</v>
      </c>
      <c r="B261" s="326" t="s">
        <v>4388</v>
      </c>
      <c r="C261" s="9" t="s">
        <v>4015</v>
      </c>
      <c r="D261" s="327" t="s">
        <v>89</v>
      </c>
      <c r="E261" s="1102">
        <v>9829</v>
      </c>
    </row>
    <row r="262" spans="1:5" x14ac:dyDescent="0.25">
      <c r="A262" s="284">
        <v>404</v>
      </c>
      <c r="B262" s="326" t="s">
        <v>4389</v>
      </c>
      <c r="C262" s="9" t="s">
        <v>4015</v>
      </c>
      <c r="D262" s="327" t="s">
        <v>4390</v>
      </c>
      <c r="E262" s="1102">
        <v>1067</v>
      </c>
    </row>
    <row r="263" spans="1:5" x14ac:dyDescent="0.25">
      <c r="A263" s="284">
        <v>405</v>
      </c>
      <c r="B263" s="328" t="s">
        <v>4391</v>
      </c>
      <c r="C263" s="9" t="s">
        <v>4015</v>
      </c>
      <c r="D263" s="329" t="s">
        <v>4</v>
      </c>
      <c r="E263" s="1102">
        <v>223409</v>
      </c>
    </row>
    <row r="264" spans="1:5" x14ac:dyDescent="0.25">
      <c r="A264" s="284">
        <v>406</v>
      </c>
      <c r="B264" s="328" t="s">
        <v>4392</v>
      </c>
      <c r="C264" s="9" t="s">
        <v>4015</v>
      </c>
      <c r="D264" s="329" t="s">
        <v>3962</v>
      </c>
      <c r="E264" s="1102">
        <v>53750</v>
      </c>
    </row>
    <row r="265" spans="1:5" ht="15.75" thickBot="1" x14ac:dyDescent="0.3">
      <c r="A265" s="284">
        <v>407</v>
      </c>
      <c r="B265" s="330" t="s">
        <v>4393</v>
      </c>
      <c r="C265" s="9" t="s">
        <v>4015</v>
      </c>
      <c r="D265" s="331" t="s">
        <v>89</v>
      </c>
      <c r="E265" s="1102">
        <v>22998</v>
      </c>
    </row>
    <row r="266" spans="1:5" x14ac:dyDescent="0.25">
      <c r="A266" s="284">
        <v>408</v>
      </c>
      <c r="B266" s="322" t="s">
        <v>4379</v>
      </c>
      <c r="C266" s="9" t="s">
        <v>4015</v>
      </c>
      <c r="D266" s="323" t="s">
        <v>4142</v>
      </c>
      <c r="E266" s="1102">
        <v>83976</v>
      </c>
    </row>
    <row r="267" spans="1:5" x14ac:dyDescent="0.25">
      <c r="A267" s="284">
        <v>409</v>
      </c>
      <c r="B267" s="322" t="s">
        <v>4380</v>
      </c>
      <c r="C267" s="9" t="s">
        <v>4015</v>
      </c>
      <c r="D267" s="323" t="s">
        <v>4142</v>
      </c>
      <c r="E267" s="1102">
        <v>137661</v>
      </c>
    </row>
    <row r="268" spans="1:5" x14ac:dyDescent="0.25">
      <c r="A268" s="284">
        <v>410</v>
      </c>
      <c r="B268" s="322" t="s">
        <v>4394</v>
      </c>
      <c r="C268" s="9" t="s">
        <v>4015</v>
      </c>
      <c r="D268" s="323" t="s">
        <v>255</v>
      </c>
      <c r="E268" s="1102">
        <v>4797</v>
      </c>
    </row>
    <row r="269" spans="1:5" x14ac:dyDescent="0.25">
      <c r="A269" s="284">
        <v>411</v>
      </c>
      <c r="B269" s="322" t="s">
        <v>4395</v>
      </c>
      <c r="C269" s="9" t="s">
        <v>4015</v>
      </c>
      <c r="D269" s="323" t="s">
        <v>255</v>
      </c>
      <c r="E269" s="1102">
        <v>6987</v>
      </c>
    </row>
    <row r="270" spans="1:5" x14ac:dyDescent="0.25">
      <c r="A270" s="284">
        <v>412</v>
      </c>
      <c r="B270" s="322" t="s">
        <v>4396</v>
      </c>
      <c r="C270" s="9" t="s">
        <v>4015</v>
      </c>
      <c r="D270" s="323" t="s">
        <v>255</v>
      </c>
      <c r="E270" s="1102">
        <v>16140</v>
      </c>
    </row>
    <row r="271" spans="1:5" x14ac:dyDescent="0.25">
      <c r="A271" s="284">
        <v>413</v>
      </c>
      <c r="B271" s="322" t="s">
        <v>4397</v>
      </c>
      <c r="C271" s="9" t="s">
        <v>4015</v>
      </c>
      <c r="D271" s="323" t="s">
        <v>255</v>
      </c>
      <c r="E271" s="1102">
        <v>13996</v>
      </c>
    </row>
    <row r="272" spans="1:5" x14ac:dyDescent="0.25">
      <c r="A272" s="284">
        <v>414</v>
      </c>
      <c r="B272" s="322" t="s">
        <v>4398</v>
      </c>
      <c r="C272" s="9" t="s">
        <v>4015</v>
      </c>
      <c r="D272" s="323" t="s">
        <v>255</v>
      </c>
      <c r="E272" s="1102">
        <v>29109</v>
      </c>
    </row>
    <row r="273" spans="1:5" x14ac:dyDescent="0.25">
      <c r="A273" s="284">
        <v>415</v>
      </c>
      <c r="B273" s="332" t="s">
        <v>4399</v>
      </c>
      <c r="C273" s="9" t="s">
        <v>4015</v>
      </c>
      <c r="D273" s="333" t="s">
        <v>262</v>
      </c>
      <c r="E273" s="1102">
        <v>10251</v>
      </c>
    </row>
    <row r="274" spans="1:5" x14ac:dyDescent="0.25">
      <c r="A274" s="284">
        <v>416</v>
      </c>
      <c r="B274" s="334" t="s">
        <v>4400</v>
      </c>
      <c r="C274" s="9" t="s">
        <v>4015</v>
      </c>
      <c r="D274" s="335" t="s">
        <v>262</v>
      </c>
      <c r="E274" s="1102">
        <v>6571</v>
      </c>
    </row>
    <row r="275" spans="1:5" x14ac:dyDescent="0.25">
      <c r="A275" s="284">
        <v>417</v>
      </c>
      <c r="B275" s="336" t="s">
        <v>4401</v>
      </c>
      <c r="C275" s="9" t="s">
        <v>4015</v>
      </c>
      <c r="D275" s="337" t="s">
        <v>814</v>
      </c>
      <c r="E275" s="1102">
        <v>109900</v>
      </c>
    </row>
    <row r="276" spans="1:5" x14ac:dyDescent="0.25">
      <c r="A276" s="284">
        <v>418</v>
      </c>
      <c r="B276" s="338" t="s">
        <v>4402</v>
      </c>
      <c r="C276" s="9" t="s">
        <v>4015</v>
      </c>
      <c r="D276" s="337" t="s">
        <v>292</v>
      </c>
      <c r="E276" s="1102">
        <v>28769</v>
      </c>
    </row>
    <row r="277" spans="1:5" x14ac:dyDescent="0.25">
      <c r="A277" s="284">
        <v>419</v>
      </c>
      <c r="B277" s="332" t="str">
        <f>[105]APU!B671</f>
        <v>TRANSPORTE</v>
      </c>
      <c r="C277" s="9" t="s">
        <v>4015</v>
      </c>
      <c r="D277" s="304" t="s">
        <v>227</v>
      </c>
      <c r="E277" s="1102">
        <v>2931</v>
      </c>
    </row>
    <row r="278" spans="1:5" x14ac:dyDescent="0.25">
      <c r="A278" s="284">
        <v>420</v>
      </c>
      <c r="B278" s="339" t="s">
        <v>4403</v>
      </c>
      <c r="C278" s="9" t="s">
        <v>4015</v>
      </c>
      <c r="D278" s="340" t="s">
        <v>4001</v>
      </c>
      <c r="E278" s="1102">
        <v>32723</v>
      </c>
    </row>
    <row r="279" spans="1:5" x14ac:dyDescent="0.25">
      <c r="A279" s="284">
        <v>421</v>
      </c>
      <c r="B279" s="339" t="s">
        <v>4404</v>
      </c>
      <c r="C279" s="9" t="s">
        <v>4015</v>
      </c>
      <c r="D279" s="340" t="s">
        <v>4001</v>
      </c>
      <c r="E279" s="1102">
        <v>29175</v>
      </c>
    </row>
    <row r="280" spans="1:5" x14ac:dyDescent="0.25">
      <c r="A280" s="284">
        <v>422</v>
      </c>
      <c r="B280" s="341" t="s">
        <v>4405</v>
      </c>
      <c r="C280" s="9" t="s">
        <v>4015</v>
      </c>
      <c r="D280" s="342" t="s">
        <v>4021</v>
      </c>
      <c r="E280" s="1102">
        <v>14653</v>
      </c>
    </row>
    <row r="281" spans="1:5" x14ac:dyDescent="0.25">
      <c r="A281" s="284">
        <v>423</v>
      </c>
      <c r="B281" s="341" t="s">
        <v>4406</v>
      </c>
      <c r="C281" s="9" t="s">
        <v>4015</v>
      </c>
      <c r="D281" s="342" t="s">
        <v>4357</v>
      </c>
      <c r="E281" s="1102">
        <v>1465</v>
      </c>
    </row>
    <row r="282" spans="1:5" x14ac:dyDescent="0.25">
      <c r="A282" s="284">
        <v>424</v>
      </c>
      <c r="B282" s="341" t="s">
        <v>4407</v>
      </c>
      <c r="C282" s="9" t="s">
        <v>4015</v>
      </c>
      <c r="D282" s="342" t="s">
        <v>4021</v>
      </c>
      <c r="E282" s="1102">
        <v>58628</v>
      </c>
    </row>
    <row r="283" spans="1:5" x14ac:dyDescent="0.25">
      <c r="A283" s="284">
        <v>425</v>
      </c>
      <c r="B283" s="341" t="s">
        <v>4328</v>
      </c>
      <c r="C283" s="9" t="s">
        <v>4015</v>
      </c>
      <c r="D283" s="343" t="s">
        <v>3980</v>
      </c>
      <c r="E283" s="1102">
        <v>551316</v>
      </c>
    </row>
    <row r="284" spans="1:5" x14ac:dyDescent="0.25">
      <c r="A284" s="284">
        <v>426</v>
      </c>
      <c r="B284" s="309" t="s">
        <v>4408</v>
      </c>
      <c r="C284" s="9" t="s">
        <v>4015</v>
      </c>
      <c r="D284" s="344" t="s">
        <v>4409</v>
      </c>
      <c r="E284" s="1102">
        <v>162001</v>
      </c>
    </row>
    <row r="285" spans="1:5" ht="40.5" x14ac:dyDescent="0.25">
      <c r="A285" s="284">
        <v>427</v>
      </c>
      <c r="B285" s="316" t="s">
        <v>3445</v>
      </c>
      <c r="C285" s="9" t="s">
        <v>4015</v>
      </c>
      <c r="D285" s="344" t="s">
        <v>4409</v>
      </c>
      <c r="E285" s="1102">
        <v>602221</v>
      </c>
    </row>
    <row r="286" spans="1:5" x14ac:dyDescent="0.25">
      <c r="A286" s="284">
        <v>428</v>
      </c>
      <c r="B286" s="341" t="s">
        <v>1054</v>
      </c>
      <c r="C286" s="9" t="s">
        <v>4098</v>
      </c>
      <c r="D286" s="9" t="s">
        <v>202</v>
      </c>
      <c r="E286" s="1103">
        <v>181396</v>
      </c>
    </row>
    <row r="287" spans="1:5" x14ac:dyDescent="0.25">
      <c r="A287" s="284">
        <v>429</v>
      </c>
      <c r="B287" s="341" t="s">
        <v>4550</v>
      </c>
      <c r="C287" s="9" t="s">
        <v>4098</v>
      </c>
      <c r="D287" s="9" t="s">
        <v>4532</v>
      </c>
      <c r="E287" s="1103">
        <v>19984</v>
      </c>
    </row>
    <row r="288" spans="1:5" x14ac:dyDescent="0.25">
      <c r="A288" s="284">
        <v>430</v>
      </c>
      <c r="B288" s="341" t="str">
        <f>+MO!B60</f>
        <v>AYUDANTE AA (Albañileria)</v>
      </c>
      <c r="C288" s="9" t="s">
        <v>4098</v>
      </c>
      <c r="D288" s="9" t="s">
        <v>4532</v>
      </c>
      <c r="E288" s="1104">
        <v>10365</v>
      </c>
    </row>
    <row r="289" spans="1:5" x14ac:dyDescent="0.25">
      <c r="A289" s="284">
        <v>431</v>
      </c>
      <c r="B289" s="341" t="s">
        <v>4585</v>
      </c>
      <c r="C289" s="9" t="s">
        <v>4098</v>
      </c>
      <c r="D289" s="9" t="s">
        <v>4012</v>
      </c>
      <c r="E289" s="1104">
        <v>50498</v>
      </c>
    </row>
    <row r="290" spans="1:5" x14ac:dyDescent="0.25">
      <c r="A290" s="284">
        <v>432</v>
      </c>
      <c r="B290" s="1" t="s">
        <v>240</v>
      </c>
      <c r="C290" s="9" t="s">
        <v>4015</v>
      </c>
      <c r="D290" s="2" t="s">
        <v>4</v>
      </c>
      <c r="E290" s="189">
        <v>6667</v>
      </c>
    </row>
    <row r="291" spans="1:5" x14ac:dyDescent="0.25">
      <c r="A291" s="284">
        <v>433</v>
      </c>
      <c r="B291" s="1" t="s">
        <v>4082</v>
      </c>
      <c r="C291" s="9" t="s">
        <v>4015</v>
      </c>
      <c r="D291" s="2" t="s">
        <v>4016</v>
      </c>
      <c r="E291" s="189">
        <v>1350</v>
      </c>
    </row>
    <row r="292" spans="1:5" x14ac:dyDescent="0.25">
      <c r="A292" s="284">
        <v>434</v>
      </c>
      <c r="B292" s="1" t="s">
        <v>5143</v>
      </c>
      <c r="C292" s="9" t="s">
        <v>4015</v>
      </c>
      <c r="D292" s="2" t="s">
        <v>4016</v>
      </c>
      <c r="E292" s="189">
        <f>10845*1.0378</f>
        <v>11254.941000000001</v>
      </c>
    </row>
    <row r="293" spans="1:5" x14ac:dyDescent="0.25">
      <c r="A293" s="284">
        <v>435</v>
      </c>
      <c r="B293" s="1" t="s">
        <v>5164</v>
      </c>
      <c r="C293" s="9" t="s">
        <v>4015</v>
      </c>
      <c r="D293" s="2" t="s">
        <v>4016</v>
      </c>
      <c r="E293" s="189">
        <v>27000</v>
      </c>
    </row>
    <row r="294" spans="1:5" x14ac:dyDescent="0.25">
      <c r="A294" s="284">
        <v>436</v>
      </c>
      <c r="B294" s="1" t="s">
        <v>5177</v>
      </c>
      <c r="C294" s="9" t="s">
        <v>4015</v>
      </c>
      <c r="D294" s="2" t="s">
        <v>4016</v>
      </c>
      <c r="E294" s="189">
        <v>47103</v>
      </c>
    </row>
    <row r="295" spans="1:5" x14ac:dyDescent="0.25">
      <c r="A295" s="284">
        <v>437</v>
      </c>
      <c r="B295" s="1" t="s">
        <v>5178</v>
      </c>
      <c r="C295" s="9" t="s">
        <v>4098</v>
      </c>
      <c r="D295" s="9" t="s">
        <v>4532</v>
      </c>
      <c r="E295" s="1103">
        <v>71400</v>
      </c>
    </row>
    <row r="296" spans="1:5" x14ac:dyDescent="0.25">
      <c r="A296" s="284">
        <v>438</v>
      </c>
      <c r="B296" s="1" t="s">
        <v>5179</v>
      </c>
      <c r="C296" s="9" t="s">
        <v>4015</v>
      </c>
      <c r="D296" s="2" t="s">
        <v>4021</v>
      </c>
      <c r="E296" s="189">
        <v>8914</v>
      </c>
    </row>
    <row r="297" spans="1:5" x14ac:dyDescent="0.25">
      <c r="A297" s="284">
        <v>439</v>
      </c>
      <c r="B297" s="1" t="s">
        <v>5180</v>
      </c>
      <c r="C297" s="9" t="s">
        <v>4015</v>
      </c>
      <c r="D297" s="2" t="s">
        <v>3975</v>
      </c>
      <c r="E297" s="189">
        <v>27301</v>
      </c>
    </row>
    <row r="298" spans="1:5" x14ac:dyDescent="0.25">
      <c r="A298" s="284">
        <v>440</v>
      </c>
      <c r="B298" s="1" t="s">
        <v>5234</v>
      </c>
      <c r="C298" s="9" t="s">
        <v>4015</v>
      </c>
      <c r="D298" s="2" t="s">
        <v>4021</v>
      </c>
      <c r="E298" s="581">
        <v>133144</v>
      </c>
    </row>
    <row r="299" spans="1:5" ht="90" x14ac:dyDescent="0.25">
      <c r="A299" s="284">
        <v>441</v>
      </c>
      <c r="B299" s="193" t="s">
        <v>5192</v>
      </c>
      <c r="C299" s="9" t="s">
        <v>4015</v>
      </c>
      <c r="D299" s="5" t="s">
        <v>4016</v>
      </c>
      <c r="E299" s="1105">
        <f>701973*1.0378</f>
        <v>728507.57940000005</v>
      </c>
    </row>
    <row r="300" spans="1:5" x14ac:dyDescent="0.25">
      <c r="A300" s="284">
        <v>442</v>
      </c>
      <c r="B300" s="1" t="s">
        <v>5237</v>
      </c>
      <c r="C300" s="9" t="s">
        <v>4015</v>
      </c>
      <c r="D300" s="2" t="s">
        <v>4021</v>
      </c>
      <c r="E300" s="581">
        <v>44812</v>
      </c>
    </row>
    <row r="301" spans="1:5" x14ac:dyDescent="0.25">
      <c r="A301" s="284">
        <v>443</v>
      </c>
      <c r="B301" s="1" t="s">
        <v>1148</v>
      </c>
      <c r="C301" s="9" t="s">
        <v>4098</v>
      </c>
      <c r="D301" s="2" t="s">
        <v>89</v>
      </c>
      <c r="E301" s="189">
        <v>95200</v>
      </c>
    </row>
    <row r="302" spans="1:5" x14ac:dyDescent="0.25">
      <c r="A302" s="284">
        <v>447</v>
      </c>
      <c r="B302" s="1" t="s">
        <v>5196</v>
      </c>
      <c r="C302" s="9" t="s">
        <v>4015</v>
      </c>
      <c r="D302" s="2" t="s">
        <v>4016</v>
      </c>
      <c r="E302" s="189">
        <v>32639</v>
      </c>
    </row>
    <row r="303" spans="1:5" x14ac:dyDescent="0.25">
      <c r="A303" s="284">
        <v>448</v>
      </c>
      <c r="B303" s="1" t="s">
        <v>5198</v>
      </c>
      <c r="C303" s="9" t="s">
        <v>4015</v>
      </c>
      <c r="D303" s="2" t="s">
        <v>4016</v>
      </c>
      <c r="E303" s="189">
        <v>21794</v>
      </c>
    </row>
    <row r="304" spans="1:5" x14ac:dyDescent="0.25">
      <c r="A304" s="284">
        <v>449</v>
      </c>
      <c r="B304" s="1" t="s">
        <v>582</v>
      </c>
      <c r="C304" s="9" t="s">
        <v>4015</v>
      </c>
      <c r="D304" s="2" t="s">
        <v>292</v>
      </c>
      <c r="E304" s="189">
        <v>4843</v>
      </c>
    </row>
    <row r="305" spans="1:5" x14ac:dyDescent="0.25">
      <c r="A305" s="284">
        <v>450</v>
      </c>
      <c r="B305" s="1087" t="s">
        <v>276</v>
      </c>
      <c r="C305" s="9" t="s">
        <v>4015</v>
      </c>
      <c r="D305" s="2" t="s">
        <v>4016</v>
      </c>
      <c r="E305" s="1106">
        <f>205994*1.0378</f>
        <v>213780.57320000001</v>
      </c>
    </row>
    <row r="306" spans="1:5" x14ac:dyDescent="0.25">
      <c r="A306" s="284">
        <v>451</v>
      </c>
      <c r="B306" s="1" t="s">
        <v>2982</v>
      </c>
      <c r="C306" s="9" t="s">
        <v>4015</v>
      </c>
      <c r="D306" s="2" t="s">
        <v>3986</v>
      </c>
      <c r="E306" s="189">
        <f>36520*1.0378</f>
        <v>37900.456000000006</v>
      </c>
    </row>
    <row r="307" spans="1:5" x14ac:dyDescent="0.25">
      <c r="A307" s="284">
        <v>452</v>
      </c>
      <c r="B307" s="1" t="s">
        <v>3413</v>
      </c>
      <c r="C307" s="9" t="s">
        <v>4015</v>
      </c>
      <c r="D307" s="2" t="s">
        <v>3986</v>
      </c>
      <c r="E307" s="189">
        <f>643190*1.0378</f>
        <v>667502.58200000005</v>
      </c>
    </row>
    <row r="308" spans="1:5" x14ac:dyDescent="0.25">
      <c r="A308" s="284">
        <v>453</v>
      </c>
      <c r="B308" s="1087" t="s">
        <v>2878</v>
      </c>
      <c r="C308" s="9" t="s">
        <v>4015</v>
      </c>
      <c r="D308" s="2" t="s">
        <v>3986</v>
      </c>
      <c r="E308" s="189">
        <v>2341</v>
      </c>
    </row>
    <row r="309" spans="1:5" x14ac:dyDescent="0.25">
      <c r="A309" s="284">
        <v>454</v>
      </c>
      <c r="B309" s="1" t="s">
        <v>1189</v>
      </c>
      <c r="C309" s="9" t="s">
        <v>4098</v>
      </c>
      <c r="D309" s="2" t="s">
        <v>202</v>
      </c>
      <c r="E309" s="189">
        <v>2981</v>
      </c>
    </row>
    <row r="310" spans="1:5" x14ac:dyDescent="0.25">
      <c r="A310" s="284">
        <v>455</v>
      </c>
      <c r="B310" s="1" t="s">
        <v>1066</v>
      </c>
      <c r="C310" s="9" t="s">
        <v>4098</v>
      </c>
      <c r="D310" s="2" t="s">
        <v>202</v>
      </c>
      <c r="E310" s="189">
        <v>18970</v>
      </c>
    </row>
    <row r="311" spans="1:5" x14ac:dyDescent="0.25">
      <c r="A311" s="284">
        <v>456</v>
      </c>
      <c r="B311" s="1" t="s">
        <v>2552</v>
      </c>
      <c r="C311" s="9" t="s">
        <v>4015</v>
      </c>
      <c r="D311" s="2" t="s">
        <v>202</v>
      </c>
      <c r="E311" s="189">
        <v>1131</v>
      </c>
    </row>
    <row r="312" spans="1:5" x14ac:dyDescent="0.25">
      <c r="A312" s="284">
        <v>457</v>
      </c>
      <c r="B312" s="1" t="s">
        <v>5218</v>
      </c>
      <c r="C312" s="9" t="s">
        <v>4015</v>
      </c>
      <c r="D312" s="2" t="s">
        <v>4027</v>
      </c>
      <c r="E312" s="189">
        <v>18638</v>
      </c>
    </row>
    <row r="313" spans="1:5" x14ac:dyDescent="0.25">
      <c r="A313" s="284">
        <v>458</v>
      </c>
      <c r="B313" s="1" t="s">
        <v>600</v>
      </c>
      <c r="C313" s="9" t="s">
        <v>4015</v>
      </c>
      <c r="D313" s="2" t="s">
        <v>3975</v>
      </c>
      <c r="E313" s="189">
        <f>19664*1.0378</f>
        <v>20407.299200000001</v>
      </c>
    </row>
    <row r="314" spans="1:5" ht="28.5" customHeight="1" x14ac:dyDescent="0.25">
      <c r="A314" s="284">
        <v>459</v>
      </c>
      <c r="B314" s="193" t="s">
        <v>602</v>
      </c>
      <c r="C314" s="9" t="s">
        <v>4015</v>
      </c>
      <c r="D314" s="2" t="s">
        <v>1027</v>
      </c>
      <c r="E314" s="189">
        <f>34644*1.0378</f>
        <v>35953.5432</v>
      </c>
    </row>
    <row r="315" spans="1:5" ht="30" x14ac:dyDescent="0.25">
      <c r="A315" s="284">
        <v>460</v>
      </c>
      <c r="B315" s="193" t="s">
        <v>1962</v>
      </c>
      <c r="C315" s="9" t="s">
        <v>4015</v>
      </c>
      <c r="D315" s="2" t="s">
        <v>1027</v>
      </c>
      <c r="E315" s="189">
        <f>153400/6</f>
        <v>25566.666666666668</v>
      </c>
    </row>
    <row r="316" spans="1:5" ht="30" x14ac:dyDescent="0.25">
      <c r="A316" s="284">
        <v>461</v>
      </c>
      <c r="B316" s="193" t="s">
        <v>1970</v>
      </c>
      <c r="C316" s="9" t="s">
        <v>4015</v>
      </c>
      <c r="D316" s="2" t="s">
        <v>1027</v>
      </c>
      <c r="E316" s="189">
        <f>196900/6</f>
        <v>32816.666666666664</v>
      </c>
    </row>
    <row r="317" spans="1:5" x14ac:dyDescent="0.25">
      <c r="A317" s="284">
        <v>462</v>
      </c>
      <c r="B317" s="1" t="s">
        <v>5238</v>
      </c>
      <c r="C317" s="9" t="s">
        <v>4015</v>
      </c>
      <c r="D317" s="2" t="s">
        <v>3986</v>
      </c>
      <c r="E317" s="189">
        <v>2499800</v>
      </c>
    </row>
    <row r="318" spans="1:5" x14ac:dyDescent="0.25">
      <c r="A318" s="284">
        <v>463</v>
      </c>
      <c r="B318" s="1087" t="s">
        <v>5240</v>
      </c>
      <c r="C318" s="9" t="s">
        <v>4015</v>
      </c>
      <c r="D318" s="2" t="s">
        <v>3986</v>
      </c>
      <c r="E318" s="1139">
        <v>4510100</v>
      </c>
    </row>
  </sheetData>
  <mergeCells count="1">
    <mergeCell ref="A1:I1"/>
  </mergeCells>
  <phoneticPr fontId="42" type="noConversion"/>
  <pageMargins left="0.7" right="0.7" top="0.75" bottom="0.75" header="0.3" footer="0.3"/>
  <pageSetup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5"/>
  <sheetViews>
    <sheetView workbookViewId="0">
      <selection activeCell="G12" sqref="G12"/>
    </sheetView>
  </sheetViews>
  <sheetFormatPr baseColWidth="10" defaultColWidth="10.7109375" defaultRowHeight="15" x14ac:dyDescent="0.25"/>
  <cols>
    <col min="2" max="2" width="17.140625" customWidth="1"/>
    <col min="3" max="3" width="46.140625" customWidth="1"/>
    <col min="6" max="6" width="12.5703125" customWidth="1"/>
    <col min="8" max="8" width="12.28515625" customWidth="1"/>
    <col min="9" max="9" width="15.5703125" customWidth="1"/>
    <col min="10" max="10" width="30.85546875" customWidth="1"/>
  </cols>
  <sheetData>
    <row r="1" spans="1:11" ht="63" customHeight="1" thickBot="1" x14ac:dyDescent="0.3">
      <c r="A1" s="1314" t="s">
        <v>4696</v>
      </c>
      <c r="B1" s="1315"/>
      <c r="C1" s="1315"/>
      <c r="D1" s="1315"/>
      <c r="E1" s="1315"/>
      <c r="F1" s="1315"/>
      <c r="G1" s="1316"/>
    </row>
    <row r="2" spans="1:11" ht="15.75" x14ac:dyDescent="0.25">
      <c r="A2" s="218"/>
      <c r="B2" s="1308" t="s">
        <v>63</v>
      </c>
      <c r="C2" s="1308"/>
      <c r="D2" s="1308"/>
      <c r="E2" s="1308"/>
      <c r="F2" s="1308"/>
      <c r="G2" s="1309"/>
      <c r="H2" s="58"/>
      <c r="I2" s="27"/>
      <c r="J2" s="27"/>
      <c r="K2" s="27"/>
    </row>
    <row r="3" spans="1:11" x14ac:dyDescent="0.25">
      <c r="A3" s="219"/>
      <c r="B3" s="28"/>
      <c r="C3" s="28"/>
      <c r="D3" s="28"/>
      <c r="E3" s="28"/>
      <c r="F3" s="28"/>
      <c r="G3" s="220"/>
      <c r="H3" s="28"/>
      <c r="I3" s="29"/>
      <c r="J3" s="29"/>
      <c r="K3" s="27"/>
    </row>
    <row r="4" spans="1:11" x14ac:dyDescent="0.25">
      <c r="A4" s="219"/>
      <c r="B4" s="1310">
        <f>+'[106]Analisis Factor Prestacional'!A3:A5</f>
        <v>0</v>
      </c>
      <c r="C4" s="30" t="s">
        <v>19</v>
      </c>
      <c r="D4" s="31">
        <f>+'[106]Analisis Factor Prestacional'!C3</f>
        <v>365</v>
      </c>
      <c r="E4" s="32"/>
      <c r="F4" s="28"/>
      <c r="G4" s="220"/>
      <c r="H4" s="28"/>
      <c r="K4" s="27"/>
    </row>
    <row r="5" spans="1:11" x14ac:dyDescent="0.25">
      <c r="A5" s="219"/>
      <c r="B5" s="1311"/>
      <c r="C5" s="33" t="s">
        <v>5122</v>
      </c>
      <c r="D5" s="34">
        <v>200000</v>
      </c>
      <c r="E5" s="35"/>
      <c r="F5" s="28"/>
      <c r="G5" s="220"/>
      <c r="H5" s="28"/>
      <c r="K5" s="27"/>
    </row>
    <row r="6" spans="1:11" x14ac:dyDescent="0.25">
      <c r="A6" s="219"/>
      <c r="B6" s="1312"/>
      <c r="C6" s="33" t="s">
        <v>5123</v>
      </c>
      <c r="D6" s="34">
        <v>1423500</v>
      </c>
      <c r="E6" s="35"/>
      <c r="F6" s="36"/>
      <c r="G6" s="221"/>
      <c r="H6" s="36"/>
      <c r="K6" s="27"/>
    </row>
    <row r="7" spans="1:11" x14ac:dyDescent="0.25">
      <c r="A7" s="219"/>
      <c r="B7" s="28"/>
      <c r="C7" s="28"/>
      <c r="D7" s="28"/>
      <c r="E7" s="28"/>
      <c r="F7" s="28"/>
      <c r="G7" s="220"/>
      <c r="H7" s="28"/>
      <c r="K7" s="27"/>
    </row>
    <row r="8" spans="1:11" x14ac:dyDescent="0.25">
      <c r="A8" s="219"/>
      <c r="B8" s="37" t="s">
        <v>64</v>
      </c>
      <c r="C8" s="28"/>
      <c r="D8" s="28"/>
      <c r="E8" s="28"/>
      <c r="F8" s="28"/>
      <c r="G8" s="220"/>
      <c r="H8" s="28"/>
      <c r="K8" s="27"/>
    </row>
    <row r="9" spans="1:11" ht="38.25" x14ac:dyDescent="0.25">
      <c r="A9" s="219"/>
      <c r="B9" s="38" t="s">
        <v>65</v>
      </c>
      <c r="C9" s="39" t="s">
        <v>66</v>
      </c>
      <c r="D9" s="39" t="s">
        <v>67</v>
      </c>
      <c r="E9" s="39" t="s">
        <v>68</v>
      </c>
      <c r="F9" s="39" t="s">
        <v>69</v>
      </c>
      <c r="G9" s="222" t="s">
        <v>70</v>
      </c>
      <c r="H9" s="49"/>
      <c r="K9" s="27"/>
    </row>
    <row r="10" spans="1:11" x14ac:dyDescent="0.25">
      <c r="A10" s="219"/>
      <c r="B10" s="30" t="s">
        <v>71</v>
      </c>
      <c r="C10" s="40">
        <f>+$D$6*1.85</f>
        <v>2633475</v>
      </c>
      <c r="D10" s="40">
        <f>+C10/30</f>
        <v>87782.5</v>
      </c>
      <c r="E10" s="40">
        <f>+D10/8</f>
        <v>10972.8125</v>
      </c>
      <c r="F10" s="41">
        <f>+'FACTOR PREST'!C26+1</f>
        <v>1.8437000000000001</v>
      </c>
      <c r="G10" s="223">
        <f>+F10*E10</f>
        <v>20230.574406250002</v>
      </c>
      <c r="H10" s="59"/>
      <c r="K10" s="42"/>
    </row>
    <row r="11" spans="1:11" x14ac:dyDescent="0.25">
      <c r="A11" s="219"/>
      <c r="B11" s="30" t="s">
        <v>72</v>
      </c>
      <c r="C11" s="40">
        <f>+$D$6</f>
        <v>1423500</v>
      </c>
      <c r="D11" s="40">
        <f>+C11/30</f>
        <v>47450</v>
      </c>
      <c r="E11" s="40">
        <f>+D11/8</f>
        <v>5931.25</v>
      </c>
      <c r="F11" s="41">
        <f>+F10</f>
        <v>1.8437000000000001</v>
      </c>
      <c r="G11" s="223">
        <f>+F11*E11</f>
        <v>10935.445625</v>
      </c>
      <c r="H11" s="59"/>
      <c r="K11" s="43"/>
    </row>
    <row r="12" spans="1:11" x14ac:dyDescent="0.25">
      <c r="A12" s="219"/>
      <c r="B12" s="44" t="s">
        <v>73</v>
      </c>
      <c r="C12" s="45">
        <f>SUM(C10:C11)</f>
        <v>4056975</v>
      </c>
      <c r="D12" s="45">
        <f>SUM(D10:D11)</f>
        <v>135232.5</v>
      </c>
      <c r="E12" s="45">
        <f>SUM(E10:E11)</f>
        <v>16904.0625</v>
      </c>
      <c r="F12" s="27"/>
      <c r="G12" s="224">
        <f>ROUND(SUM(G10:G11),0)</f>
        <v>31166</v>
      </c>
      <c r="H12" s="60"/>
      <c r="K12" s="27"/>
    </row>
    <row r="13" spans="1:11" x14ac:dyDescent="0.25">
      <c r="A13" s="219"/>
      <c r="B13" s="28"/>
      <c r="C13" s="28"/>
      <c r="D13" s="28"/>
      <c r="E13" s="28"/>
      <c r="F13" s="28"/>
      <c r="G13" s="225"/>
      <c r="H13" s="46"/>
      <c r="K13" s="27"/>
    </row>
    <row r="14" spans="1:11" x14ac:dyDescent="0.25">
      <c r="A14" s="219"/>
      <c r="B14" s="37" t="s">
        <v>74</v>
      </c>
      <c r="C14" s="28"/>
      <c r="D14" s="28"/>
      <c r="E14" s="28"/>
      <c r="F14" s="28"/>
      <c r="G14" s="220"/>
      <c r="H14" s="28"/>
      <c r="K14" s="27"/>
    </row>
    <row r="15" spans="1:11" ht="38.25" x14ac:dyDescent="0.25">
      <c r="A15" s="219"/>
      <c r="B15" s="38" t="s">
        <v>65</v>
      </c>
      <c r="C15" s="39" t="s">
        <v>66</v>
      </c>
      <c r="D15" s="39" t="s">
        <v>67</v>
      </c>
      <c r="E15" s="39" t="s">
        <v>68</v>
      </c>
      <c r="F15" s="39" t="s">
        <v>69</v>
      </c>
      <c r="G15" s="222" t="s">
        <v>70</v>
      </c>
      <c r="H15" s="49"/>
      <c r="J15" s="47"/>
      <c r="K15" s="27"/>
    </row>
    <row r="16" spans="1:11" x14ac:dyDescent="0.25">
      <c r="A16" s="219"/>
      <c r="B16" s="30" t="s">
        <v>71</v>
      </c>
      <c r="C16" s="40">
        <f>+$D$6*1.85</f>
        <v>2633475</v>
      </c>
      <c r="D16" s="40">
        <f>+C16/30</f>
        <v>87782.5</v>
      </c>
      <c r="E16" s="40">
        <f>+D16/8</f>
        <v>10972.8125</v>
      </c>
      <c r="F16" s="41">
        <f>+F10</f>
        <v>1.8437000000000001</v>
      </c>
      <c r="G16" s="223">
        <f>+F16*E16</f>
        <v>20230.574406250002</v>
      </c>
      <c r="H16" s="59"/>
      <c r="K16" s="42"/>
    </row>
    <row r="17" spans="1:11" x14ac:dyDescent="0.25">
      <c r="A17" s="219"/>
      <c r="B17" s="30" t="s">
        <v>72</v>
      </c>
      <c r="C17" s="40">
        <f>+$D$6*1.1</f>
        <v>1565850.0000000002</v>
      </c>
      <c r="D17" s="40">
        <f>+C17/30</f>
        <v>52195.000000000007</v>
      </c>
      <c r="E17" s="40">
        <f>+D17/8</f>
        <v>6524.3750000000009</v>
      </c>
      <c r="F17" s="41">
        <f>+F10</f>
        <v>1.8437000000000001</v>
      </c>
      <c r="G17" s="223">
        <f>+F17*E17</f>
        <v>12028.990187500003</v>
      </c>
      <c r="H17" s="59"/>
      <c r="K17" s="43"/>
    </row>
    <row r="18" spans="1:11" x14ac:dyDescent="0.25">
      <c r="A18" s="219"/>
      <c r="B18" s="44" t="s">
        <v>73</v>
      </c>
      <c r="C18" s="45">
        <f>SUM(C16:C17)</f>
        <v>4199325</v>
      </c>
      <c r="D18" s="45">
        <f>SUM(D16:D17)</f>
        <v>139977.5</v>
      </c>
      <c r="E18" s="45">
        <f>SUM(E16:E17)</f>
        <v>17497.1875</v>
      </c>
      <c r="F18" s="27"/>
      <c r="G18" s="224">
        <f>ROUND(SUM(G16:G17),0)</f>
        <v>32260</v>
      </c>
      <c r="H18" s="60"/>
      <c r="K18" s="27"/>
    </row>
    <row r="19" spans="1:11" x14ac:dyDescent="0.25">
      <c r="A19" s="219"/>
      <c r="B19" s="28"/>
      <c r="C19" s="28"/>
      <c r="D19" s="28"/>
      <c r="E19" s="28"/>
      <c r="F19" s="28"/>
      <c r="G19" s="225"/>
      <c r="H19" s="46"/>
      <c r="K19" s="27"/>
    </row>
    <row r="20" spans="1:11" x14ac:dyDescent="0.25">
      <c r="A20" s="219"/>
      <c r="B20" s="37" t="s">
        <v>75</v>
      </c>
      <c r="C20" s="28"/>
      <c r="D20" s="28"/>
      <c r="E20" s="28"/>
      <c r="F20" s="28"/>
      <c r="G20" s="220"/>
      <c r="H20" s="28"/>
      <c r="K20" s="27"/>
    </row>
    <row r="21" spans="1:11" ht="38.25" x14ac:dyDescent="0.25">
      <c r="A21" s="219"/>
      <c r="B21" s="38" t="s">
        <v>65</v>
      </c>
      <c r="C21" s="39" t="s">
        <v>66</v>
      </c>
      <c r="D21" s="39" t="s">
        <v>67</v>
      </c>
      <c r="E21" s="39" t="s">
        <v>68</v>
      </c>
      <c r="F21" s="39" t="s">
        <v>69</v>
      </c>
      <c r="G21" s="222" t="s">
        <v>70</v>
      </c>
      <c r="H21" s="49"/>
      <c r="K21" s="27"/>
    </row>
    <row r="22" spans="1:11" x14ac:dyDescent="0.25">
      <c r="A22" s="219"/>
      <c r="B22" s="30" t="s">
        <v>71</v>
      </c>
      <c r="C22" s="40">
        <f>+$D$6*1.85</f>
        <v>2633475</v>
      </c>
      <c r="D22" s="40">
        <f>+C22/30</f>
        <v>87782.5</v>
      </c>
      <c r="E22" s="40">
        <f>+D22/8</f>
        <v>10972.8125</v>
      </c>
      <c r="F22" s="41">
        <f>+F16</f>
        <v>1.8437000000000001</v>
      </c>
      <c r="G22" s="223">
        <f>+F22*E22</f>
        <v>20230.574406250002</v>
      </c>
      <c r="H22" s="59"/>
      <c r="K22" s="42"/>
    </row>
    <row r="23" spans="1:11" x14ac:dyDescent="0.25">
      <c r="A23" s="219"/>
      <c r="B23" s="30" t="s">
        <v>72</v>
      </c>
      <c r="C23" s="40">
        <f>+$D$6*1.15</f>
        <v>1637024.9999999998</v>
      </c>
      <c r="D23" s="40">
        <f>+C23/30</f>
        <v>54567.499999999993</v>
      </c>
      <c r="E23" s="40">
        <f>+D23/8</f>
        <v>6820.9374999999991</v>
      </c>
      <c r="F23" s="41">
        <f>+F22</f>
        <v>1.8437000000000001</v>
      </c>
      <c r="G23" s="223">
        <f>+F23*E23</f>
        <v>12575.762468749999</v>
      </c>
      <c r="H23" s="59"/>
      <c r="K23" s="43"/>
    </row>
    <row r="24" spans="1:11" x14ac:dyDescent="0.25">
      <c r="A24" s="219"/>
      <c r="B24" s="44" t="s">
        <v>73</v>
      </c>
      <c r="C24" s="45">
        <f>SUM(C22:C23)</f>
        <v>4270500</v>
      </c>
      <c r="D24" s="45">
        <f>SUM(D22:D23)</f>
        <v>142350</v>
      </c>
      <c r="E24" s="45">
        <f>SUM(E22:E23)</f>
        <v>17793.75</v>
      </c>
      <c r="F24" s="27"/>
      <c r="G24" s="224">
        <f>ROUND(SUM(G22:G23),0)</f>
        <v>32806</v>
      </c>
      <c r="H24" s="60"/>
      <c r="K24" s="27"/>
    </row>
    <row r="25" spans="1:11" x14ac:dyDescent="0.25">
      <c r="A25" s="219"/>
      <c r="B25" s="28"/>
      <c r="C25" s="28"/>
      <c r="D25" s="28"/>
      <c r="E25" s="28"/>
      <c r="F25" s="28"/>
      <c r="G25" s="225"/>
      <c r="H25" s="46"/>
      <c r="K25" s="27"/>
    </row>
    <row r="26" spans="1:11" x14ac:dyDescent="0.25">
      <c r="A26" s="219"/>
      <c r="B26" s="37" t="s">
        <v>76</v>
      </c>
      <c r="C26" s="28"/>
      <c r="D26" s="28"/>
      <c r="E26" s="28"/>
      <c r="F26" s="28"/>
      <c r="G26" s="220"/>
      <c r="H26" s="28"/>
      <c r="K26" s="27"/>
    </row>
    <row r="27" spans="1:11" ht="38.25" x14ac:dyDescent="0.25">
      <c r="A27" s="219"/>
      <c r="B27" s="38" t="s">
        <v>65</v>
      </c>
      <c r="C27" s="39" t="s">
        <v>66</v>
      </c>
      <c r="D27" s="39" t="s">
        <v>67</v>
      </c>
      <c r="E27" s="39" t="s">
        <v>68</v>
      </c>
      <c r="F27" s="39" t="s">
        <v>69</v>
      </c>
      <c r="G27" s="222" t="s">
        <v>70</v>
      </c>
      <c r="H27" s="49"/>
      <c r="K27" s="27"/>
    </row>
    <row r="28" spans="1:11" x14ac:dyDescent="0.25">
      <c r="A28" s="219"/>
      <c r="B28" s="30" t="s">
        <v>71</v>
      </c>
      <c r="C28" s="40">
        <f>+$D$6*1.85</f>
        <v>2633475</v>
      </c>
      <c r="D28" s="40">
        <f>+C28/30</f>
        <v>87782.5</v>
      </c>
      <c r="E28" s="40">
        <f>+D28/8</f>
        <v>10972.8125</v>
      </c>
      <c r="F28" s="41">
        <f>+F23</f>
        <v>1.8437000000000001</v>
      </c>
      <c r="G28" s="223">
        <f>+F28*E28</f>
        <v>20230.574406250002</v>
      </c>
      <c r="H28" s="59"/>
      <c r="K28" s="42"/>
    </row>
    <row r="29" spans="1:11" x14ac:dyDescent="0.25">
      <c r="A29" s="219"/>
      <c r="B29" s="30" t="s">
        <v>72</v>
      </c>
      <c r="C29" s="40">
        <f>+$D$6*1.15</f>
        <v>1637024.9999999998</v>
      </c>
      <c r="D29" s="40">
        <f>+C29/30</f>
        <v>54567.499999999993</v>
      </c>
      <c r="E29" s="40">
        <f>+D29/8</f>
        <v>6820.9374999999991</v>
      </c>
      <c r="F29" s="41">
        <f>+F28</f>
        <v>1.8437000000000001</v>
      </c>
      <c r="G29" s="223">
        <f>+F29*E29</f>
        <v>12575.762468749999</v>
      </c>
      <c r="H29" s="59"/>
      <c r="K29" s="43"/>
    </row>
    <row r="30" spans="1:11" x14ac:dyDescent="0.25">
      <c r="A30" s="219"/>
      <c r="B30" s="44" t="s">
        <v>73</v>
      </c>
      <c r="C30" s="45">
        <f>SUM(C28:C29)</f>
        <v>4270500</v>
      </c>
      <c r="D30" s="45">
        <f>SUM(D28:D29)</f>
        <v>142350</v>
      </c>
      <c r="E30" s="45">
        <f>SUM(E28:E29)</f>
        <v>17793.75</v>
      </c>
      <c r="F30" s="27"/>
      <c r="G30" s="224">
        <f>ROUND(SUM(G28:G29),0)</f>
        <v>32806</v>
      </c>
      <c r="H30" s="60"/>
      <c r="K30" s="27"/>
    </row>
    <row r="31" spans="1:11" x14ac:dyDescent="0.25">
      <c r="A31" s="219"/>
      <c r="B31" s="28"/>
      <c r="C31" s="28"/>
      <c r="D31" s="28"/>
      <c r="E31" s="28"/>
      <c r="F31" s="28"/>
      <c r="G31" s="225"/>
      <c r="H31" s="46"/>
      <c r="K31" s="27"/>
    </row>
    <row r="32" spans="1:11" x14ac:dyDescent="0.25">
      <c r="A32" s="219"/>
      <c r="B32" s="37" t="s">
        <v>77</v>
      </c>
      <c r="C32" s="28"/>
      <c r="D32" s="28"/>
      <c r="E32" s="28"/>
      <c r="F32" s="28"/>
      <c r="G32" s="220"/>
      <c r="H32" s="28"/>
      <c r="K32" s="27"/>
    </row>
    <row r="33" spans="1:11" ht="38.25" x14ac:dyDescent="0.25">
      <c r="A33" s="219"/>
      <c r="B33" s="38" t="s">
        <v>65</v>
      </c>
      <c r="C33" s="39" t="s">
        <v>66</v>
      </c>
      <c r="D33" s="39" t="s">
        <v>67</v>
      </c>
      <c r="E33" s="39" t="s">
        <v>68</v>
      </c>
      <c r="F33" s="39" t="s">
        <v>69</v>
      </c>
      <c r="G33" s="222" t="s">
        <v>70</v>
      </c>
      <c r="H33" s="49"/>
      <c r="K33" s="27"/>
    </row>
    <row r="34" spans="1:11" x14ac:dyDescent="0.25">
      <c r="A34" s="219"/>
      <c r="B34" s="30" t="s">
        <v>71</v>
      </c>
      <c r="C34" s="40">
        <f>+$D$6*1.85</f>
        <v>2633475</v>
      </c>
      <c r="D34" s="40">
        <f>+C34/30</f>
        <v>87782.5</v>
      </c>
      <c r="E34" s="40">
        <f>+D34/8</f>
        <v>10972.8125</v>
      </c>
      <c r="F34" s="41">
        <f>+F29</f>
        <v>1.8437000000000001</v>
      </c>
      <c r="G34" s="223">
        <f>+F34*E34</f>
        <v>20230.574406250002</v>
      </c>
      <c r="H34" s="59"/>
      <c r="K34" s="42"/>
    </row>
    <row r="35" spans="1:11" x14ac:dyDescent="0.25">
      <c r="A35" s="219"/>
      <c r="B35" s="30" t="s">
        <v>72</v>
      </c>
      <c r="C35" s="40">
        <f>+$D$6*1.12</f>
        <v>1594320.0000000002</v>
      </c>
      <c r="D35" s="40">
        <f>+C35/30</f>
        <v>53144.000000000007</v>
      </c>
      <c r="E35" s="40">
        <f>+D35/8</f>
        <v>6643.0000000000009</v>
      </c>
      <c r="F35" s="41">
        <f>+F34</f>
        <v>1.8437000000000001</v>
      </c>
      <c r="G35" s="223">
        <f>+F35*E35</f>
        <v>12247.699100000002</v>
      </c>
      <c r="H35" s="59"/>
      <c r="K35" s="43"/>
    </row>
    <row r="36" spans="1:11" x14ac:dyDescent="0.25">
      <c r="A36" s="219"/>
      <c r="B36" s="44" t="s">
        <v>73</v>
      </c>
      <c r="C36" s="45">
        <f>SUM(C34:C35)</f>
        <v>4227795</v>
      </c>
      <c r="D36" s="45">
        <f>SUM(D34:D35)</f>
        <v>140926.5</v>
      </c>
      <c r="E36" s="45">
        <f>SUM(E34:E35)</f>
        <v>17615.8125</v>
      </c>
      <c r="F36" s="27"/>
      <c r="G36" s="224">
        <f>ROUND(SUM(G34:G35),0)</f>
        <v>32478</v>
      </c>
      <c r="H36" s="60"/>
      <c r="K36" s="27"/>
    </row>
    <row r="37" spans="1:11" x14ac:dyDescent="0.25">
      <c r="A37" s="219"/>
      <c r="B37" s="28"/>
      <c r="C37" s="28"/>
      <c r="D37" s="28"/>
      <c r="E37" s="28"/>
      <c r="F37" s="28"/>
      <c r="G37" s="225"/>
      <c r="H37" s="46"/>
      <c r="K37" s="27"/>
    </row>
    <row r="38" spans="1:11" x14ac:dyDescent="0.25">
      <c r="A38" s="219"/>
      <c r="B38" s="37" t="s">
        <v>78</v>
      </c>
      <c r="C38" s="28"/>
      <c r="D38" s="28"/>
      <c r="E38" s="28"/>
      <c r="F38" s="28"/>
      <c r="G38" s="220"/>
      <c r="H38" s="28"/>
      <c r="K38" s="27"/>
    </row>
    <row r="39" spans="1:11" ht="38.25" x14ac:dyDescent="0.25">
      <c r="A39" s="219"/>
      <c r="B39" s="38" t="s">
        <v>65</v>
      </c>
      <c r="C39" s="39" t="s">
        <v>66</v>
      </c>
      <c r="D39" s="39" t="s">
        <v>67</v>
      </c>
      <c r="E39" s="39" t="s">
        <v>68</v>
      </c>
      <c r="F39" s="39" t="s">
        <v>69</v>
      </c>
      <c r="G39" s="222" t="s">
        <v>70</v>
      </c>
      <c r="H39" s="49"/>
      <c r="K39" s="27"/>
    </row>
    <row r="40" spans="1:11" x14ac:dyDescent="0.25">
      <c r="A40" s="219"/>
      <c r="B40" s="30" t="s">
        <v>71</v>
      </c>
      <c r="C40" s="40">
        <f>+$D$6*1.6*1.5</f>
        <v>3416400</v>
      </c>
      <c r="D40" s="40">
        <f>+C40/30</f>
        <v>113880</v>
      </c>
      <c r="E40" s="40">
        <f>+D40/8</f>
        <v>14235</v>
      </c>
      <c r="F40" s="41">
        <f>+'FACTOR PREST'!D26+1</f>
        <v>1.6556000000000002</v>
      </c>
      <c r="G40" s="223">
        <f>+F40*E40</f>
        <v>23567.466000000004</v>
      </c>
      <c r="H40" s="59"/>
      <c r="K40" s="42"/>
    </row>
    <row r="41" spans="1:11" x14ac:dyDescent="0.25">
      <c r="A41" s="219"/>
      <c r="B41" s="30" t="s">
        <v>72</v>
      </c>
      <c r="C41" s="40">
        <f>+$D$6*1.5</f>
        <v>2135250</v>
      </c>
      <c r="D41" s="40">
        <f>+C41/30</f>
        <v>71175</v>
      </c>
      <c r="E41" s="40">
        <f>+D41/8</f>
        <v>8896.875</v>
      </c>
      <c r="F41" s="41">
        <f>+F35</f>
        <v>1.8437000000000001</v>
      </c>
      <c r="G41" s="223">
        <f>+F41*E41</f>
        <v>16403.1684375</v>
      </c>
      <c r="H41" s="59"/>
      <c r="K41" s="43"/>
    </row>
    <row r="42" spans="1:11" x14ac:dyDescent="0.25">
      <c r="A42" s="219"/>
      <c r="B42" s="44" t="s">
        <v>73</v>
      </c>
      <c r="C42" s="45">
        <f>SUM(C40:C41)</f>
        <v>5551650</v>
      </c>
      <c r="D42" s="45">
        <f>SUM(D40:D41)</f>
        <v>185055</v>
      </c>
      <c r="E42" s="45">
        <f>SUM(E40:E41)</f>
        <v>23131.875</v>
      </c>
      <c r="F42" s="27"/>
      <c r="G42" s="224">
        <f>ROUND(SUM(G40:G41),0)</f>
        <v>39971</v>
      </c>
      <c r="H42" s="60"/>
      <c r="K42" s="27"/>
    </row>
    <row r="43" spans="1:11" x14ac:dyDescent="0.25">
      <c r="A43" s="219"/>
      <c r="B43" s="28"/>
      <c r="C43" s="28"/>
      <c r="D43" s="28"/>
      <c r="E43" s="28"/>
      <c r="F43" s="28"/>
      <c r="G43" s="225"/>
      <c r="H43" s="46"/>
      <c r="K43" s="27"/>
    </row>
    <row r="44" spans="1:11" x14ac:dyDescent="0.25">
      <c r="A44" s="219"/>
      <c r="B44" s="37" t="s">
        <v>79</v>
      </c>
      <c r="C44" s="28"/>
      <c r="D44" s="28"/>
      <c r="E44" s="28"/>
      <c r="F44" s="28"/>
      <c r="G44" s="220"/>
      <c r="H44" s="28"/>
      <c r="K44" s="27"/>
    </row>
    <row r="45" spans="1:11" ht="38.25" x14ac:dyDescent="0.25">
      <c r="A45" s="219"/>
      <c r="B45" s="38" t="s">
        <v>65</v>
      </c>
      <c r="C45" s="39" t="s">
        <v>66</v>
      </c>
      <c r="D45" s="39" t="s">
        <v>67</v>
      </c>
      <c r="E45" s="39" t="s">
        <v>68</v>
      </c>
      <c r="F45" s="39" t="s">
        <v>69</v>
      </c>
      <c r="G45" s="222" t="s">
        <v>70</v>
      </c>
      <c r="H45" s="49"/>
      <c r="K45" s="27"/>
    </row>
    <row r="46" spans="1:11" x14ac:dyDescent="0.25">
      <c r="A46" s="219"/>
      <c r="B46" s="30" t="s">
        <v>71</v>
      </c>
      <c r="C46" s="40">
        <f>+C40</f>
        <v>3416400</v>
      </c>
      <c r="D46" s="40">
        <f>+C46/30</f>
        <v>113880</v>
      </c>
      <c r="E46" s="40">
        <f>+D46/8</f>
        <v>14235</v>
      </c>
      <c r="F46" s="41">
        <f>+F40</f>
        <v>1.6556000000000002</v>
      </c>
      <c r="G46" s="223">
        <f>+F46*E46</f>
        <v>23567.466000000004</v>
      </c>
      <c r="H46" s="59"/>
      <c r="K46" s="42"/>
    </row>
    <row r="47" spans="1:11" x14ac:dyDescent="0.25">
      <c r="A47" s="219"/>
      <c r="B47" s="30" t="s">
        <v>72</v>
      </c>
      <c r="C47" s="40">
        <f>+$D$6*2</f>
        <v>2847000</v>
      </c>
      <c r="D47" s="40">
        <f>+C47/30</f>
        <v>94900</v>
      </c>
      <c r="E47" s="40">
        <f>+D47/8</f>
        <v>11862.5</v>
      </c>
      <c r="F47" s="41">
        <f>+F41</f>
        <v>1.8437000000000001</v>
      </c>
      <c r="G47" s="223">
        <f>+F47*E47</f>
        <v>21870.891250000001</v>
      </c>
      <c r="H47" s="59"/>
      <c r="K47" s="43"/>
    </row>
    <row r="48" spans="1:11" ht="15.75" thickBot="1" x14ac:dyDescent="0.3">
      <c r="A48" s="226"/>
      <c r="B48" s="227" t="s">
        <v>73</v>
      </c>
      <c r="C48" s="228">
        <f>SUM(C46:C47)</f>
        <v>6263400</v>
      </c>
      <c r="D48" s="228">
        <f>SUM(D46:D47)</f>
        <v>208780</v>
      </c>
      <c r="E48" s="228">
        <f>SUM(E46:E47)</f>
        <v>26097.5</v>
      </c>
      <c r="F48" s="229"/>
      <c r="G48" s="230">
        <f>ROUND(SUM(G46:G47),0)</f>
        <v>45438</v>
      </c>
      <c r="H48" s="60"/>
      <c r="K48" s="27"/>
    </row>
    <row r="49" spans="1:11" x14ac:dyDescent="0.25">
      <c r="A49" s="27"/>
      <c r="B49" s="28"/>
      <c r="C49" s="28"/>
      <c r="D49" s="28"/>
      <c r="E49" s="28"/>
      <c r="F49" s="28"/>
      <c r="G49" s="46"/>
      <c r="H49" s="46"/>
      <c r="K49" s="27"/>
    </row>
    <row r="50" spans="1:11" x14ac:dyDescent="0.25">
      <c r="A50" s="27"/>
      <c r="B50" s="28"/>
      <c r="C50" s="28"/>
      <c r="D50" s="28"/>
      <c r="E50" s="28"/>
      <c r="F50" s="28"/>
      <c r="G50" s="46"/>
      <c r="H50" s="46"/>
      <c r="K50" s="27"/>
    </row>
    <row r="51" spans="1:11" x14ac:dyDescent="0.25">
      <c r="A51" s="27"/>
      <c r="B51" s="28"/>
      <c r="C51" s="28"/>
      <c r="D51" s="28"/>
      <c r="E51" s="28"/>
      <c r="F51" s="28"/>
      <c r="G51" s="46"/>
      <c r="H51" s="46"/>
      <c r="K51" s="27"/>
    </row>
    <row r="52" spans="1:11" ht="38.25" x14ac:dyDescent="0.25">
      <c r="A52" s="48" t="s">
        <v>80</v>
      </c>
      <c r="B52" s="49" t="s">
        <v>81</v>
      </c>
      <c r="C52" s="50"/>
      <c r="D52" s="48" t="s">
        <v>8</v>
      </c>
      <c r="E52" s="49" t="s">
        <v>11</v>
      </c>
      <c r="F52" s="49" t="s">
        <v>82</v>
      </c>
      <c r="G52" s="48" t="s">
        <v>83</v>
      </c>
      <c r="H52" s="48" t="s">
        <v>202</v>
      </c>
      <c r="I52" s="48" t="s">
        <v>84</v>
      </c>
      <c r="J52" s="48" t="s">
        <v>85</v>
      </c>
      <c r="K52" s="48" t="s">
        <v>86</v>
      </c>
    </row>
    <row r="53" spans="1:11" x14ac:dyDescent="0.25">
      <c r="A53" s="27" t="s">
        <v>87</v>
      </c>
      <c r="B53" s="51" t="s">
        <v>88</v>
      </c>
      <c r="C53" s="27"/>
      <c r="D53" s="52"/>
      <c r="E53" s="53" t="s">
        <v>89</v>
      </c>
      <c r="F53" s="54">
        <f>+ROUND(G53*I53,0)</f>
        <v>20231</v>
      </c>
      <c r="G53" s="42">
        <f>+E10</f>
        <v>10972.8125</v>
      </c>
      <c r="H53" s="42">
        <f>(F53*8)</f>
        <v>161848</v>
      </c>
      <c r="I53" s="55">
        <f>+IF(G53*8*30&gt;2*$D$6,'[106]Analisis Factor Prestacional'!$D$28+1,'[106]Analisis Factor Prestacional'!$C$28+1)</f>
        <v>1.8437000000000001</v>
      </c>
      <c r="J53" s="56" t="s">
        <v>90</v>
      </c>
      <c r="K53" s="57">
        <v>45674</v>
      </c>
    </row>
    <row r="54" spans="1:11" x14ac:dyDescent="0.25">
      <c r="A54" s="27" t="s">
        <v>91</v>
      </c>
      <c r="B54" s="51" t="s">
        <v>92</v>
      </c>
      <c r="C54" s="27"/>
      <c r="D54" s="52"/>
      <c r="E54" s="53" t="s">
        <v>89</v>
      </c>
      <c r="F54" s="54">
        <f t="shared" ref="F54:F66" si="0">+ROUND(G54*I54,0)</f>
        <v>20231</v>
      </c>
      <c r="G54" s="42">
        <f>+E16</f>
        <v>10972.8125</v>
      </c>
      <c r="H54" s="42">
        <f t="shared" ref="H54:H109" si="1">(F54*8)</f>
        <v>161848</v>
      </c>
      <c r="I54" s="55">
        <f>+IF(G54*8*30&gt;2*$D$6,'[106]Analisis Factor Prestacional'!$D$28+1,'[106]Analisis Factor Prestacional'!$C$28+1)</f>
        <v>1.8437000000000001</v>
      </c>
      <c r="J54" s="56" t="s">
        <v>90</v>
      </c>
      <c r="K54" s="57">
        <f>+K53</f>
        <v>45674</v>
      </c>
    </row>
    <row r="55" spans="1:11" x14ac:dyDescent="0.25">
      <c r="A55" s="27" t="s">
        <v>93</v>
      </c>
      <c r="B55" s="51" t="s">
        <v>94</v>
      </c>
      <c r="C55" s="27"/>
      <c r="D55" s="52"/>
      <c r="E55" s="53" t="s">
        <v>89</v>
      </c>
      <c r="F55" s="54">
        <f t="shared" si="0"/>
        <v>20231</v>
      </c>
      <c r="G55" s="42">
        <f>+E22</f>
        <v>10972.8125</v>
      </c>
      <c r="H55" s="42">
        <f t="shared" si="1"/>
        <v>161848</v>
      </c>
      <c r="I55" s="55">
        <f>+IF(G55*8*30&gt;2*$D$6,'[106]Analisis Factor Prestacional'!$D$28+1,'[106]Analisis Factor Prestacional'!$C$28+1)</f>
        <v>1.8437000000000001</v>
      </c>
      <c r="J55" s="56" t="s">
        <v>90</v>
      </c>
      <c r="K55" s="57">
        <f t="shared" ref="K55:K109" si="2">+K54</f>
        <v>45674</v>
      </c>
    </row>
    <row r="56" spans="1:11" x14ac:dyDescent="0.25">
      <c r="A56" s="27" t="s">
        <v>95</v>
      </c>
      <c r="B56" s="51" t="s">
        <v>96</v>
      </c>
      <c r="C56" s="27"/>
      <c r="D56" s="52"/>
      <c r="E56" s="53" t="s">
        <v>89</v>
      </c>
      <c r="F56" s="54">
        <f t="shared" si="0"/>
        <v>20231</v>
      </c>
      <c r="G56" s="42">
        <f>+E28</f>
        <v>10972.8125</v>
      </c>
      <c r="H56" s="42">
        <f t="shared" si="1"/>
        <v>161848</v>
      </c>
      <c r="I56" s="55">
        <f>+IF(G56*8*30&gt;2*$D$6,'[106]Analisis Factor Prestacional'!$D$28+1,'[106]Analisis Factor Prestacional'!$C$28+1)</f>
        <v>1.8437000000000001</v>
      </c>
      <c r="J56" s="56" t="s">
        <v>90</v>
      </c>
      <c r="K56" s="57">
        <f t="shared" si="2"/>
        <v>45674</v>
      </c>
    </row>
    <row r="57" spans="1:11" x14ac:dyDescent="0.25">
      <c r="A57" s="27" t="s">
        <v>97</v>
      </c>
      <c r="B57" s="51" t="s">
        <v>98</v>
      </c>
      <c r="C57" s="27"/>
      <c r="D57" s="52"/>
      <c r="E57" s="53" t="s">
        <v>89</v>
      </c>
      <c r="F57" s="54">
        <f t="shared" si="0"/>
        <v>20231</v>
      </c>
      <c r="G57" s="42">
        <f>+E34</f>
        <v>10972.8125</v>
      </c>
      <c r="H57" s="42">
        <f t="shared" si="1"/>
        <v>161848</v>
      </c>
      <c r="I57" s="55">
        <f>+IF(G57*8*30&gt;2*$D$6,'[106]Analisis Factor Prestacional'!$D$28+1,'[106]Analisis Factor Prestacional'!$C$28+1)</f>
        <v>1.8437000000000001</v>
      </c>
      <c r="J57" s="56" t="s">
        <v>90</v>
      </c>
      <c r="K57" s="57">
        <f t="shared" si="2"/>
        <v>45674</v>
      </c>
    </row>
    <row r="58" spans="1:11" x14ac:dyDescent="0.25">
      <c r="A58" s="27" t="s">
        <v>99</v>
      </c>
      <c r="B58" s="51" t="s">
        <v>100</v>
      </c>
      <c r="C58" s="27"/>
      <c r="D58" s="52"/>
      <c r="E58" s="53" t="s">
        <v>89</v>
      </c>
      <c r="F58" s="54">
        <f t="shared" si="0"/>
        <v>23567</v>
      </c>
      <c r="G58" s="42">
        <f>+E40</f>
        <v>14235</v>
      </c>
      <c r="H58" s="42">
        <f t="shared" si="1"/>
        <v>188536</v>
      </c>
      <c r="I58" s="55">
        <f>+IF(G58*8*30&gt;2*$D$6,'[106]Analisis Factor Prestacional'!$D$28+1,'[106]Analisis Factor Prestacional'!$C$28+1)</f>
        <v>1.6556000000000002</v>
      </c>
      <c r="J58" s="56" t="s">
        <v>90</v>
      </c>
      <c r="K58" s="57">
        <f t="shared" si="2"/>
        <v>45674</v>
      </c>
    </row>
    <row r="59" spans="1:11" x14ac:dyDescent="0.25">
      <c r="A59" s="27" t="s">
        <v>101</v>
      </c>
      <c r="B59" s="51" t="s">
        <v>102</v>
      </c>
      <c r="C59" s="27"/>
      <c r="D59" s="52"/>
      <c r="E59" s="53" t="s">
        <v>89</v>
      </c>
      <c r="F59" s="54">
        <f t="shared" si="0"/>
        <v>23567</v>
      </c>
      <c r="G59" s="42">
        <f>+E46</f>
        <v>14235</v>
      </c>
      <c r="H59" s="42">
        <f t="shared" si="1"/>
        <v>188536</v>
      </c>
      <c r="I59" s="55">
        <f>+IF(G59*8*30&gt;2*$D$6,'[106]Analisis Factor Prestacional'!$D$28+1,'[106]Analisis Factor Prestacional'!$C$28+1)</f>
        <v>1.6556000000000002</v>
      </c>
      <c r="J59" s="56" t="s">
        <v>90</v>
      </c>
      <c r="K59" s="57">
        <f t="shared" si="2"/>
        <v>45674</v>
      </c>
    </row>
    <row r="60" spans="1:11" x14ac:dyDescent="0.25">
      <c r="A60" s="27" t="s">
        <v>103</v>
      </c>
      <c r="B60" s="51" t="s">
        <v>104</v>
      </c>
      <c r="C60" s="27"/>
      <c r="D60" s="27"/>
      <c r="E60" s="53" t="s">
        <v>89</v>
      </c>
      <c r="F60" s="54">
        <f t="shared" si="0"/>
        <v>10935</v>
      </c>
      <c r="G60" s="42">
        <f>+E11</f>
        <v>5931.25</v>
      </c>
      <c r="H60" s="42">
        <f t="shared" si="1"/>
        <v>87480</v>
      </c>
      <c r="I60" s="55">
        <f>+IF(G60*8*30&gt;2*$D$6,'[106]Analisis Factor Prestacional'!$D$28+1,'[106]Analisis Factor Prestacional'!$C$28+1)</f>
        <v>1.8437000000000001</v>
      </c>
      <c r="J60" s="56" t="s">
        <v>90</v>
      </c>
      <c r="K60" s="57">
        <f t="shared" si="2"/>
        <v>45674</v>
      </c>
    </row>
    <row r="61" spans="1:11" x14ac:dyDescent="0.25">
      <c r="A61" s="27" t="s">
        <v>105</v>
      </c>
      <c r="B61" s="51" t="s">
        <v>106</v>
      </c>
      <c r="C61" s="27"/>
      <c r="D61" s="27"/>
      <c r="E61" s="53" t="s">
        <v>89</v>
      </c>
      <c r="F61" s="54">
        <f t="shared" si="0"/>
        <v>12029</v>
      </c>
      <c r="G61" s="42">
        <f>+E17</f>
        <v>6524.3750000000009</v>
      </c>
      <c r="H61" s="42">
        <f t="shared" si="1"/>
        <v>96232</v>
      </c>
      <c r="I61" s="55">
        <f>+IF(G61*8*30&gt;2*$D$6,'[106]Analisis Factor Prestacional'!$D$28+1,'[106]Analisis Factor Prestacional'!$C$28+1)</f>
        <v>1.8437000000000001</v>
      </c>
      <c r="J61" s="56" t="s">
        <v>90</v>
      </c>
      <c r="K61" s="57">
        <f t="shared" si="2"/>
        <v>45674</v>
      </c>
    </row>
    <row r="62" spans="1:11" x14ac:dyDescent="0.25">
      <c r="A62" s="27" t="s">
        <v>107</v>
      </c>
      <c r="B62" s="51" t="s">
        <v>108</v>
      </c>
      <c r="C62" s="27"/>
      <c r="D62" s="27"/>
      <c r="E62" s="53" t="s">
        <v>89</v>
      </c>
      <c r="F62" s="54">
        <f t="shared" si="0"/>
        <v>12576</v>
      </c>
      <c r="G62" s="42">
        <f>+E23</f>
        <v>6820.9374999999991</v>
      </c>
      <c r="H62" s="42">
        <f t="shared" si="1"/>
        <v>100608</v>
      </c>
      <c r="I62" s="55">
        <f>+IF(G62*8*30&gt;2*$D$6,'[106]Analisis Factor Prestacional'!$D$28+1,'[106]Analisis Factor Prestacional'!$C$28+1)</f>
        <v>1.8437000000000001</v>
      </c>
      <c r="J62" s="56" t="s">
        <v>90</v>
      </c>
      <c r="K62" s="57">
        <f t="shared" si="2"/>
        <v>45674</v>
      </c>
    </row>
    <row r="63" spans="1:11" x14ac:dyDescent="0.25">
      <c r="A63" s="27" t="s">
        <v>109</v>
      </c>
      <c r="B63" s="51" t="s">
        <v>110</v>
      </c>
      <c r="C63" s="27"/>
      <c r="D63" s="27"/>
      <c r="E63" s="53" t="s">
        <v>89</v>
      </c>
      <c r="F63" s="54">
        <f t="shared" si="0"/>
        <v>12576</v>
      </c>
      <c r="G63" s="42">
        <f>+E29</f>
        <v>6820.9374999999991</v>
      </c>
      <c r="H63" s="42">
        <f>(F63*8)</f>
        <v>100608</v>
      </c>
      <c r="I63" s="55">
        <f>+IF(G63*8*30&gt;2*$D$6,'[106]Analisis Factor Prestacional'!$D$28+1,'[106]Analisis Factor Prestacional'!$C$28+1)</f>
        <v>1.8437000000000001</v>
      </c>
      <c r="J63" s="56" t="s">
        <v>90</v>
      </c>
      <c r="K63" s="57">
        <f t="shared" si="2"/>
        <v>45674</v>
      </c>
    </row>
    <row r="64" spans="1:11" x14ac:dyDescent="0.25">
      <c r="A64" s="27" t="s">
        <v>111</v>
      </c>
      <c r="B64" s="51" t="s">
        <v>112</v>
      </c>
      <c r="C64" s="27"/>
      <c r="D64" s="27"/>
      <c r="E64" s="53" t="s">
        <v>89</v>
      </c>
      <c r="F64" s="54">
        <f t="shared" si="0"/>
        <v>12248</v>
      </c>
      <c r="G64" s="42">
        <f>+E35</f>
        <v>6643.0000000000009</v>
      </c>
      <c r="H64" s="42">
        <f t="shared" si="1"/>
        <v>97984</v>
      </c>
      <c r="I64" s="55">
        <f>+IF(G64*8*30&gt;2*$D$6,'[106]Analisis Factor Prestacional'!$D$28+1,'[106]Analisis Factor Prestacional'!$C$28+1)</f>
        <v>1.8437000000000001</v>
      </c>
      <c r="J64" s="56" t="s">
        <v>90</v>
      </c>
      <c r="K64" s="57">
        <f t="shared" si="2"/>
        <v>45674</v>
      </c>
    </row>
    <row r="65" spans="1:11" x14ac:dyDescent="0.25">
      <c r="A65" s="27" t="s">
        <v>113</v>
      </c>
      <c r="B65" s="51" t="s">
        <v>114</v>
      </c>
      <c r="C65" s="27"/>
      <c r="D65" s="27"/>
      <c r="E65" s="53" t="s">
        <v>89</v>
      </c>
      <c r="F65" s="54">
        <f t="shared" si="0"/>
        <v>16403</v>
      </c>
      <c r="G65" s="42">
        <f>+E41</f>
        <v>8896.875</v>
      </c>
      <c r="H65" s="42">
        <f t="shared" si="1"/>
        <v>131224</v>
      </c>
      <c r="I65" s="55">
        <f>+IF(G65*8*30&gt;2*$D$6,'[106]Analisis Factor Prestacional'!$D$28+1,'[106]Analisis Factor Prestacional'!$C$28+1)</f>
        <v>1.8437000000000001</v>
      </c>
      <c r="J65" s="56" t="s">
        <v>90</v>
      </c>
      <c r="K65" s="57">
        <f t="shared" si="2"/>
        <v>45674</v>
      </c>
    </row>
    <row r="66" spans="1:11" x14ac:dyDescent="0.25">
      <c r="A66" s="27" t="s">
        <v>115</v>
      </c>
      <c r="B66" s="51" t="s">
        <v>116</v>
      </c>
      <c r="C66" s="27"/>
      <c r="D66" s="27"/>
      <c r="E66" s="53" t="s">
        <v>89</v>
      </c>
      <c r="F66" s="54">
        <f t="shared" si="0"/>
        <v>21871</v>
      </c>
      <c r="G66" s="42">
        <f>+E47</f>
        <v>11862.5</v>
      </c>
      <c r="H66" s="42">
        <f t="shared" si="1"/>
        <v>174968</v>
      </c>
      <c r="I66" s="55">
        <f>+IF(G66*8*30&gt;2*$D$6,'[106]Analisis Factor Prestacional'!$D$28+1,'[106]Analisis Factor Prestacional'!$C$28+1)</f>
        <v>1.8437000000000001</v>
      </c>
      <c r="J66" s="56" t="s">
        <v>90</v>
      </c>
      <c r="K66" s="57">
        <f t="shared" si="2"/>
        <v>45674</v>
      </c>
    </row>
    <row r="67" spans="1:11" x14ac:dyDescent="0.25">
      <c r="A67" s="27" t="s">
        <v>117</v>
      </c>
      <c r="B67" s="51" t="s">
        <v>118</v>
      </c>
      <c r="C67" s="27"/>
      <c r="D67" s="27"/>
      <c r="E67" s="53" t="s">
        <v>89</v>
      </c>
      <c r="F67" s="54">
        <f>+ROUND(G67*I67,0)</f>
        <v>13669</v>
      </c>
      <c r="G67" s="42">
        <f>+(D6/48)/4</f>
        <v>7414.0625</v>
      </c>
      <c r="H67" s="42">
        <f t="shared" si="1"/>
        <v>109352</v>
      </c>
      <c r="I67" s="55">
        <f>+IF(G67*8*30&gt;2*$D$6,'[106]Analisis Factor Prestacional'!$D$28+1,'[106]Analisis Factor Prestacional'!$C$28+1)</f>
        <v>1.8437000000000001</v>
      </c>
      <c r="J67" s="56" t="s">
        <v>90</v>
      </c>
      <c r="K67" s="57">
        <f t="shared" si="2"/>
        <v>45674</v>
      </c>
    </row>
    <row r="68" spans="1:11" x14ac:dyDescent="0.25">
      <c r="A68" s="27" t="s">
        <v>4533</v>
      </c>
      <c r="B68" s="51" t="s">
        <v>119</v>
      </c>
      <c r="C68" s="27"/>
      <c r="D68" s="27">
        <v>1</v>
      </c>
      <c r="E68" s="53" t="s">
        <v>89</v>
      </c>
      <c r="F68" s="54">
        <f>+ROUND($F$53+$F$60*D68,0)</f>
        <v>31166</v>
      </c>
      <c r="G68" s="27"/>
      <c r="H68" s="42">
        <f t="shared" si="1"/>
        <v>249328</v>
      </c>
      <c r="K68" s="57">
        <f t="shared" si="2"/>
        <v>45674</v>
      </c>
    </row>
    <row r="69" spans="1:11" x14ac:dyDescent="0.25">
      <c r="A69" s="27" t="s">
        <v>4534</v>
      </c>
      <c r="B69" s="51" t="s">
        <v>121</v>
      </c>
      <c r="C69" s="27"/>
      <c r="D69" s="27">
        <v>1</v>
      </c>
      <c r="E69" s="53" t="s">
        <v>89</v>
      </c>
      <c r="F69" s="54">
        <f>+ROUND($F$54+$F$61*D69,0)</f>
        <v>32260</v>
      </c>
      <c r="G69" s="27"/>
      <c r="H69" s="42">
        <f t="shared" si="1"/>
        <v>258080</v>
      </c>
      <c r="K69" s="57">
        <f t="shared" si="2"/>
        <v>45674</v>
      </c>
    </row>
    <row r="70" spans="1:11" x14ac:dyDescent="0.25">
      <c r="A70" s="27" t="s">
        <v>4535</v>
      </c>
      <c r="B70" s="51" t="s">
        <v>123</v>
      </c>
      <c r="C70" s="27"/>
      <c r="D70" s="27">
        <v>1</v>
      </c>
      <c r="E70" s="53" t="s">
        <v>89</v>
      </c>
      <c r="F70" s="54">
        <f>+ROUND($F$55+$F$62*D70,0)</f>
        <v>32807</v>
      </c>
      <c r="G70" s="27"/>
      <c r="H70" s="42">
        <f t="shared" si="1"/>
        <v>262456</v>
      </c>
      <c r="K70" s="57">
        <f t="shared" si="2"/>
        <v>45674</v>
      </c>
    </row>
    <row r="71" spans="1:11" x14ac:dyDescent="0.25">
      <c r="A71" s="27" t="s">
        <v>4536</v>
      </c>
      <c r="B71" s="51" t="s">
        <v>125</v>
      </c>
      <c r="C71" s="27"/>
      <c r="D71" s="27">
        <v>1</v>
      </c>
      <c r="E71" s="53" t="s">
        <v>89</v>
      </c>
      <c r="F71" s="54">
        <f>+ROUND($F$56+$F$63*D71,0)</f>
        <v>32807</v>
      </c>
      <c r="G71" s="27"/>
      <c r="H71" s="42">
        <f t="shared" si="1"/>
        <v>262456</v>
      </c>
      <c r="K71" s="57">
        <f t="shared" si="2"/>
        <v>45674</v>
      </c>
    </row>
    <row r="72" spans="1:11" x14ac:dyDescent="0.25">
      <c r="A72" s="27" t="s">
        <v>4537</v>
      </c>
      <c r="B72" s="51" t="s">
        <v>127</v>
      </c>
      <c r="C72" s="27"/>
      <c r="D72" s="27">
        <v>1</v>
      </c>
      <c r="E72" s="53" t="s">
        <v>89</v>
      </c>
      <c r="F72" s="54">
        <f>+ROUND($F$57+$F$64*D72,0)</f>
        <v>32479</v>
      </c>
      <c r="G72" s="27"/>
      <c r="H72" s="42">
        <f t="shared" si="1"/>
        <v>259832</v>
      </c>
      <c r="K72" s="57">
        <f t="shared" si="2"/>
        <v>45674</v>
      </c>
    </row>
    <row r="73" spans="1:11" x14ac:dyDescent="0.25">
      <c r="A73" s="27" t="s">
        <v>4538</v>
      </c>
      <c r="B73" s="51" t="s">
        <v>129</v>
      </c>
      <c r="C73" s="27"/>
      <c r="D73" s="27">
        <v>1</v>
      </c>
      <c r="E73" s="53" t="s">
        <v>89</v>
      </c>
      <c r="F73" s="54">
        <f>+ROUND($F$58+$F$65*D73,0)</f>
        <v>39970</v>
      </c>
      <c r="G73" s="27"/>
      <c r="H73" s="42">
        <f>(F73*8)</f>
        <v>319760</v>
      </c>
      <c r="K73" s="57">
        <f t="shared" si="2"/>
        <v>45674</v>
      </c>
    </row>
    <row r="74" spans="1:11" x14ac:dyDescent="0.25">
      <c r="A74" s="27" t="s">
        <v>4539</v>
      </c>
      <c r="B74" s="51" t="s">
        <v>131</v>
      </c>
      <c r="C74" s="27"/>
      <c r="D74" s="27">
        <v>1</v>
      </c>
      <c r="E74" s="53" t="s">
        <v>89</v>
      </c>
      <c r="F74" s="54">
        <f>+ROUND($F$59+$F$66*D74,0)</f>
        <v>45438</v>
      </c>
      <c r="G74" s="27"/>
      <c r="H74" s="42">
        <f t="shared" si="1"/>
        <v>363504</v>
      </c>
      <c r="K74" s="57">
        <f t="shared" si="2"/>
        <v>45674</v>
      </c>
    </row>
    <row r="75" spans="1:11" x14ac:dyDescent="0.25">
      <c r="A75" s="27" t="s">
        <v>4540</v>
      </c>
      <c r="B75" s="51" t="s">
        <v>133</v>
      </c>
      <c r="C75" s="27"/>
      <c r="D75" s="27">
        <v>2</v>
      </c>
      <c r="E75" s="53" t="s">
        <v>89</v>
      </c>
      <c r="F75" s="54">
        <f>+ROUND($F$53+$F$60*D75,0)</f>
        <v>42101</v>
      </c>
      <c r="G75" s="27"/>
      <c r="H75" s="42">
        <f t="shared" si="1"/>
        <v>336808</v>
      </c>
      <c r="K75" s="57">
        <f t="shared" si="2"/>
        <v>45674</v>
      </c>
    </row>
    <row r="76" spans="1:11" x14ac:dyDescent="0.25">
      <c r="A76" s="27" t="s">
        <v>4541</v>
      </c>
      <c r="B76" s="51" t="s">
        <v>135</v>
      </c>
      <c r="C76" s="27"/>
      <c r="D76" s="27">
        <v>2</v>
      </c>
      <c r="E76" s="53" t="s">
        <v>89</v>
      </c>
      <c r="F76" s="54">
        <f>+ROUND($F$54+$F$61*D76,0)</f>
        <v>44289</v>
      </c>
      <c r="G76" s="27"/>
      <c r="H76" s="42">
        <f t="shared" si="1"/>
        <v>354312</v>
      </c>
      <c r="K76" s="57">
        <f t="shared" si="2"/>
        <v>45674</v>
      </c>
    </row>
    <row r="77" spans="1:11" x14ac:dyDescent="0.25">
      <c r="A77" s="27" t="s">
        <v>455</v>
      </c>
      <c r="B77" s="51" t="s">
        <v>137</v>
      </c>
      <c r="C77" s="27"/>
      <c r="D77" s="27">
        <v>2</v>
      </c>
      <c r="E77" s="53" t="s">
        <v>89</v>
      </c>
      <c r="F77" s="54">
        <f>+ROUND($F$55+$F$62*D77,0)</f>
        <v>45383</v>
      </c>
      <c r="G77" s="27"/>
      <c r="H77" s="42">
        <f t="shared" si="1"/>
        <v>363064</v>
      </c>
      <c r="K77" s="57">
        <f t="shared" si="2"/>
        <v>45674</v>
      </c>
    </row>
    <row r="78" spans="1:11" x14ac:dyDescent="0.25">
      <c r="A78" s="27" t="s">
        <v>457</v>
      </c>
      <c r="B78" s="51" t="s">
        <v>139</v>
      </c>
      <c r="C78" s="27"/>
      <c r="D78" s="27">
        <v>2</v>
      </c>
      <c r="E78" s="53" t="s">
        <v>89</v>
      </c>
      <c r="F78" s="54">
        <f>+ROUND($F$56+$F$63*D78,0)</f>
        <v>45383</v>
      </c>
      <c r="G78" s="27"/>
      <c r="H78" s="42">
        <f t="shared" si="1"/>
        <v>363064</v>
      </c>
      <c r="K78" s="57">
        <f t="shared" si="2"/>
        <v>45674</v>
      </c>
    </row>
    <row r="79" spans="1:11" x14ac:dyDescent="0.25">
      <c r="A79" s="27" t="s">
        <v>415</v>
      </c>
      <c r="B79" s="51" t="s">
        <v>141</v>
      </c>
      <c r="C79" s="27"/>
      <c r="D79" s="27">
        <v>2</v>
      </c>
      <c r="E79" s="53" t="s">
        <v>89</v>
      </c>
      <c r="F79" s="54">
        <f>+ROUND($F$57+$F$64*D79,0)</f>
        <v>44727</v>
      </c>
      <c r="G79" s="27"/>
      <c r="H79" s="42">
        <f t="shared" si="1"/>
        <v>357816</v>
      </c>
      <c r="K79" s="57">
        <f t="shared" si="2"/>
        <v>45674</v>
      </c>
    </row>
    <row r="80" spans="1:11" x14ac:dyDescent="0.25">
      <c r="A80" s="27" t="s">
        <v>430</v>
      </c>
      <c r="B80" s="51" t="s">
        <v>143</v>
      </c>
      <c r="C80" s="27"/>
      <c r="D80" s="27">
        <v>2</v>
      </c>
      <c r="E80" s="53" t="s">
        <v>89</v>
      </c>
      <c r="F80" s="54">
        <f>+ROUND($F$58+$F$65*D80,0)</f>
        <v>56373</v>
      </c>
      <c r="G80" s="27"/>
      <c r="H80" s="42">
        <f t="shared" si="1"/>
        <v>450984</v>
      </c>
      <c r="K80" s="57">
        <f t="shared" si="2"/>
        <v>45674</v>
      </c>
    </row>
    <row r="81" spans="1:11" x14ac:dyDescent="0.25">
      <c r="A81" s="27" t="s">
        <v>442</v>
      </c>
      <c r="B81" s="51" t="s">
        <v>145</v>
      </c>
      <c r="C81" s="27"/>
      <c r="D81" s="27">
        <v>2</v>
      </c>
      <c r="E81" s="53" t="s">
        <v>89</v>
      </c>
      <c r="F81" s="54">
        <f>+ROUND($F$59+$F$66*D81,0)</f>
        <v>67309</v>
      </c>
      <c r="G81" s="27"/>
      <c r="H81" s="42">
        <f t="shared" si="1"/>
        <v>538472</v>
      </c>
      <c r="K81" s="57">
        <f t="shared" si="2"/>
        <v>45674</v>
      </c>
    </row>
    <row r="82" spans="1:11" x14ac:dyDescent="0.25">
      <c r="A82" s="27" t="s">
        <v>348</v>
      </c>
      <c r="B82" s="51" t="s">
        <v>147</v>
      </c>
      <c r="C82" s="27"/>
      <c r="D82" s="52">
        <v>3</v>
      </c>
      <c r="E82" s="53" t="s">
        <v>89</v>
      </c>
      <c r="F82" s="54">
        <f>+ROUND($F$53+$F$60*D82,0)</f>
        <v>53036</v>
      </c>
      <c r="G82" s="27"/>
      <c r="H82" s="42">
        <f t="shared" si="1"/>
        <v>424288</v>
      </c>
      <c r="K82" s="57">
        <f t="shared" si="2"/>
        <v>45674</v>
      </c>
    </row>
    <row r="83" spans="1:11" x14ac:dyDescent="0.25">
      <c r="A83" s="27" t="s">
        <v>364</v>
      </c>
      <c r="B83" s="51" t="s">
        <v>149</v>
      </c>
      <c r="C83" s="27"/>
      <c r="D83" s="52">
        <v>3</v>
      </c>
      <c r="E83" s="53" t="s">
        <v>89</v>
      </c>
      <c r="F83" s="54">
        <f>+ROUND($F$54+$F$61*D83,0)</f>
        <v>56318</v>
      </c>
      <c r="G83" s="27"/>
      <c r="H83" s="42">
        <f>(F83*8)</f>
        <v>450544</v>
      </c>
      <c r="K83" s="57">
        <f t="shared" si="2"/>
        <v>45674</v>
      </c>
    </row>
    <row r="84" spans="1:11" x14ac:dyDescent="0.25">
      <c r="A84" s="27" t="s">
        <v>410</v>
      </c>
      <c r="B84" s="51" t="s">
        <v>151</v>
      </c>
      <c r="C84" s="27"/>
      <c r="D84" s="52">
        <v>3</v>
      </c>
      <c r="E84" s="53" t="s">
        <v>89</v>
      </c>
      <c r="F84" s="54">
        <f>+ROUND($F$55+$F$62*D84,0)</f>
        <v>57959</v>
      </c>
      <c r="G84" s="27"/>
      <c r="H84" s="42">
        <f t="shared" si="1"/>
        <v>463672</v>
      </c>
      <c r="K84" s="57">
        <f t="shared" si="2"/>
        <v>45674</v>
      </c>
    </row>
    <row r="85" spans="1:11" x14ac:dyDescent="0.25">
      <c r="A85" s="27" t="s">
        <v>406</v>
      </c>
      <c r="B85" s="51" t="s">
        <v>153</v>
      </c>
      <c r="C85" s="27"/>
      <c r="D85" s="52">
        <v>3</v>
      </c>
      <c r="E85" s="53" t="s">
        <v>89</v>
      </c>
      <c r="F85" s="54">
        <f>+ROUND($F$56+$F$63*D85,0)</f>
        <v>57959</v>
      </c>
      <c r="G85" s="27"/>
      <c r="H85" s="42">
        <f t="shared" si="1"/>
        <v>463672</v>
      </c>
      <c r="K85" s="57">
        <f t="shared" si="2"/>
        <v>45674</v>
      </c>
    </row>
    <row r="86" spans="1:11" x14ac:dyDescent="0.25">
      <c r="A86" s="27" t="s">
        <v>453</v>
      </c>
      <c r="B86" s="51" t="s">
        <v>155</v>
      </c>
      <c r="C86" s="27"/>
      <c r="D86" s="52">
        <v>3</v>
      </c>
      <c r="E86" s="53" t="s">
        <v>89</v>
      </c>
      <c r="F86" s="54">
        <f>+ROUND($F$57+$F$64*D86,0)</f>
        <v>56975</v>
      </c>
      <c r="G86" s="27"/>
      <c r="H86" s="42">
        <f t="shared" si="1"/>
        <v>455800</v>
      </c>
      <c r="K86" s="57">
        <f t="shared" si="2"/>
        <v>45674</v>
      </c>
    </row>
    <row r="87" spans="1:11" x14ac:dyDescent="0.25">
      <c r="A87" s="27" t="s">
        <v>400</v>
      </c>
      <c r="B87" s="51" t="s">
        <v>157</v>
      </c>
      <c r="C87" s="27"/>
      <c r="D87" s="52">
        <v>3</v>
      </c>
      <c r="E87" s="53" t="s">
        <v>89</v>
      </c>
      <c r="F87" s="54">
        <f>+ROUND($F$58+$F$65*D87,0)</f>
        <v>72776</v>
      </c>
      <c r="G87" s="27"/>
      <c r="H87" s="42">
        <f>(F87*8)</f>
        <v>582208</v>
      </c>
      <c r="K87" s="57">
        <f t="shared" si="2"/>
        <v>45674</v>
      </c>
    </row>
    <row r="88" spans="1:11" x14ac:dyDescent="0.25">
      <c r="A88" s="27" t="s">
        <v>436</v>
      </c>
      <c r="B88" s="51" t="s">
        <v>159</v>
      </c>
      <c r="C88" s="27"/>
      <c r="D88" s="52">
        <v>3</v>
      </c>
      <c r="E88" s="53" t="s">
        <v>89</v>
      </c>
      <c r="F88" s="54">
        <f>+ROUND($F$59+$F$66*D88,0)</f>
        <v>89180</v>
      </c>
      <c r="G88" s="27"/>
      <c r="H88" s="42">
        <f t="shared" si="1"/>
        <v>713440</v>
      </c>
      <c r="K88" s="57">
        <f t="shared" si="2"/>
        <v>45674</v>
      </c>
    </row>
    <row r="89" spans="1:11" x14ac:dyDescent="0.25">
      <c r="A89" s="27" t="s">
        <v>402</v>
      </c>
      <c r="B89" s="51" t="s">
        <v>161</v>
      </c>
      <c r="C89" s="27"/>
      <c r="D89" s="27">
        <v>4</v>
      </c>
      <c r="E89" s="53" t="s">
        <v>89</v>
      </c>
      <c r="F89" s="54">
        <f>+ROUND($F$53+$F$60*D89,0)</f>
        <v>63971</v>
      </c>
      <c r="G89" s="27"/>
      <c r="H89" s="42">
        <f t="shared" si="1"/>
        <v>511768</v>
      </c>
      <c r="K89" s="57">
        <f t="shared" si="2"/>
        <v>45674</v>
      </c>
    </row>
    <row r="90" spans="1:11" x14ac:dyDescent="0.25">
      <c r="A90" s="27" t="s">
        <v>393</v>
      </c>
      <c r="B90" s="51" t="s">
        <v>163</v>
      </c>
      <c r="C90" s="27"/>
      <c r="D90" s="52">
        <v>4</v>
      </c>
      <c r="E90" s="53" t="s">
        <v>89</v>
      </c>
      <c r="F90" s="54">
        <f>+ROUND($F$54+$F$61*D90,0)</f>
        <v>68347</v>
      </c>
      <c r="G90" s="27"/>
      <c r="H90" s="42">
        <f t="shared" si="1"/>
        <v>546776</v>
      </c>
      <c r="K90" s="57">
        <f t="shared" si="2"/>
        <v>45674</v>
      </c>
    </row>
    <row r="91" spans="1:11" x14ac:dyDescent="0.25">
      <c r="A91" s="27" t="s">
        <v>362</v>
      </c>
      <c r="B91" s="51" t="s">
        <v>165</v>
      </c>
      <c r="C91" s="27"/>
      <c r="D91" s="52">
        <v>4</v>
      </c>
      <c r="E91" s="53" t="s">
        <v>89</v>
      </c>
      <c r="F91" s="54">
        <f>+ROUND($F$55+$F$62*D91,0)</f>
        <v>70535</v>
      </c>
      <c r="G91" s="27"/>
      <c r="H91" s="42">
        <f t="shared" si="1"/>
        <v>564280</v>
      </c>
      <c r="K91" s="57">
        <f t="shared" si="2"/>
        <v>45674</v>
      </c>
    </row>
    <row r="92" spans="1:11" x14ac:dyDescent="0.25">
      <c r="A92" s="27" t="s">
        <v>451</v>
      </c>
      <c r="B92" s="51" t="s">
        <v>167</v>
      </c>
      <c r="C92" s="27"/>
      <c r="D92" s="52">
        <v>4</v>
      </c>
      <c r="E92" s="53" t="s">
        <v>89</v>
      </c>
      <c r="F92" s="54">
        <f>+ROUND($F$56+$F$63*D92,0)</f>
        <v>70535</v>
      </c>
      <c r="G92" s="27"/>
      <c r="H92" s="42">
        <f t="shared" si="1"/>
        <v>564280</v>
      </c>
      <c r="K92" s="57">
        <f t="shared" si="2"/>
        <v>45674</v>
      </c>
    </row>
    <row r="93" spans="1:11" x14ac:dyDescent="0.25">
      <c r="A93" s="27" t="s">
        <v>398</v>
      </c>
      <c r="B93" s="51" t="s">
        <v>169</v>
      </c>
      <c r="C93" s="27"/>
      <c r="D93" s="52">
        <v>4</v>
      </c>
      <c r="E93" s="53" t="s">
        <v>89</v>
      </c>
      <c r="F93" s="54">
        <f>+ROUND($F$57+$F$64*D93,0)</f>
        <v>69223</v>
      </c>
      <c r="G93" s="27"/>
      <c r="H93" s="42">
        <f t="shared" si="1"/>
        <v>553784</v>
      </c>
      <c r="K93" s="57">
        <f t="shared" si="2"/>
        <v>45674</v>
      </c>
    </row>
    <row r="94" spans="1:11" x14ac:dyDescent="0.25">
      <c r="A94" s="27" t="s">
        <v>378</v>
      </c>
      <c r="B94" s="51" t="s">
        <v>171</v>
      </c>
      <c r="C94" s="27"/>
      <c r="D94" s="52">
        <v>4</v>
      </c>
      <c r="E94" s="53" t="s">
        <v>89</v>
      </c>
      <c r="F94" s="54">
        <f>+ROUND($F$58+$F$65*D94,0)</f>
        <v>89179</v>
      </c>
      <c r="G94" s="27"/>
      <c r="H94" s="42">
        <f t="shared" si="1"/>
        <v>713432</v>
      </c>
      <c r="I94" s="29"/>
      <c r="J94" s="29"/>
      <c r="K94" s="57">
        <f t="shared" si="2"/>
        <v>45674</v>
      </c>
    </row>
    <row r="95" spans="1:11" x14ac:dyDescent="0.25">
      <c r="A95" s="27" t="s">
        <v>384</v>
      </c>
      <c r="B95" s="51" t="s">
        <v>173</v>
      </c>
      <c r="C95" s="27"/>
      <c r="D95" s="52">
        <v>4</v>
      </c>
      <c r="E95" s="53" t="s">
        <v>89</v>
      </c>
      <c r="F95" s="54">
        <f>+ROUND($F$59+$F$66*D95,0)</f>
        <v>111051</v>
      </c>
      <c r="G95" s="27"/>
      <c r="H95" s="42">
        <f>(F95*8)</f>
        <v>888408</v>
      </c>
      <c r="I95" s="1313"/>
      <c r="J95" s="1313"/>
      <c r="K95" s="57">
        <f t="shared" si="2"/>
        <v>45674</v>
      </c>
    </row>
    <row r="96" spans="1:11" x14ac:dyDescent="0.25">
      <c r="A96" s="27" t="s">
        <v>380</v>
      </c>
      <c r="B96" s="51" t="s">
        <v>175</v>
      </c>
      <c r="C96" s="27"/>
      <c r="D96" s="52">
        <v>5</v>
      </c>
      <c r="E96" s="53" t="s">
        <v>89</v>
      </c>
      <c r="F96" s="54">
        <f>+ROUND($F$53+$F$60*D96,0)</f>
        <v>74906</v>
      </c>
      <c r="G96" s="27"/>
      <c r="H96" s="42">
        <f t="shared" si="1"/>
        <v>599248</v>
      </c>
      <c r="K96" s="57">
        <f t="shared" si="2"/>
        <v>45674</v>
      </c>
    </row>
    <row r="97" spans="1:11" x14ac:dyDescent="0.25">
      <c r="A97" s="27" t="s">
        <v>357</v>
      </c>
      <c r="B97" s="51" t="s">
        <v>177</v>
      </c>
      <c r="C97" s="27"/>
      <c r="D97" s="52">
        <v>5</v>
      </c>
      <c r="E97" s="53" t="s">
        <v>89</v>
      </c>
      <c r="F97" s="54">
        <f>+ROUND($F$54+$F$61*D97,0)</f>
        <v>80376</v>
      </c>
      <c r="G97" s="27"/>
      <c r="H97" s="42">
        <f t="shared" si="1"/>
        <v>643008</v>
      </c>
      <c r="K97" s="57">
        <f t="shared" si="2"/>
        <v>45674</v>
      </c>
    </row>
    <row r="98" spans="1:11" x14ac:dyDescent="0.25">
      <c r="A98" s="27" t="s">
        <v>459</v>
      </c>
      <c r="B98" s="51" t="s">
        <v>179</v>
      </c>
      <c r="C98" s="27"/>
      <c r="D98" s="52">
        <v>5</v>
      </c>
      <c r="E98" s="53" t="s">
        <v>89</v>
      </c>
      <c r="F98" s="54">
        <f>+ROUND($F$55+$F$62*D98,0)</f>
        <v>83111</v>
      </c>
      <c r="G98" s="27"/>
      <c r="H98" s="42">
        <f t="shared" si="1"/>
        <v>664888</v>
      </c>
      <c r="K98" s="57">
        <f t="shared" si="2"/>
        <v>45674</v>
      </c>
    </row>
    <row r="99" spans="1:11" x14ac:dyDescent="0.25">
      <c r="A99" s="27" t="s">
        <v>432</v>
      </c>
      <c r="B99" s="51" t="s">
        <v>181</v>
      </c>
      <c r="C99" s="27"/>
      <c r="D99" s="52">
        <v>5</v>
      </c>
      <c r="E99" s="53" t="s">
        <v>89</v>
      </c>
      <c r="F99" s="54">
        <f>+ROUND($F$56+$F$63*D99,0)</f>
        <v>83111</v>
      </c>
      <c r="G99" s="27"/>
      <c r="H99" s="42">
        <f t="shared" si="1"/>
        <v>664888</v>
      </c>
      <c r="K99" s="57">
        <f t="shared" si="2"/>
        <v>45674</v>
      </c>
    </row>
    <row r="100" spans="1:11" x14ac:dyDescent="0.25">
      <c r="A100" s="27" t="s">
        <v>418</v>
      </c>
      <c r="B100" s="51" t="s">
        <v>183</v>
      </c>
      <c r="C100" s="27"/>
      <c r="D100" s="52">
        <v>5</v>
      </c>
      <c r="E100" s="53" t="s">
        <v>89</v>
      </c>
      <c r="F100" s="54">
        <f>+ROUND($F$57+$F$64*D100,0)</f>
        <v>81471</v>
      </c>
      <c r="G100" s="27"/>
      <c r="H100" s="42">
        <f t="shared" si="1"/>
        <v>651768</v>
      </c>
      <c r="K100" s="57">
        <f t="shared" si="2"/>
        <v>45674</v>
      </c>
    </row>
    <row r="101" spans="1:11" x14ac:dyDescent="0.25">
      <c r="A101" s="27" t="s">
        <v>440</v>
      </c>
      <c r="B101" s="51" t="s">
        <v>185</v>
      </c>
      <c r="C101" s="27"/>
      <c r="D101" s="52">
        <v>5</v>
      </c>
      <c r="E101" s="53" t="s">
        <v>89</v>
      </c>
      <c r="F101" s="54">
        <f>+ROUND($F$58+$F$65*D101,0)</f>
        <v>105582</v>
      </c>
      <c r="G101" s="27"/>
      <c r="H101" s="42">
        <f t="shared" si="1"/>
        <v>844656</v>
      </c>
      <c r="K101" s="57">
        <f t="shared" si="2"/>
        <v>45674</v>
      </c>
    </row>
    <row r="102" spans="1:11" x14ac:dyDescent="0.25">
      <c r="A102" s="27" t="s">
        <v>445</v>
      </c>
      <c r="B102" s="51" t="s">
        <v>187</v>
      </c>
      <c r="C102" s="27"/>
      <c r="D102" s="52">
        <v>5</v>
      </c>
      <c r="E102" s="53" t="s">
        <v>89</v>
      </c>
      <c r="F102" s="54">
        <f>+ROUND($F$59+$F$66*D102,0)</f>
        <v>132922</v>
      </c>
      <c r="G102" s="27"/>
      <c r="H102" s="42">
        <f t="shared" si="1"/>
        <v>1063376</v>
      </c>
      <c r="K102" s="57">
        <f t="shared" si="2"/>
        <v>45674</v>
      </c>
    </row>
    <row r="103" spans="1:11" x14ac:dyDescent="0.25">
      <c r="A103" s="27" t="s">
        <v>424</v>
      </c>
      <c r="B103" s="51" t="s">
        <v>189</v>
      </c>
      <c r="C103" s="27"/>
      <c r="D103" s="52">
        <v>6</v>
      </c>
      <c r="E103" s="53" t="s">
        <v>89</v>
      </c>
      <c r="F103" s="54">
        <f>+ROUND($F$53+$F$60*D103,0)</f>
        <v>85841</v>
      </c>
      <c r="G103" s="27"/>
      <c r="H103" s="42">
        <f t="shared" si="1"/>
        <v>686728</v>
      </c>
      <c r="I103" s="1313"/>
      <c r="J103" s="1313"/>
      <c r="K103" s="57">
        <f t="shared" si="2"/>
        <v>45674</v>
      </c>
    </row>
    <row r="104" spans="1:11" x14ac:dyDescent="0.25">
      <c r="A104" s="27" t="s">
        <v>422</v>
      </c>
      <c r="B104" s="51" t="s">
        <v>191</v>
      </c>
      <c r="C104" s="27"/>
      <c r="D104" s="52">
        <v>6</v>
      </c>
      <c r="E104" s="53" t="s">
        <v>89</v>
      </c>
      <c r="F104" s="54">
        <f>+ROUND($F$54+$F$61*D104,0)</f>
        <v>92405</v>
      </c>
      <c r="G104" s="27"/>
      <c r="H104" s="42">
        <f t="shared" si="1"/>
        <v>739240</v>
      </c>
      <c r="K104" s="57">
        <f t="shared" si="2"/>
        <v>45674</v>
      </c>
    </row>
    <row r="105" spans="1:11" x14ac:dyDescent="0.25">
      <c r="A105" s="27" t="s">
        <v>412</v>
      </c>
      <c r="B105" s="51" t="s">
        <v>193</v>
      </c>
      <c r="C105" s="27"/>
      <c r="D105" s="52">
        <v>6</v>
      </c>
      <c r="E105" s="53" t="s">
        <v>89</v>
      </c>
      <c r="F105" s="54">
        <f>+ROUND($F$55+$F$62*D105,0)</f>
        <v>95687</v>
      </c>
      <c r="G105" s="27"/>
      <c r="H105" s="42">
        <f>(F105*8)</f>
        <v>765496</v>
      </c>
      <c r="K105" s="57">
        <f t="shared" si="2"/>
        <v>45674</v>
      </c>
    </row>
    <row r="106" spans="1:11" x14ac:dyDescent="0.25">
      <c r="A106" s="27" t="s">
        <v>366</v>
      </c>
      <c r="B106" s="51" t="s">
        <v>195</v>
      </c>
      <c r="C106" s="27"/>
      <c r="D106" s="52">
        <v>6</v>
      </c>
      <c r="E106" s="53" t="s">
        <v>89</v>
      </c>
      <c r="F106" s="54">
        <f>+ROUND($F$56+$F$63*D106,0)</f>
        <v>95687</v>
      </c>
      <c r="G106" s="27"/>
      <c r="H106" s="42">
        <f t="shared" si="1"/>
        <v>765496</v>
      </c>
      <c r="K106" s="57">
        <f t="shared" si="2"/>
        <v>45674</v>
      </c>
    </row>
    <row r="107" spans="1:11" x14ac:dyDescent="0.25">
      <c r="A107" s="27" t="s">
        <v>368</v>
      </c>
      <c r="B107" s="51" t="s">
        <v>197</v>
      </c>
      <c r="C107" s="27"/>
      <c r="D107" s="52">
        <v>6</v>
      </c>
      <c r="E107" s="53" t="s">
        <v>89</v>
      </c>
      <c r="F107" s="54">
        <f>+ROUND($F$57+$F$64*D107,0)</f>
        <v>93719</v>
      </c>
      <c r="G107" s="27"/>
      <c r="H107" s="42">
        <f t="shared" si="1"/>
        <v>749752</v>
      </c>
      <c r="K107" s="57">
        <f t="shared" si="2"/>
        <v>45674</v>
      </c>
    </row>
    <row r="108" spans="1:11" x14ac:dyDescent="0.25">
      <c r="A108" s="27" t="s">
        <v>375</v>
      </c>
      <c r="B108" s="51" t="s">
        <v>199</v>
      </c>
      <c r="C108" s="27"/>
      <c r="D108" s="52">
        <v>6</v>
      </c>
      <c r="E108" s="53" t="s">
        <v>89</v>
      </c>
      <c r="F108" s="54">
        <f>+ROUND($F$58+$F$65*D108,0)</f>
        <v>121985</v>
      </c>
      <c r="G108" s="27"/>
      <c r="H108" s="42">
        <f t="shared" si="1"/>
        <v>975880</v>
      </c>
      <c r="K108" s="57">
        <f t="shared" si="2"/>
        <v>45674</v>
      </c>
    </row>
    <row r="109" spans="1:11" x14ac:dyDescent="0.25">
      <c r="A109" s="27" t="s">
        <v>391</v>
      </c>
      <c r="B109" s="51" t="s">
        <v>201</v>
      </c>
      <c r="C109" s="27"/>
      <c r="D109" s="52">
        <v>6</v>
      </c>
      <c r="E109" s="53" t="s">
        <v>89</v>
      </c>
      <c r="F109" s="54">
        <f>+ROUND($F$59+$F$66*D109,0)</f>
        <v>154793</v>
      </c>
      <c r="G109" s="27"/>
      <c r="H109" s="42">
        <f t="shared" si="1"/>
        <v>1238344</v>
      </c>
      <c r="K109" s="57">
        <f t="shared" si="2"/>
        <v>45674</v>
      </c>
    </row>
    <row r="125" spans="3:5" x14ac:dyDescent="0.25">
      <c r="C125" s="283"/>
      <c r="D125" s="283"/>
      <c r="E125" s="283"/>
    </row>
  </sheetData>
  <mergeCells count="5">
    <mergeCell ref="B2:G2"/>
    <mergeCell ref="B4:B6"/>
    <mergeCell ref="I95:J95"/>
    <mergeCell ref="I103:J103"/>
    <mergeCell ref="A1:G1"/>
  </mergeCells>
  <phoneticPr fontId="42"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workbookViewId="0">
      <selection activeCell="E29" sqref="E29"/>
    </sheetView>
  </sheetViews>
  <sheetFormatPr baseColWidth="10" defaultColWidth="10.7109375" defaultRowHeight="15" x14ac:dyDescent="0.25"/>
  <cols>
    <col min="3" max="3" width="20.140625" bestFit="1" customWidth="1"/>
    <col min="5" max="5" width="27.85546875" customWidth="1"/>
    <col min="8" max="8" width="14.7109375" bestFit="1" customWidth="1"/>
    <col min="9" max="9" width="19.85546875" customWidth="1"/>
  </cols>
  <sheetData>
    <row r="1" spans="1:9" ht="20.25" customHeight="1" x14ac:dyDescent="0.25">
      <c r="B1" s="1317" t="s">
        <v>4698</v>
      </c>
      <c r="C1" s="1318"/>
      <c r="D1" s="1318"/>
      <c r="E1" s="1318"/>
      <c r="F1" s="1318"/>
      <c r="G1" s="1318"/>
      <c r="H1" s="1318"/>
      <c r="I1" s="1319"/>
    </row>
    <row r="2" spans="1:9" ht="21.75" customHeight="1" x14ac:dyDescent="0.25">
      <c r="B2" s="1320"/>
      <c r="C2" s="1321"/>
      <c r="D2" s="1321"/>
      <c r="E2" s="1321"/>
      <c r="F2" s="1321"/>
      <c r="G2" s="1321"/>
      <c r="H2" s="1321"/>
      <c r="I2" s="1322"/>
    </row>
    <row r="3" spans="1:9" ht="16.5" customHeight="1" x14ac:dyDescent="0.25">
      <c r="B3" s="1320"/>
      <c r="C3" s="1321"/>
      <c r="D3" s="1321"/>
      <c r="E3" s="1321"/>
      <c r="F3" s="1321"/>
      <c r="G3" s="1321"/>
      <c r="H3" s="1321"/>
      <c r="I3" s="1322"/>
    </row>
    <row r="4" spans="1:9" ht="19.5" customHeight="1" x14ac:dyDescent="0.25">
      <c r="B4" s="1320"/>
      <c r="C4" s="1321"/>
      <c r="D4" s="1321"/>
      <c r="E4" s="1321"/>
      <c r="F4" s="1321"/>
      <c r="G4" s="1321"/>
      <c r="H4" s="1321"/>
      <c r="I4" s="1322"/>
    </row>
    <row r="5" spans="1:9" ht="6.75" customHeight="1" thickBot="1" x14ac:dyDescent="0.3">
      <c r="B5" s="1320"/>
      <c r="C5" s="1321"/>
      <c r="D5" s="1321"/>
      <c r="E5" s="1321"/>
      <c r="F5" s="1321"/>
      <c r="G5" s="1321"/>
      <c r="H5" s="1321"/>
      <c r="I5" s="1322"/>
    </row>
    <row r="6" spans="1:9" ht="15.75" thickBot="1" x14ac:dyDescent="0.3">
      <c r="B6" s="231"/>
      <c r="C6" s="232"/>
      <c r="D6" s="232"/>
      <c r="E6" s="232"/>
      <c r="F6" s="232"/>
      <c r="G6" s="232"/>
      <c r="H6" s="232"/>
      <c r="I6" s="233"/>
    </row>
    <row r="7" spans="1:9" ht="15.75" thickBot="1" x14ac:dyDescent="0.3">
      <c r="B7" s="234"/>
      <c r="C7" s="165" t="s">
        <v>3980</v>
      </c>
      <c r="D7" s="235"/>
      <c r="E7" s="1323" t="s">
        <v>4093</v>
      </c>
      <c r="F7" s="1324"/>
      <c r="G7" s="1324"/>
      <c r="H7" s="1324"/>
      <c r="I7" s="1325"/>
    </row>
    <row r="8" spans="1:9" x14ac:dyDescent="0.25">
      <c r="A8">
        <v>76</v>
      </c>
      <c r="B8" s="234" t="s">
        <v>4007</v>
      </c>
      <c r="C8" s="371">
        <f>+VLOOKUP(A8,INSUMOS!$A$2:$H$1117,5,0)</f>
        <v>138820</v>
      </c>
      <c r="D8" s="235"/>
      <c r="E8" s="162" t="s">
        <v>3994</v>
      </c>
      <c r="F8" s="163" t="s">
        <v>3995</v>
      </c>
      <c r="G8" s="163" t="s">
        <v>3996</v>
      </c>
      <c r="H8" s="163" t="s">
        <v>3997</v>
      </c>
      <c r="I8" s="236"/>
    </row>
    <row r="9" spans="1:9" x14ac:dyDescent="0.25">
      <c r="A9">
        <v>77</v>
      </c>
      <c r="B9" s="234" t="s">
        <v>3998</v>
      </c>
      <c r="C9" s="371">
        <f>+VLOOKUP(A9,INSUMOS!$A$2:$H$1117,5,0)</f>
        <v>64344</v>
      </c>
      <c r="D9" s="235"/>
      <c r="E9" s="164">
        <v>350</v>
      </c>
      <c r="F9" s="164">
        <v>0.56000000000000005</v>
      </c>
      <c r="G9" s="164">
        <v>0.84</v>
      </c>
      <c r="H9" s="164">
        <v>180</v>
      </c>
      <c r="I9" s="236"/>
    </row>
    <row r="10" spans="1:9" x14ac:dyDescent="0.25">
      <c r="A10">
        <v>75</v>
      </c>
      <c r="B10" s="234" t="s">
        <v>3999</v>
      </c>
      <c r="C10" s="371">
        <f>+VLOOKUP(A10,INSUMOS!$A$2:$H$1117,5,0)</f>
        <v>636</v>
      </c>
      <c r="D10" s="235"/>
      <c r="E10" s="237"/>
      <c r="F10" s="235"/>
      <c r="G10" s="235"/>
      <c r="H10" s="235"/>
      <c r="I10" s="236"/>
    </row>
    <row r="11" spans="1:9" x14ac:dyDescent="0.25">
      <c r="A11">
        <v>78</v>
      </c>
      <c r="B11" s="234" t="s">
        <v>4000</v>
      </c>
      <c r="C11" s="371">
        <f>+VLOOKUP(A11,INSUMOS!$A$2:$H$1117,5,0)</f>
        <v>40</v>
      </c>
      <c r="D11" s="235"/>
      <c r="E11" s="237"/>
      <c r="F11" s="235"/>
      <c r="G11" s="235"/>
      <c r="H11" s="235"/>
      <c r="I11" s="236"/>
    </row>
    <row r="12" spans="1:9" x14ac:dyDescent="0.25">
      <c r="B12" s="238"/>
      <c r="C12" s="235"/>
      <c r="D12" s="237"/>
      <c r="E12" s="164"/>
      <c r="F12" s="167" t="s">
        <v>4001</v>
      </c>
      <c r="G12" s="167" t="s">
        <v>4002</v>
      </c>
      <c r="H12" s="167" t="s">
        <v>4003</v>
      </c>
      <c r="I12" s="239" t="s">
        <v>4004</v>
      </c>
    </row>
    <row r="13" spans="1:9" x14ac:dyDescent="0.25">
      <c r="B13" s="238"/>
      <c r="C13" s="235"/>
      <c r="D13" s="237"/>
      <c r="E13" s="167" t="s">
        <v>4005</v>
      </c>
      <c r="F13" s="167"/>
      <c r="G13" s="167"/>
      <c r="H13" s="167"/>
      <c r="I13" s="239"/>
    </row>
    <row r="14" spans="1:9" x14ac:dyDescent="0.25">
      <c r="B14" s="240"/>
      <c r="D14" s="372">
        <v>75</v>
      </c>
      <c r="E14" s="166" t="s">
        <v>4006</v>
      </c>
      <c r="F14" s="164" t="s">
        <v>227</v>
      </c>
      <c r="G14" s="164">
        <v>350</v>
      </c>
      <c r="H14" s="371">
        <v>636</v>
      </c>
      <c r="I14" s="241">
        <f>+H14*G14</f>
        <v>222600</v>
      </c>
    </row>
    <row r="15" spans="1:9" x14ac:dyDescent="0.25">
      <c r="B15" s="240"/>
      <c r="D15" s="372">
        <v>77</v>
      </c>
      <c r="E15" s="166" t="s">
        <v>3998</v>
      </c>
      <c r="F15" s="164" t="s">
        <v>301</v>
      </c>
      <c r="G15" s="164">
        <v>0.56000000000000005</v>
      </c>
      <c r="H15" s="371">
        <v>64344</v>
      </c>
      <c r="I15" s="241">
        <f t="shared" ref="I15:I23" si="0">+H15*G15</f>
        <v>36032.640000000007</v>
      </c>
    </row>
    <row r="16" spans="1:9" x14ac:dyDescent="0.25">
      <c r="B16" s="240"/>
      <c r="D16" s="372">
        <v>76</v>
      </c>
      <c r="E16" s="166" t="s">
        <v>4007</v>
      </c>
      <c r="F16" s="164" t="s">
        <v>301</v>
      </c>
      <c r="G16" s="164">
        <v>0.84</v>
      </c>
      <c r="H16" s="371">
        <v>79911</v>
      </c>
      <c r="I16" s="241">
        <f t="shared" si="0"/>
        <v>67125.239999999991</v>
      </c>
    </row>
    <row r="17" spans="2:9" x14ac:dyDescent="0.25">
      <c r="B17" s="240"/>
      <c r="D17" s="372">
        <v>78</v>
      </c>
      <c r="E17" s="166" t="s">
        <v>4008</v>
      </c>
      <c r="F17" s="164" t="s">
        <v>301</v>
      </c>
      <c r="G17" s="164">
        <v>180</v>
      </c>
      <c r="H17" s="371">
        <f>+VLOOKUP(D17,INSUMOS!$A$2:$H$1117,5,0)</f>
        <v>40</v>
      </c>
      <c r="I17" s="241">
        <f t="shared" si="0"/>
        <v>7200</v>
      </c>
    </row>
    <row r="18" spans="2:9" x14ac:dyDescent="0.25">
      <c r="B18" s="240"/>
      <c r="D18" s="237"/>
      <c r="E18" s="168" t="s">
        <v>4009</v>
      </c>
      <c r="F18" s="164"/>
      <c r="G18" s="164"/>
      <c r="H18" s="166"/>
      <c r="I18" s="241">
        <f t="shared" si="0"/>
        <v>0</v>
      </c>
    </row>
    <row r="19" spans="2:9" x14ac:dyDescent="0.25">
      <c r="B19" s="240"/>
      <c r="D19" s="372">
        <v>149</v>
      </c>
      <c r="E19" s="166" t="s">
        <v>4010</v>
      </c>
      <c r="F19" s="164" t="s">
        <v>1032</v>
      </c>
      <c r="G19" s="164">
        <v>0.2</v>
      </c>
      <c r="H19" s="371">
        <f>+VLOOKUP(D19,INSUMOS!$A$2:$H$1117,5,0)</f>
        <v>47826</v>
      </c>
      <c r="I19" s="241">
        <f t="shared" si="0"/>
        <v>9565.2000000000007</v>
      </c>
    </row>
    <row r="20" spans="2:9" x14ac:dyDescent="0.25">
      <c r="B20" s="240"/>
      <c r="D20" s="372">
        <v>150</v>
      </c>
      <c r="E20" s="164" t="s">
        <v>4011</v>
      </c>
      <c r="F20" s="164" t="s">
        <v>4012</v>
      </c>
      <c r="G20" s="164">
        <v>0.15</v>
      </c>
      <c r="H20" s="371">
        <f>+VLOOKUP(D20,INSUMOS!$A$2:$H$1117,5,0)</f>
        <v>4050</v>
      </c>
      <c r="I20" s="241">
        <f t="shared" si="0"/>
        <v>607.5</v>
      </c>
    </row>
    <row r="21" spans="2:9" x14ac:dyDescent="0.25">
      <c r="B21" s="240"/>
      <c r="D21" s="373"/>
      <c r="E21" s="168" t="s">
        <v>4013</v>
      </c>
      <c r="F21" s="164"/>
      <c r="G21" s="164"/>
      <c r="H21" s="166"/>
      <c r="I21" s="241">
        <f t="shared" si="0"/>
        <v>0</v>
      </c>
    </row>
    <row r="22" spans="2:9" x14ac:dyDescent="0.25">
      <c r="B22" s="240"/>
      <c r="D22" s="373"/>
      <c r="E22" s="166" t="s">
        <v>71</v>
      </c>
      <c r="F22" s="164" t="s">
        <v>89</v>
      </c>
      <c r="G22" s="164">
        <v>1</v>
      </c>
      <c r="H22" s="371">
        <f>+MO!E16</f>
        <v>10972.8125</v>
      </c>
      <c r="I22" s="241">
        <f t="shared" si="0"/>
        <v>10972.8125</v>
      </c>
    </row>
    <row r="23" spans="2:9" x14ac:dyDescent="0.25">
      <c r="B23" s="240"/>
      <c r="D23" s="373"/>
      <c r="E23" s="166" t="s">
        <v>72</v>
      </c>
      <c r="F23" s="164" t="s">
        <v>89</v>
      </c>
      <c r="G23" s="164">
        <v>6</v>
      </c>
      <c r="H23" s="371">
        <f>+MO!E17</f>
        <v>6524.3750000000009</v>
      </c>
      <c r="I23" s="241">
        <f t="shared" si="0"/>
        <v>39146.250000000007</v>
      </c>
    </row>
    <row r="24" spans="2:9" ht="15.75" thickBot="1" x14ac:dyDescent="0.3">
      <c r="B24" s="240"/>
      <c r="D24" s="372"/>
      <c r="E24" s="166"/>
      <c r="F24" s="164"/>
      <c r="G24" s="164"/>
      <c r="H24" s="166"/>
      <c r="I24" s="246"/>
    </row>
    <row r="25" spans="2:9" ht="15.75" thickBot="1" x14ac:dyDescent="0.3">
      <c r="B25" s="214"/>
      <c r="C25" s="215"/>
      <c r="D25" s="243"/>
      <c r="E25" s="244"/>
      <c r="F25" s="244"/>
      <c r="G25" s="244"/>
      <c r="H25" s="245"/>
      <c r="I25" s="247">
        <f>SUM(I14:I24)</f>
        <v>393249.64250000002</v>
      </c>
    </row>
  </sheetData>
  <mergeCells count="2">
    <mergeCell ref="B1:I5"/>
    <mergeCell ref="E7:I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8"/>
  <sheetViews>
    <sheetView view="pageBreakPreview" zoomScale="70" zoomScaleNormal="160" zoomScaleSheetLayoutView="70" workbookViewId="0">
      <pane xSplit="3" topLeftCell="D1" activePane="topRight" state="frozen"/>
      <selection pane="topRight" activeCell="C75" sqref="C75"/>
    </sheetView>
  </sheetViews>
  <sheetFormatPr baseColWidth="10" defaultColWidth="8.7109375" defaultRowHeight="16.5" x14ac:dyDescent="0.25"/>
  <cols>
    <col min="1" max="1" width="12.140625" style="998" customWidth="1"/>
    <col min="2" max="2" width="28.7109375" style="999" customWidth="1"/>
    <col min="3" max="3" width="61.140625" style="976" customWidth="1"/>
    <col min="4" max="4" width="10.42578125" style="998" customWidth="1"/>
    <col min="5" max="5" width="20.5703125" style="1000" customWidth="1"/>
    <col min="6" max="6" width="24.7109375" style="998" customWidth="1"/>
    <col min="7" max="7" width="17.85546875" style="998" customWidth="1"/>
    <col min="8" max="8" width="16.140625" style="976" customWidth="1"/>
    <col min="9" max="16384" width="8.7109375" style="976"/>
  </cols>
  <sheetData>
    <row r="1" spans="1:8" x14ac:dyDescent="0.25">
      <c r="A1" s="1328"/>
      <c r="B1" s="1329"/>
      <c r="C1" s="1329"/>
      <c r="D1" s="1329"/>
      <c r="E1" s="1329"/>
      <c r="F1" s="1329"/>
      <c r="G1" s="1329"/>
      <c r="H1" s="1329"/>
    </row>
    <row r="2" spans="1:8" ht="46.9" customHeight="1" x14ac:dyDescent="0.25">
      <c r="A2" s="1330" t="s">
        <v>4996</v>
      </c>
      <c r="B2" s="1330"/>
      <c r="C2" s="1330"/>
      <c r="D2" s="1330"/>
      <c r="E2" s="1330"/>
      <c r="F2" s="1330"/>
      <c r="G2" s="1330"/>
      <c r="H2" s="1330"/>
    </row>
    <row r="3" spans="1:8" ht="15.6" customHeight="1" x14ac:dyDescent="0.25">
      <c r="A3" s="1331" t="s">
        <v>3982</v>
      </c>
      <c r="B3" s="1331"/>
      <c r="C3" s="1331"/>
      <c r="D3" s="1331"/>
      <c r="E3" s="1331"/>
      <c r="F3" s="1331"/>
      <c r="G3" s="1331"/>
      <c r="H3" s="1331"/>
    </row>
    <row r="4" spans="1:8" x14ac:dyDescent="0.25">
      <c r="A4" s="1327"/>
      <c r="B4" s="1327"/>
      <c r="C4" s="1327"/>
      <c r="D4" s="1327"/>
      <c r="E4" s="977" t="s">
        <v>4997</v>
      </c>
      <c r="F4" s="978" t="s">
        <v>4174</v>
      </c>
      <c r="G4" s="977" t="s">
        <v>4175</v>
      </c>
      <c r="H4" s="977" t="s">
        <v>3983</v>
      </c>
    </row>
    <row r="5" spans="1:8" ht="49.5" x14ac:dyDescent="0.25">
      <c r="A5" s="977" t="s">
        <v>10</v>
      </c>
      <c r="B5" s="979" t="s">
        <v>3984</v>
      </c>
      <c r="C5" s="979" t="s">
        <v>3985</v>
      </c>
      <c r="D5" s="977" t="s">
        <v>2</v>
      </c>
      <c r="E5" s="1005" t="s">
        <v>3987</v>
      </c>
      <c r="F5" s="977" t="s">
        <v>3987</v>
      </c>
      <c r="G5" s="977" t="s">
        <v>82</v>
      </c>
      <c r="H5" s="977" t="s">
        <v>3988</v>
      </c>
    </row>
    <row r="6" spans="1:8" s="982" customFormat="1" ht="49.5" x14ac:dyDescent="0.25">
      <c r="A6" s="1332"/>
      <c r="B6" s="1333"/>
      <c r="C6" s="1333"/>
      <c r="D6" s="1334"/>
      <c r="E6" s="1006" t="s">
        <v>4998</v>
      </c>
      <c r="F6" s="981" t="s">
        <v>4999</v>
      </c>
      <c r="G6" s="981" t="s">
        <v>5000</v>
      </c>
      <c r="H6" s="980"/>
    </row>
    <row r="7" spans="1:8" ht="111.75" customHeight="1" x14ac:dyDescent="0.25">
      <c r="A7" s="983" t="s">
        <v>4995</v>
      </c>
      <c r="B7" s="984" t="s">
        <v>4700</v>
      </c>
      <c r="C7" s="985" t="s">
        <v>5001</v>
      </c>
      <c r="D7" s="983">
        <v>1</v>
      </c>
      <c r="E7" s="986">
        <v>12030288</v>
      </c>
      <c r="F7" s="1007">
        <v>7301587</v>
      </c>
      <c r="G7" s="1008">
        <v>7666667</v>
      </c>
      <c r="H7" s="987">
        <f>+AVERAGE(E7,F7,G7)</f>
        <v>8999514</v>
      </c>
    </row>
    <row r="8" spans="1:8" ht="228.6" customHeight="1" x14ac:dyDescent="0.25">
      <c r="A8" s="983" t="s">
        <v>4176</v>
      </c>
      <c r="B8" s="984" t="s">
        <v>4701</v>
      </c>
      <c r="C8" s="985" t="s">
        <v>4177</v>
      </c>
      <c r="D8" s="988">
        <v>4</v>
      </c>
      <c r="E8" s="986">
        <v>3767089</v>
      </c>
      <c r="F8" s="1009">
        <v>4444444</v>
      </c>
      <c r="G8" s="1008">
        <v>4666667</v>
      </c>
      <c r="H8" s="987">
        <f t="shared" ref="H8:H67" si="0">+AVERAGE(E8,F8,G8)</f>
        <v>4292733.333333333</v>
      </c>
    </row>
    <row r="9" spans="1:8" ht="66" x14ac:dyDescent="0.25">
      <c r="A9" s="983" t="s">
        <v>4496</v>
      </c>
      <c r="B9" s="984" t="s">
        <v>4702</v>
      </c>
      <c r="C9" s="985" t="s">
        <v>4703</v>
      </c>
      <c r="D9" s="988">
        <v>1</v>
      </c>
      <c r="E9" s="986">
        <v>7393102</v>
      </c>
      <c r="F9" s="1007">
        <v>6349206</v>
      </c>
      <c r="G9" s="1008">
        <v>6666667</v>
      </c>
      <c r="H9" s="987">
        <f t="shared" si="0"/>
        <v>6802991.666666667</v>
      </c>
    </row>
    <row r="10" spans="1:8" ht="129" customHeight="1" x14ac:dyDescent="0.25">
      <c r="A10" s="983" t="s">
        <v>4178</v>
      </c>
      <c r="B10" s="984" t="s">
        <v>4704</v>
      </c>
      <c r="C10" s="985" t="s">
        <v>4179</v>
      </c>
      <c r="D10" s="988">
        <v>6</v>
      </c>
      <c r="E10" s="986">
        <v>19406892</v>
      </c>
      <c r="F10" s="1007">
        <v>15873016</v>
      </c>
      <c r="G10" s="1008">
        <v>16666667</v>
      </c>
      <c r="H10" s="987">
        <f t="shared" si="0"/>
        <v>17315525</v>
      </c>
    </row>
    <row r="11" spans="1:8" ht="33" x14ac:dyDescent="0.25">
      <c r="A11" s="983" t="s">
        <v>4705</v>
      </c>
      <c r="B11" s="984" t="s">
        <v>4706</v>
      </c>
      <c r="C11" s="985" t="s">
        <v>4707</v>
      </c>
      <c r="D11" s="988">
        <v>2</v>
      </c>
      <c r="E11" s="986">
        <v>4064700</v>
      </c>
      <c r="F11" s="1007">
        <v>714286</v>
      </c>
      <c r="G11" s="1008">
        <v>750000</v>
      </c>
      <c r="H11" s="987">
        <f t="shared" si="0"/>
        <v>1842995.3333333333</v>
      </c>
    </row>
    <row r="12" spans="1:8" ht="49.5" x14ac:dyDescent="0.25">
      <c r="A12" s="983" t="s">
        <v>4180</v>
      </c>
      <c r="B12" s="984" t="s">
        <v>4708</v>
      </c>
      <c r="C12" s="985" t="s">
        <v>4181</v>
      </c>
      <c r="D12" s="988">
        <v>1</v>
      </c>
      <c r="E12" s="986">
        <v>1784592</v>
      </c>
      <c r="F12" s="1007">
        <v>4761905</v>
      </c>
      <c r="G12" s="1008">
        <v>5000000</v>
      </c>
      <c r="H12" s="987">
        <f t="shared" si="0"/>
        <v>3848832.3333333335</v>
      </c>
    </row>
    <row r="13" spans="1:8" ht="49.5" x14ac:dyDescent="0.25">
      <c r="A13" s="983" t="s">
        <v>4180</v>
      </c>
      <c r="B13" s="984" t="s">
        <v>4709</v>
      </c>
      <c r="C13" s="985" t="s">
        <v>4181</v>
      </c>
      <c r="D13" s="989">
        <v>1</v>
      </c>
      <c r="E13" s="986">
        <v>1712070</v>
      </c>
      <c r="F13" s="1007">
        <v>4761905</v>
      </c>
      <c r="G13" s="1008">
        <v>5000000</v>
      </c>
      <c r="H13" s="987">
        <f t="shared" si="0"/>
        <v>3824658.3333333335</v>
      </c>
    </row>
    <row r="14" spans="1:8" ht="49.5" x14ac:dyDescent="0.25">
      <c r="A14" s="983" t="s">
        <v>4182</v>
      </c>
      <c r="B14" s="984" t="s">
        <v>4710</v>
      </c>
      <c r="C14" s="990" t="s">
        <v>5002</v>
      </c>
      <c r="D14" s="988">
        <v>3</v>
      </c>
      <c r="E14" s="986">
        <v>553350</v>
      </c>
      <c r="F14" s="1009">
        <v>460317</v>
      </c>
      <c r="G14" s="1008">
        <v>483333</v>
      </c>
      <c r="H14" s="987">
        <f t="shared" si="0"/>
        <v>499000</v>
      </c>
    </row>
    <row r="15" spans="1:8" ht="69.75" customHeight="1" x14ac:dyDescent="0.25">
      <c r="A15" s="983" t="s">
        <v>4183</v>
      </c>
      <c r="B15" s="984" t="s">
        <v>4711</v>
      </c>
      <c r="C15" s="985" t="s">
        <v>4184</v>
      </c>
      <c r="D15" s="988">
        <v>18</v>
      </c>
      <c r="E15" s="986">
        <v>1334764</v>
      </c>
      <c r="F15" s="1007">
        <v>150794</v>
      </c>
      <c r="G15" s="1008">
        <v>158333</v>
      </c>
      <c r="H15" s="987">
        <f t="shared" si="0"/>
        <v>547963.66666666663</v>
      </c>
    </row>
    <row r="16" spans="1:8" ht="60.75" customHeight="1" x14ac:dyDescent="0.25">
      <c r="A16" s="983" t="s">
        <v>4183</v>
      </c>
      <c r="B16" s="984" t="s">
        <v>4712</v>
      </c>
      <c r="C16" s="985" t="s">
        <v>4713</v>
      </c>
      <c r="D16" s="988">
        <v>17</v>
      </c>
      <c r="E16" s="986">
        <v>278705</v>
      </c>
      <c r="F16" s="1007">
        <v>190476</v>
      </c>
      <c r="G16" s="1008">
        <v>200000</v>
      </c>
      <c r="H16" s="987">
        <f t="shared" si="0"/>
        <v>223060.33333333334</v>
      </c>
    </row>
    <row r="17" spans="1:8" ht="154.5" customHeight="1" x14ac:dyDescent="0.25">
      <c r="A17" s="983" t="s">
        <v>4185</v>
      </c>
      <c r="B17" s="984" t="s">
        <v>4714</v>
      </c>
      <c r="C17" s="985" t="s">
        <v>4186</v>
      </c>
      <c r="D17" s="988">
        <v>6</v>
      </c>
      <c r="E17" s="986">
        <v>10857288</v>
      </c>
      <c r="F17" s="1009">
        <v>13015873</v>
      </c>
      <c r="G17" s="1008">
        <v>13666667</v>
      </c>
      <c r="H17" s="987">
        <f t="shared" si="0"/>
        <v>12513276</v>
      </c>
    </row>
    <row r="18" spans="1:8" ht="154.5" customHeight="1" x14ac:dyDescent="0.25">
      <c r="A18" s="983" t="s">
        <v>4185</v>
      </c>
      <c r="B18" s="984" t="s">
        <v>4715</v>
      </c>
      <c r="C18" s="985" t="s">
        <v>4186</v>
      </c>
      <c r="D18" s="988">
        <v>7</v>
      </c>
      <c r="E18" s="986">
        <v>12030288</v>
      </c>
      <c r="F18" s="1009">
        <v>16190476</v>
      </c>
      <c r="G18" s="1008"/>
      <c r="H18" s="987">
        <f t="shared" si="0"/>
        <v>14110382</v>
      </c>
    </row>
    <row r="19" spans="1:8" ht="123" customHeight="1" x14ac:dyDescent="0.25">
      <c r="A19" s="983" t="s">
        <v>4187</v>
      </c>
      <c r="B19" s="984" t="s">
        <v>4716</v>
      </c>
      <c r="C19" s="985" t="s">
        <v>4188</v>
      </c>
      <c r="D19" s="988">
        <v>3</v>
      </c>
      <c r="E19" s="986">
        <v>12030288</v>
      </c>
      <c r="F19" s="1009">
        <v>20634921</v>
      </c>
      <c r="G19" s="1008">
        <v>21666667</v>
      </c>
      <c r="H19" s="987">
        <f t="shared" si="0"/>
        <v>18110625.333333332</v>
      </c>
    </row>
    <row r="20" spans="1:8" ht="113.25" customHeight="1" x14ac:dyDescent="0.25">
      <c r="A20" s="983" t="s">
        <v>4189</v>
      </c>
      <c r="B20" s="984" t="s">
        <v>4717</v>
      </c>
      <c r="C20" s="985" t="s">
        <v>4190</v>
      </c>
      <c r="D20" s="988">
        <v>9</v>
      </c>
      <c r="E20" s="986">
        <v>4516050</v>
      </c>
      <c r="F20" s="1007">
        <v>6190476</v>
      </c>
      <c r="G20" s="1008">
        <v>6500000</v>
      </c>
      <c r="H20" s="987">
        <f t="shared" si="0"/>
        <v>5735508.666666667</v>
      </c>
    </row>
    <row r="21" spans="1:8" ht="82.5" x14ac:dyDescent="0.25">
      <c r="A21" s="983" t="s">
        <v>4191</v>
      </c>
      <c r="B21" s="984" t="s">
        <v>4718</v>
      </c>
      <c r="C21" s="985" t="s">
        <v>4192</v>
      </c>
      <c r="D21" s="988">
        <v>4</v>
      </c>
      <c r="E21" s="986">
        <v>3460349.9999999995</v>
      </c>
      <c r="F21" s="1009">
        <v>5714286</v>
      </c>
      <c r="G21" s="1008">
        <v>6000000</v>
      </c>
      <c r="H21" s="987">
        <f t="shared" si="0"/>
        <v>5058212</v>
      </c>
    </row>
    <row r="22" spans="1:8" ht="103.5" customHeight="1" x14ac:dyDescent="0.25">
      <c r="A22" s="983" t="s">
        <v>4193</v>
      </c>
      <c r="B22" s="984" t="s">
        <v>4719</v>
      </c>
      <c r="C22" s="985" t="s">
        <v>4194</v>
      </c>
      <c r="D22" s="988">
        <v>5</v>
      </c>
      <c r="E22" s="986">
        <v>6040950</v>
      </c>
      <c r="F22" s="1007">
        <v>6349206</v>
      </c>
      <c r="G22" s="1008">
        <v>6666667</v>
      </c>
      <c r="H22" s="987">
        <f t="shared" si="0"/>
        <v>6352274.333333333</v>
      </c>
    </row>
    <row r="23" spans="1:8" ht="113.25" customHeight="1" x14ac:dyDescent="0.25">
      <c r="A23" s="983" t="s">
        <v>4195</v>
      </c>
      <c r="B23" s="991" t="s">
        <v>5003</v>
      </c>
      <c r="C23" s="985" t="s">
        <v>4196</v>
      </c>
      <c r="D23" s="988">
        <v>3</v>
      </c>
      <c r="E23" s="986">
        <v>5391720</v>
      </c>
      <c r="F23" s="1009">
        <v>7142857</v>
      </c>
      <c r="G23" s="1008">
        <v>7500000</v>
      </c>
      <c r="H23" s="987">
        <f t="shared" si="0"/>
        <v>6678192.333333333</v>
      </c>
    </row>
    <row r="24" spans="1:8" ht="103.5" customHeight="1" x14ac:dyDescent="0.25">
      <c r="A24" s="983" t="s">
        <v>4197</v>
      </c>
      <c r="B24" s="984" t="s">
        <v>4720</v>
      </c>
      <c r="C24" s="985" t="s">
        <v>4198</v>
      </c>
      <c r="D24" s="988">
        <v>2</v>
      </c>
      <c r="E24" s="986">
        <v>5109588</v>
      </c>
      <c r="F24" s="1009">
        <v>7936508</v>
      </c>
      <c r="G24" s="1008">
        <v>8333333</v>
      </c>
      <c r="H24" s="987">
        <f t="shared" si="0"/>
        <v>7126476.333333333</v>
      </c>
    </row>
    <row r="25" spans="1:8" ht="93" customHeight="1" x14ac:dyDescent="0.25">
      <c r="A25" s="983" t="s">
        <v>4507</v>
      </c>
      <c r="B25" s="984" t="s">
        <v>4721</v>
      </c>
      <c r="C25" s="985" t="s">
        <v>4722</v>
      </c>
      <c r="D25" s="988">
        <v>2</v>
      </c>
      <c r="E25" s="986">
        <v>4516050</v>
      </c>
      <c r="F25" s="1009">
        <v>5079365</v>
      </c>
      <c r="G25" s="1008">
        <v>5333333</v>
      </c>
      <c r="H25" s="987">
        <f t="shared" si="0"/>
        <v>4976249.333333333</v>
      </c>
    </row>
    <row r="26" spans="1:8" ht="119.25" customHeight="1" x14ac:dyDescent="0.25">
      <c r="A26" s="983" t="s">
        <v>4723</v>
      </c>
      <c r="B26" s="984" t="s">
        <v>4724</v>
      </c>
      <c r="C26" s="985" t="s">
        <v>4199</v>
      </c>
      <c r="D26" s="988">
        <v>3</v>
      </c>
      <c r="E26" s="986">
        <v>6553500</v>
      </c>
      <c r="F26" s="1009">
        <v>9206349</v>
      </c>
      <c r="G26" s="1008">
        <v>9666667</v>
      </c>
      <c r="H26" s="987">
        <f t="shared" si="0"/>
        <v>8475505.333333334</v>
      </c>
    </row>
    <row r="27" spans="1:8" ht="110.25" customHeight="1" x14ac:dyDescent="0.25">
      <c r="A27" s="983" t="s">
        <v>4200</v>
      </c>
      <c r="B27" s="984" t="s">
        <v>4725</v>
      </c>
      <c r="C27" s="985" t="s">
        <v>4726</v>
      </c>
      <c r="D27" s="988">
        <v>2</v>
      </c>
      <c r="E27" s="986">
        <v>1006230</v>
      </c>
      <c r="F27" s="1009">
        <v>3492063</v>
      </c>
      <c r="G27" s="1008">
        <v>3666667</v>
      </c>
      <c r="H27" s="987">
        <f t="shared" si="0"/>
        <v>2721653.3333333335</v>
      </c>
    </row>
    <row r="28" spans="1:8" ht="72" customHeight="1" x14ac:dyDescent="0.25">
      <c r="A28" s="983" t="s">
        <v>4201</v>
      </c>
      <c r="B28" s="984" t="s">
        <v>4727</v>
      </c>
      <c r="C28" s="985" t="s">
        <v>4202</v>
      </c>
      <c r="D28" s="988">
        <v>3</v>
      </c>
      <c r="E28" s="986">
        <v>284900</v>
      </c>
      <c r="F28" s="1009">
        <v>247900</v>
      </c>
      <c r="G28" s="1008"/>
      <c r="H28" s="987">
        <f t="shared" si="0"/>
        <v>266400</v>
      </c>
    </row>
    <row r="29" spans="1:8" ht="73.5" customHeight="1" x14ac:dyDescent="0.25">
      <c r="A29" s="983" t="s">
        <v>4509</v>
      </c>
      <c r="B29" s="984" t="s">
        <v>4728</v>
      </c>
      <c r="C29" s="985" t="s">
        <v>4729</v>
      </c>
      <c r="D29" s="988">
        <v>27</v>
      </c>
      <c r="E29" s="986">
        <v>1848275</v>
      </c>
      <c r="F29" s="1009">
        <v>1587302</v>
      </c>
      <c r="G29" s="992">
        <v>1666667</v>
      </c>
      <c r="H29" s="987">
        <f t="shared" si="0"/>
        <v>1700748</v>
      </c>
    </row>
    <row r="30" spans="1:8" ht="209.25" customHeight="1" x14ac:dyDescent="0.25">
      <c r="A30" s="983" t="s">
        <v>4730</v>
      </c>
      <c r="B30" s="984" t="s">
        <v>4731</v>
      </c>
      <c r="C30" s="990" t="s">
        <v>5004</v>
      </c>
      <c r="D30" s="988">
        <v>1</v>
      </c>
      <c r="E30" s="1009">
        <v>9435000</v>
      </c>
      <c r="F30" s="1009">
        <v>10634921</v>
      </c>
      <c r="G30" s="993">
        <v>11166667</v>
      </c>
      <c r="H30" s="987">
        <f t="shared" si="0"/>
        <v>10412196</v>
      </c>
    </row>
    <row r="31" spans="1:8" ht="113.25" customHeight="1" x14ac:dyDescent="0.25">
      <c r="A31" s="983" t="s">
        <v>4203</v>
      </c>
      <c r="B31" s="984" t="s">
        <v>4204</v>
      </c>
      <c r="C31" s="985" t="s">
        <v>4205</v>
      </c>
      <c r="D31" s="988">
        <v>2</v>
      </c>
      <c r="E31" s="986">
        <v>4545120</v>
      </c>
      <c r="F31" s="1009">
        <v>5555555</v>
      </c>
      <c r="G31" s="993">
        <v>5833333</v>
      </c>
      <c r="H31" s="987">
        <f t="shared" si="0"/>
        <v>5311336</v>
      </c>
    </row>
    <row r="32" spans="1:8" ht="82.5" x14ac:dyDescent="0.25">
      <c r="A32" s="983" t="s">
        <v>4206</v>
      </c>
      <c r="B32" s="984" t="s">
        <v>4207</v>
      </c>
      <c r="C32" s="985" t="s">
        <v>4208</v>
      </c>
      <c r="D32" s="988">
        <v>1</v>
      </c>
      <c r="E32" s="986">
        <v>5227500</v>
      </c>
      <c r="F32" s="1009">
        <v>7142857</v>
      </c>
      <c r="G32" s="993">
        <v>7500000</v>
      </c>
      <c r="H32" s="987">
        <f t="shared" si="0"/>
        <v>6623452.333333333</v>
      </c>
    </row>
    <row r="33" spans="1:8" ht="68.25" customHeight="1" x14ac:dyDescent="0.25">
      <c r="A33" s="983" t="s">
        <v>4732</v>
      </c>
      <c r="B33" s="984" t="s">
        <v>4733</v>
      </c>
      <c r="C33" s="985" t="s">
        <v>4734</v>
      </c>
      <c r="D33" s="988">
        <v>4</v>
      </c>
      <c r="E33" s="986"/>
      <c r="F33" s="1009">
        <v>4444444</v>
      </c>
      <c r="G33" s="993">
        <v>4666667</v>
      </c>
      <c r="H33" s="987">
        <f t="shared" si="0"/>
        <v>4555555.5</v>
      </c>
    </row>
    <row r="34" spans="1:8" ht="82.5" x14ac:dyDescent="0.25">
      <c r="A34" s="983" t="s">
        <v>4735</v>
      </c>
      <c r="B34" s="984" t="s">
        <v>4736</v>
      </c>
      <c r="C34" s="985" t="s">
        <v>4737</v>
      </c>
      <c r="D34" s="988">
        <v>3</v>
      </c>
      <c r="E34" s="986">
        <v>15153120</v>
      </c>
      <c r="F34" s="1009">
        <v>7142857</v>
      </c>
      <c r="G34" s="993">
        <v>7500000</v>
      </c>
      <c r="H34" s="987">
        <f t="shared" si="0"/>
        <v>9931992.333333334</v>
      </c>
    </row>
    <row r="35" spans="1:8" ht="88.5" customHeight="1" x14ac:dyDescent="0.25">
      <c r="A35" s="983" t="s">
        <v>4209</v>
      </c>
      <c r="B35" s="984" t="s">
        <v>4210</v>
      </c>
      <c r="C35" s="985" t="s">
        <v>4211</v>
      </c>
      <c r="D35" s="988">
        <v>4</v>
      </c>
      <c r="E35" s="986">
        <v>773772</v>
      </c>
      <c r="F35" s="1009">
        <v>3015873</v>
      </c>
      <c r="G35" s="993">
        <v>3166667</v>
      </c>
      <c r="H35" s="987">
        <f t="shared" si="0"/>
        <v>2318770.6666666665</v>
      </c>
    </row>
    <row r="36" spans="1:8" ht="102" customHeight="1" x14ac:dyDescent="0.25">
      <c r="A36" s="983" t="s">
        <v>4212</v>
      </c>
      <c r="B36" s="984" t="s">
        <v>4213</v>
      </c>
      <c r="C36" s="985" t="s">
        <v>4214</v>
      </c>
      <c r="D36" s="988">
        <v>4</v>
      </c>
      <c r="E36" s="986">
        <v>61900</v>
      </c>
      <c r="F36" s="1009">
        <v>79900</v>
      </c>
      <c r="G36" s="993"/>
      <c r="H36" s="987">
        <f t="shared" si="0"/>
        <v>70900</v>
      </c>
    </row>
    <row r="37" spans="1:8" ht="69.75" customHeight="1" x14ac:dyDescent="0.25">
      <c r="A37" s="983" t="s">
        <v>4738</v>
      </c>
      <c r="B37" s="984" t="s">
        <v>4739</v>
      </c>
      <c r="C37" s="985" t="s">
        <v>4740</v>
      </c>
      <c r="D37" s="988">
        <v>20</v>
      </c>
      <c r="E37" s="986">
        <v>505716</v>
      </c>
      <c r="F37" s="1009">
        <v>952381</v>
      </c>
      <c r="G37" s="993">
        <v>1000000</v>
      </c>
      <c r="H37" s="987">
        <f t="shared" si="0"/>
        <v>819365.66666666663</v>
      </c>
    </row>
    <row r="38" spans="1:8" ht="90.75" customHeight="1" x14ac:dyDescent="0.25">
      <c r="A38" s="983" t="s">
        <v>4215</v>
      </c>
      <c r="B38" s="984" t="s">
        <v>4741</v>
      </c>
      <c r="C38" s="985" t="s">
        <v>4216</v>
      </c>
      <c r="D38" s="988">
        <v>8</v>
      </c>
      <c r="E38" s="986">
        <v>3666520</v>
      </c>
      <c r="F38" s="1010">
        <v>3174603</v>
      </c>
      <c r="G38" s="994">
        <v>3333333</v>
      </c>
      <c r="H38" s="987">
        <f t="shared" si="0"/>
        <v>3391485.3333333335</v>
      </c>
    </row>
    <row r="39" spans="1:8" ht="26.45" customHeight="1" x14ac:dyDescent="0.25">
      <c r="A39" s="1335" t="s">
        <v>4217</v>
      </c>
      <c r="B39" s="984" t="s">
        <v>4742</v>
      </c>
      <c r="C39" s="1335" t="s">
        <v>4218</v>
      </c>
      <c r="D39" s="988">
        <v>3</v>
      </c>
      <c r="E39" s="986">
        <v>6104700</v>
      </c>
      <c r="F39" s="1009">
        <v>5555556</v>
      </c>
      <c r="G39" s="993">
        <v>5833333</v>
      </c>
      <c r="H39" s="987">
        <f t="shared" si="0"/>
        <v>5831196.333333333</v>
      </c>
    </row>
    <row r="40" spans="1:8" ht="60" customHeight="1" x14ac:dyDescent="0.25">
      <c r="A40" s="1335"/>
      <c r="B40" s="984" t="s">
        <v>4743</v>
      </c>
      <c r="C40" s="1335"/>
      <c r="D40" s="988">
        <v>1</v>
      </c>
      <c r="E40" s="986">
        <v>7097160</v>
      </c>
      <c r="F40" s="1011">
        <v>6349206</v>
      </c>
      <c r="G40" s="1008">
        <v>6666667</v>
      </c>
      <c r="H40" s="987">
        <f t="shared" si="0"/>
        <v>6704344.333333333</v>
      </c>
    </row>
    <row r="41" spans="1:8" ht="204" customHeight="1" x14ac:dyDescent="0.25">
      <c r="A41" s="983" t="s">
        <v>4627</v>
      </c>
      <c r="B41" s="984" t="s">
        <v>4744</v>
      </c>
      <c r="C41" s="985" t="s">
        <v>4745</v>
      </c>
      <c r="D41" s="988">
        <v>1</v>
      </c>
      <c r="E41" s="986">
        <v>42330000</v>
      </c>
      <c r="F41" s="1009">
        <v>55555556</v>
      </c>
      <c r="G41" s="993">
        <v>58333333</v>
      </c>
      <c r="H41" s="987">
        <f t="shared" si="0"/>
        <v>52072963</v>
      </c>
    </row>
    <row r="42" spans="1:8" ht="64.5" customHeight="1" x14ac:dyDescent="0.25">
      <c r="A42" s="983" t="s">
        <v>4746</v>
      </c>
      <c r="B42" s="984" t="s">
        <v>4747</v>
      </c>
      <c r="C42" s="985" t="s">
        <v>4748</v>
      </c>
      <c r="D42" s="988">
        <v>2</v>
      </c>
      <c r="E42" s="986">
        <v>688500</v>
      </c>
      <c r="F42" s="1009">
        <v>714286</v>
      </c>
      <c r="G42" s="993">
        <v>750000</v>
      </c>
      <c r="H42" s="987">
        <f t="shared" si="0"/>
        <v>717595.33333333337</v>
      </c>
    </row>
    <row r="43" spans="1:8" ht="69.75" customHeight="1" x14ac:dyDescent="0.25">
      <c r="A43" s="983" t="s">
        <v>4515</v>
      </c>
      <c r="B43" s="984" t="s">
        <v>4749</v>
      </c>
      <c r="C43" s="985" t="s">
        <v>4750</v>
      </c>
      <c r="D43" s="988">
        <v>50</v>
      </c>
      <c r="E43" s="986">
        <v>253133</v>
      </c>
      <c r="F43" s="1007">
        <v>380952</v>
      </c>
      <c r="G43" s="1008">
        <v>400000</v>
      </c>
      <c r="H43" s="987">
        <f t="shared" si="0"/>
        <v>344695</v>
      </c>
    </row>
    <row r="44" spans="1:8" ht="73.5" customHeight="1" x14ac:dyDescent="0.25">
      <c r="A44" s="983" t="s">
        <v>4751</v>
      </c>
      <c r="B44" s="984" t="s">
        <v>4752</v>
      </c>
      <c r="C44" s="985" t="s">
        <v>4753</v>
      </c>
      <c r="D44" s="988">
        <v>30</v>
      </c>
      <c r="E44" s="986">
        <v>433500</v>
      </c>
      <c r="F44" s="1007">
        <v>428571</v>
      </c>
      <c r="G44" s="1008">
        <v>450000</v>
      </c>
      <c r="H44" s="987">
        <f t="shared" si="0"/>
        <v>437357</v>
      </c>
    </row>
    <row r="45" spans="1:8" ht="103.5" customHeight="1" x14ac:dyDescent="0.25">
      <c r="A45" s="983" t="s">
        <v>4219</v>
      </c>
      <c r="B45" s="984" t="s">
        <v>4754</v>
      </c>
      <c r="C45" s="985" t="s">
        <v>4220</v>
      </c>
      <c r="D45" s="988">
        <v>2</v>
      </c>
      <c r="E45" s="986">
        <v>46716</v>
      </c>
      <c r="F45" s="1009">
        <v>33900</v>
      </c>
      <c r="G45" s="993"/>
      <c r="H45" s="987">
        <f t="shared" si="0"/>
        <v>40308</v>
      </c>
    </row>
    <row r="46" spans="1:8" ht="67.5" customHeight="1" x14ac:dyDescent="0.25">
      <c r="A46" s="983" t="s">
        <v>4221</v>
      </c>
      <c r="B46" s="984" t="s">
        <v>4755</v>
      </c>
      <c r="C46" s="985" t="s">
        <v>4222</v>
      </c>
      <c r="D46" s="988">
        <v>3</v>
      </c>
      <c r="E46" s="986">
        <v>1079160</v>
      </c>
      <c r="F46" s="1007">
        <v>1278571</v>
      </c>
      <c r="G46" s="993">
        <v>1352500</v>
      </c>
      <c r="H46" s="987">
        <f t="shared" si="0"/>
        <v>1236743.6666666667</v>
      </c>
    </row>
    <row r="47" spans="1:8" ht="33" x14ac:dyDescent="0.25">
      <c r="A47" s="1012" t="s">
        <v>4756</v>
      </c>
      <c r="B47" s="1013" t="s">
        <v>4757</v>
      </c>
      <c r="C47" s="1014" t="s">
        <v>4758</v>
      </c>
      <c r="D47" s="1015">
        <v>3</v>
      </c>
      <c r="E47" s="1016">
        <v>6477000</v>
      </c>
      <c r="F47" s="1017">
        <v>3968254</v>
      </c>
      <c r="G47" s="1018">
        <v>4166667</v>
      </c>
      <c r="H47" s="1019">
        <f t="shared" si="0"/>
        <v>4870640.333333333</v>
      </c>
    </row>
    <row r="48" spans="1:8" ht="99" x14ac:dyDescent="0.25">
      <c r="A48" s="1012" t="s">
        <v>4759</v>
      </c>
      <c r="B48" s="1013" t="s">
        <v>4760</v>
      </c>
      <c r="C48" s="1014" t="s">
        <v>5013</v>
      </c>
      <c r="D48" s="1015">
        <v>30</v>
      </c>
      <c r="E48" s="1016">
        <v>443700</v>
      </c>
      <c r="F48" s="1017">
        <v>190476</v>
      </c>
      <c r="G48" s="1018">
        <v>200000</v>
      </c>
      <c r="H48" s="1019">
        <f t="shared" si="0"/>
        <v>278058.66666666669</v>
      </c>
    </row>
    <row r="49" spans="1:8" ht="39.75" customHeight="1" x14ac:dyDescent="0.25">
      <c r="A49" s="983" t="s">
        <v>4761</v>
      </c>
      <c r="B49" s="984" t="s">
        <v>4762</v>
      </c>
      <c r="C49" s="985" t="s">
        <v>4763</v>
      </c>
      <c r="D49" s="988">
        <v>1</v>
      </c>
      <c r="E49" s="986">
        <v>10047000</v>
      </c>
      <c r="F49" s="1009">
        <v>12222222</v>
      </c>
      <c r="G49" s="993">
        <v>12833333</v>
      </c>
      <c r="H49" s="987">
        <f t="shared" si="0"/>
        <v>11700851.666666666</v>
      </c>
    </row>
    <row r="50" spans="1:8" ht="65.25" customHeight="1" x14ac:dyDescent="0.25">
      <c r="A50" s="983" t="s">
        <v>4764</v>
      </c>
      <c r="B50" s="984" t="s">
        <v>4765</v>
      </c>
      <c r="C50" s="990" t="s">
        <v>5005</v>
      </c>
      <c r="D50" s="988">
        <v>25</v>
      </c>
      <c r="E50" s="986">
        <v>535500</v>
      </c>
      <c r="F50" s="1010">
        <v>317460</v>
      </c>
      <c r="G50" s="993">
        <v>333333</v>
      </c>
      <c r="H50" s="987">
        <f t="shared" si="0"/>
        <v>395431</v>
      </c>
    </row>
    <row r="51" spans="1:8" ht="33" x14ac:dyDescent="0.25">
      <c r="A51" s="983" t="s">
        <v>4766</v>
      </c>
      <c r="B51" s="984" t="s">
        <v>4767</v>
      </c>
      <c r="C51" s="985" t="s">
        <v>4768</v>
      </c>
      <c r="D51" s="988">
        <v>1</v>
      </c>
      <c r="E51" s="986">
        <v>892908</v>
      </c>
      <c r="F51" s="1010">
        <v>507937</v>
      </c>
      <c r="G51" s="993">
        <v>533333</v>
      </c>
      <c r="H51" s="987">
        <f t="shared" si="0"/>
        <v>644726</v>
      </c>
    </row>
    <row r="52" spans="1:8" ht="171.75" customHeight="1" x14ac:dyDescent="0.25">
      <c r="A52" s="983" t="s">
        <v>4223</v>
      </c>
      <c r="B52" s="984" t="s">
        <v>4769</v>
      </c>
      <c r="C52" s="985" t="s">
        <v>4224</v>
      </c>
      <c r="D52" s="988">
        <v>6</v>
      </c>
      <c r="E52" s="986">
        <v>1377000</v>
      </c>
      <c r="F52" s="1010">
        <v>3968254</v>
      </c>
      <c r="G52" s="993">
        <v>4166667</v>
      </c>
      <c r="H52" s="987">
        <f t="shared" si="0"/>
        <v>3170640.3333333335</v>
      </c>
    </row>
    <row r="53" spans="1:8" ht="75.75" customHeight="1" x14ac:dyDescent="0.25">
      <c r="A53" s="983" t="s">
        <v>4770</v>
      </c>
      <c r="B53" s="984" t="s">
        <v>4771</v>
      </c>
      <c r="C53" s="985" t="s">
        <v>4772</v>
      </c>
      <c r="D53" s="988">
        <v>1</v>
      </c>
      <c r="E53" s="986">
        <v>671160</v>
      </c>
      <c r="F53" s="1010">
        <v>238095</v>
      </c>
      <c r="G53" s="993">
        <v>250000</v>
      </c>
      <c r="H53" s="987">
        <f t="shared" si="0"/>
        <v>386418.33333333331</v>
      </c>
    </row>
    <row r="54" spans="1:8" ht="42.75" customHeight="1" x14ac:dyDescent="0.25">
      <c r="A54" s="983" t="s">
        <v>4225</v>
      </c>
      <c r="B54" s="984" t="s">
        <v>4773</v>
      </c>
      <c r="C54" s="985" t="s">
        <v>4226</v>
      </c>
      <c r="D54" s="988">
        <v>1</v>
      </c>
      <c r="E54" s="986">
        <v>4900</v>
      </c>
      <c r="F54" s="1010">
        <v>7800</v>
      </c>
      <c r="G54" s="993"/>
      <c r="H54" s="987">
        <f t="shared" si="0"/>
        <v>6350</v>
      </c>
    </row>
    <row r="55" spans="1:8" ht="33" x14ac:dyDescent="0.25">
      <c r="A55" s="983" t="s">
        <v>4227</v>
      </c>
      <c r="B55" s="984" t="s">
        <v>4774</v>
      </c>
      <c r="C55" s="985" t="s">
        <v>4228</v>
      </c>
      <c r="D55" s="988">
        <v>47</v>
      </c>
      <c r="E55" s="986">
        <v>921861</v>
      </c>
      <c r="F55" s="1010">
        <v>603175</v>
      </c>
      <c r="G55" s="993">
        <v>633333</v>
      </c>
      <c r="H55" s="987">
        <f t="shared" si="0"/>
        <v>719456.33333333337</v>
      </c>
    </row>
    <row r="56" spans="1:8" ht="33" x14ac:dyDescent="0.25">
      <c r="A56" s="983" t="s">
        <v>4520</v>
      </c>
      <c r="B56" s="984" t="s">
        <v>4775</v>
      </c>
      <c r="C56" s="985" t="s">
        <v>4776</v>
      </c>
      <c r="D56" s="988">
        <v>10</v>
      </c>
      <c r="E56" s="986">
        <v>177874</v>
      </c>
      <c r="F56" s="1010">
        <v>71429</v>
      </c>
      <c r="G56" s="993">
        <v>75000</v>
      </c>
      <c r="H56" s="987">
        <f t="shared" si="0"/>
        <v>108101</v>
      </c>
    </row>
    <row r="57" spans="1:8" ht="34.5" customHeight="1" x14ac:dyDescent="0.25">
      <c r="A57" s="983" t="s">
        <v>3989</v>
      </c>
      <c r="B57" s="984" t="s">
        <v>4777</v>
      </c>
      <c r="C57" s="985" t="s">
        <v>4229</v>
      </c>
      <c r="D57" s="988">
        <v>9</v>
      </c>
      <c r="E57" s="986">
        <v>4064444.9999999995</v>
      </c>
      <c r="F57" s="1010">
        <v>2539683</v>
      </c>
      <c r="G57" s="993">
        <v>2666667</v>
      </c>
      <c r="H57" s="987">
        <f t="shared" si="0"/>
        <v>3090265</v>
      </c>
    </row>
    <row r="58" spans="1:8" ht="33" x14ac:dyDescent="0.25">
      <c r="A58" s="983" t="s">
        <v>3990</v>
      </c>
      <c r="B58" s="984" t="s">
        <v>4778</v>
      </c>
      <c r="C58" s="985" t="s">
        <v>4230</v>
      </c>
      <c r="D58" s="988">
        <v>9</v>
      </c>
      <c r="E58" s="986">
        <v>1887000</v>
      </c>
      <c r="F58" s="1010">
        <v>2380952</v>
      </c>
      <c r="G58" s="993">
        <v>2500000</v>
      </c>
      <c r="H58" s="987">
        <f t="shared" si="0"/>
        <v>2255984</v>
      </c>
    </row>
    <row r="59" spans="1:8" ht="78" customHeight="1" x14ac:dyDescent="0.25">
      <c r="A59" s="983" t="s">
        <v>4231</v>
      </c>
      <c r="B59" s="984" t="s">
        <v>4779</v>
      </c>
      <c r="C59" s="985" t="s">
        <v>4232</v>
      </c>
      <c r="D59" s="988">
        <v>9</v>
      </c>
      <c r="E59" s="986">
        <v>3009000</v>
      </c>
      <c r="F59" s="1010">
        <v>2857143</v>
      </c>
      <c r="G59" s="993">
        <v>3000000</v>
      </c>
      <c r="H59" s="987">
        <f t="shared" si="0"/>
        <v>2955381</v>
      </c>
    </row>
    <row r="60" spans="1:8" ht="176.25" customHeight="1" x14ac:dyDescent="0.25">
      <c r="A60" s="983" t="s">
        <v>4780</v>
      </c>
      <c r="B60" s="984" t="s">
        <v>4781</v>
      </c>
      <c r="C60" s="990" t="s">
        <v>5006</v>
      </c>
      <c r="D60" s="988">
        <v>1</v>
      </c>
      <c r="E60" s="986">
        <v>3519000</v>
      </c>
      <c r="F60" s="1010">
        <v>3174603</v>
      </c>
      <c r="G60" s="993">
        <v>3333333</v>
      </c>
      <c r="H60" s="987">
        <f t="shared" si="0"/>
        <v>3342312</v>
      </c>
    </row>
    <row r="61" spans="1:8" ht="67.5" customHeight="1" x14ac:dyDescent="0.25">
      <c r="A61" s="983" t="s">
        <v>4782</v>
      </c>
      <c r="B61" s="984" t="s">
        <v>4783</v>
      </c>
      <c r="C61" s="985" t="s">
        <v>4784</v>
      </c>
      <c r="D61" s="988">
        <v>1</v>
      </c>
      <c r="E61" s="986">
        <v>40900</v>
      </c>
      <c r="F61" s="1010">
        <v>44900</v>
      </c>
      <c r="G61" s="993"/>
      <c r="H61" s="987">
        <f t="shared" si="0"/>
        <v>42900</v>
      </c>
    </row>
    <row r="62" spans="1:8" ht="30.75" customHeight="1" x14ac:dyDescent="0.25">
      <c r="A62" s="983" t="s">
        <v>3991</v>
      </c>
      <c r="B62" s="984" t="s">
        <v>4785</v>
      </c>
      <c r="C62" s="985" t="s">
        <v>4233</v>
      </c>
      <c r="D62" s="988">
        <v>6</v>
      </c>
      <c r="E62" s="986">
        <v>111434.99999999999</v>
      </c>
      <c r="F62" s="1010">
        <v>238095</v>
      </c>
      <c r="G62" s="993">
        <v>250000</v>
      </c>
      <c r="H62" s="987">
        <f t="shared" si="0"/>
        <v>199843.33333333334</v>
      </c>
    </row>
    <row r="63" spans="1:8" ht="226.5" customHeight="1" x14ac:dyDescent="0.25">
      <c r="A63" s="983" t="s">
        <v>4786</v>
      </c>
      <c r="B63" s="984" t="s">
        <v>4787</v>
      </c>
      <c r="C63" s="985" t="s">
        <v>4788</v>
      </c>
      <c r="D63" s="988">
        <v>1</v>
      </c>
      <c r="E63" s="986"/>
      <c r="F63" s="1010">
        <v>6349206</v>
      </c>
      <c r="G63" s="993">
        <v>6666667</v>
      </c>
      <c r="H63" s="987">
        <f t="shared" si="0"/>
        <v>6507936.5</v>
      </c>
    </row>
    <row r="64" spans="1:8" ht="32.25" customHeight="1" x14ac:dyDescent="0.25">
      <c r="A64" s="983" t="s">
        <v>3992</v>
      </c>
      <c r="B64" s="984" t="s">
        <v>4789</v>
      </c>
      <c r="C64" s="985" t="s">
        <v>4234</v>
      </c>
      <c r="D64" s="988">
        <v>1</v>
      </c>
      <c r="E64" s="986">
        <v>250512</v>
      </c>
      <c r="F64" s="1010">
        <v>110900</v>
      </c>
      <c r="G64" s="993">
        <v>98600</v>
      </c>
      <c r="H64" s="987">
        <f t="shared" si="0"/>
        <v>153337.33333333334</v>
      </c>
    </row>
    <row r="65" spans="1:8" ht="71.25" customHeight="1" x14ac:dyDescent="0.25">
      <c r="A65" s="983" t="s">
        <v>4790</v>
      </c>
      <c r="B65" s="984" t="s">
        <v>4791</v>
      </c>
      <c r="C65" s="985" t="s">
        <v>4792</v>
      </c>
      <c r="D65" s="988">
        <v>2</v>
      </c>
      <c r="E65" s="986">
        <v>16299600</v>
      </c>
      <c r="F65" s="1010">
        <v>7142857</v>
      </c>
      <c r="G65" s="993"/>
      <c r="H65" s="987">
        <f t="shared" si="0"/>
        <v>11721228.5</v>
      </c>
    </row>
    <row r="66" spans="1:8" ht="63" customHeight="1" x14ac:dyDescent="0.25">
      <c r="A66" s="983" t="s">
        <v>4793</v>
      </c>
      <c r="B66" s="984" t="s">
        <v>4794</v>
      </c>
      <c r="C66" s="985" t="s">
        <v>4795</v>
      </c>
      <c r="D66" s="988">
        <v>5</v>
      </c>
      <c r="E66" s="986">
        <v>281316</v>
      </c>
      <c r="F66" s="1010">
        <v>365079</v>
      </c>
      <c r="G66" s="993">
        <v>383333</v>
      </c>
      <c r="H66" s="987">
        <f t="shared" si="0"/>
        <v>343242.66666666669</v>
      </c>
    </row>
    <row r="67" spans="1:8" ht="82.5" x14ac:dyDescent="0.25">
      <c r="A67" s="983" t="s">
        <v>4526</v>
      </c>
      <c r="B67" s="984" t="s">
        <v>4796</v>
      </c>
      <c r="C67" s="985" t="s">
        <v>4527</v>
      </c>
      <c r="D67" s="988">
        <v>1</v>
      </c>
      <c r="E67" s="986">
        <v>29310338</v>
      </c>
      <c r="F67" s="1010">
        <v>6031746</v>
      </c>
      <c r="G67" s="993">
        <v>6333333</v>
      </c>
      <c r="H67" s="987">
        <f t="shared" si="0"/>
        <v>13891805.666666666</v>
      </c>
    </row>
    <row r="68" spans="1:8" s="1326" customFormat="1" ht="51" customHeight="1" x14ac:dyDescent="0.25"/>
    <row r="69" spans="1:8" x14ac:dyDescent="0.25">
      <c r="A69" s="1327"/>
      <c r="B69" s="1327"/>
      <c r="C69" s="1327"/>
      <c r="D69" s="1327"/>
      <c r="E69" s="977" t="s">
        <v>4173</v>
      </c>
      <c r="F69" s="978" t="s">
        <v>4174</v>
      </c>
      <c r="G69" s="977" t="s">
        <v>4175</v>
      </c>
      <c r="H69" s="977" t="s">
        <v>3983</v>
      </c>
    </row>
    <row r="70" spans="1:8" ht="49.5" x14ac:dyDescent="0.25">
      <c r="A70" s="977" t="s">
        <v>10</v>
      </c>
      <c r="B70" s="979" t="s">
        <v>3984</v>
      </c>
      <c r="C70" s="979" t="s">
        <v>3985</v>
      </c>
      <c r="D70" s="977" t="s">
        <v>2</v>
      </c>
      <c r="E70" s="1005" t="s">
        <v>3987</v>
      </c>
      <c r="F70" s="977" t="s">
        <v>3987</v>
      </c>
      <c r="G70" s="977" t="s">
        <v>3987</v>
      </c>
      <c r="H70" s="977" t="s">
        <v>3988</v>
      </c>
    </row>
    <row r="71" spans="1:8" x14ac:dyDescent="0.25">
      <c r="A71" s="995"/>
      <c r="B71" s="996"/>
      <c r="C71" s="997"/>
      <c r="D71" s="995"/>
      <c r="E71" s="1006" t="s">
        <v>4998</v>
      </c>
      <c r="F71" s="981" t="s">
        <v>5007</v>
      </c>
      <c r="G71" s="997"/>
      <c r="H71" s="997"/>
    </row>
    <row r="72" spans="1:8" ht="33" customHeight="1" x14ac:dyDescent="0.25">
      <c r="A72" s="983" t="s">
        <v>4962</v>
      </c>
      <c r="B72" s="985" t="s">
        <v>5008</v>
      </c>
      <c r="C72" s="985" t="s">
        <v>4955</v>
      </c>
      <c r="D72" s="983">
        <v>1</v>
      </c>
      <c r="E72" s="986">
        <v>6627449.9999999991</v>
      </c>
      <c r="F72" s="1007">
        <v>6497500</v>
      </c>
      <c r="G72" s="1008"/>
      <c r="H72" s="987">
        <f>+AVERAGE(E72,F72,G72)</f>
        <v>6562475</v>
      </c>
    </row>
    <row r="73" spans="1:8" ht="33" customHeight="1" x14ac:dyDescent="0.25">
      <c r="A73" s="983" t="s">
        <v>4963</v>
      </c>
      <c r="B73" s="985" t="s">
        <v>5008</v>
      </c>
      <c r="C73" s="985" t="s">
        <v>4956</v>
      </c>
      <c r="D73" s="988">
        <v>1</v>
      </c>
      <c r="E73" s="986">
        <v>2404650</v>
      </c>
      <c r="F73" s="1009">
        <v>2357500</v>
      </c>
      <c r="G73" s="990"/>
      <c r="H73" s="987">
        <f t="shared" ref="H73:H78" si="1">+AVERAGE(E73,F73,G73)</f>
        <v>2381075</v>
      </c>
    </row>
    <row r="74" spans="1:8" ht="33" customHeight="1" x14ac:dyDescent="0.25">
      <c r="A74" s="983" t="s">
        <v>4964</v>
      </c>
      <c r="B74" s="985" t="s">
        <v>5008</v>
      </c>
      <c r="C74" s="985" t="s">
        <v>4957</v>
      </c>
      <c r="D74" s="988">
        <v>1</v>
      </c>
      <c r="E74" s="986">
        <v>23811900</v>
      </c>
      <c r="F74" s="1007">
        <v>2334500</v>
      </c>
      <c r="G74" s="1008"/>
      <c r="H74" s="987">
        <f t="shared" si="1"/>
        <v>13073200</v>
      </c>
    </row>
    <row r="75" spans="1:8" ht="32.450000000000003" customHeight="1" x14ac:dyDescent="0.25">
      <c r="A75" s="983" t="s">
        <v>4965</v>
      </c>
      <c r="B75" s="985" t="s">
        <v>5008</v>
      </c>
      <c r="C75" s="985" t="s">
        <v>4958</v>
      </c>
      <c r="D75" s="988">
        <v>1</v>
      </c>
      <c r="E75" s="986">
        <v>5952975</v>
      </c>
      <c r="F75" s="1007">
        <v>5836250</v>
      </c>
      <c r="G75" s="1008"/>
      <c r="H75" s="987">
        <f t="shared" si="1"/>
        <v>5894612.5</v>
      </c>
    </row>
    <row r="76" spans="1:8" ht="33" customHeight="1" x14ac:dyDescent="0.25">
      <c r="A76" s="983" t="s">
        <v>4966</v>
      </c>
      <c r="B76" s="985" t="s">
        <v>5008</v>
      </c>
      <c r="C76" s="985" t="s">
        <v>4959</v>
      </c>
      <c r="D76" s="988">
        <v>1</v>
      </c>
      <c r="E76" s="986">
        <v>4985837</v>
      </c>
      <c r="F76" s="1007">
        <v>4888075</v>
      </c>
      <c r="G76" s="1008"/>
      <c r="H76" s="987">
        <f t="shared" si="1"/>
        <v>4936956</v>
      </c>
    </row>
    <row r="77" spans="1:8" ht="33" customHeight="1" x14ac:dyDescent="0.25">
      <c r="A77" s="983" t="s">
        <v>4967</v>
      </c>
      <c r="B77" s="985" t="s">
        <v>5008</v>
      </c>
      <c r="C77" s="985" t="s">
        <v>4960</v>
      </c>
      <c r="D77" s="989">
        <v>1</v>
      </c>
      <c r="E77" s="986">
        <v>5249175</v>
      </c>
      <c r="F77" s="1007">
        <v>5146250</v>
      </c>
      <c r="G77" s="1008"/>
      <c r="H77" s="987">
        <f t="shared" si="1"/>
        <v>5197712.5</v>
      </c>
    </row>
    <row r="78" spans="1:8" ht="33" customHeight="1" x14ac:dyDescent="0.25">
      <c r="A78" s="983" t="s">
        <v>4968</v>
      </c>
      <c r="B78" s="985" t="s">
        <v>5008</v>
      </c>
      <c r="C78" s="990" t="s">
        <v>4961</v>
      </c>
      <c r="D78" s="988">
        <v>1</v>
      </c>
      <c r="E78" s="986">
        <v>10703625</v>
      </c>
      <c r="F78" s="1009">
        <v>10493750</v>
      </c>
      <c r="G78" s="990"/>
      <c r="H78" s="987">
        <f t="shared" si="1"/>
        <v>10598687.5</v>
      </c>
    </row>
  </sheetData>
  <mergeCells count="9">
    <mergeCell ref="A68:XFD68"/>
    <mergeCell ref="A69:D69"/>
    <mergeCell ref="A1:H1"/>
    <mergeCell ref="A2:H2"/>
    <mergeCell ref="A3:H3"/>
    <mergeCell ref="A4:D4"/>
    <mergeCell ref="A6:D6"/>
    <mergeCell ref="A39:A40"/>
    <mergeCell ref="C39:C40"/>
  </mergeCells>
  <pageMargins left="0.7" right="0.7" top="0.71" bottom="0.4" header="0.3" footer="0.3"/>
  <pageSetup scale="47"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893"/>
  <sheetViews>
    <sheetView topLeftCell="A1642" zoomScale="84" zoomScaleNormal="84" workbookViewId="0">
      <selection activeCell="B1811" sqref="B1811"/>
    </sheetView>
  </sheetViews>
  <sheetFormatPr baseColWidth="10" defaultColWidth="10.7109375" defaultRowHeight="15" x14ac:dyDescent="0.25"/>
  <cols>
    <col min="2" max="2" width="255.5703125" bestFit="1" customWidth="1"/>
  </cols>
  <sheetData>
    <row r="1" spans="1:27" ht="54" customHeight="1" thickBot="1" x14ac:dyDescent="0.3">
      <c r="A1" s="1339" t="s">
        <v>4259</v>
      </c>
      <c r="B1" s="1340"/>
      <c r="C1" s="1340"/>
      <c r="D1" s="1340"/>
      <c r="E1" s="1340"/>
      <c r="F1" s="1340"/>
      <c r="G1" s="1340"/>
      <c r="H1" s="1340"/>
      <c r="I1" s="1340"/>
      <c r="J1" s="1340"/>
      <c r="K1" s="1340"/>
      <c r="L1" s="1340"/>
      <c r="M1" s="1340"/>
      <c r="N1" s="1341"/>
      <c r="O1" s="61"/>
      <c r="P1" s="61"/>
      <c r="Q1" s="61"/>
      <c r="R1" s="61"/>
      <c r="S1" s="61"/>
      <c r="T1" s="61"/>
      <c r="U1" s="61"/>
      <c r="V1" s="61"/>
      <c r="W1" s="61"/>
      <c r="X1" s="61"/>
      <c r="Y1" s="61"/>
      <c r="Z1" s="61"/>
      <c r="AA1" s="61"/>
    </row>
    <row r="2" spans="1:27" ht="36.75" customHeight="1" thickBot="1" x14ac:dyDescent="0.3">
      <c r="A2" s="1342" t="e">
        <f>INSUMOS!#REF!</f>
        <v>#REF!</v>
      </c>
      <c r="B2" s="1343"/>
      <c r="C2" s="1343"/>
      <c r="D2" s="1343"/>
      <c r="E2" s="1343"/>
      <c r="F2" s="1343"/>
      <c r="G2" s="1343"/>
      <c r="H2" s="1343"/>
      <c r="I2" s="1343"/>
      <c r="J2" s="1343"/>
      <c r="K2" s="1343"/>
      <c r="L2" s="1343"/>
      <c r="M2" s="1343"/>
      <c r="N2" s="1344"/>
      <c r="O2" s="61"/>
      <c r="P2" s="61"/>
      <c r="Q2" s="61"/>
      <c r="R2" s="61"/>
      <c r="S2" s="61"/>
      <c r="T2" s="61"/>
      <c r="U2" s="61"/>
      <c r="V2" s="61"/>
      <c r="W2" s="61"/>
      <c r="X2" s="61"/>
      <c r="Y2" s="61"/>
      <c r="Z2" s="61"/>
      <c r="AA2" s="61"/>
    </row>
    <row r="3" spans="1:27" ht="15.75" thickBot="1" x14ac:dyDescent="0.3">
      <c r="A3" s="62"/>
      <c r="B3" s="63"/>
      <c r="C3" s="64"/>
      <c r="D3" s="277"/>
      <c r="E3" s="278"/>
      <c r="F3" s="278"/>
      <c r="G3" s="279"/>
      <c r="H3" s="1336" t="s">
        <v>206</v>
      </c>
      <c r="I3" s="1337"/>
      <c r="J3" s="1337"/>
      <c r="K3" s="1338"/>
      <c r="L3" s="280"/>
      <c r="M3" s="279"/>
      <c r="N3" s="281"/>
      <c r="O3" s="61"/>
      <c r="P3" s="61"/>
      <c r="Q3" s="61"/>
      <c r="R3" s="61"/>
      <c r="S3" s="61"/>
      <c r="T3" s="61"/>
      <c r="U3" s="61"/>
      <c r="V3" s="61"/>
      <c r="W3" s="61"/>
      <c r="X3" s="61"/>
      <c r="Y3" s="61"/>
      <c r="Z3" s="61"/>
      <c r="AA3" s="61"/>
    </row>
    <row r="4" spans="1:27" ht="36.75" thickBot="1" x14ac:dyDescent="0.3">
      <c r="A4" s="65" t="s">
        <v>207</v>
      </c>
      <c r="B4" s="66" t="s">
        <v>208</v>
      </c>
      <c r="C4" s="67" t="s">
        <v>8</v>
      </c>
      <c r="D4" s="68" t="s">
        <v>209</v>
      </c>
      <c r="E4" s="69" t="s">
        <v>210</v>
      </c>
      <c r="F4" s="69" t="s">
        <v>211</v>
      </c>
      <c r="G4" s="70" t="s">
        <v>212</v>
      </c>
      <c r="H4" s="71" t="s">
        <v>213</v>
      </c>
      <c r="I4" s="71" t="s">
        <v>214</v>
      </c>
      <c r="J4" s="71" t="s">
        <v>215</v>
      </c>
      <c r="K4" s="71" t="s">
        <v>216</v>
      </c>
      <c r="L4" s="72" t="s">
        <v>217</v>
      </c>
      <c r="M4" s="70" t="s">
        <v>218</v>
      </c>
      <c r="N4" s="73" t="s">
        <v>219</v>
      </c>
      <c r="O4" s="53"/>
      <c r="P4" s="53"/>
      <c r="Q4" s="53" t="s">
        <v>220</v>
      </c>
      <c r="R4" s="53"/>
      <c r="S4" s="53"/>
      <c r="T4" s="74">
        <v>6.7699999999999996E-2</v>
      </c>
      <c r="U4" s="74">
        <v>5.7500000000000002E-2</v>
      </c>
      <c r="V4" s="74">
        <v>4.0899999999999999E-2</v>
      </c>
      <c r="W4" s="74">
        <v>3.1800000000000002E-2</v>
      </c>
      <c r="X4" s="74">
        <v>3.7999999999999999E-2</v>
      </c>
      <c r="Y4" s="75">
        <v>1.61E-2</v>
      </c>
      <c r="Z4" s="75">
        <v>5.62E-2</v>
      </c>
      <c r="AA4" s="75">
        <v>0.13120000000000001</v>
      </c>
    </row>
    <row r="5" spans="1:27" x14ac:dyDescent="0.25">
      <c r="A5" s="76" t="s">
        <v>221</v>
      </c>
      <c r="B5" s="77" t="s">
        <v>222</v>
      </c>
      <c r="C5" s="78"/>
      <c r="D5" s="79"/>
      <c r="E5" s="80"/>
      <c r="F5" s="80"/>
      <c r="G5" s="81"/>
      <c r="H5" s="81"/>
      <c r="I5" s="81"/>
      <c r="J5" s="81"/>
      <c r="K5" s="81"/>
      <c r="L5" s="82"/>
      <c r="M5" s="83"/>
      <c r="N5" s="84"/>
      <c r="O5" s="85"/>
      <c r="P5" s="85"/>
      <c r="Q5" s="85">
        <v>0</v>
      </c>
      <c r="R5" s="8" t="s">
        <v>223</v>
      </c>
      <c r="S5" s="85">
        <v>2015</v>
      </c>
      <c r="T5" s="85">
        <v>2016</v>
      </c>
      <c r="U5" s="85">
        <v>2017</v>
      </c>
      <c r="V5" s="85">
        <v>2018</v>
      </c>
      <c r="W5" s="85">
        <v>2019</v>
      </c>
      <c r="X5" s="85">
        <v>2020</v>
      </c>
      <c r="Y5" s="85">
        <v>2021</v>
      </c>
      <c r="Z5" s="85">
        <v>2022</v>
      </c>
      <c r="AA5" s="85">
        <v>2023</v>
      </c>
    </row>
    <row r="6" spans="1:27" x14ac:dyDescent="0.25">
      <c r="A6" s="86" t="s">
        <v>224</v>
      </c>
      <c r="B6" s="87" t="s">
        <v>225</v>
      </c>
      <c r="C6" s="88" t="s">
        <v>226</v>
      </c>
      <c r="D6" s="89" t="s">
        <v>227</v>
      </c>
      <c r="E6" s="90">
        <f>+ROUND(F6*(1+G6),0)</f>
        <v>3959</v>
      </c>
      <c r="F6" s="90">
        <f>R6</f>
        <v>3326.47309043838</v>
      </c>
      <c r="G6" s="91">
        <v>0.19</v>
      </c>
      <c r="H6" s="91" t="s">
        <v>228</v>
      </c>
      <c r="I6" s="91" t="s">
        <v>228</v>
      </c>
      <c r="J6" s="91" t="s">
        <v>228</v>
      </c>
      <c r="K6" s="91" t="s">
        <v>228</v>
      </c>
      <c r="L6" s="92" t="s">
        <v>229</v>
      </c>
      <c r="M6" s="91" t="str">
        <f>+IF(L6="no aplica","no aplica","VER ARCHIVO ANEXO")</f>
        <v>VER ARCHIVO ANEXO</v>
      </c>
      <c r="N6" s="93">
        <v>41608</v>
      </c>
      <c r="O6" s="94">
        <v>2443</v>
      </c>
      <c r="P6" s="94" t="s">
        <v>230</v>
      </c>
      <c r="Q6" s="94">
        <v>1</v>
      </c>
      <c r="R6" s="95">
        <f>+AA6</f>
        <v>3326.47309043838</v>
      </c>
      <c r="S6" s="94">
        <v>2176.86</v>
      </c>
      <c r="T6" s="96">
        <f>+S6*1.0677</f>
        <v>2324.2334220000002</v>
      </c>
      <c r="U6" s="94">
        <f>+T6*(1+$U$4)</f>
        <v>2457.8768437650006</v>
      </c>
      <c r="V6" s="94">
        <f>+U6*(1+$V$4)</f>
        <v>2558.404006674989</v>
      </c>
      <c r="W6" s="97">
        <f>+V6*(1+$W$4)</f>
        <v>2639.7612540872537</v>
      </c>
      <c r="X6" s="97">
        <f>+W6*(1+$X$4)</f>
        <v>2740.0721817425697</v>
      </c>
      <c r="Y6" s="97">
        <f>+X6*(1+$Y$4)</f>
        <v>2784.1873438686252</v>
      </c>
      <c r="Z6" s="97">
        <f>+Y6*(1+$Z$4)</f>
        <v>2940.6586725940419</v>
      </c>
      <c r="AA6" s="97">
        <f>+Z6*(1+$AA$4)</f>
        <v>3326.47309043838</v>
      </c>
    </row>
    <row r="7" spans="1:27" x14ac:dyDescent="0.25">
      <c r="A7" s="86" t="s">
        <v>231</v>
      </c>
      <c r="B7" s="87" t="s">
        <v>232</v>
      </c>
      <c r="C7" s="88" t="s">
        <v>226</v>
      </c>
      <c r="D7" s="89" t="s">
        <v>227</v>
      </c>
      <c r="E7" s="90">
        <f>+ROUND(F7*(1+G7),0)</f>
        <v>5735</v>
      </c>
      <c r="F7" s="90">
        <f>R7</f>
        <v>4819.2536796387203</v>
      </c>
      <c r="G7" s="91">
        <v>0.19</v>
      </c>
      <c r="H7" s="91" t="s">
        <v>228</v>
      </c>
      <c r="I7" s="91" t="s">
        <v>228</v>
      </c>
      <c r="J7" s="91" t="s">
        <v>228</v>
      </c>
      <c r="K7" s="91" t="s">
        <v>228</v>
      </c>
      <c r="L7" s="92" t="s">
        <v>229</v>
      </c>
      <c r="M7" s="91" t="str">
        <f t="shared" ref="M7:M35" si="0">+IF(L7="no aplica","no aplica","VER ARCHIVO ANEXO")</f>
        <v>VER ARCHIVO ANEXO</v>
      </c>
      <c r="N7" s="93">
        <v>41608</v>
      </c>
      <c r="O7" s="94"/>
      <c r="P7" s="94"/>
      <c r="Q7" s="94">
        <v>2</v>
      </c>
      <c r="R7" s="95">
        <f t="shared" ref="R7:R70" si="1">+AA7</f>
        <v>4819.2536796387203</v>
      </c>
      <c r="S7" s="94">
        <v>2176.86</v>
      </c>
      <c r="T7" s="94">
        <f t="shared" ref="T7:T70" si="2">+S7*1.0677</f>
        <v>2324.2334220000002</v>
      </c>
      <c r="U7" s="94">
        <f t="shared" ref="U7:U70" si="3">+T7*(1+$U$4)</f>
        <v>2457.8768437650006</v>
      </c>
      <c r="V7" s="94">
        <f t="shared" ref="V7:V70" si="4">+U7*(1+$V$4)</f>
        <v>2558.404006674989</v>
      </c>
      <c r="W7" s="97">
        <f t="shared" ref="W7:W70" si="5">+V7*(1+$W$4)</f>
        <v>2639.7612540872537</v>
      </c>
      <c r="X7" s="97">
        <f t="shared" ref="X7:X70" si="6">+W7*(1+$X$4)</f>
        <v>2740.0721817425697</v>
      </c>
      <c r="Y7" s="97">
        <v>4033.6129999999998</v>
      </c>
      <c r="Z7" s="97">
        <f t="shared" ref="Z7:Z70" si="7">+Y7*(1+$Z$4)</f>
        <v>4260.3020506000003</v>
      </c>
      <c r="AA7" s="97">
        <f t="shared" ref="AA7:AA70" si="8">+Z7*(1+$AA$4)</f>
        <v>4819.2536796387203</v>
      </c>
    </row>
    <row r="8" spans="1:27" x14ac:dyDescent="0.25">
      <c r="A8" s="86" t="s">
        <v>233</v>
      </c>
      <c r="B8" s="98" t="s">
        <v>234</v>
      </c>
      <c r="C8" s="99" t="s">
        <v>226</v>
      </c>
      <c r="D8" s="100" t="s">
        <v>227</v>
      </c>
      <c r="E8" s="101">
        <f>+ROUND(F8*(1+G8),0)</f>
        <v>5167</v>
      </c>
      <c r="F8" s="90">
        <f t="shared" ref="F8:F71" si="9">R8</f>
        <v>4341.8394004245711</v>
      </c>
      <c r="G8" s="91">
        <v>0.19</v>
      </c>
      <c r="H8" s="91" t="s">
        <v>228</v>
      </c>
      <c r="I8" s="91" t="s">
        <v>228</v>
      </c>
      <c r="J8" s="91" t="s">
        <v>228</v>
      </c>
      <c r="K8" s="91" t="s">
        <v>228</v>
      </c>
      <c r="L8" s="92" t="s">
        <v>229</v>
      </c>
      <c r="M8" s="91" t="str">
        <f t="shared" si="0"/>
        <v>VER ARCHIVO ANEXO</v>
      </c>
      <c r="N8" s="93">
        <v>41608</v>
      </c>
      <c r="O8" s="94">
        <v>3214</v>
      </c>
      <c r="P8" s="94" t="s">
        <v>230</v>
      </c>
      <c r="Q8" s="94">
        <v>3</v>
      </c>
      <c r="R8" s="95">
        <f t="shared" si="1"/>
        <v>4341.8394004245711</v>
      </c>
      <c r="S8" s="94">
        <v>2841.3206</v>
      </c>
      <c r="T8" s="94">
        <f t="shared" si="2"/>
        <v>3033.6780046200001</v>
      </c>
      <c r="U8" s="94">
        <f t="shared" si="3"/>
        <v>3208.1144898856505</v>
      </c>
      <c r="V8" s="94">
        <f t="shared" si="4"/>
        <v>3339.3263725219736</v>
      </c>
      <c r="W8" s="97">
        <f t="shared" si="5"/>
        <v>3445.5169511681725</v>
      </c>
      <c r="X8" s="97">
        <f t="shared" si="6"/>
        <v>3576.4465953125632</v>
      </c>
      <c r="Y8" s="97">
        <f t="shared" ref="Y8:Y71" si="10">+X8*(1+$Y$4)</f>
        <v>3634.0273854970956</v>
      </c>
      <c r="Z8" s="97">
        <f t="shared" si="7"/>
        <v>3838.2597245620323</v>
      </c>
      <c r="AA8" s="97">
        <f t="shared" si="8"/>
        <v>4341.8394004245711</v>
      </c>
    </row>
    <row r="9" spans="1:27" x14ac:dyDescent="0.25">
      <c r="A9" s="102" t="s">
        <v>235</v>
      </c>
      <c r="B9" s="87" t="s">
        <v>236</v>
      </c>
      <c r="C9" s="88" t="s">
        <v>226</v>
      </c>
      <c r="D9" s="89" t="s">
        <v>227</v>
      </c>
      <c r="E9" s="90">
        <f t="shared" ref="E9:E72" si="11">+ROUND(F9*(1+G9),0)</f>
        <v>3808</v>
      </c>
      <c r="F9" s="90">
        <f t="shared" si="9"/>
        <v>3199.7503060407275</v>
      </c>
      <c r="G9" s="91">
        <v>0.19</v>
      </c>
      <c r="H9" s="91" t="s">
        <v>228</v>
      </c>
      <c r="I9" s="91" t="s">
        <v>228</v>
      </c>
      <c r="J9" s="91" t="s">
        <v>228</v>
      </c>
      <c r="K9" s="91" t="s">
        <v>228</v>
      </c>
      <c r="L9" s="92" t="s">
        <v>229</v>
      </c>
      <c r="M9" s="91" t="str">
        <f t="shared" si="0"/>
        <v>VER ARCHIVO ANEXO</v>
      </c>
      <c r="N9" s="93">
        <v>41608</v>
      </c>
      <c r="O9" s="94"/>
      <c r="P9" s="94"/>
      <c r="Q9" s="94">
        <v>4</v>
      </c>
      <c r="R9" s="95">
        <f t="shared" si="1"/>
        <v>3199.7503060407275</v>
      </c>
      <c r="S9" s="94">
        <v>2093.9319999999998</v>
      </c>
      <c r="T9" s="94">
        <f t="shared" si="2"/>
        <v>2235.6911964000001</v>
      </c>
      <c r="U9" s="94">
        <f t="shared" si="3"/>
        <v>2364.2434401930004</v>
      </c>
      <c r="V9" s="94">
        <f t="shared" si="4"/>
        <v>2460.9409968968939</v>
      </c>
      <c r="W9" s="97">
        <f t="shared" si="5"/>
        <v>2539.1989205982154</v>
      </c>
      <c r="X9" s="97">
        <f t="shared" si="6"/>
        <v>2635.6884795809478</v>
      </c>
      <c r="Y9" s="97">
        <f t="shared" si="10"/>
        <v>2678.1230641022012</v>
      </c>
      <c r="Z9" s="97">
        <f t="shared" si="7"/>
        <v>2828.633580304745</v>
      </c>
      <c r="AA9" s="97">
        <f t="shared" si="8"/>
        <v>3199.7503060407275</v>
      </c>
    </row>
    <row r="10" spans="1:27" x14ac:dyDescent="0.25">
      <c r="A10" s="102" t="s">
        <v>237</v>
      </c>
      <c r="B10" s="87" t="s">
        <v>238</v>
      </c>
      <c r="C10" s="88" t="s">
        <v>226</v>
      </c>
      <c r="D10" s="89" t="s">
        <v>227</v>
      </c>
      <c r="E10" s="90">
        <f t="shared" si="11"/>
        <v>3770</v>
      </c>
      <c r="F10" s="90">
        <f t="shared" si="9"/>
        <v>3168.0696099413135</v>
      </c>
      <c r="G10" s="91">
        <v>0.19</v>
      </c>
      <c r="H10" s="91" t="s">
        <v>228</v>
      </c>
      <c r="I10" s="91" t="s">
        <v>228</v>
      </c>
      <c r="J10" s="91" t="s">
        <v>228</v>
      </c>
      <c r="K10" s="91" t="s">
        <v>228</v>
      </c>
      <c r="L10" s="92" t="s">
        <v>229</v>
      </c>
      <c r="M10" s="91" t="str">
        <f t="shared" si="0"/>
        <v>VER ARCHIVO ANEXO</v>
      </c>
      <c r="N10" s="93">
        <v>41608</v>
      </c>
      <c r="O10" s="94"/>
      <c r="P10" s="94"/>
      <c r="Q10" s="94">
        <v>5</v>
      </c>
      <c r="R10" s="95">
        <f t="shared" si="1"/>
        <v>3168.0696099413135</v>
      </c>
      <c r="S10" s="94">
        <v>2073.1999999999998</v>
      </c>
      <c r="T10" s="94">
        <f t="shared" si="2"/>
        <v>2213.55564</v>
      </c>
      <c r="U10" s="94">
        <f t="shared" si="3"/>
        <v>2340.8350893000002</v>
      </c>
      <c r="V10" s="94">
        <f t="shared" si="4"/>
        <v>2436.57524445237</v>
      </c>
      <c r="W10" s="97">
        <f t="shared" si="5"/>
        <v>2514.0583372259557</v>
      </c>
      <c r="X10" s="97">
        <f t="shared" si="6"/>
        <v>2609.5925540405419</v>
      </c>
      <c r="Y10" s="97">
        <f t="shared" si="10"/>
        <v>2651.6069941605947</v>
      </c>
      <c r="Z10" s="97">
        <f t="shared" si="7"/>
        <v>2800.6273072324202</v>
      </c>
      <c r="AA10" s="97">
        <f>+Z10*(1+$AA$4)</f>
        <v>3168.0696099413135</v>
      </c>
    </row>
    <row r="11" spans="1:27" x14ac:dyDescent="0.25">
      <c r="A11" s="102" t="s">
        <v>239</v>
      </c>
      <c r="B11" s="87" t="s">
        <v>240</v>
      </c>
      <c r="C11" s="88" t="s">
        <v>226</v>
      </c>
      <c r="D11" s="89" t="s">
        <v>227</v>
      </c>
      <c r="E11" s="90">
        <f t="shared" si="11"/>
        <v>3770</v>
      </c>
      <c r="F11" s="90">
        <f t="shared" si="9"/>
        <v>3168.0696099413135</v>
      </c>
      <c r="G11" s="91">
        <v>0.19</v>
      </c>
      <c r="H11" s="91" t="s">
        <v>228</v>
      </c>
      <c r="I11" s="91" t="s">
        <v>228</v>
      </c>
      <c r="J11" s="91" t="s">
        <v>228</v>
      </c>
      <c r="K11" s="91" t="s">
        <v>228</v>
      </c>
      <c r="L11" s="92" t="s">
        <v>229</v>
      </c>
      <c r="M11" s="91" t="str">
        <f t="shared" si="0"/>
        <v>VER ARCHIVO ANEXO</v>
      </c>
      <c r="N11" s="93">
        <v>41608</v>
      </c>
      <c r="O11" s="94"/>
      <c r="P11" s="94"/>
      <c r="Q11" s="94">
        <v>6</v>
      </c>
      <c r="R11" s="95">
        <f t="shared" si="1"/>
        <v>3168.0696099413135</v>
      </c>
      <c r="S11" s="94">
        <v>2073.1999999999998</v>
      </c>
      <c r="T11" s="94">
        <f t="shared" si="2"/>
        <v>2213.55564</v>
      </c>
      <c r="U11" s="94">
        <f t="shared" si="3"/>
        <v>2340.8350893000002</v>
      </c>
      <c r="V11" s="94">
        <f t="shared" si="4"/>
        <v>2436.57524445237</v>
      </c>
      <c r="W11" s="97">
        <f t="shared" si="5"/>
        <v>2514.0583372259557</v>
      </c>
      <c r="X11" s="97">
        <f t="shared" si="6"/>
        <v>2609.5925540405419</v>
      </c>
      <c r="Y11" s="97">
        <f t="shared" si="10"/>
        <v>2651.6069941605947</v>
      </c>
      <c r="Z11" s="97">
        <f t="shared" si="7"/>
        <v>2800.6273072324202</v>
      </c>
      <c r="AA11" s="97">
        <f t="shared" si="8"/>
        <v>3168.0696099413135</v>
      </c>
    </row>
    <row r="12" spans="1:27" x14ac:dyDescent="0.25">
      <c r="A12" s="102" t="s">
        <v>241</v>
      </c>
      <c r="B12" s="87" t="s">
        <v>242</v>
      </c>
      <c r="C12" s="88" t="s">
        <v>226</v>
      </c>
      <c r="D12" s="89" t="s">
        <v>227</v>
      </c>
      <c r="E12" s="90">
        <f t="shared" si="11"/>
        <v>3770</v>
      </c>
      <c r="F12" s="90">
        <f t="shared" si="9"/>
        <v>3168.0696099413135</v>
      </c>
      <c r="G12" s="91">
        <v>0.19</v>
      </c>
      <c r="H12" s="91" t="s">
        <v>228</v>
      </c>
      <c r="I12" s="91" t="s">
        <v>228</v>
      </c>
      <c r="J12" s="91" t="s">
        <v>228</v>
      </c>
      <c r="K12" s="91" t="s">
        <v>228</v>
      </c>
      <c r="L12" s="92" t="s">
        <v>229</v>
      </c>
      <c r="M12" s="91" t="str">
        <f t="shared" si="0"/>
        <v>VER ARCHIVO ANEXO</v>
      </c>
      <c r="N12" s="93">
        <v>41608</v>
      </c>
      <c r="O12" s="94"/>
      <c r="P12" s="94"/>
      <c r="Q12" s="94">
        <v>7</v>
      </c>
      <c r="R12" s="95">
        <f t="shared" si="1"/>
        <v>3168.0696099413135</v>
      </c>
      <c r="S12" s="94">
        <v>2073.1999999999998</v>
      </c>
      <c r="T12" s="94">
        <f t="shared" si="2"/>
        <v>2213.55564</v>
      </c>
      <c r="U12" s="94">
        <f t="shared" si="3"/>
        <v>2340.8350893000002</v>
      </c>
      <c r="V12" s="94">
        <f t="shared" si="4"/>
        <v>2436.57524445237</v>
      </c>
      <c r="W12" s="97">
        <f t="shared" si="5"/>
        <v>2514.0583372259557</v>
      </c>
      <c r="X12" s="97">
        <f t="shared" si="6"/>
        <v>2609.5925540405419</v>
      </c>
      <c r="Y12" s="97">
        <f t="shared" si="10"/>
        <v>2651.6069941605947</v>
      </c>
      <c r="Z12" s="97">
        <f t="shared" si="7"/>
        <v>2800.6273072324202</v>
      </c>
      <c r="AA12" s="97">
        <f t="shared" si="8"/>
        <v>3168.0696099413135</v>
      </c>
    </row>
    <row r="13" spans="1:27" x14ac:dyDescent="0.25">
      <c r="A13" s="102" t="s">
        <v>243</v>
      </c>
      <c r="B13" s="87" t="s">
        <v>244</v>
      </c>
      <c r="C13" s="88" t="s">
        <v>226</v>
      </c>
      <c r="D13" s="89" t="s">
        <v>227</v>
      </c>
      <c r="E13" s="90">
        <f t="shared" si="11"/>
        <v>3770</v>
      </c>
      <c r="F13" s="90">
        <f t="shared" si="9"/>
        <v>3168.0696099413135</v>
      </c>
      <c r="G13" s="91">
        <v>0.19</v>
      </c>
      <c r="H13" s="91" t="s">
        <v>228</v>
      </c>
      <c r="I13" s="91" t="s">
        <v>228</v>
      </c>
      <c r="J13" s="91" t="s">
        <v>228</v>
      </c>
      <c r="K13" s="91" t="s">
        <v>228</v>
      </c>
      <c r="L13" s="92" t="s">
        <v>229</v>
      </c>
      <c r="M13" s="91" t="str">
        <f t="shared" si="0"/>
        <v>VER ARCHIVO ANEXO</v>
      </c>
      <c r="N13" s="93">
        <v>41608</v>
      </c>
      <c r="O13" s="94"/>
      <c r="P13" s="94"/>
      <c r="Q13" s="94">
        <v>8</v>
      </c>
      <c r="R13" s="95">
        <f t="shared" si="1"/>
        <v>3168.0696099413135</v>
      </c>
      <c r="S13" s="94">
        <v>2073.1999999999998</v>
      </c>
      <c r="T13" s="94">
        <f t="shared" si="2"/>
        <v>2213.55564</v>
      </c>
      <c r="U13" s="94">
        <f t="shared" si="3"/>
        <v>2340.8350893000002</v>
      </c>
      <c r="V13" s="94">
        <f t="shared" si="4"/>
        <v>2436.57524445237</v>
      </c>
      <c r="W13" s="97">
        <f t="shared" si="5"/>
        <v>2514.0583372259557</v>
      </c>
      <c r="X13" s="97">
        <f t="shared" si="6"/>
        <v>2609.5925540405419</v>
      </c>
      <c r="Y13" s="97">
        <f t="shared" si="10"/>
        <v>2651.6069941605947</v>
      </c>
      <c r="Z13" s="97">
        <f t="shared" si="7"/>
        <v>2800.6273072324202</v>
      </c>
      <c r="AA13" s="97">
        <f t="shared" si="8"/>
        <v>3168.0696099413135</v>
      </c>
    </row>
    <row r="14" spans="1:27" x14ac:dyDescent="0.25">
      <c r="A14" s="102" t="s">
        <v>245</v>
      </c>
      <c r="B14" s="87" t="s">
        <v>246</v>
      </c>
      <c r="C14" s="88" t="s">
        <v>226</v>
      </c>
      <c r="D14" s="89" t="s">
        <v>227</v>
      </c>
      <c r="E14" s="90">
        <f t="shared" si="11"/>
        <v>3770</v>
      </c>
      <c r="F14" s="90">
        <f t="shared" si="9"/>
        <v>3168.0696099413135</v>
      </c>
      <c r="G14" s="91">
        <v>0.19</v>
      </c>
      <c r="H14" s="91" t="s">
        <v>228</v>
      </c>
      <c r="I14" s="91" t="s">
        <v>228</v>
      </c>
      <c r="J14" s="91" t="s">
        <v>228</v>
      </c>
      <c r="K14" s="91" t="s">
        <v>228</v>
      </c>
      <c r="L14" s="92" t="s">
        <v>229</v>
      </c>
      <c r="M14" s="91" t="str">
        <f t="shared" si="0"/>
        <v>VER ARCHIVO ANEXO</v>
      </c>
      <c r="N14" s="93">
        <v>41608</v>
      </c>
      <c r="O14" s="94"/>
      <c r="P14" s="94"/>
      <c r="Q14" s="94">
        <v>9</v>
      </c>
      <c r="R14" s="95">
        <f t="shared" si="1"/>
        <v>3168.0696099413135</v>
      </c>
      <c r="S14" s="94">
        <v>2073.1999999999998</v>
      </c>
      <c r="T14" s="94">
        <f t="shared" si="2"/>
        <v>2213.55564</v>
      </c>
      <c r="U14" s="94">
        <f t="shared" si="3"/>
        <v>2340.8350893000002</v>
      </c>
      <c r="V14" s="94">
        <f t="shared" si="4"/>
        <v>2436.57524445237</v>
      </c>
      <c r="W14" s="97">
        <f t="shared" si="5"/>
        <v>2514.0583372259557</v>
      </c>
      <c r="X14" s="97">
        <f t="shared" si="6"/>
        <v>2609.5925540405419</v>
      </c>
      <c r="Y14" s="97">
        <f t="shared" si="10"/>
        <v>2651.6069941605947</v>
      </c>
      <c r="Z14" s="97">
        <f t="shared" si="7"/>
        <v>2800.6273072324202</v>
      </c>
      <c r="AA14" s="97">
        <f t="shared" si="8"/>
        <v>3168.0696099413135</v>
      </c>
    </row>
    <row r="15" spans="1:27" x14ac:dyDescent="0.25">
      <c r="A15" s="86" t="s">
        <v>247</v>
      </c>
      <c r="B15" s="87" t="s">
        <v>248</v>
      </c>
      <c r="C15" s="88" t="s">
        <v>226</v>
      </c>
      <c r="D15" s="89" t="s">
        <v>227</v>
      </c>
      <c r="E15" s="90">
        <f t="shared" si="11"/>
        <v>3770</v>
      </c>
      <c r="F15" s="90">
        <f t="shared" si="9"/>
        <v>3168.0696099413135</v>
      </c>
      <c r="G15" s="91">
        <v>0.19</v>
      </c>
      <c r="H15" s="91" t="s">
        <v>228</v>
      </c>
      <c r="I15" s="91" t="s">
        <v>228</v>
      </c>
      <c r="J15" s="91" t="s">
        <v>228</v>
      </c>
      <c r="K15" s="91" t="s">
        <v>228</v>
      </c>
      <c r="L15" s="92" t="s">
        <v>229</v>
      </c>
      <c r="M15" s="91" t="str">
        <f t="shared" si="0"/>
        <v>VER ARCHIVO ANEXO</v>
      </c>
      <c r="N15" s="93">
        <v>41608</v>
      </c>
      <c r="O15" s="94">
        <f>ROUND(119366/(2.35*6)*1.16,0)</f>
        <v>9820</v>
      </c>
      <c r="P15" s="94" t="s">
        <v>230</v>
      </c>
      <c r="Q15" s="94">
        <v>10</v>
      </c>
      <c r="R15" s="95">
        <f t="shared" si="1"/>
        <v>3168.0696099413135</v>
      </c>
      <c r="S15" s="94">
        <v>2073.1999999999998</v>
      </c>
      <c r="T15" s="94">
        <f t="shared" si="2"/>
        <v>2213.55564</v>
      </c>
      <c r="U15" s="94">
        <f t="shared" si="3"/>
        <v>2340.8350893000002</v>
      </c>
      <c r="V15" s="94">
        <f t="shared" si="4"/>
        <v>2436.57524445237</v>
      </c>
      <c r="W15" s="97">
        <f t="shared" si="5"/>
        <v>2514.0583372259557</v>
      </c>
      <c r="X15" s="97">
        <f t="shared" si="6"/>
        <v>2609.5925540405419</v>
      </c>
      <c r="Y15" s="97">
        <f t="shared" si="10"/>
        <v>2651.6069941605947</v>
      </c>
      <c r="Z15" s="97">
        <f t="shared" si="7"/>
        <v>2800.6273072324202</v>
      </c>
      <c r="AA15" s="97">
        <f t="shared" si="8"/>
        <v>3168.0696099413135</v>
      </c>
    </row>
    <row r="16" spans="1:27" x14ac:dyDescent="0.25">
      <c r="A16" s="102" t="s">
        <v>249</v>
      </c>
      <c r="B16" s="87" t="s">
        <v>250</v>
      </c>
      <c r="C16" s="88" t="s">
        <v>226</v>
      </c>
      <c r="D16" s="89" t="s">
        <v>227</v>
      </c>
      <c r="E16" s="90">
        <f t="shared" si="11"/>
        <v>3770</v>
      </c>
      <c r="F16" s="90">
        <f t="shared" si="9"/>
        <v>3168.0696099413135</v>
      </c>
      <c r="G16" s="91">
        <v>0.19</v>
      </c>
      <c r="H16" s="91" t="s">
        <v>228</v>
      </c>
      <c r="I16" s="91" t="s">
        <v>228</v>
      </c>
      <c r="J16" s="91" t="s">
        <v>228</v>
      </c>
      <c r="K16" s="91" t="s">
        <v>228</v>
      </c>
      <c r="L16" s="92" t="s">
        <v>229</v>
      </c>
      <c r="M16" s="91" t="str">
        <f t="shared" si="0"/>
        <v>VER ARCHIVO ANEXO</v>
      </c>
      <c r="N16" s="93">
        <v>41608</v>
      </c>
      <c r="O16" s="94"/>
      <c r="P16" s="94"/>
      <c r="Q16" s="94">
        <v>11</v>
      </c>
      <c r="R16" s="95">
        <f t="shared" si="1"/>
        <v>3168.0696099413135</v>
      </c>
      <c r="S16" s="94">
        <v>2073.1999999999998</v>
      </c>
      <c r="T16" s="94">
        <f t="shared" si="2"/>
        <v>2213.55564</v>
      </c>
      <c r="U16" s="94">
        <f t="shared" si="3"/>
        <v>2340.8350893000002</v>
      </c>
      <c r="V16" s="94">
        <f t="shared" si="4"/>
        <v>2436.57524445237</v>
      </c>
      <c r="W16" s="97">
        <f t="shared" si="5"/>
        <v>2514.0583372259557</v>
      </c>
      <c r="X16" s="97">
        <f t="shared" si="6"/>
        <v>2609.5925540405419</v>
      </c>
      <c r="Y16" s="97">
        <f t="shared" si="10"/>
        <v>2651.6069941605947</v>
      </c>
      <c r="Z16" s="97">
        <f t="shared" si="7"/>
        <v>2800.6273072324202</v>
      </c>
      <c r="AA16" s="97">
        <f t="shared" si="8"/>
        <v>3168.0696099413135</v>
      </c>
    </row>
    <row r="17" spans="1:27" x14ac:dyDescent="0.25">
      <c r="A17" s="102" t="s">
        <v>251</v>
      </c>
      <c r="B17" s="63" t="s">
        <v>252</v>
      </c>
      <c r="C17" s="88" t="s">
        <v>226</v>
      </c>
      <c r="D17" s="89" t="s">
        <v>227</v>
      </c>
      <c r="E17" s="90">
        <f t="shared" si="11"/>
        <v>3770</v>
      </c>
      <c r="F17" s="90">
        <f t="shared" si="9"/>
        <v>3168.0696099413135</v>
      </c>
      <c r="G17" s="91">
        <v>0.19</v>
      </c>
      <c r="H17" s="91" t="s">
        <v>228</v>
      </c>
      <c r="I17" s="91" t="s">
        <v>228</v>
      </c>
      <c r="J17" s="91" t="s">
        <v>228</v>
      </c>
      <c r="K17" s="91" t="s">
        <v>228</v>
      </c>
      <c r="L17" s="92" t="s">
        <v>229</v>
      </c>
      <c r="M17" s="91" t="str">
        <f t="shared" si="0"/>
        <v>VER ARCHIVO ANEXO</v>
      </c>
      <c r="N17" s="93">
        <v>41608</v>
      </c>
      <c r="O17" s="94"/>
      <c r="P17" s="94"/>
      <c r="Q17" s="94">
        <v>12</v>
      </c>
      <c r="R17" s="95">
        <f t="shared" si="1"/>
        <v>3168.0696099413135</v>
      </c>
      <c r="S17" s="94">
        <v>2073.1999999999998</v>
      </c>
      <c r="T17" s="94">
        <f t="shared" si="2"/>
        <v>2213.55564</v>
      </c>
      <c r="U17" s="94">
        <f t="shared" si="3"/>
        <v>2340.8350893000002</v>
      </c>
      <c r="V17" s="94">
        <f t="shared" si="4"/>
        <v>2436.57524445237</v>
      </c>
      <c r="W17" s="97">
        <f t="shared" si="5"/>
        <v>2514.0583372259557</v>
      </c>
      <c r="X17" s="97">
        <f t="shared" si="6"/>
        <v>2609.5925540405419</v>
      </c>
      <c r="Y17" s="97">
        <f t="shared" si="10"/>
        <v>2651.6069941605947</v>
      </c>
      <c r="Z17" s="97">
        <f t="shared" si="7"/>
        <v>2800.6273072324202</v>
      </c>
      <c r="AA17" s="97">
        <f t="shared" si="8"/>
        <v>3168.0696099413135</v>
      </c>
    </row>
    <row r="18" spans="1:27" x14ac:dyDescent="0.25">
      <c r="A18" s="86" t="s">
        <v>253</v>
      </c>
      <c r="B18" s="87" t="s">
        <v>254</v>
      </c>
      <c r="C18" s="88" t="s">
        <v>226</v>
      </c>
      <c r="D18" s="89" t="s">
        <v>255</v>
      </c>
      <c r="E18" s="90">
        <f t="shared" si="11"/>
        <v>5849</v>
      </c>
      <c r="F18" s="90">
        <f t="shared" si="9"/>
        <v>4915.2599998239493</v>
      </c>
      <c r="G18" s="91">
        <v>0.19</v>
      </c>
      <c r="H18" s="91" t="s">
        <v>228</v>
      </c>
      <c r="I18" s="91" t="s">
        <v>228</v>
      </c>
      <c r="J18" s="91" t="s">
        <v>228</v>
      </c>
      <c r="K18" s="91" t="s">
        <v>228</v>
      </c>
      <c r="L18" s="92" t="s">
        <v>229</v>
      </c>
      <c r="M18" s="91" t="str">
        <f t="shared" si="0"/>
        <v>VER ARCHIVO ANEXO</v>
      </c>
      <c r="N18" s="93">
        <v>41608</v>
      </c>
      <c r="O18" s="94"/>
      <c r="P18" s="94"/>
      <c r="Q18" s="94">
        <v>13</v>
      </c>
      <c r="R18" s="95">
        <f t="shared" si="1"/>
        <v>4915.2599998239493</v>
      </c>
      <c r="S18" s="94">
        <v>3216.5697999999998</v>
      </c>
      <c r="T18" s="94">
        <f t="shared" si="2"/>
        <v>3434.3315754599998</v>
      </c>
      <c r="U18" s="94">
        <f t="shared" si="3"/>
        <v>3631.8056410489503</v>
      </c>
      <c r="V18" s="94">
        <f t="shared" si="4"/>
        <v>3780.3464917678521</v>
      </c>
      <c r="W18" s="97">
        <f t="shared" si="5"/>
        <v>3900.5615102060701</v>
      </c>
      <c r="X18" s="97">
        <f t="shared" si="6"/>
        <v>4048.7828475939009</v>
      </c>
      <c r="Y18" s="97">
        <f t="shared" si="10"/>
        <v>4113.9682514401629</v>
      </c>
      <c r="Z18" s="97">
        <f t="shared" si="7"/>
        <v>4345.1732671711006</v>
      </c>
      <c r="AA18" s="97">
        <f t="shared" si="8"/>
        <v>4915.2599998239493</v>
      </c>
    </row>
    <row r="19" spans="1:27" x14ac:dyDescent="0.25">
      <c r="A19" s="86" t="s">
        <v>256</v>
      </c>
      <c r="B19" s="87" t="s">
        <v>257</v>
      </c>
      <c r="C19" s="88" t="s">
        <v>226</v>
      </c>
      <c r="D19" s="89" t="s">
        <v>255</v>
      </c>
      <c r="E19" s="90">
        <f t="shared" si="11"/>
        <v>4713</v>
      </c>
      <c r="F19" s="90">
        <f t="shared" si="9"/>
        <v>3960.0870124266421</v>
      </c>
      <c r="G19" s="91">
        <v>0.19</v>
      </c>
      <c r="H19" s="91" t="s">
        <v>228</v>
      </c>
      <c r="I19" s="91" t="s">
        <v>228</v>
      </c>
      <c r="J19" s="91" t="s">
        <v>228</v>
      </c>
      <c r="K19" s="91" t="s">
        <v>228</v>
      </c>
      <c r="L19" s="92" t="s">
        <v>229</v>
      </c>
      <c r="M19" s="91" t="str">
        <f t="shared" si="0"/>
        <v>VER ARCHIVO ANEXO</v>
      </c>
      <c r="N19" s="93">
        <v>41608</v>
      </c>
      <c r="O19" s="94"/>
      <c r="P19" s="94"/>
      <c r="Q19" s="94">
        <v>14</v>
      </c>
      <c r="R19" s="95">
        <f t="shared" si="1"/>
        <v>3960.0870124266421</v>
      </c>
      <c r="S19" s="94">
        <v>2591.5</v>
      </c>
      <c r="T19" s="94">
        <f t="shared" si="2"/>
        <v>2766.9445500000002</v>
      </c>
      <c r="U19" s="94">
        <f t="shared" si="3"/>
        <v>2926.0438616250003</v>
      </c>
      <c r="V19" s="94">
        <f t="shared" si="4"/>
        <v>3045.7190555654624</v>
      </c>
      <c r="W19" s="97">
        <f t="shared" si="5"/>
        <v>3142.5729215324445</v>
      </c>
      <c r="X19" s="97">
        <f t="shared" si="6"/>
        <v>3261.9906925506775</v>
      </c>
      <c r="Y19" s="97">
        <f t="shared" si="10"/>
        <v>3314.5087427007434</v>
      </c>
      <c r="Z19" s="97">
        <f t="shared" si="7"/>
        <v>3500.7841340405253</v>
      </c>
      <c r="AA19" s="97">
        <f t="shared" si="8"/>
        <v>3960.0870124266421</v>
      </c>
    </row>
    <row r="20" spans="1:27" x14ac:dyDescent="0.25">
      <c r="A20" s="86" t="s">
        <v>258</v>
      </c>
      <c r="B20" s="98" t="s">
        <v>259</v>
      </c>
      <c r="C20" s="99" t="s">
        <v>226</v>
      </c>
      <c r="D20" s="100" t="s">
        <v>255</v>
      </c>
      <c r="E20" s="101">
        <f t="shared" si="11"/>
        <v>5467</v>
      </c>
      <c r="F20" s="90">
        <f t="shared" si="9"/>
        <v>4593.7009344149046</v>
      </c>
      <c r="G20" s="91">
        <v>0.19</v>
      </c>
      <c r="H20" s="91" t="s">
        <v>228</v>
      </c>
      <c r="I20" s="91" t="s">
        <v>228</v>
      </c>
      <c r="J20" s="91" t="s">
        <v>228</v>
      </c>
      <c r="K20" s="91" t="s">
        <v>228</v>
      </c>
      <c r="L20" s="92" t="s">
        <v>229</v>
      </c>
      <c r="M20" s="91" t="str">
        <f t="shared" si="0"/>
        <v>VER ARCHIVO ANEXO</v>
      </c>
      <c r="N20" s="93">
        <v>41608</v>
      </c>
      <c r="O20" s="94"/>
      <c r="P20" s="94"/>
      <c r="Q20" s="94">
        <v>15</v>
      </c>
      <c r="R20" s="95">
        <f t="shared" si="1"/>
        <v>4593.7009344149046</v>
      </c>
      <c r="S20" s="94">
        <v>3006.14</v>
      </c>
      <c r="T20" s="94">
        <f t="shared" si="2"/>
        <v>3209.6556780000001</v>
      </c>
      <c r="U20" s="94">
        <f t="shared" si="3"/>
        <v>3394.2108794850005</v>
      </c>
      <c r="V20" s="94">
        <f t="shared" si="4"/>
        <v>3533.0341044559368</v>
      </c>
      <c r="W20" s="97">
        <f t="shared" si="5"/>
        <v>3645.3845889776358</v>
      </c>
      <c r="X20" s="97">
        <f t="shared" si="6"/>
        <v>3783.9092033587858</v>
      </c>
      <c r="Y20" s="97">
        <f t="shared" si="10"/>
        <v>3844.8301415328624</v>
      </c>
      <c r="Z20" s="97">
        <f t="shared" si="7"/>
        <v>4060.9095954870095</v>
      </c>
      <c r="AA20" s="97">
        <f t="shared" si="8"/>
        <v>4593.7009344149046</v>
      </c>
    </row>
    <row r="21" spans="1:27" x14ac:dyDescent="0.25">
      <c r="A21" s="102" t="s">
        <v>260</v>
      </c>
      <c r="B21" s="87" t="s">
        <v>261</v>
      </c>
      <c r="C21" s="88" t="s">
        <v>226</v>
      </c>
      <c r="D21" s="89" t="s">
        <v>262</v>
      </c>
      <c r="E21" s="90">
        <f t="shared" si="11"/>
        <v>647</v>
      </c>
      <c r="F21" s="90">
        <f t="shared" si="9"/>
        <v>543.32393810493522</v>
      </c>
      <c r="G21" s="91">
        <v>0.19</v>
      </c>
      <c r="H21" s="91" t="s">
        <v>228</v>
      </c>
      <c r="I21" s="91" t="s">
        <v>228</v>
      </c>
      <c r="J21" s="91" t="s">
        <v>228</v>
      </c>
      <c r="K21" s="91" t="s">
        <v>228</v>
      </c>
      <c r="L21" s="92" t="s">
        <v>229</v>
      </c>
      <c r="M21" s="91" t="str">
        <f t="shared" si="0"/>
        <v>VER ARCHIVO ANEXO</v>
      </c>
      <c r="N21" s="93">
        <v>41608</v>
      </c>
      <c r="O21" s="94"/>
      <c r="P21" s="94"/>
      <c r="Q21" s="94">
        <v>16</v>
      </c>
      <c r="R21" s="95">
        <f t="shared" si="1"/>
        <v>543.32393810493522</v>
      </c>
      <c r="S21" s="94">
        <v>355.55379999999997</v>
      </c>
      <c r="T21" s="94">
        <f t="shared" si="2"/>
        <v>379.62479225999999</v>
      </c>
      <c r="U21" s="94">
        <f t="shared" si="3"/>
        <v>401.45321781495005</v>
      </c>
      <c r="V21" s="94">
        <f t="shared" si="4"/>
        <v>417.87265442358148</v>
      </c>
      <c r="W21" s="97">
        <f t="shared" si="5"/>
        <v>431.1610048342514</v>
      </c>
      <c r="X21" s="97">
        <f t="shared" si="6"/>
        <v>447.54512301795296</v>
      </c>
      <c r="Y21" s="97">
        <f t="shared" si="10"/>
        <v>454.75059949854199</v>
      </c>
      <c r="Z21" s="97">
        <f t="shared" si="7"/>
        <v>480.30758319036005</v>
      </c>
      <c r="AA21" s="97">
        <f t="shared" si="8"/>
        <v>543.32393810493522</v>
      </c>
    </row>
    <row r="22" spans="1:27" x14ac:dyDescent="0.25">
      <c r="A22" s="102" t="s">
        <v>263</v>
      </c>
      <c r="B22" s="87" t="s">
        <v>264</v>
      </c>
      <c r="C22" s="88" t="s">
        <v>226</v>
      </c>
      <c r="D22" s="89" t="s">
        <v>262</v>
      </c>
      <c r="E22" s="90">
        <f t="shared" si="11"/>
        <v>3325</v>
      </c>
      <c r="F22" s="90">
        <f t="shared" si="9"/>
        <v>2794.2373959682386</v>
      </c>
      <c r="G22" s="91">
        <v>0.19</v>
      </c>
      <c r="H22" s="91" t="s">
        <v>228</v>
      </c>
      <c r="I22" s="91" t="s">
        <v>228</v>
      </c>
      <c r="J22" s="91" t="s">
        <v>228</v>
      </c>
      <c r="K22" s="91" t="s">
        <v>228</v>
      </c>
      <c r="L22" s="92" t="s">
        <v>229</v>
      </c>
      <c r="M22" s="91" t="str">
        <f t="shared" si="0"/>
        <v>VER ARCHIVO ANEXO</v>
      </c>
      <c r="N22" s="93">
        <v>41608</v>
      </c>
      <c r="O22" s="94">
        <v>2436</v>
      </c>
      <c r="P22" s="94"/>
      <c r="Q22" s="94">
        <v>17</v>
      </c>
      <c r="R22" s="95">
        <f t="shared" si="1"/>
        <v>2794.2373959682386</v>
      </c>
      <c r="S22" s="94">
        <v>1828.5624</v>
      </c>
      <c r="T22" s="94">
        <f t="shared" si="2"/>
        <v>1952.3560744800002</v>
      </c>
      <c r="U22" s="94">
        <f t="shared" si="3"/>
        <v>2064.6165487626004</v>
      </c>
      <c r="V22" s="94">
        <f t="shared" si="4"/>
        <v>2149.0593656069905</v>
      </c>
      <c r="W22" s="97">
        <f t="shared" si="5"/>
        <v>2217.3994534332928</v>
      </c>
      <c r="X22" s="97">
        <f t="shared" si="6"/>
        <v>2301.660632663758</v>
      </c>
      <c r="Y22" s="97">
        <f t="shared" si="10"/>
        <v>2338.7173688496446</v>
      </c>
      <c r="Z22" s="97">
        <f t="shared" si="7"/>
        <v>2470.1532849789946</v>
      </c>
      <c r="AA22" s="97">
        <f t="shared" si="8"/>
        <v>2794.2373959682386</v>
      </c>
    </row>
    <row r="23" spans="1:27" x14ac:dyDescent="0.25">
      <c r="A23" s="102" t="s">
        <v>265</v>
      </c>
      <c r="B23" s="87" t="s">
        <v>266</v>
      </c>
      <c r="C23" s="88" t="s">
        <v>226</v>
      </c>
      <c r="D23" s="89" t="s">
        <v>262</v>
      </c>
      <c r="E23" s="90">
        <f t="shared" si="11"/>
        <v>3325</v>
      </c>
      <c r="F23" s="90">
        <f t="shared" si="9"/>
        <v>2794.2373959682386</v>
      </c>
      <c r="G23" s="91">
        <v>0.19</v>
      </c>
      <c r="H23" s="91" t="s">
        <v>228</v>
      </c>
      <c r="I23" s="91" t="s">
        <v>228</v>
      </c>
      <c r="J23" s="91" t="s">
        <v>228</v>
      </c>
      <c r="K23" s="91" t="s">
        <v>228</v>
      </c>
      <c r="L23" s="92" t="s">
        <v>229</v>
      </c>
      <c r="M23" s="91" t="str">
        <f t="shared" si="0"/>
        <v>VER ARCHIVO ANEXO</v>
      </c>
      <c r="N23" s="93">
        <v>41608</v>
      </c>
      <c r="O23" s="94">
        <v>1600</v>
      </c>
      <c r="P23" s="94"/>
      <c r="Q23" s="94">
        <v>18</v>
      </c>
      <c r="R23" s="95">
        <f t="shared" si="1"/>
        <v>2794.2373959682386</v>
      </c>
      <c r="S23" s="94">
        <v>1828.5624</v>
      </c>
      <c r="T23" s="94">
        <f t="shared" si="2"/>
        <v>1952.3560744800002</v>
      </c>
      <c r="U23" s="94">
        <f t="shared" si="3"/>
        <v>2064.6165487626004</v>
      </c>
      <c r="V23" s="94">
        <f t="shared" si="4"/>
        <v>2149.0593656069905</v>
      </c>
      <c r="W23" s="97">
        <f t="shared" si="5"/>
        <v>2217.3994534332928</v>
      </c>
      <c r="X23" s="97">
        <f t="shared" si="6"/>
        <v>2301.660632663758</v>
      </c>
      <c r="Y23" s="97">
        <f t="shared" si="10"/>
        <v>2338.7173688496446</v>
      </c>
      <c r="Z23" s="97">
        <f t="shared" si="7"/>
        <v>2470.1532849789946</v>
      </c>
      <c r="AA23" s="97">
        <f t="shared" si="8"/>
        <v>2794.2373959682386</v>
      </c>
    </row>
    <row r="24" spans="1:27" x14ac:dyDescent="0.25">
      <c r="A24" s="102" t="s">
        <v>267</v>
      </c>
      <c r="B24" s="87" t="s">
        <v>268</v>
      </c>
      <c r="C24" s="88" t="s">
        <v>226</v>
      </c>
      <c r="D24" s="89" t="s">
        <v>262</v>
      </c>
      <c r="E24" s="90">
        <f t="shared" si="11"/>
        <v>3325</v>
      </c>
      <c r="F24" s="90">
        <f t="shared" si="9"/>
        <v>2794.2373959682386</v>
      </c>
      <c r="G24" s="91">
        <v>0.19</v>
      </c>
      <c r="H24" s="91" t="s">
        <v>228</v>
      </c>
      <c r="I24" s="91" t="s">
        <v>228</v>
      </c>
      <c r="J24" s="91" t="s">
        <v>228</v>
      </c>
      <c r="K24" s="91" t="s">
        <v>228</v>
      </c>
      <c r="L24" s="92" t="s">
        <v>229</v>
      </c>
      <c r="M24" s="91" t="str">
        <f t="shared" si="0"/>
        <v>VER ARCHIVO ANEXO</v>
      </c>
      <c r="N24" s="93">
        <v>41608</v>
      </c>
      <c r="O24" s="94"/>
      <c r="P24" s="94"/>
      <c r="Q24" s="94">
        <v>19</v>
      </c>
      <c r="R24" s="95">
        <f t="shared" si="1"/>
        <v>2794.2373959682386</v>
      </c>
      <c r="S24" s="94">
        <v>1828.5624</v>
      </c>
      <c r="T24" s="94">
        <f t="shared" si="2"/>
        <v>1952.3560744800002</v>
      </c>
      <c r="U24" s="94">
        <f t="shared" si="3"/>
        <v>2064.6165487626004</v>
      </c>
      <c r="V24" s="94">
        <f t="shared" si="4"/>
        <v>2149.0593656069905</v>
      </c>
      <c r="W24" s="97">
        <f t="shared" si="5"/>
        <v>2217.3994534332928</v>
      </c>
      <c r="X24" s="97">
        <f t="shared" si="6"/>
        <v>2301.660632663758</v>
      </c>
      <c r="Y24" s="97">
        <f t="shared" si="10"/>
        <v>2338.7173688496446</v>
      </c>
      <c r="Z24" s="97">
        <f t="shared" si="7"/>
        <v>2470.1532849789946</v>
      </c>
      <c r="AA24" s="97">
        <f t="shared" si="8"/>
        <v>2794.2373959682386</v>
      </c>
    </row>
    <row r="25" spans="1:27" x14ac:dyDescent="0.25">
      <c r="A25" s="102" t="s">
        <v>269</v>
      </c>
      <c r="B25" s="87" t="s">
        <v>270</v>
      </c>
      <c r="C25" s="88" t="s">
        <v>226</v>
      </c>
      <c r="D25" s="89" t="s">
        <v>262</v>
      </c>
      <c r="E25" s="90">
        <f t="shared" si="11"/>
        <v>3325</v>
      </c>
      <c r="F25" s="90">
        <f t="shared" si="9"/>
        <v>2794.2373959682386</v>
      </c>
      <c r="G25" s="91">
        <v>0.19</v>
      </c>
      <c r="H25" s="91" t="s">
        <v>228</v>
      </c>
      <c r="I25" s="91" t="s">
        <v>228</v>
      </c>
      <c r="J25" s="91" t="s">
        <v>228</v>
      </c>
      <c r="K25" s="91" t="s">
        <v>228</v>
      </c>
      <c r="L25" s="92" t="s">
        <v>229</v>
      </c>
      <c r="M25" s="91" t="str">
        <f t="shared" si="0"/>
        <v>VER ARCHIVO ANEXO</v>
      </c>
      <c r="N25" s="93">
        <v>41608</v>
      </c>
      <c r="O25" s="94">
        <v>2501</v>
      </c>
      <c r="P25" s="94"/>
      <c r="Q25" s="94">
        <v>20</v>
      </c>
      <c r="R25" s="95">
        <f t="shared" si="1"/>
        <v>2794.2373959682386</v>
      </c>
      <c r="S25" s="94">
        <v>1828.5624</v>
      </c>
      <c r="T25" s="94">
        <f t="shared" si="2"/>
        <v>1952.3560744800002</v>
      </c>
      <c r="U25" s="94">
        <f t="shared" si="3"/>
        <v>2064.6165487626004</v>
      </c>
      <c r="V25" s="94">
        <f t="shared" si="4"/>
        <v>2149.0593656069905</v>
      </c>
      <c r="W25" s="97">
        <f t="shared" si="5"/>
        <v>2217.3994534332928</v>
      </c>
      <c r="X25" s="97">
        <f t="shared" si="6"/>
        <v>2301.660632663758</v>
      </c>
      <c r="Y25" s="97">
        <f t="shared" si="10"/>
        <v>2338.7173688496446</v>
      </c>
      <c r="Z25" s="97">
        <f t="shared" si="7"/>
        <v>2470.1532849789946</v>
      </c>
      <c r="AA25" s="97">
        <f t="shared" si="8"/>
        <v>2794.2373959682386</v>
      </c>
    </row>
    <row r="26" spans="1:27" x14ac:dyDescent="0.25">
      <c r="A26" s="102" t="s">
        <v>271</v>
      </c>
      <c r="B26" s="87" t="s">
        <v>272</v>
      </c>
      <c r="C26" s="88" t="s">
        <v>226</v>
      </c>
      <c r="D26" s="89" t="s">
        <v>262</v>
      </c>
      <c r="E26" s="90">
        <f t="shared" si="11"/>
        <v>3412</v>
      </c>
      <c r="F26" s="90">
        <f t="shared" si="9"/>
        <v>2867.1029969968886</v>
      </c>
      <c r="G26" s="91">
        <v>0.19</v>
      </c>
      <c r="H26" s="91" t="s">
        <v>228</v>
      </c>
      <c r="I26" s="91" t="s">
        <v>228</v>
      </c>
      <c r="J26" s="91" t="s">
        <v>228</v>
      </c>
      <c r="K26" s="91" t="s">
        <v>228</v>
      </c>
      <c r="L26" s="92" t="s">
        <v>229</v>
      </c>
      <c r="M26" s="91" t="str">
        <f t="shared" si="0"/>
        <v>VER ARCHIVO ANEXO</v>
      </c>
      <c r="N26" s="93">
        <v>41608</v>
      </c>
      <c r="O26" s="94"/>
      <c r="P26" s="94"/>
      <c r="Q26" s="94">
        <v>21</v>
      </c>
      <c r="R26" s="95">
        <f t="shared" si="1"/>
        <v>2867.1029969968886</v>
      </c>
      <c r="S26" s="94">
        <v>1876.2459999999999</v>
      </c>
      <c r="T26" s="94">
        <f t="shared" si="2"/>
        <v>2003.2678542000001</v>
      </c>
      <c r="U26" s="94">
        <f t="shared" si="3"/>
        <v>2118.4557558165002</v>
      </c>
      <c r="V26" s="94">
        <f t="shared" si="4"/>
        <v>2205.1005962293948</v>
      </c>
      <c r="W26" s="97">
        <f t="shared" si="5"/>
        <v>2275.2227951894897</v>
      </c>
      <c r="X26" s="97">
        <f t="shared" si="6"/>
        <v>2361.6812614066903</v>
      </c>
      <c r="Y26" s="97">
        <f t="shared" si="10"/>
        <v>2399.7043297153382</v>
      </c>
      <c r="Z26" s="97">
        <f t="shared" si="7"/>
        <v>2534.56771304534</v>
      </c>
      <c r="AA26" s="97">
        <f t="shared" si="8"/>
        <v>2867.1029969968886</v>
      </c>
    </row>
    <row r="27" spans="1:27" x14ac:dyDescent="0.25">
      <c r="A27" s="86" t="s">
        <v>273</v>
      </c>
      <c r="B27" s="87" t="s">
        <v>274</v>
      </c>
      <c r="C27" s="88" t="s">
        <v>226</v>
      </c>
      <c r="D27" s="89" t="s">
        <v>262</v>
      </c>
      <c r="E27" s="90">
        <f t="shared" si="11"/>
        <v>3325</v>
      </c>
      <c r="F27" s="90">
        <f t="shared" si="9"/>
        <v>2794.2373959682386</v>
      </c>
      <c r="G27" s="91">
        <v>0.19</v>
      </c>
      <c r="H27" s="91" t="s">
        <v>228</v>
      </c>
      <c r="I27" s="91" t="s">
        <v>228</v>
      </c>
      <c r="J27" s="91" t="s">
        <v>228</v>
      </c>
      <c r="K27" s="91" t="s">
        <v>228</v>
      </c>
      <c r="L27" s="92" t="s">
        <v>229</v>
      </c>
      <c r="M27" s="91" t="str">
        <f t="shared" si="0"/>
        <v>VER ARCHIVO ANEXO</v>
      </c>
      <c r="N27" s="93">
        <v>41608</v>
      </c>
      <c r="O27" s="94"/>
      <c r="P27" s="94"/>
      <c r="Q27" s="94">
        <v>22</v>
      </c>
      <c r="R27" s="95">
        <f t="shared" si="1"/>
        <v>2794.2373959682386</v>
      </c>
      <c r="S27" s="94">
        <v>1828.5624</v>
      </c>
      <c r="T27" s="94">
        <f t="shared" si="2"/>
        <v>1952.3560744800002</v>
      </c>
      <c r="U27" s="94">
        <f t="shared" si="3"/>
        <v>2064.6165487626004</v>
      </c>
      <c r="V27" s="94">
        <f t="shared" si="4"/>
        <v>2149.0593656069905</v>
      </c>
      <c r="W27" s="97">
        <f t="shared" si="5"/>
        <v>2217.3994534332928</v>
      </c>
      <c r="X27" s="97">
        <f t="shared" si="6"/>
        <v>2301.660632663758</v>
      </c>
      <c r="Y27" s="97">
        <f t="shared" si="10"/>
        <v>2338.7173688496446</v>
      </c>
      <c r="Z27" s="97">
        <f t="shared" si="7"/>
        <v>2470.1532849789946</v>
      </c>
      <c r="AA27" s="97">
        <f t="shared" si="8"/>
        <v>2794.2373959682386</v>
      </c>
    </row>
    <row r="28" spans="1:27" x14ac:dyDescent="0.25">
      <c r="A28" s="86" t="s">
        <v>275</v>
      </c>
      <c r="B28" s="87" t="s">
        <v>276</v>
      </c>
      <c r="C28" s="88" t="s">
        <v>226</v>
      </c>
      <c r="D28" s="89" t="s">
        <v>262</v>
      </c>
      <c r="E28" s="90">
        <f t="shared" si="11"/>
        <v>188500</v>
      </c>
      <c r="F28" s="90">
        <f t="shared" si="9"/>
        <v>158403.48049706573</v>
      </c>
      <c r="G28" s="91">
        <v>0.19</v>
      </c>
      <c r="H28" s="91" t="s">
        <v>228</v>
      </c>
      <c r="I28" s="91" t="s">
        <v>228</v>
      </c>
      <c r="J28" s="91" t="s">
        <v>228</v>
      </c>
      <c r="K28" s="91" t="s">
        <v>228</v>
      </c>
      <c r="L28" s="92" t="s">
        <v>229</v>
      </c>
      <c r="M28" s="91" t="str">
        <f t="shared" si="0"/>
        <v>VER ARCHIVO ANEXO</v>
      </c>
      <c r="N28" s="93">
        <v>41608</v>
      </c>
      <c r="O28" s="94"/>
      <c r="P28" s="94"/>
      <c r="Q28" s="94">
        <v>23</v>
      </c>
      <c r="R28" s="95">
        <f t="shared" si="1"/>
        <v>158403.48049706573</v>
      </c>
      <c r="S28" s="94">
        <v>103660</v>
      </c>
      <c r="T28" s="94">
        <f t="shared" si="2"/>
        <v>110677.78200000001</v>
      </c>
      <c r="U28" s="94">
        <f t="shared" si="3"/>
        <v>117041.75446500002</v>
      </c>
      <c r="V28" s="94">
        <f t="shared" si="4"/>
        <v>121828.76222261852</v>
      </c>
      <c r="W28" s="97">
        <f t="shared" si="5"/>
        <v>125702.9168612978</v>
      </c>
      <c r="X28" s="97">
        <f t="shared" si="6"/>
        <v>130479.62770202712</v>
      </c>
      <c r="Y28" s="97">
        <f t="shared" si="10"/>
        <v>132580.34970802977</v>
      </c>
      <c r="Z28" s="97">
        <f t="shared" si="7"/>
        <v>140031.36536162105</v>
      </c>
      <c r="AA28" s="97">
        <f t="shared" si="8"/>
        <v>158403.48049706573</v>
      </c>
    </row>
    <row r="29" spans="1:27" x14ac:dyDescent="0.25">
      <c r="A29" s="86" t="s">
        <v>277</v>
      </c>
      <c r="B29" s="98" t="s">
        <v>278</v>
      </c>
      <c r="C29" s="99" t="s">
        <v>226</v>
      </c>
      <c r="D29" s="100" t="s">
        <v>262</v>
      </c>
      <c r="E29" s="101">
        <f t="shared" si="11"/>
        <v>938375</v>
      </c>
      <c r="F29" s="101">
        <f>+R29</f>
        <v>788550.47039999999</v>
      </c>
      <c r="G29" s="103">
        <v>0.19</v>
      </c>
      <c r="H29" s="91" t="s">
        <v>228</v>
      </c>
      <c r="I29" s="91" t="s">
        <v>228</v>
      </c>
      <c r="J29" s="91" t="s">
        <v>228</v>
      </c>
      <c r="K29" s="91" t="s">
        <v>228</v>
      </c>
      <c r="L29" s="92" t="s">
        <v>279</v>
      </c>
      <c r="M29" s="91" t="str">
        <f t="shared" si="0"/>
        <v>VER ARCHIVO ANEXO</v>
      </c>
      <c r="N29" s="93">
        <v>41608</v>
      </c>
      <c r="O29" s="94"/>
      <c r="P29" s="94"/>
      <c r="Q29" s="94">
        <v>24</v>
      </c>
      <c r="R29" s="95">
        <f t="shared" si="1"/>
        <v>788550.47039999999</v>
      </c>
      <c r="S29" s="94">
        <v>404274</v>
      </c>
      <c r="T29" s="94">
        <f t="shared" si="2"/>
        <v>431643.34980000003</v>
      </c>
      <c r="U29" s="94">
        <f t="shared" si="3"/>
        <v>456462.84241350007</v>
      </c>
      <c r="V29" s="101">
        <v>539000</v>
      </c>
      <c r="W29" s="97">
        <f t="shared" si="5"/>
        <v>556140.20000000007</v>
      </c>
      <c r="X29" s="97">
        <f t="shared" si="6"/>
        <v>577273.52760000015</v>
      </c>
      <c r="Y29" s="97">
        <v>660000</v>
      </c>
      <c r="Z29" s="97">
        <f t="shared" si="7"/>
        <v>697092</v>
      </c>
      <c r="AA29" s="97">
        <f t="shared" si="8"/>
        <v>788550.47039999999</v>
      </c>
    </row>
    <row r="30" spans="1:27" x14ac:dyDescent="0.25">
      <c r="A30" s="86" t="s">
        <v>280</v>
      </c>
      <c r="B30" s="87" t="s">
        <v>281</v>
      </c>
      <c r="C30" s="88" t="s">
        <v>226</v>
      </c>
      <c r="D30" s="89" t="s">
        <v>262</v>
      </c>
      <c r="E30" s="90">
        <f t="shared" si="11"/>
        <v>565500</v>
      </c>
      <c r="F30" s="90">
        <f t="shared" si="9"/>
        <v>475210.4414911971</v>
      </c>
      <c r="G30" s="91">
        <v>0.19</v>
      </c>
      <c r="H30" s="91" t="s">
        <v>228</v>
      </c>
      <c r="I30" s="91" t="s">
        <v>228</v>
      </c>
      <c r="J30" s="91" t="s">
        <v>228</v>
      </c>
      <c r="K30" s="91" t="s">
        <v>228</v>
      </c>
      <c r="L30" s="92" t="s">
        <v>279</v>
      </c>
      <c r="M30" s="91" t="str">
        <f t="shared" si="0"/>
        <v>VER ARCHIVO ANEXO</v>
      </c>
      <c r="N30" s="93">
        <v>41608</v>
      </c>
      <c r="O30" s="94"/>
      <c r="P30" s="94"/>
      <c r="Q30" s="94">
        <v>25</v>
      </c>
      <c r="R30" s="95">
        <f t="shared" si="1"/>
        <v>475210.4414911971</v>
      </c>
      <c r="S30" s="94">
        <v>310980</v>
      </c>
      <c r="T30" s="94">
        <f t="shared" si="2"/>
        <v>332033.34600000002</v>
      </c>
      <c r="U30" s="94">
        <f t="shared" si="3"/>
        <v>351125.26339500007</v>
      </c>
      <c r="V30" s="94">
        <f t="shared" si="4"/>
        <v>365486.28666785557</v>
      </c>
      <c r="W30" s="97">
        <f t="shared" si="5"/>
        <v>377108.75058389339</v>
      </c>
      <c r="X30" s="97">
        <f t="shared" si="6"/>
        <v>391438.88310608134</v>
      </c>
      <c r="Y30" s="97">
        <f t="shared" si="10"/>
        <v>397741.04912408924</v>
      </c>
      <c r="Z30" s="97">
        <f t="shared" si="7"/>
        <v>420094.09608486306</v>
      </c>
      <c r="AA30" s="97">
        <f t="shared" si="8"/>
        <v>475210.4414911971</v>
      </c>
    </row>
    <row r="31" spans="1:27" x14ac:dyDescent="0.25">
      <c r="A31" s="86" t="s">
        <v>282</v>
      </c>
      <c r="B31" s="87" t="s">
        <v>283</v>
      </c>
      <c r="C31" s="88" t="s">
        <v>226</v>
      </c>
      <c r="D31" s="89" t="s">
        <v>262</v>
      </c>
      <c r="E31" s="90">
        <f t="shared" si="11"/>
        <v>245050</v>
      </c>
      <c r="F31" s="90">
        <f t="shared" si="9"/>
        <v>205924.52464618534</v>
      </c>
      <c r="G31" s="91">
        <v>0.19</v>
      </c>
      <c r="H31" s="91" t="s">
        <v>228</v>
      </c>
      <c r="I31" s="91" t="s">
        <v>228</v>
      </c>
      <c r="J31" s="91" t="s">
        <v>228</v>
      </c>
      <c r="K31" s="91" t="s">
        <v>228</v>
      </c>
      <c r="L31" s="92" t="s">
        <v>279</v>
      </c>
      <c r="M31" s="91" t="str">
        <f t="shared" si="0"/>
        <v>VER ARCHIVO ANEXO</v>
      </c>
      <c r="N31" s="93">
        <v>41608</v>
      </c>
      <c r="O31" s="94"/>
      <c r="P31" s="94"/>
      <c r="Q31" s="94">
        <v>26</v>
      </c>
      <c r="R31" s="95">
        <f t="shared" si="1"/>
        <v>205924.52464618534</v>
      </c>
      <c r="S31" s="94">
        <v>134758</v>
      </c>
      <c r="T31" s="94">
        <f t="shared" si="2"/>
        <v>143881.11660000001</v>
      </c>
      <c r="U31" s="94">
        <f t="shared" si="3"/>
        <v>152154.28080450001</v>
      </c>
      <c r="V31" s="94">
        <f t="shared" si="4"/>
        <v>158377.39088940405</v>
      </c>
      <c r="W31" s="97">
        <f t="shared" si="5"/>
        <v>163413.79191968709</v>
      </c>
      <c r="X31" s="97">
        <f t="shared" si="6"/>
        <v>169623.5160126352</v>
      </c>
      <c r="Y31" s="97">
        <f t="shared" si="10"/>
        <v>172354.45462043863</v>
      </c>
      <c r="Z31" s="97">
        <f t="shared" si="7"/>
        <v>182040.77497010728</v>
      </c>
      <c r="AA31" s="97">
        <f t="shared" si="8"/>
        <v>205924.52464618534</v>
      </c>
    </row>
    <row r="32" spans="1:27" x14ac:dyDescent="0.25">
      <c r="A32" s="102" t="s">
        <v>284</v>
      </c>
      <c r="B32" s="87" t="s">
        <v>285</v>
      </c>
      <c r="C32" s="88" t="s">
        <v>226</v>
      </c>
      <c r="D32" s="89" t="s">
        <v>227</v>
      </c>
      <c r="E32" s="90">
        <f t="shared" si="11"/>
        <v>6825</v>
      </c>
      <c r="F32" s="90">
        <f t="shared" si="9"/>
        <v>5734.9125119999999</v>
      </c>
      <c r="G32" s="91">
        <v>0.19</v>
      </c>
      <c r="H32" s="91" t="s">
        <v>228</v>
      </c>
      <c r="I32" s="91" t="s">
        <v>228</v>
      </c>
      <c r="J32" s="91" t="s">
        <v>228</v>
      </c>
      <c r="K32" s="91" t="s">
        <v>228</v>
      </c>
      <c r="L32" s="92" t="s">
        <v>286</v>
      </c>
      <c r="M32" s="91" t="str">
        <f t="shared" si="0"/>
        <v>VER ARCHIVO ANEXO</v>
      </c>
      <c r="N32" s="93">
        <v>41608</v>
      </c>
      <c r="O32" s="94"/>
      <c r="P32" s="94"/>
      <c r="Q32" s="94">
        <v>27</v>
      </c>
      <c r="R32" s="95">
        <f t="shared" si="1"/>
        <v>5734.9125119999999</v>
      </c>
      <c r="S32" s="94">
        <v>2591.5</v>
      </c>
      <c r="T32" s="94">
        <f t="shared" si="2"/>
        <v>2766.9445500000002</v>
      </c>
      <c r="U32" s="94">
        <f t="shared" si="3"/>
        <v>2926.0438616250003</v>
      </c>
      <c r="V32" s="94">
        <f t="shared" si="4"/>
        <v>3045.7190555654624</v>
      </c>
      <c r="W32" s="97">
        <f t="shared" si="5"/>
        <v>3142.5729215324445</v>
      </c>
      <c r="X32" s="97">
        <f t="shared" si="6"/>
        <v>3261.9906925506775</v>
      </c>
      <c r="Y32" s="97">
        <v>4800</v>
      </c>
      <c r="Z32" s="97">
        <f t="shared" si="7"/>
        <v>5069.76</v>
      </c>
      <c r="AA32" s="97">
        <f t="shared" si="8"/>
        <v>5734.9125119999999</v>
      </c>
    </row>
    <row r="33" spans="1:27" x14ac:dyDescent="0.25">
      <c r="A33" s="86" t="s">
        <v>287</v>
      </c>
      <c r="B33" s="104" t="s">
        <v>288</v>
      </c>
      <c r="C33" s="88" t="s">
        <v>226</v>
      </c>
      <c r="D33" s="89" t="s">
        <v>262</v>
      </c>
      <c r="E33" s="90">
        <f t="shared" si="11"/>
        <v>15080</v>
      </c>
      <c r="F33" s="90">
        <f t="shared" si="9"/>
        <v>12672.278439765254</v>
      </c>
      <c r="G33" s="91">
        <v>0.19</v>
      </c>
      <c r="H33" s="91" t="s">
        <v>228</v>
      </c>
      <c r="I33" s="91" t="s">
        <v>228</v>
      </c>
      <c r="J33" s="91" t="s">
        <v>228</v>
      </c>
      <c r="K33" s="91" t="s">
        <v>228</v>
      </c>
      <c r="L33" s="92" t="s">
        <v>289</v>
      </c>
      <c r="M33" s="91" t="str">
        <f t="shared" si="0"/>
        <v>VER ARCHIVO ANEXO</v>
      </c>
      <c r="N33" s="93">
        <v>41608</v>
      </c>
      <c r="O33" s="94"/>
      <c r="P33" s="94"/>
      <c r="Q33" s="94">
        <v>28</v>
      </c>
      <c r="R33" s="95">
        <f t="shared" si="1"/>
        <v>12672.278439765254</v>
      </c>
      <c r="S33" s="94">
        <v>8292.7999999999993</v>
      </c>
      <c r="T33" s="94">
        <f t="shared" si="2"/>
        <v>8854.2225600000002</v>
      </c>
      <c r="U33" s="94">
        <f t="shared" si="3"/>
        <v>9363.3403572000007</v>
      </c>
      <c r="V33" s="94">
        <f t="shared" si="4"/>
        <v>9746.3009778094802</v>
      </c>
      <c r="W33" s="97">
        <f t="shared" si="5"/>
        <v>10056.233348903823</v>
      </c>
      <c r="X33" s="97">
        <f t="shared" si="6"/>
        <v>10438.370216162168</v>
      </c>
      <c r="Y33" s="97">
        <f t="shared" si="10"/>
        <v>10606.427976642379</v>
      </c>
      <c r="Z33" s="97">
        <f t="shared" si="7"/>
        <v>11202.509228929681</v>
      </c>
      <c r="AA33" s="97">
        <f t="shared" si="8"/>
        <v>12672.278439765254</v>
      </c>
    </row>
    <row r="34" spans="1:27" x14ac:dyDescent="0.25">
      <c r="A34" s="86" t="s">
        <v>290</v>
      </c>
      <c r="B34" s="104" t="s">
        <v>291</v>
      </c>
      <c r="C34" s="88" t="s">
        <v>226</v>
      </c>
      <c r="D34" s="89" t="s">
        <v>292</v>
      </c>
      <c r="E34" s="90">
        <f t="shared" si="11"/>
        <v>15080</v>
      </c>
      <c r="F34" s="90">
        <f t="shared" si="9"/>
        <v>12672.278439765254</v>
      </c>
      <c r="G34" s="91">
        <v>0.19</v>
      </c>
      <c r="H34" s="91" t="s">
        <v>228</v>
      </c>
      <c r="I34" s="91" t="s">
        <v>228</v>
      </c>
      <c r="J34" s="91" t="s">
        <v>228</v>
      </c>
      <c r="K34" s="91" t="s">
        <v>228</v>
      </c>
      <c r="L34" s="92" t="s">
        <v>293</v>
      </c>
      <c r="M34" s="91" t="str">
        <f t="shared" si="0"/>
        <v>VER ARCHIVO ANEXO</v>
      </c>
      <c r="N34" s="93">
        <v>41608</v>
      </c>
      <c r="O34" s="94"/>
      <c r="P34" s="94"/>
      <c r="Q34" s="94">
        <v>29</v>
      </c>
      <c r="R34" s="95">
        <f t="shared" si="1"/>
        <v>12672.278439765254</v>
      </c>
      <c r="S34" s="94">
        <v>8292.7999999999993</v>
      </c>
      <c r="T34" s="94">
        <f t="shared" si="2"/>
        <v>8854.2225600000002</v>
      </c>
      <c r="U34" s="94">
        <f t="shared" si="3"/>
        <v>9363.3403572000007</v>
      </c>
      <c r="V34" s="94">
        <f t="shared" si="4"/>
        <v>9746.3009778094802</v>
      </c>
      <c r="W34" s="97">
        <f t="shared" si="5"/>
        <v>10056.233348903823</v>
      </c>
      <c r="X34" s="97">
        <f t="shared" si="6"/>
        <v>10438.370216162168</v>
      </c>
      <c r="Y34" s="97">
        <f t="shared" si="10"/>
        <v>10606.427976642379</v>
      </c>
      <c r="Z34" s="97">
        <f t="shared" si="7"/>
        <v>11202.509228929681</v>
      </c>
      <c r="AA34" s="97">
        <f t="shared" si="8"/>
        <v>12672.278439765254</v>
      </c>
    </row>
    <row r="35" spans="1:27" x14ac:dyDescent="0.25">
      <c r="A35" s="86" t="s">
        <v>294</v>
      </c>
      <c r="B35" s="104" t="s">
        <v>295</v>
      </c>
      <c r="C35" s="88" t="s">
        <v>226</v>
      </c>
      <c r="D35" s="89" t="s">
        <v>296</v>
      </c>
      <c r="E35" s="90">
        <f t="shared" si="11"/>
        <v>245993</v>
      </c>
      <c r="F35" s="90">
        <f t="shared" si="9"/>
        <v>206716.54204867073</v>
      </c>
      <c r="G35" s="91">
        <v>0.19</v>
      </c>
      <c r="H35" s="91" t="s">
        <v>228</v>
      </c>
      <c r="I35" s="91" t="s">
        <v>228</v>
      </c>
      <c r="J35" s="91" t="s">
        <v>228</v>
      </c>
      <c r="K35" s="91" t="s">
        <v>228</v>
      </c>
      <c r="L35" s="92" t="s">
        <v>229</v>
      </c>
      <c r="M35" s="91" t="str">
        <f t="shared" si="0"/>
        <v>VER ARCHIVO ANEXO</v>
      </c>
      <c r="N35" s="93">
        <v>41608</v>
      </c>
      <c r="O35" s="94">
        <v>147119</v>
      </c>
      <c r="P35" s="94" t="s">
        <v>230</v>
      </c>
      <c r="Q35" s="94">
        <v>30</v>
      </c>
      <c r="R35" s="95">
        <f t="shared" si="1"/>
        <v>206716.54204867073</v>
      </c>
      <c r="S35" s="94">
        <v>135276.29999999999</v>
      </c>
      <c r="T35" s="94">
        <f t="shared" si="2"/>
        <v>144434.50550999999</v>
      </c>
      <c r="U35" s="94">
        <f t="shared" si="3"/>
        <v>152739.489576825</v>
      </c>
      <c r="V35" s="94">
        <f t="shared" si="4"/>
        <v>158986.53470051714</v>
      </c>
      <c r="W35" s="97">
        <f t="shared" si="5"/>
        <v>164042.30650399358</v>
      </c>
      <c r="X35" s="97">
        <f t="shared" si="6"/>
        <v>170275.91415114535</v>
      </c>
      <c r="Y35" s="97">
        <f t="shared" si="10"/>
        <v>173017.3563689788</v>
      </c>
      <c r="Z35" s="97">
        <f t="shared" si="7"/>
        <v>182740.93179691542</v>
      </c>
      <c r="AA35" s="97">
        <f t="shared" si="8"/>
        <v>206716.54204867073</v>
      </c>
    </row>
    <row r="36" spans="1:27" x14ac:dyDescent="0.25">
      <c r="A36" s="105" t="s">
        <v>297</v>
      </c>
      <c r="B36" s="106" t="s">
        <v>298</v>
      </c>
      <c r="C36" s="107"/>
      <c r="D36" s="108"/>
      <c r="E36" s="90">
        <f t="shared" si="11"/>
        <v>0</v>
      </c>
      <c r="F36" s="90">
        <f t="shared" si="9"/>
        <v>0</v>
      </c>
      <c r="G36" s="91"/>
      <c r="H36" s="91"/>
      <c r="I36" s="91"/>
      <c r="J36" s="91"/>
      <c r="K36" s="91"/>
      <c r="L36" s="92"/>
      <c r="M36" s="91"/>
      <c r="N36" s="93">
        <v>41608</v>
      </c>
      <c r="O36" s="109"/>
      <c r="P36" s="109"/>
      <c r="Q36" s="109">
        <v>0</v>
      </c>
      <c r="R36" s="95">
        <f t="shared" si="1"/>
        <v>0</v>
      </c>
      <c r="S36" s="109">
        <v>0</v>
      </c>
      <c r="T36" s="94">
        <f t="shared" si="2"/>
        <v>0</v>
      </c>
      <c r="U36" s="94">
        <f t="shared" si="3"/>
        <v>0</v>
      </c>
      <c r="V36" s="94">
        <f t="shared" si="4"/>
        <v>0</v>
      </c>
      <c r="W36" s="97">
        <f t="shared" si="5"/>
        <v>0</v>
      </c>
      <c r="X36" s="97">
        <f t="shared" si="6"/>
        <v>0</v>
      </c>
      <c r="Y36" s="97">
        <f t="shared" si="10"/>
        <v>0</v>
      </c>
      <c r="Z36" s="97">
        <f t="shared" si="7"/>
        <v>0</v>
      </c>
      <c r="AA36" s="97">
        <f t="shared" si="8"/>
        <v>0</v>
      </c>
    </row>
    <row r="37" spans="1:27" x14ac:dyDescent="0.25">
      <c r="A37" s="86" t="s">
        <v>299</v>
      </c>
      <c r="B37" s="87" t="s">
        <v>300</v>
      </c>
      <c r="C37" s="88" t="s">
        <v>226</v>
      </c>
      <c r="D37" s="89" t="s">
        <v>301</v>
      </c>
      <c r="E37" s="90">
        <f t="shared" si="11"/>
        <v>77979</v>
      </c>
      <c r="F37" s="90">
        <f t="shared" si="9"/>
        <v>65528.351812026136</v>
      </c>
      <c r="G37" s="91">
        <v>0.19</v>
      </c>
      <c r="H37" s="91" t="s">
        <v>228</v>
      </c>
      <c r="I37" s="91" t="s">
        <v>228</v>
      </c>
      <c r="J37" s="91" t="s">
        <v>228</v>
      </c>
      <c r="K37" s="91" t="s">
        <v>228</v>
      </c>
      <c r="L37" s="92" t="s">
        <v>302</v>
      </c>
      <c r="M37" s="91" t="str">
        <f t="shared" ref="M37:M58" si="12">+IF(L37="no aplica","no aplica","VER ARCHIVO ANEXO")</f>
        <v>no aplica</v>
      </c>
      <c r="N37" s="93">
        <v>41608</v>
      </c>
      <c r="O37" s="94">
        <v>43103</v>
      </c>
      <c r="P37" s="94" t="s">
        <v>230</v>
      </c>
      <c r="Q37" s="94">
        <v>31</v>
      </c>
      <c r="R37" s="95">
        <f t="shared" si="1"/>
        <v>65528.351812026136</v>
      </c>
      <c r="S37" s="94">
        <v>42882.068800000001</v>
      </c>
      <c r="T37" s="94">
        <f t="shared" si="2"/>
        <v>45785.184857760003</v>
      </c>
      <c r="U37" s="94">
        <f t="shared" si="3"/>
        <v>48417.832987081209</v>
      </c>
      <c r="V37" s="94">
        <f t="shared" si="4"/>
        <v>50398.122356252825</v>
      </c>
      <c r="W37" s="97">
        <f t="shared" si="5"/>
        <v>52000.782647181666</v>
      </c>
      <c r="X37" s="97">
        <f t="shared" si="6"/>
        <v>53976.812387774575</v>
      </c>
      <c r="Y37" s="97">
        <f t="shared" si="10"/>
        <v>54845.839067217748</v>
      </c>
      <c r="Z37" s="97">
        <f t="shared" si="7"/>
        <v>57928.175222795384</v>
      </c>
      <c r="AA37" s="97">
        <f t="shared" si="8"/>
        <v>65528.351812026136</v>
      </c>
    </row>
    <row r="38" spans="1:27" x14ac:dyDescent="0.25">
      <c r="A38" s="86" t="s">
        <v>303</v>
      </c>
      <c r="B38" s="87" t="s">
        <v>304</v>
      </c>
      <c r="C38" s="88" t="s">
        <v>226</v>
      </c>
      <c r="D38" s="89" t="s">
        <v>301</v>
      </c>
      <c r="E38" s="90">
        <f t="shared" si="11"/>
        <v>111398</v>
      </c>
      <c r="F38" s="90">
        <f t="shared" si="9"/>
        <v>93611.704869350942</v>
      </c>
      <c r="G38" s="91">
        <v>0.19</v>
      </c>
      <c r="H38" s="91" t="s">
        <v>228</v>
      </c>
      <c r="I38" s="91" t="s">
        <v>228</v>
      </c>
      <c r="J38" s="91" t="s">
        <v>228</v>
      </c>
      <c r="K38" s="91" t="s">
        <v>228</v>
      </c>
      <c r="L38" s="92" t="s">
        <v>302</v>
      </c>
      <c r="M38" s="91" t="str">
        <f t="shared" si="12"/>
        <v>no aplica</v>
      </c>
      <c r="N38" s="93">
        <v>41608</v>
      </c>
      <c r="O38" s="94">
        <v>59114</v>
      </c>
      <c r="P38" s="94" t="s">
        <v>230</v>
      </c>
      <c r="Q38" s="94">
        <v>32</v>
      </c>
      <c r="R38" s="95">
        <f t="shared" si="1"/>
        <v>93611.704869350942</v>
      </c>
      <c r="S38" s="94">
        <v>61259.950199999999</v>
      </c>
      <c r="T38" s="94">
        <f t="shared" si="2"/>
        <v>65407.248828540003</v>
      </c>
      <c r="U38" s="94">
        <f t="shared" si="3"/>
        <v>69168.16563618106</v>
      </c>
      <c r="V38" s="94">
        <f t="shared" si="4"/>
        <v>71997.143610700863</v>
      </c>
      <c r="W38" s="97">
        <f t="shared" si="5"/>
        <v>74286.652777521158</v>
      </c>
      <c r="X38" s="97">
        <f t="shared" si="6"/>
        <v>77109.545583066967</v>
      </c>
      <c r="Y38" s="97">
        <f t="shared" si="10"/>
        <v>78351.009266954352</v>
      </c>
      <c r="Z38" s="97">
        <f t="shared" si="7"/>
        <v>82754.335987757193</v>
      </c>
      <c r="AA38" s="97">
        <f t="shared" si="8"/>
        <v>93611.704869350942</v>
      </c>
    </row>
    <row r="39" spans="1:27" x14ac:dyDescent="0.25">
      <c r="A39" s="86" t="s">
        <v>305</v>
      </c>
      <c r="B39" s="87" t="s">
        <v>306</v>
      </c>
      <c r="C39" s="88" t="s">
        <v>226</v>
      </c>
      <c r="D39" s="89" t="s">
        <v>301</v>
      </c>
      <c r="E39" s="90">
        <f t="shared" si="11"/>
        <v>53625</v>
      </c>
      <c r="F39" s="90">
        <f t="shared" si="9"/>
        <v>45062.622131805249</v>
      </c>
      <c r="G39" s="91">
        <v>0.19</v>
      </c>
      <c r="H39" s="91" t="s">
        <v>228</v>
      </c>
      <c r="I39" s="91" t="s">
        <v>228</v>
      </c>
      <c r="J39" s="91" t="s">
        <v>228</v>
      </c>
      <c r="K39" s="91" t="s">
        <v>228</v>
      </c>
      <c r="L39" s="92" t="s">
        <v>302</v>
      </c>
      <c r="M39" s="91" t="str">
        <f t="shared" si="12"/>
        <v>no aplica</v>
      </c>
      <c r="N39" s="93">
        <v>41608</v>
      </c>
      <c r="O39" s="94"/>
      <c r="P39" s="94"/>
      <c r="Q39" s="94">
        <v>33</v>
      </c>
      <c r="R39" s="95">
        <f t="shared" si="1"/>
        <v>45062.622131805249</v>
      </c>
      <c r="S39" s="94">
        <v>29489.196799999998</v>
      </c>
      <c r="T39" s="94">
        <f t="shared" si="2"/>
        <v>31485.615423359999</v>
      </c>
      <c r="U39" s="94">
        <f t="shared" si="3"/>
        <v>33296.038310203199</v>
      </c>
      <c r="V39" s="94">
        <f t="shared" si="4"/>
        <v>34657.84627709051</v>
      </c>
      <c r="W39" s="97">
        <f t="shared" si="5"/>
        <v>35759.965788701993</v>
      </c>
      <c r="X39" s="97">
        <f t="shared" si="6"/>
        <v>37118.844488672672</v>
      </c>
      <c r="Y39" s="97">
        <f t="shared" si="10"/>
        <v>37716.457884940304</v>
      </c>
      <c r="Z39" s="97">
        <f t="shared" si="7"/>
        <v>39836.122818073949</v>
      </c>
      <c r="AA39" s="97">
        <f t="shared" si="8"/>
        <v>45062.622131805249</v>
      </c>
    </row>
    <row r="40" spans="1:27" x14ac:dyDescent="0.25">
      <c r="A40" s="86" t="s">
        <v>307</v>
      </c>
      <c r="B40" s="87" t="s">
        <v>308</v>
      </c>
      <c r="C40" s="88" t="s">
        <v>226</v>
      </c>
      <c r="D40" s="89" t="s">
        <v>301</v>
      </c>
      <c r="E40" s="90">
        <f t="shared" si="11"/>
        <v>111398</v>
      </c>
      <c r="F40" s="90">
        <f t="shared" si="9"/>
        <v>93611.704869350942</v>
      </c>
      <c r="G40" s="91">
        <v>0.19</v>
      </c>
      <c r="H40" s="91" t="s">
        <v>228</v>
      </c>
      <c r="I40" s="91" t="s">
        <v>228</v>
      </c>
      <c r="J40" s="91" t="s">
        <v>228</v>
      </c>
      <c r="K40" s="91" t="s">
        <v>228</v>
      </c>
      <c r="L40" s="92" t="s">
        <v>302</v>
      </c>
      <c r="M40" s="91" t="str">
        <f t="shared" si="12"/>
        <v>no aplica</v>
      </c>
      <c r="N40" s="93">
        <v>41608</v>
      </c>
      <c r="O40" s="94"/>
      <c r="P40" s="94"/>
      <c r="Q40" s="94">
        <v>34</v>
      </c>
      <c r="R40" s="95">
        <f t="shared" si="1"/>
        <v>93611.704869350942</v>
      </c>
      <c r="S40" s="94">
        <v>61259.950199999999</v>
      </c>
      <c r="T40" s="94">
        <f t="shared" si="2"/>
        <v>65407.248828540003</v>
      </c>
      <c r="U40" s="94">
        <f t="shared" si="3"/>
        <v>69168.16563618106</v>
      </c>
      <c r="V40" s="94">
        <f t="shared" si="4"/>
        <v>71997.143610700863</v>
      </c>
      <c r="W40" s="97">
        <f t="shared" si="5"/>
        <v>74286.652777521158</v>
      </c>
      <c r="X40" s="97">
        <f t="shared" si="6"/>
        <v>77109.545583066967</v>
      </c>
      <c r="Y40" s="97">
        <f t="shared" si="10"/>
        <v>78351.009266954352</v>
      </c>
      <c r="Z40" s="97">
        <f t="shared" si="7"/>
        <v>82754.335987757193</v>
      </c>
      <c r="AA40" s="97">
        <f t="shared" si="8"/>
        <v>93611.704869350942</v>
      </c>
    </row>
    <row r="41" spans="1:27" x14ac:dyDescent="0.25">
      <c r="A41" s="86" t="s">
        <v>309</v>
      </c>
      <c r="B41" s="87" t="s">
        <v>310</v>
      </c>
      <c r="C41" s="88" t="s">
        <v>226</v>
      </c>
      <c r="D41" s="89" t="s">
        <v>301</v>
      </c>
      <c r="E41" s="90">
        <f t="shared" si="11"/>
        <v>119967</v>
      </c>
      <c r="F41" s="90">
        <f t="shared" si="9"/>
        <v>100812.72709274749</v>
      </c>
      <c r="G41" s="91">
        <v>0.19</v>
      </c>
      <c r="H41" s="91" t="s">
        <v>228</v>
      </c>
      <c r="I41" s="91" t="s">
        <v>228</v>
      </c>
      <c r="J41" s="91" t="s">
        <v>228</v>
      </c>
      <c r="K41" s="91" t="s">
        <v>228</v>
      </c>
      <c r="L41" s="92" t="s">
        <v>302</v>
      </c>
      <c r="M41" s="91" t="str">
        <f t="shared" si="12"/>
        <v>no aplica</v>
      </c>
      <c r="N41" s="93">
        <v>41608</v>
      </c>
      <c r="O41" s="94"/>
      <c r="P41" s="94"/>
      <c r="Q41" s="94">
        <v>35</v>
      </c>
      <c r="R41" s="95">
        <f t="shared" si="1"/>
        <v>100812.72709274749</v>
      </c>
      <c r="S41" s="94">
        <v>65972.333799999993</v>
      </c>
      <c r="T41" s="94">
        <f t="shared" si="2"/>
        <v>70438.660798259996</v>
      </c>
      <c r="U41" s="94">
        <f t="shared" si="3"/>
        <v>74488.883794159949</v>
      </c>
      <c r="V41" s="94">
        <f t="shared" si="4"/>
        <v>77535.479141341086</v>
      </c>
      <c r="W41" s="97">
        <f t="shared" si="5"/>
        <v>80001.10737803574</v>
      </c>
      <c r="X41" s="97">
        <f t="shared" si="6"/>
        <v>83041.149458401094</v>
      </c>
      <c r="Y41" s="97">
        <f t="shared" si="10"/>
        <v>84378.111964681346</v>
      </c>
      <c r="Z41" s="97">
        <f t="shared" si="7"/>
        <v>89120.161857096435</v>
      </c>
      <c r="AA41" s="97">
        <f t="shared" si="8"/>
        <v>100812.72709274749</v>
      </c>
    </row>
    <row r="42" spans="1:27" x14ac:dyDescent="0.25">
      <c r="A42" s="86" t="s">
        <v>311</v>
      </c>
      <c r="B42" s="110" t="s">
        <v>312</v>
      </c>
      <c r="C42" s="88" t="s">
        <v>226</v>
      </c>
      <c r="D42" s="89" t="s">
        <v>301</v>
      </c>
      <c r="E42" s="90">
        <f t="shared" si="11"/>
        <v>51413</v>
      </c>
      <c r="F42" s="90">
        <f t="shared" si="9"/>
        <v>43204.549305574656</v>
      </c>
      <c r="G42" s="91">
        <v>0.19</v>
      </c>
      <c r="H42" s="91" t="s">
        <v>228</v>
      </c>
      <c r="I42" s="91" t="s">
        <v>228</v>
      </c>
      <c r="J42" s="91" t="s">
        <v>228</v>
      </c>
      <c r="K42" s="91" t="s">
        <v>228</v>
      </c>
      <c r="L42" s="92" t="s">
        <v>302</v>
      </c>
      <c r="M42" s="91" t="str">
        <f t="shared" si="12"/>
        <v>no aplica</v>
      </c>
      <c r="N42" s="93">
        <v>41608</v>
      </c>
      <c r="O42" s="94"/>
      <c r="P42" s="94"/>
      <c r="Q42" s="94">
        <v>36</v>
      </c>
      <c r="R42" s="95">
        <f t="shared" si="1"/>
        <v>43204.549305574656</v>
      </c>
      <c r="S42" s="94">
        <v>28273.264999999999</v>
      </c>
      <c r="T42" s="94">
        <f t="shared" si="2"/>
        <v>30187.365040500001</v>
      </c>
      <c r="U42" s="94">
        <f t="shared" si="3"/>
        <v>31923.138530328753</v>
      </c>
      <c r="V42" s="94">
        <f t="shared" si="4"/>
        <v>33228.794896219195</v>
      </c>
      <c r="W42" s="97">
        <f t="shared" si="5"/>
        <v>34285.470573918967</v>
      </c>
      <c r="X42" s="97">
        <f t="shared" si="6"/>
        <v>35588.318455727887</v>
      </c>
      <c r="Y42" s="97">
        <f t="shared" si="10"/>
        <v>36161.290382865103</v>
      </c>
      <c r="Z42" s="97">
        <f t="shared" si="7"/>
        <v>38193.554902382122</v>
      </c>
      <c r="AA42" s="97">
        <f t="shared" si="8"/>
        <v>43204.549305574656</v>
      </c>
    </row>
    <row r="43" spans="1:27" x14ac:dyDescent="0.25">
      <c r="A43" s="86" t="s">
        <v>313</v>
      </c>
      <c r="B43" s="87" t="s">
        <v>314</v>
      </c>
      <c r="C43" s="88" t="s">
        <v>226</v>
      </c>
      <c r="D43" s="89" t="s">
        <v>301</v>
      </c>
      <c r="E43" s="90">
        <f t="shared" si="11"/>
        <v>68552</v>
      </c>
      <c r="F43" s="90">
        <f t="shared" si="9"/>
        <v>57606.593752367888</v>
      </c>
      <c r="G43" s="91">
        <v>0.19</v>
      </c>
      <c r="H43" s="91" t="s">
        <v>228</v>
      </c>
      <c r="I43" s="91" t="s">
        <v>228</v>
      </c>
      <c r="J43" s="91" t="s">
        <v>228</v>
      </c>
      <c r="K43" s="91" t="s">
        <v>228</v>
      </c>
      <c r="L43" s="92" t="s">
        <v>302</v>
      </c>
      <c r="M43" s="91" t="str">
        <f t="shared" si="12"/>
        <v>no aplica</v>
      </c>
      <c r="N43" s="93">
        <v>41608</v>
      </c>
      <c r="O43" s="94"/>
      <c r="P43" s="94"/>
      <c r="Q43" s="94">
        <v>37</v>
      </c>
      <c r="R43" s="95">
        <f t="shared" si="1"/>
        <v>57606.593752367888</v>
      </c>
      <c r="S43" s="94">
        <v>37698.032200000001</v>
      </c>
      <c r="T43" s="94">
        <f t="shared" si="2"/>
        <v>40250.188979940009</v>
      </c>
      <c r="U43" s="94">
        <f t="shared" si="3"/>
        <v>42564.574846286567</v>
      </c>
      <c r="V43" s="94">
        <f t="shared" si="4"/>
        <v>44305.465957499684</v>
      </c>
      <c r="W43" s="97">
        <f t="shared" si="5"/>
        <v>45714.379774948175</v>
      </c>
      <c r="X43" s="97">
        <f t="shared" si="6"/>
        <v>47451.526206396207</v>
      </c>
      <c r="Y43" s="97">
        <f t="shared" si="10"/>
        <v>48215.495778319186</v>
      </c>
      <c r="Z43" s="97">
        <f t="shared" si="7"/>
        <v>50925.206641060722</v>
      </c>
      <c r="AA43" s="97">
        <f t="shared" si="8"/>
        <v>57606.593752367888</v>
      </c>
    </row>
    <row r="44" spans="1:27" x14ac:dyDescent="0.25">
      <c r="A44" s="86" t="s">
        <v>315</v>
      </c>
      <c r="B44" s="87" t="s">
        <v>316</v>
      </c>
      <c r="C44" s="88" t="s">
        <v>226</v>
      </c>
      <c r="D44" s="89" t="s">
        <v>301</v>
      </c>
      <c r="E44" s="90">
        <f t="shared" si="11"/>
        <v>68248</v>
      </c>
      <c r="F44" s="90">
        <f t="shared" si="9"/>
        <v>57351.564148767611</v>
      </c>
      <c r="G44" s="91">
        <v>0.19</v>
      </c>
      <c r="H44" s="91" t="s">
        <v>228</v>
      </c>
      <c r="I44" s="91" t="s">
        <v>228</v>
      </c>
      <c r="J44" s="91" t="s">
        <v>228</v>
      </c>
      <c r="K44" s="91" t="s">
        <v>228</v>
      </c>
      <c r="L44" s="92" t="s">
        <v>302</v>
      </c>
      <c r="M44" s="91" t="str">
        <f t="shared" si="12"/>
        <v>no aplica</v>
      </c>
      <c r="N44" s="93">
        <v>41608</v>
      </c>
      <c r="O44" s="94"/>
      <c r="P44" s="94"/>
      <c r="Q44" s="94">
        <v>38</v>
      </c>
      <c r="R44" s="95">
        <f t="shared" si="1"/>
        <v>57351.564148767611</v>
      </c>
      <c r="S44" s="94">
        <v>37531.139600000002</v>
      </c>
      <c r="T44" s="94">
        <f t="shared" si="2"/>
        <v>40071.997750920003</v>
      </c>
      <c r="U44" s="94">
        <f t="shared" si="3"/>
        <v>42376.137621597911</v>
      </c>
      <c r="V44" s="94">
        <f t="shared" si="4"/>
        <v>44109.321650321261</v>
      </c>
      <c r="W44" s="97">
        <f t="shared" si="5"/>
        <v>45511.99807880148</v>
      </c>
      <c r="X44" s="97">
        <f t="shared" si="6"/>
        <v>47241.454005795938</v>
      </c>
      <c r="Y44" s="97">
        <f t="shared" si="10"/>
        <v>48002.041415289255</v>
      </c>
      <c r="Z44" s="97">
        <f t="shared" si="7"/>
        <v>50699.756142828512</v>
      </c>
      <c r="AA44" s="97">
        <f t="shared" si="8"/>
        <v>57351.564148767611</v>
      </c>
    </row>
    <row r="45" spans="1:27" x14ac:dyDescent="0.25">
      <c r="A45" s="86" t="s">
        <v>317</v>
      </c>
      <c r="B45" s="87" t="s">
        <v>318</v>
      </c>
      <c r="C45" s="88" t="s">
        <v>226</v>
      </c>
      <c r="D45" s="89" t="s">
        <v>301</v>
      </c>
      <c r="E45" s="90">
        <f t="shared" si="11"/>
        <v>51413</v>
      </c>
      <c r="F45" s="90">
        <f t="shared" si="9"/>
        <v>43204.549305574656</v>
      </c>
      <c r="G45" s="91">
        <v>0.19</v>
      </c>
      <c r="H45" s="91" t="s">
        <v>228</v>
      </c>
      <c r="I45" s="91" t="s">
        <v>228</v>
      </c>
      <c r="J45" s="91" t="s">
        <v>228</v>
      </c>
      <c r="K45" s="91" t="s">
        <v>228</v>
      </c>
      <c r="L45" s="92" t="s">
        <v>302</v>
      </c>
      <c r="M45" s="91" t="str">
        <f t="shared" si="12"/>
        <v>no aplica</v>
      </c>
      <c r="N45" s="93">
        <v>41608</v>
      </c>
      <c r="O45" s="94"/>
      <c r="P45" s="94"/>
      <c r="Q45" s="94">
        <v>39</v>
      </c>
      <c r="R45" s="95">
        <f t="shared" si="1"/>
        <v>43204.549305574656</v>
      </c>
      <c r="S45" s="94">
        <v>28273.264999999999</v>
      </c>
      <c r="T45" s="94">
        <f t="shared" si="2"/>
        <v>30187.365040500001</v>
      </c>
      <c r="U45" s="94">
        <f t="shared" si="3"/>
        <v>31923.138530328753</v>
      </c>
      <c r="V45" s="94">
        <f t="shared" si="4"/>
        <v>33228.794896219195</v>
      </c>
      <c r="W45" s="97">
        <f t="shared" si="5"/>
        <v>34285.470573918967</v>
      </c>
      <c r="X45" s="97">
        <f t="shared" si="6"/>
        <v>35588.318455727887</v>
      </c>
      <c r="Y45" s="97">
        <f t="shared" si="10"/>
        <v>36161.290382865103</v>
      </c>
      <c r="Z45" s="97">
        <f t="shared" si="7"/>
        <v>38193.554902382122</v>
      </c>
      <c r="AA45" s="97">
        <f t="shared" si="8"/>
        <v>43204.549305574656</v>
      </c>
    </row>
    <row r="46" spans="1:27" x14ac:dyDescent="0.25">
      <c r="A46" s="86" t="s">
        <v>319</v>
      </c>
      <c r="B46" s="87" t="s">
        <v>320</v>
      </c>
      <c r="C46" s="88" t="s">
        <v>226</v>
      </c>
      <c r="D46" s="89" t="s">
        <v>301</v>
      </c>
      <c r="E46" s="90">
        <f t="shared" si="11"/>
        <v>59983</v>
      </c>
      <c r="F46" s="90">
        <f t="shared" si="9"/>
        <v>50405.571528971283</v>
      </c>
      <c r="G46" s="91">
        <v>0.19</v>
      </c>
      <c r="H46" s="91" t="s">
        <v>228</v>
      </c>
      <c r="I46" s="91" t="s">
        <v>228</v>
      </c>
      <c r="J46" s="91" t="s">
        <v>228</v>
      </c>
      <c r="K46" s="91" t="s">
        <v>228</v>
      </c>
      <c r="L46" s="92" t="s">
        <v>302</v>
      </c>
      <c r="M46" s="91" t="str">
        <f t="shared" si="12"/>
        <v>no aplica</v>
      </c>
      <c r="N46" s="93">
        <v>41608</v>
      </c>
      <c r="O46" s="94"/>
      <c r="P46" s="94"/>
      <c r="Q46" s="94">
        <v>40</v>
      </c>
      <c r="R46" s="95">
        <f t="shared" si="1"/>
        <v>50405.571528971283</v>
      </c>
      <c r="S46" s="94">
        <v>32985.6486</v>
      </c>
      <c r="T46" s="94">
        <f t="shared" si="2"/>
        <v>35218.777010220001</v>
      </c>
      <c r="U46" s="94">
        <f t="shared" si="3"/>
        <v>37243.856688307656</v>
      </c>
      <c r="V46" s="94">
        <f t="shared" si="4"/>
        <v>38767.130426859439</v>
      </c>
      <c r="W46" s="97">
        <f t="shared" si="5"/>
        <v>39999.925174433571</v>
      </c>
      <c r="X46" s="97">
        <f t="shared" si="6"/>
        <v>41519.922331062051</v>
      </c>
      <c r="Y46" s="97">
        <f t="shared" si="10"/>
        <v>42188.393080592148</v>
      </c>
      <c r="Z46" s="97">
        <f t="shared" si="7"/>
        <v>44559.380771721429</v>
      </c>
      <c r="AA46" s="97">
        <f t="shared" si="8"/>
        <v>50405.571528971283</v>
      </c>
    </row>
    <row r="47" spans="1:27" x14ac:dyDescent="0.25">
      <c r="A47" s="86" t="s">
        <v>321</v>
      </c>
      <c r="B47" s="87" t="s">
        <v>322</v>
      </c>
      <c r="C47" s="88" t="s">
        <v>226</v>
      </c>
      <c r="D47" s="89" t="s">
        <v>301</v>
      </c>
      <c r="E47" s="90">
        <f t="shared" si="11"/>
        <v>68552</v>
      </c>
      <c r="F47" s="90">
        <f t="shared" si="9"/>
        <v>57606.593752367888</v>
      </c>
      <c r="G47" s="91">
        <v>0.19</v>
      </c>
      <c r="H47" s="91" t="s">
        <v>228</v>
      </c>
      <c r="I47" s="91" t="s">
        <v>228</v>
      </c>
      <c r="J47" s="91" t="s">
        <v>228</v>
      </c>
      <c r="K47" s="91" t="s">
        <v>228</v>
      </c>
      <c r="L47" s="92" t="s">
        <v>302</v>
      </c>
      <c r="M47" s="91" t="str">
        <f t="shared" si="12"/>
        <v>no aplica</v>
      </c>
      <c r="N47" s="93">
        <v>41608</v>
      </c>
      <c r="O47" s="94"/>
      <c r="P47" s="94"/>
      <c r="Q47" s="94">
        <v>41</v>
      </c>
      <c r="R47" s="95">
        <f t="shared" si="1"/>
        <v>57606.593752367888</v>
      </c>
      <c r="S47" s="94">
        <v>37698.032200000001</v>
      </c>
      <c r="T47" s="94">
        <f t="shared" si="2"/>
        <v>40250.188979940009</v>
      </c>
      <c r="U47" s="94">
        <f t="shared" si="3"/>
        <v>42564.574846286567</v>
      </c>
      <c r="V47" s="94">
        <f t="shared" si="4"/>
        <v>44305.465957499684</v>
      </c>
      <c r="W47" s="97">
        <f t="shared" si="5"/>
        <v>45714.379774948175</v>
      </c>
      <c r="X47" s="97">
        <f t="shared" si="6"/>
        <v>47451.526206396207</v>
      </c>
      <c r="Y47" s="97">
        <f t="shared" si="10"/>
        <v>48215.495778319186</v>
      </c>
      <c r="Z47" s="97">
        <f t="shared" si="7"/>
        <v>50925.206641060722</v>
      </c>
      <c r="AA47" s="97">
        <f t="shared" si="8"/>
        <v>57606.593752367888</v>
      </c>
    </row>
    <row r="48" spans="1:27" x14ac:dyDescent="0.25">
      <c r="A48" s="86" t="s">
        <v>323</v>
      </c>
      <c r="B48" s="87" t="s">
        <v>324</v>
      </c>
      <c r="C48" s="88" t="s">
        <v>226</v>
      </c>
      <c r="D48" s="89" t="s">
        <v>301</v>
      </c>
      <c r="E48" s="90">
        <f t="shared" si="11"/>
        <v>119967</v>
      </c>
      <c r="F48" s="90">
        <f t="shared" si="9"/>
        <v>100812.72709274749</v>
      </c>
      <c r="G48" s="91">
        <v>0.19</v>
      </c>
      <c r="H48" s="91" t="s">
        <v>228</v>
      </c>
      <c r="I48" s="91" t="s">
        <v>228</v>
      </c>
      <c r="J48" s="91" t="s">
        <v>228</v>
      </c>
      <c r="K48" s="91" t="s">
        <v>228</v>
      </c>
      <c r="L48" s="92" t="s">
        <v>302</v>
      </c>
      <c r="M48" s="91" t="str">
        <f t="shared" si="12"/>
        <v>no aplica</v>
      </c>
      <c r="N48" s="93">
        <v>41608</v>
      </c>
      <c r="O48" s="94"/>
      <c r="P48" s="94"/>
      <c r="Q48" s="94">
        <v>42</v>
      </c>
      <c r="R48" s="95">
        <f t="shared" si="1"/>
        <v>100812.72709274749</v>
      </c>
      <c r="S48" s="94">
        <v>65972.333799999993</v>
      </c>
      <c r="T48" s="94">
        <f t="shared" si="2"/>
        <v>70438.660798259996</v>
      </c>
      <c r="U48" s="94">
        <f t="shared" si="3"/>
        <v>74488.883794159949</v>
      </c>
      <c r="V48" s="94">
        <f t="shared" si="4"/>
        <v>77535.479141341086</v>
      </c>
      <c r="W48" s="97">
        <f t="shared" si="5"/>
        <v>80001.10737803574</v>
      </c>
      <c r="X48" s="97">
        <f t="shared" si="6"/>
        <v>83041.149458401094</v>
      </c>
      <c r="Y48" s="97">
        <f t="shared" si="10"/>
        <v>84378.111964681346</v>
      </c>
      <c r="Z48" s="97">
        <f t="shared" si="7"/>
        <v>89120.161857096435</v>
      </c>
      <c r="AA48" s="97">
        <f t="shared" si="8"/>
        <v>100812.72709274749</v>
      </c>
    </row>
    <row r="49" spans="1:27" x14ac:dyDescent="0.25">
      <c r="A49" s="86" t="s">
        <v>325</v>
      </c>
      <c r="B49" s="87" t="s">
        <v>326</v>
      </c>
      <c r="C49" s="88" t="s">
        <v>226</v>
      </c>
      <c r="D49" s="89" t="s">
        <v>301</v>
      </c>
      <c r="E49" s="90">
        <f t="shared" si="11"/>
        <v>106256</v>
      </c>
      <c r="F49" s="90">
        <f t="shared" si="9"/>
        <v>89290.457921390975</v>
      </c>
      <c r="G49" s="91">
        <v>0.19</v>
      </c>
      <c r="H49" s="91" t="s">
        <v>228</v>
      </c>
      <c r="I49" s="91" t="s">
        <v>228</v>
      </c>
      <c r="J49" s="91" t="s">
        <v>228</v>
      </c>
      <c r="K49" s="91" t="s">
        <v>228</v>
      </c>
      <c r="L49" s="92" t="s">
        <v>302</v>
      </c>
      <c r="M49" s="91" t="str">
        <f t="shared" si="12"/>
        <v>no aplica</v>
      </c>
      <c r="N49" s="93">
        <v>41608</v>
      </c>
      <c r="O49" s="94"/>
      <c r="P49" s="94"/>
      <c r="Q49" s="94">
        <v>43</v>
      </c>
      <c r="R49" s="95">
        <f t="shared" si="1"/>
        <v>89290.457921390975</v>
      </c>
      <c r="S49" s="94">
        <v>58432.1054</v>
      </c>
      <c r="T49" s="94">
        <f t="shared" si="2"/>
        <v>62387.958935580005</v>
      </c>
      <c r="U49" s="94">
        <f t="shared" si="3"/>
        <v>65975.266574375855</v>
      </c>
      <c r="V49" s="94">
        <f t="shared" si="4"/>
        <v>68673.654977267826</v>
      </c>
      <c r="W49" s="97">
        <f t="shared" si="5"/>
        <v>70857.477205544943</v>
      </c>
      <c r="X49" s="97">
        <f t="shared" si="6"/>
        <v>73550.061339355656</v>
      </c>
      <c r="Y49" s="97">
        <f t="shared" si="10"/>
        <v>74734.217326919286</v>
      </c>
      <c r="Z49" s="97">
        <f t="shared" si="7"/>
        <v>78934.280340692159</v>
      </c>
      <c r="AA49" s="97">
        <f t="shared" si="8"/>
        <v>89290.457921390975</v>
      </c>
    </row>
    <row r="50" spans="1:27" x14ac:dyDescent="0.25">
      <c r="A50" s="86" t="s">
        <v>327</v>
      </c>
      <c r="B50" s="87" t="s">
        <v>328</v>
      </c>
      <c r="C50" s="88" t="s">
        <v>226</v>
      </c>
      <c r="D50" s="89" t="s">
        <v>301</v>
      </c>
      <c r="E50" s="90">
        <f t="shared" si="11"/>
        <v>92546</v>
      </c>
      <c r="F50" s="90">
        <f t="shared" si="9"/>
        <v>77769.772784839355</v>
      </c>
      <c r="G50" s="91">
        <v>0.19</v>
      </c>
      <c r="H50" s="91" t="s">
        <v>228</v>
      </c>
      <c r="I50" s="91" t="s">
        <v>228</v>
      </c>
      <c r="J50" s="91" t="s">
        <v>228</v>
      </c>
      <c r="K50" s="91" t="s">
        <v>228</v>
      </c>
      <c r="L50" s="92" t="s">
        <v>302</v>
      </c>
      <c r="M50" s="91" t="str">
        <f t="shared" si="12"/>
        <v>no aplica</v>
      </c>
      <c r="N50" s="93">
        <v>41608</v>
      </c>
      <c r="O50" s="94"/>
      <c r="P50" s="94"/>
      <c r="Q50" s="94">
        <v>44</v>
      </c>
      <c r="R50" s="95">
        <f t="shared" si="1"/>
        <v>77769.772784839355</v>
      </c>
      <c r="S50" s="94">
        <v>50892.9136</v>
      </c>
      <c r="T50" s="94">
        <f t="shared" si="2"/>
        <v>54338.363850720001</v>
      </c>
      <c r="U50" s="94">
        <f t="shared" si="3"/>
        <v>57462.819772136405</v>
      </c>
      <c r="V50" s="94">
        <f t="shared" si="4"/>
        <v>59813.049100816781</v>
      </c>
      <c r="W50" s="97">
        <f t="shared" si="5"/>
        <v>61715.104062222759</v>
      </c>
      <c r="X50" s="97">
        <f t="shared" si="6"/>
        <v>64060.278016587225</v>
      </c>
      <c r="Y50" s="97">
        <f t="shared" si="10"/>
        <v>65091.648492654276</v>
      </c>
      <c r="Z50" s="97">
        <f t="shared" si="7"/>
        <v>68749.799137941445</v>
      </c>
      <c r="AA50" s="97">
        <f t="shared" si="8"/>
        <v>77769.772784839355</v>
      </c>
    </row>
    <row r="51" spans="1:27" x14ac:dyDescent="0.25">
      <c r="A51" s="86" t="s">
        <v>329</v>
      </c>
      <c r="B51" s="87" t="s">
        <v>330</v>
      </c>
      <c r="C51" s="88" t="s">
        <v>226</v>
      </c>
      <c r="D51" s="89" t="s">
        <v>301</v>
      </c>
      <c r="E51" s="90">
        <f t="shared" si="11"/>
        <v>2443</v>
      </c>
      <c r="F51" s="90">
        <f t="shared" si="9"/>
        <v>2442.5816692647531</v>
      </c>
      <c r="G51" s="91">
        <v>0</v>
      </c>
      <c r="H51" s="91" t="s">
        <v>228</v>
      </c>
      <c r="I51" s="91" t="s">
        <v>228</v>
      </c>
      <c r="J51" s="91" t="s">
        <v>228</v>
      </c>
      <c r="K51" s="91" t="s">
        <v>228</v>
      </c>
      <c r="L51" s="92" t="s">
        <v>302</v>
      </c>
      <c r="M51" s="91" t="str">
        <f t="shared" si="12"/>
        <v>no aplica</v>
      </c>
      <c r="N51" s="93">
        <v>41608</v>
      </c>
      <c r="O51" s="94"/>
      <c r="P51" s="94"/>
      <c r="Q51" s="94">
        <v>45</v>
      </c>
      <c r="R51" s="95">
        <f t="shared" si="1"/>
        <v>2442.5816692647531</v>
      </c>
      <c r="S51" s="94">
        <v>1598.4371999999998</v>
      </c>
      <c r="T51" s="94">
        <f t="shared" si="2"/>
        <v>1706.6513984400001</v>
      </c>
      <c r="U51" s="94">
        <f t="shared" si="3"/>
        <v>1804.7838538503004</v>
      </c>
      <c r="V51" s="94">
        <f t="shared" si="4"/>
        <v>1878.5995134727775</v>
      </c>
      <c r="W51" s="97">
        <f t="shared" si="5"/>
        <v>1938.3389780012119</v>
      </c>
      <c r="X51" s="97">
        <f t="shared" si="6"/>
        <v>2011.995859165258</v>
      </c>
      <c r="Y51" s="97">
        <f t="shared" si="10"/>
        <v>2044.3889924978187</v>
      </c>
      <c r="Z51" s="97">
        <f t="shared" si="7"/>
        <v>2159.2836538761962</v>
      </c>
      <c r="AA51" s="97">
        <f t="shared" si="8"/>
        <v>2442.5816692647531</v>
      </c>
    </row>
    <row r="52" spans="1:27" x14ac:dyDescent="0.25">
      <c r="A52" s="86" t="s">
        <v>331</v>
      </c>
      <c r="B52" s="87" t="s">
        <v>332</v>
      </c>
      <c r="C52" s="88" t="s">
        <v>226</v>
      </c>
      <c r="D52" s="89" t="s">
        <v>301</v>
      </c>
      <c r="E52" s="90">
        <f t="shared" si="11"/>
        <v>20592</v>
      </c>
      <c r="F52" s="90">
        <f t="shared" si="9"/>
        <v>20592.452464618538</v>
      </c>
      <c r="G52" s="91">
        <v>0</v>
      </c>
      <c r="H52" s="91" t="s">
        <v>228</v>
      </c>
      <c r="I52" s="91" t="s">
        <v>228</v>
      </c>
      <c r="J52" s="91" t="s">
        <v>228</v>
      </c>
      <c r="K52" s="91" t="s">
        <v>228</v>
      </c>
      <c r="L52" s="92" t="s">
        <v>302</v>
      </c>
      <c r="M52" s="91" t="str">
        <f t="shared" si="12"/>
        <v>no aplica</v>
      </c>
      <c r="N52" s="93">
        <v>41608</v>
      </c>
      <c r="O52" s="94"/>
      <c r="P52" s="94"/>
      <c r="Q52" s="94">
        <v>46</v>
      </c>
      <c r="R52" s="95">
        <f t="shared" si="1"/>
        <v>20592.452464618538</v>
      </c>
      <c r="S52" s="94">
        <v>13475.8</v>
      </c>
      <c r="T52" s="94">
        <f t="shared" si="2"/>
        <v>14388.11166</v>
      </c>
      <c r="U52" s="94">
        <f t="shared" si="3"/>
        <v>15215.428080450001</v>
      </c>
      <c r="V52" s="94">
        <f t="shared" si="4"/>
        <v>15837.739088940405</v>
      </c>
      <c r="W52" s="97">
        <f t="shared" si="5"/>
        <v>16341.37919196871</v>
      </c>
      <c r="X52" s="97">
        <f t="shared" si="6"/>
        <v>16962.351601263523</v>
      </c>
      <c r="Y52" s="97">
        <f t="shared" si="10"/>
        <v>17235.445462043866</v>
      </c>
      <c r="Z52" s="97">
        <f t="shared" si="7"/>
        <v>18204.07749701073</v>
      </c>
      <c r="AA52" s="97">
        <f t="shared" si="8"/>
        <v>20592.452464618538</v>
      </c>
    </row>
    <row r="53" spans="1:27" x14ac:dyDescent="0.25">
      <c r="A53" s="86" t="s">
        <v>333</v>
      </c>
      <c r="B53" s="87" t="s">
        <v>334</v>
      </c>
      <c r="C53" s="88" t="s">
        <v>226</v>
      </c>
      <c r="D53" s="89" t="s">
        <v>301</v>
      </c>
      <c r="E53" s="90">
        <f t="shared" si="11"/>
        <v>25345</v>
      </c>
      <c r="F53" s="90">
        <f t="shared" si="9"/>
        <v>25344.556879530508</v>
      </c>
      <c r="G53" s="91">
        <v>0</v>
      </c>
      <c r="H53" s="91" t="s">
        <v>228</v>
      </c>
      <c r="I53" s="91" t="s">
        <v>228</v>
      </c>
      <c r="J53" s="91" t="s">
        <v>228</v>
      </c>
      <c r="K53" s="91" t="s">
        <v>228</v>
      </c>
      <c r="L53" s="92" t="s">
        <v>302</v>
      </c>
      <c r="M53" s="91" t="str">
        <f t="shared" si="12"/>
        <v>no aplica</v>
      </c>
      <c r="N53" s="93">
        <v>41608</v>
      </c>
      <c r="O53" s="94"/>
      <c r="P53" s="94"/>
      <c r="Q53" s="94">
        <v>47</v>
      </c>
      <c r="R53" s="95">
        <f t="shared" si="1"/>
        <v>25344.556879530508</v>
      </c>
      <c r="S53" s="94">
        <v>16585.599999999999</v>
      </c>
      <c r="T53" s="94">
        <f t="shared" si="2"/>
        <v>17708.44512</v>
      </c>
      <c r="U53" s="94">
        <f t="shared" si="3"/>
        <v>18726.680714400001</v>
      </c>
      <c r="V53" s="94">
        <f t="shared" si="4"/>
        <v>19492.60195561896</v>
      </c>
      <c r="W53" s="97">
        <f t="shared" si="5"/>
        <v>20112.466697807646</v>
      </c>
      <c r="X53" s="97">
        <f t="shared" si="6"/>
        <v>20876.740432324335</v>
      </c>
      <c r="Y53" s="97">
        <f t="shared" si="10"/>
        <v>21212.855953284758</v>
      </c>
      <c r="Z53" s="97">
        <f t="shared" si="7"/>
        <v>22405.018457859362</v>
      </c>
      <c r="AA53" s="97">
        <f t="shared" si="8"/>
        <v>25344.556879530508</v>
      </c>
    </row>
    <row r="54" spans="1:27" x14ac:dyDescent="0.25">
      <c r="A54" s="86" t="s">
        <v>335</v>
      </c>
      <c r="B54" s="87" t="s">
        <v>336</v>
      </c>
      <c r="C54" s="88" t="s">
        <v>226</v>
      </c>
      <c r="D54" s="89" t="s">
        <v>301</v>
      </c>
      <c r="E54" s="90">
        <f t="shared" si="11"/>
        <v>69698</v>
      </c>
      <c r="F54" s="90">
        <f t="shared" si="9"/>
        <v>69697.53141870891</v>
      </c>
      <c r="G54" s="91">
        <v>0</v>
      </c>
      <c r="H54" s="91" t="s">
        <v>228</v>
      </c>
      <c r="I54" s="91" t="s">
        <v>228</v>
      </c>
      <c r="J54" s="91" t="s">
        <v>228</v>
      </c>
      <c r="K54" s="91" t="s">
        <v>228</v>
      </c>
      <c r="L54" s="92" t="s">
        <v>302</v>
      </c>
      <c r="M54" s="91" t="str">
        <f t="shared" si="12"/>
        <v>no aplica</v>
      </c>
      <c r="N54" s="93">
        <v>41608</v>
      </c>
      <c r="O54" s="94"/>
      <c r="P54" s="94"/>
      <c r="Q54" s="94">
        <v>48</v>
      </c>
      <c r="R54" s="95">
        <f t="shared" si="1"/>
        <v>69697.53141870891</v>
      </c>
      <c r="S54" s="94">
        <v>45610.400000000001</v>
      </c>
      <c r="T54" s="94">
        <f t="shared" si="2"/>
        <v>48698.224080000007</v>
      </c>
      <c r="U54" s="94">
        <f t="shared" si="3"/>
        <v>51498.37196460001</v>
      </c>
      <c r="V54" s="94">
        <f t="shared" si="4"/>
        <v>53604.655377952149</v>
      </c>
      <c r="W54" s="97">
        <f t="shared" si="5"/>
        <v>55309.283418971027</v>
      </c>
      <c r="X54" s="97">
        <f t="shared" si="6"/>
        <v>57411.036188891929</v>
      </c>
      <c r="Y54" s="97">
        <f t="shared" si="10"/>
        <v>58335.353871533087</v>
      </c>
      <c r="Z54" s="97">
        <f t="shared" si="7"/>
        <v>61613.800759113248</v>
      </c>
      <c r="AA54" s="97">
        <f t="shared" si="8"/>
        <v>69697.53141870891</v>
      </c>
    </row>
    <row r="55" spans="1:27" x14ac:dyDescent="0.25">
      <c r="A55" s="86" t="s">
        <v>337</v>
      </c>
      <c r="B55" s="98" t="s">
        <v>338</v>
      </c>
      <c r="C55" s="99" t="s">
        <v>226</v>
      </c>
      <c r="D55" s="100" t="s">
        <v>339</v>
      </c>
      <c r="E55" s="101">
        <f t="shared" si="11"/>
        <v>29</v>
      </c>
      <c r="F55" s="90">
        <f t="shared" si="9"/>
        <v>28.51262648947182</v>
      </c>
      <c r="G55" s="91">
        <v>0</v>
      </c>
      <c r="H55" s="91" t="s">
        <v>228</v>
      </c>
      <c r="I55" s="91" t="s">
        <v>228</v>
      </c>
      <c r="J55" s="91" t="s">
        <v>228</v>
      </c>
      <c r="K55" s="91" t="s">
        <v>228</v>
      </c>
      <c r="L55" s="92" t="s">
        <v>302</v>
      </c>
      <c r="M55" s="91" t="str">
        <f t="shared" si="12"/>
        <v>no aplica</v>
      </c>
      <c r="N55" s="93">
        <v>41608</v>
      </c>
      <c r="O55" s="94"/>
      <c r="P55" s="94"/>
      <c r="Q55" s="94">
        <v>49</v>
      </c>
      <c r="R55" s="95">
        <f t="shared" si="1"/>
        <v>28.51262648947182</v>
      </c>
      <c r="S55" s="94">
        <v>18.658799999999999</v>
      </c>
      <c r="T55" s="94">
        <f t="shared" si="2"/>
        <v>19.92200076</v>
      </c>
      <c r="U55" s="94">
        <f t="shared" si="3"/>
        <v>21.067515803700001</v>
      </c>
      <c r="V55" s="94">
        <f t="shared" si="4"/>
        <v>21.929177200071329</v>
      </c>
      <c r="W55" s="97">
        <f t="shared" si="5"/>
        <v>22.626525035033598</v>
      </c>
      <c r="X55" s="97">
        <f t="shared" si="6"/>
        <v>23.486332986364875</v>
      </c>
      <c r="Y55" s="97">
        <f t="shared" si="10"/>
        <v>23.86446294744535</v>
      </c>
      <c r="Z55" s="97">
        <f t="shared" si="7"/>
        <v>25.205645765091781</v>
      </c>
      <c r="AA55" s="97">
        <f t="shared" si="8"/>
        <v>28.51262648947182</v>
      </c>
    </row>
    <row r="56" spans="1:27" x14ac:dyDescent="0.25">
      <c r="A56" s="86" t="s">
        <v>340</v>
      </c>
      <c r="B56" s="98" t="s">
        <v>341</v>
      </c>
      <c r="C56" s="111" t="s">
        <v>226</v>
      </c>
      <c r="D56" s="100" t="s">
        <v>301</v>
      </c>
      <c r="E56" s="101">
        <f t="shared" si="11"/>
        <v>60193</v>
      </c>
      <c r="F56" s="90">
        <f t="shared" si="9"/>
        <v>60193.322588884956</v>
      </c>
      <c r="G56" s="91">
        <v>0</v>
      </c>
      <c r="H56" s="91" t="s">
        <v>228</v>
      </c>
      <c r="I56" s="91" t="s">
        <v>228</v>
      </c>
      <c r="J56" s="91" t="s">
        <v>228</v>
      </c>
      <c r="K56" s="91" t="s">
        <v>228</v>
      </c>
      <c r="L56" s="92" t="s">
        <v>302</v>
      </c>
      <c r="M56" s="91" t="str">
        <f t="shared" si="12"/>
        <v>no aplica</v>
      </c>
      <c r="N56" s="93">
        <v>41608</v>
      </c>
      <c r="O56" s="94"/>
      <c r="P56" s="94"/>
      <c r="Q56" s="94">
        <v>50</v>
      </c>
      <c r="R56" s="95">
        <f t="shared" si="1"/>
        <v>60193.322588884956</v>
      </c>
      <c r="S56" s="94">
        <v>39390.799999999996</v>
      </c>
      <c r="T56" s="94">
        <f t="shared" si="2"/>
        <v>42057.557159999997</v>
      </c>
      <c r="U56" s="94">
        <f t="shared" si="3"/>
        <v>44475.866696700003</v>
      </c>
      <c r="V56" s="94">
        <f t="shared" si="4"/>
        <v>46294.929644595031</v>
      </c>
      <c r="W56" s="97">
        <f t="shared" si="5"/>
        <v>47767.108407293155</v>
      </c>
      <c r="X56" s="97">
        <f t="shared" si="6"/>
        <v>49582.258526770296</v>
      </c>
      <c r="Y56" s="97">
        <f t="shared" si="10"/>
        <v>50380.532889051297</v>
      </c>
      <c r="Z56" s="97">
        <f t="shared" si="7"/>
        <v>53211.918837415978</v>
      </c>
      <c r="AA56" s="97">
        <f t="shared" si="8"/>
        <v>60193.322588884956</v>
      </c>
    </row>
    <row r="57" spans="1:27" x14ac:dyDescent="0.25">
      <c r="A57" s="86" t="s">
        <v>342</v>
      </c>
      <c r="B57" s="87" t="s">
        <v>343</v>
      </c>
      <c r="C57" s="112" t="s">
        <v>226</v>
      </c>
      <c r="D57" s="89" t="s">
        <v>301</v>
      </c>
      <c r="E57" s="90">
        <f t="shared" si="11"/>
        <v>57025</v>
      </c>
      <c r="F57" s="90">
        <f t="shared" si="9"/>
        <v>57025.252978943652</v>
      </c>
      <c r="G57" s="91">
        <v>0</v>
      </c>
      <c r="H57" s="91" t="s">
        <v>228</v>
      </c>
      <c r="I57" s="91" t="s">
        <v>228</v>
      </c>
      <c r="J57" s="91" t="s">
        <v>228</v>
      </c>
      <c r="K57" s="91" t="s">
        <v>228</v>
      </c>
      <c r="L57" s="92" t="s">
        <v>302</v>
      </c>
      <c r="M57" s="91" t="str">
        <f t="shared" si="12"/>
        <v>no aplica</v>
      </c>
      <c r="N57" s="93">
        <v>41608</v>
      </c>
      <c r="O57" s="94"/>
      <c r="P57" s="94"/>
      <c r="Q57" s="94">
        <v>51</v>
      </c>
      <c r="R57" s="95">
        <f t="shared" si="1"/>
        <v>57025.252978943652</v>
      </c>
      <c r="S57" s="94">
        <v>37317.599999999999</v>
      </c>
      <c r="T57" s="94">
        <f t="shared" si="2"/>
        <v>39844.001520000005</v>
      </c>
      <c r="U57" s="94">
        <f t="shared" si="3"/>
        <v>42135.031607400007</v>
      </c>
      <c r="V57" s="94">
        <f t="shared" si="4"/>
        <v>43858.354400142664</v>
      </c>
      <c r="W57" s="97">
        <f t="shared" si="5"/>
        <v>45253.050070067206</v>
      </c>
      <c r="X57" s="97">
        <f t="shared" si="6"/>
        <v>46972.665972729759</v>
      </c>
      <c r="Y57" s="97">
        <f t="shared" si="10"/>
        <v>47728.925894890708</v>
      </c>
      <c r="Z57" s="97">
        <f t="shared" si="7"/>
        <v>50411.291530183567</v>
      </c>
      <c r="AA57" s="97">
        <f t="shared" si="8"/>
        <v>57025.252978943652</v>
      </c>
    </row>
    <row r="58" spans="1:27" x14ac:dyDescent="0.25">
      <c r="A58" s="86" t="s">
        <v>344</v>
      </c>
      <c r="B58" s="87" t="s">
        <v>345</v>
      </c>
      <c r="C58" s="112" t="s">
        <v>226</v>
      </c>
      <c r="D58" s="89" t="s">
        <v>301</v>
      </c>
      <c r="E58" s="90">
        <f t="shared" si="11"/>
        <v>55441</v>
      </c>
      <c r="F58" s="90">
        <f t="shared" si="9"/>
        <v>55441.218173972993</v>
      </c>
      <c r="G58" s="91">
        <v>0</v>
      </c>
      <c r="H58" s="91" t="s">
        <v>228</v>
      </c>
      <c r="I58" s="91" t="s">
        <v>228</v>
      </c>
      <c r="J58" s="91" t="s">
        <v>228</v>
      </c>
      <c r="K58" s="91" t="s">
        <v>228</v>
      </c>
      <c r="L58" s="92" t="s">
        <v>302</v>
      </c>
      <c r="M58" s="91" t="str">
        <f t="shared" si="12"/>
        <v>no aplica</v>
      </c>
      <c r="N58" s="93">
        <v>41608</v>
      </c>
      <c r="O58" s="94"/>
      <c r="P58" s="94"/>
      <c r="Q58" s="94">
        <v>52</v>
      </c>
      <c r="R58" s="95">
        <f t="shared" si="1"/>
        <v>55441.218173972993</v>
      </c>
      <c r="S58" s="94">
        <v>36281</v>
      </c>
      <c r="T58" s="94">
        <f t="shared" si="2"/>
        <v>38737.223700000002</v>
      </c>
      <c r="U58" s="94">
        <f t="shared" si="3"/>
        <v>40964.614062750006</v>
      </c>
      <c r="V58" s="94">
        <f t="shared" si="4"/>
        <v>42640.06677791648</v>
      </c>
      <c r="W58" s="97">
        <f t="shared" si="5"/>
        <v>43996.020901454227</v>
      </c>
      <c r="X58" s="97">
        <f t="shared" si="6"/>
        <v>45667.869695709487</v>
      </c>
      <c r="Y58" s="97">
        <f t="shared" si="10"/>
        <v>46403.12239781041</v>
      </c>
      <c r="Z58" s="97">
        <f t="shared" si="7"/>
        <v>49010.977876567355</v>
      </c>
      <c r="AA58" s="97">
        <f t="shared" si="8"/>
        <v>55441.218173972993</v>
      </c>
    </row>
    <row r="59" spans="1:27" x14ac:dyDescent="0.25">
      <c r="A59" s="105" t="s">
        <v>346</v>
      </c>
      <c r="B59" s="106" t="s">
        <v>347</v>
      </c>
      <c r="C59" s="107"/>
      <c r="D59" s="108"/>
      <c r="E59" s="90">
        <f t="shared" si="11"/>
        <v>0</v>
      </c>
      <c r="F59" s="90">
        <f t="shared" si="9"/>
        <v>0</v>
      </c>
      <c r="G59" s="91"/>
      <c r="H59" s="91"/>
      <c r="I59" s="91"/>
      <c r="J59" s="91"/>
      <c r="K59" s="91"/>
      <c r="L59" s="92"/>
      <c r="M59" s="91"/>
      <c r="N59" s="93">
        <v>41608</v>
      </c>
      <c r="O59" s="109"/>
      <c r="P59" s="109"/>
      <c r="Q59" s="109">
        <v>0</v>
      </c>
      <c r="R59" s="95">
        <f t="shared" si="1"/>
        <v>0</v>
      </c>
      <c r="S59" s="109">
        <v>0</v>
      </c>
      <c r="T59" s="94">
        <f t="shared" si="2"/>
        <v>0</v>
      </c>
      <c r="U59" s="94">
        <f t="shared" si="3"/>
        <v>0</v>
      </c>
      <c r="V59" s="94">
        <f t="shared" si="4"/>
        <v>0</v>
      </c>
      <c r="W59" s="97">
        <f t="shared" si="5"/>
        <v>0</v>
      </c>
      <c r="X59" s="97">
        <f t="shared" si="6"/>
        <v>0</v>
      </c>
      <c r="Y59" s="97">
        <f t="shared" si="10"/>
        <v>0</v>
      </c>
      <c r="Z59" s="97">
        <f t="shared" si="7"/>
        <v>0</v>
      </c>
      <c r="AA59" s="97">
        <f t="shared" si="8"/>
        <v>0</v>
      </c>
    </row>
    <row r="60" spans="1:27" x14ac:dyDescent="0.25">
      <c r="A60" s="102" t="s">
        <v>348</v>
      </c>
      <c r="B60" s="87" t="s">
        <v>349</v>
      </c>
      <c r="C60" s="88" t="s">
        <v>226</v>
      </c>
      <c r="D60" s="89" t="s">
        <v>262</v>
      </c>
      <c r="E60" s="90">
        <f t="shared" si="11"/>
        <v>191948</v>
      </c>
      <c r="F60" s="90">
        <f t="shared" si="9"/>
        <v>161300.68015535697</v>
      </c>
      <c r="G60" s="91">
        <v>0.19</v>
      </c>
      <c r="H60" s="91" t="s">
        <v>228</v>
      </c>
      <c r="I60" s="91"/>
      <c r="J60" s="91"/>
      <c r="K60" s="91" t="s">
        <v>228</v>
      </c>
      <c r="L60" s="92" t="s">
        <v>350</v>
      </c>
      <c r="M60" s="91" t="str">
        <f t="shared" ref="M60:M123" si="13">+IF(L60="no aplica","no aplica","VER ARCHIVO ANEXO")</f>
        <v>VER ARCHIVO ANEXO</v>
      </c>
      <c r="N60" s="93">
        <v>41608</v>
      </c>
      <c r="O60" s="94"/>
      <c r="P60" s="94"/>
      <c r="Q60" s="94">
        <v>53</v>
      </c>
      <c r="R60" s="95">
        <f t="shared" si="1"/>
        <v>161300.68015535697</v>
      </c>
      <c r="S60" s="94">
        <v>105555.9414</v>
      </c>
      <c r="T60" s="94">
        <f t="shared" si="2"/>
        <v>112702.07863278</v>
      </c>
      <c r="U60" s="94">
        <f t="shared" si="3"/>
        <v>119182.44815416486</v>
      </c>
      <c r="V60" s="94">
        <f t="shared" si="4"/>
        <v>124057.01028367018</v>
      </c>
      <c r="W60" s="97">
        <f t="shared" si="5"/>
        <v>128002.02321069091</v>
      </c>
      <c r="X60" s="97">
        <f t="shared" si="6"/>
        <v>132866.10009269716</v>
      </c>
      <c r="Y60" s="97">
        <f t="shared" si="10"/>
        <v>135005.24430418957</v>
      </c>
      <c r="Z60" s="97">
        <f t="shared" si="7"/>
        <v>142592.53903408503</v>
      </c>
      <c r="AA60" s="97">
        <f t="shared" si="8"/>
        <v>161300.68015535697</v>
      </c>
    </row>
    <row r="61" spans="1:27" x14ac:dyDescent="0.25">
      <c r="A61" s="102" t="s">
        <v>351</v>
      </c>
      <c r="B61" s="87" t="s">
        <v>352</v>
      </c>
      <c r="C61" s="88" t="s">
        <v>226</v>
      </c>
      <c r="D61" s="89" t="s">
        <v>262</v>
      </c>
      <c r="E61" s="90">
        <f t="shared" si="11"/>
        <v>33398</v>
      </c>
      <c r="F61" s="90">
        <f t="shared" si="9"/>
        <v>28065.928674470102</v>
      </c>
      <c r="G61" s="91">
        <v>0.19</v>
      </c>
      <c r="H61" s="91" t="s">
        <v>228</v>
      </c>
      <c r="I61" s="91"/>
      <c r="J61" s="91"/>
      <c r="K61" s="91" t="s">
        <v>228</v>
      </c>
      <c r="L61" s="92" t="s">
        <v>353</v>
      </c>
      <c r="M61" s="91" t="str">
        <f t="shared" si="13"/>
        <v>VER ARCHIVO ANEXO</v>
      </c>
      <c r="N61" s="93">
        <v>41608</v>
      </c>
      <c r="O61" s="94"/>
      <c r="P61" s="94"/>
      <c r="Q61" s="94">
        <v>54</v>
      </c>
      <c r="R61" s="95">
        <f t="shared" si="1"/>
        <v>28065.928674470102</v>
      </c>
      <c r="S61" s="94">
        <v>18366.478800000001</v>
      </c>
      <c r="T61" s="94">
        <f t="shared" si="2"/>
        <v>19609.889414760004</v>
      </c>
      <c r="U61" s="94">
        <f t="shared" si="3"/>
        <v>20737.458056108706</v>
      </c>
      <c r="V61" s="94">
        <f t="shared" si="4"/>
        <v>21585.620090603552</v>
      </c>
      <c r="W61" s="97">
        <f t="shared" si="5"/>
        <v>22272.042809484745</v>
      </c>
      <c r="X61" s="97">
        <f t="shared" si="6"/>
        <v>23118.380436245166</v>
      </c>
      <c r="Y61" s="97">
        <f t="shared" si="10"/>
        <v>23490.586361268714</v>
      </c>
      <c r="Z61" s="97">
        <f t="shared" si="7"/>
        <v>24810.757314772014</v>
      </c>
      <c r="AA61" s="97">
        <f t="shared" si="8"/>
        <v>28065.928674470102</v>
      </c>
    </row>
    <row r="62" spans="1:27" x14ac:dyDescent="0.25">
      <c r="A62" s="102" t="s">
        <v>354</v>
      </c>
      <c r="B62" s="87" t="s">
        <v>355</v>
      </c>
      <c r="C62" s="88" t="s">
        <v>226</v>
      </c>
      <c r="D62" s="89" t="s">
        <v>262</v>
      </c>
      <c r="E62" s="90">
        <f t="shared" si="11"/>
        <v>79521</v>
      </c>
      <c r="F62" s="90">
        <f t="shared" si="9"/>
        <v>66824.092282492129</v>
      </c>
      <c r="G62" s="91">
        <v>0.19</v>
      </c>
      <c r="H62" s="91" t="s">
        <v>228</v>
      </c>
      <c r="I62" s="91"/>
      <c r="J62" s="91"/>
      <c r="K62" s="91" t="s">
        <v>228</v>
      </c>
      <c r="L62" s="92" t="s">
        <v>356</v>
      </c>
      <c r="M62" s="91" t="str">
        <f t="shared" si="13"/>
        <v>VER ARCHIVO ANEXO</v>
      </c>
      <c r="N62" s="93">
        <v>41608</v>
      </c>
      <c r="O62" s="94"/>
      <c r="P62" s="94"/>
      <c r="Q62" s="94">
        <v>55</v>
      </c>
      <c r="R62" s="95">
        <f t="shared" si="1"/>
        <v>66824.092282492129</v>
      </c>
      <c r="S62" s="94">
        <v>43730.007599999997</v>
      </c>
      <c r="T62" s="94">
        <f t="shared" si="2"/>
        <v>46690.529114520003</v>
      </c>
      <c r="U62" s="94">
        <f t="shared" si="3"/>
        <v>49375.234538604906</v>
      </c>
      <c r="V62" s="94">
        <f t="shared" si="4"/>
        <v>51394.681631233841</v>
      </c>
      <c r="W62" s="97">
        <f t="shared" si="5"/>
        <v>53029.032507107084</v>
      </c>
      <c r="X62" s="97">
        <f t="shared" si="6"/>
        <v>55044.135742377155</v>
      </c>
      <c r="Y62" s="97">
        <f t="shared" si="10"/>
        <v>55930.346327829429</v>
      </c>
      <c r="Z62" s="97">
        <f t="shared" si="7"/>
        <v>59073.631791453445</v>
      </c>
      <c r="AA62" s="97">
        <f t="shared" si="8"/>
        <v>66824.092282492129</v>
      </c>
    </row>
    <row r="63" spans="1:27" x14ac:dyDescent="0.25">
      <c r="A63" s="102" t="s">
        <v>357</v>
      </c>
      <c r="B63" s="87" t="s">
        <v>358</v>
      </c>
      <c r="C63" s="88" t="s">
        <v>226</v>
      </c>
      <c r="D63" s="89" t="s">
        <v>262</v>
      </c>
      <c r="E63" s="90">
        <f t="shared" si="11"/>
        <v>115409</v>
      </c>
      <c r="F63" s="90">
        <f t="shared" si="9"/>
        <v>96982.530934328475</v>
      </c>
      <c r="G63" s="91">
        <v>0.19</v>
      </c>
      <c r="H63" s="91" t="s">
        <v>228</v>
      </c>
      <c r="I63" s="91"/>
      <c r="J63" s="91"/>
      <c r="K63" s="91" t="s">
        <v>228</v>
      </c>
      <c r="L63" s="92" t="s">
        <v>359</v>
      </c>
      <c r="M63" s="91" t="str">
        <f t="shared" si="13"/>
        <v>VER ARCHIVO ANEXO</v>
      </c>
      <c r="N63" s="93">
        <v>41608</v>
      </c>
      <c r="O63" s="94"/>
      <c r="P63" s="94"/>
      <c r="Q63" s="94">
        <v>56</v>
      </c>
      <c r="R63" s="95">
        <f t="shared" si="1"/>
        <v>96982.530934328475</v>
      </c>
      <c r="S63" s="94">
        <v>63465.834999999999</v>
      </c>
      <c r="T63" s="94">
        <f t="shared" si="2"/>
        <v>67762.472029500001</v>
      </c>
      <c r="U63" s="94">
        <f t="shared" si="3"/>
        <v>71658.814171196253</v>
      </c>
      <c r="V63" s="94">
        <f t="shared" si="4"/>
        <v>74589.659670798181</v>
      </c>
      <c r="W63" s="97">
        <f t="shared" si="5"/>
        <v>76961.610848329568</v>
      </c>
      <c r="X63" s="97">
        <f t="shared" si="6"/>
        <v>79886.152060566092</v>
      </c>
      <c r="Y63" s="97">
        <f t="shared" si="10"/>
        <v>81172.319108741212</v>
      </c>
      <c r="Z63" s="97">
        <f t="shared" si="7"/>
        <v>85734.203442652477</v>
      </c>
      <c r="AA63" s="97">
        <f t="shared" si="8"/>
        <v>96982.530934328475</v>
      </c>
    </row>
    <row r="64" spans="1:27" x14ac:dyDescent="0.25">
      <c r="A64" s="102" t="s">
        <v>360</v>
      </c>
      <c r="B64" s="87" t="s">
        <v>361</v>
      </c>
      <c r="C64" s="88" t="s">
        <v>226</v>
      </c>
      <c r="D64" s="89" t="s">
        <v>262</v>
      </c>
      <c r="E64" s="90">
        <f t="shared" si="11"/>
        <v>110866</v>
      </c>
      <c r="F64" s="90">
        <f t="shared" si="9"/>
        <v>93165.007054349175</v>
      </c>
      <c r="G64" s="91">
        <v>0.19</v>
      </c>
      <c r="H64" s="91" t="s">
        <v>228</v>
      </c>
      <c r="I64" s="91"/>
      <c r="J64" s="91"/>
      <c r="K64" s="91" t="s">
        <v>228</v>
      </c>
      <c r="L64" s="92" t="s">
        <v>359</v>
      </c>
      <c r="M64" s="91" t="str">
        <f t="shared" si="13"/>
        <v>VER ARCHIVO ANEXO</v>
      </c>
      <c r="N64" s="93">
        <v>41608</v>
      </c>
      <c r="O64" s="94"/>
      <c r="P64" s="94"/>
      <c r="Q64" s="94">
        <v>57</v>
      </c>
      <c r="R64" s="95">
        <f t="shared" si="1"/>
        <v>93165.007054349175</v>
      </c>
      <c r="S64" s="94">
        <v>60967.629000000001</v>
      </c>
      <c r="T64" s="94">
        <f t="shared" si="2"/>
        <v>65095.137483300008</v>
      </c>
      <c r="U64" s="94">
        <f t="shared" si="3"/>
        <v>68838.107888589759</v>
      </c>
      <c r="V64" s="94">
        <f t="shared" si="4"/>
        <v>71653.586501233076</v>
      </c>
      <c r="W64" s="97">
        <f t="shared" si="5"/>
        <v>73932.170551972289</v>
      </c>
      <c r="X64" s="97">
        <f t="shared" si="6"/>
        <v>76741.593032947232</v>
      </c>
      <c r="Y64" s="97">
        <f t="shared" si="10"/>
        <v>77977.132680777679</v>
      </c>
      <c r="Z64" s="97">
        <f t="shared" si="7"/>
        <v>82359.447537437387</v>
      </c>
      <c r="AA64" s="97">
        <f t="shared" si="8"/>
        <v>93165.007054349175</v>
      </c>
    </row>
    <row r="65" spans="1:27" x14ac:dyDescent="0.25">
      <c r="A65" s="102" t="s">
        <v>362</v>
      </c>
      <c r="B65" s="87" t="s">
        <v>363</v>
      </c>
      <c r="C65" s="88" t="s">
        <v>226</v>
      </c>
      <c r="D65" s="89" t="s">
        <v>262</v>
      </c>
      <c r="E65" s="90">
        <f t="shared" si="11"/>
        <v>18850</v>
      </c>
      <c r="F65" s="90">
        <f t="shared" si="9"/>
        <v>15840.348049706568</v>
      </c>
      <c r="G65" s="91">
        <v>0.19</v>
      </c>
      <c r="H65" s="91" t="s">
        <v>228</v>
      </c>
      <c r="I65" s="91"/>
      <c r="J65" s="91"/>
      <c r="K65" s="91" t="s">
        <v>228</v>
      </c>
      <c r="L65" s="92" t="s">
        <v>353</v>
      </c>
      <c r="M65" s="91" t="str">
        <f t="shared" si="13"/>
        <v>VER ARCHIVO ANEXO</v>
      </c>
      <c r="N65" s="93">
        <v>41608</v>
      </c>
      <c r="O65" s="94"/>
      <c r="P65" s="94"/>
      <c r="Q65" s="94">
        <v>58</v>
      </c>
      <c r="R65" s="95">
        <f t="shared" si="1"/>
        <v>15840.348049706568</v>
      </c>
      <c r="S65" s="94">
        <v>10366</v>
      </c>
      <c r="T65" s="94">
        <f t="shared" si="2"/>
        <v>11067.778200000001</v>
      </c>
      <c r="U65" s="94">
        <f t="shared" si="3"/>
        <v>11704.175446500001</v>
      </c>
      <c r="V65" s="94">
        <f t="shared" si="4"/>
        <v>12182.87622226185</v>
      </c>
      <c r="W65" s="97">
        <f t="shared" si="5"/>
        <v>12570.291686129778</v>
      </c>
      <c r="X65" s="97">
        <f t="shared" si="6"/>
        <v>13047.96277020271</v>
      </c>
      <c r="Y65" s="97">
        <f t="shared" si="10"/>
        <v>13258.034970802973</v>
      </c>
      <c r="Z65" s="97">
        <f t="shared" si="7"/>
        <v>14003.136536162101</v>
      </c>
      <c r="AA65" s="97">
        <f t="shared" si="8"/>
        <v>15840.348049706568</v>
      </c>
    </row>
    <row r="66" spans="1:27" x14ac:dyDescent="0.25">
      <c r="A66" s="102" t="s">
        <v>364</v>
      </c>
      <c r="B66" s="110" t="s">
        <v>365</v>
      </c>
      <c r="C66" s="88" t="s">
        <v>226</v>
      </c>
      <c r="D66" s="89" t="s">
        <v>262</v>
      </c>
      <c r="E66" s="90">
        <f t="shared" si="11"/>
        <v>29391</v>
      </c>
      <c r="F66" s="90">
        <f t="shared" si="9"/>
        <v>24698.270679102483</v>
      </c>
      <c r="G66" s="91">
        <v>0.19</v>
      </c>
      <c r="H66" s="91" t="s">
        <v>228</v>
      </c>
      <c r="I66" s="91"/>
      <c r="J66" s="91"/>
      <c r="K66" s="91" t="s">
        <v>228</v>
      </c>
      <c r="L66" s="92" t="s">
        <v>353</v>
      </c>
      <c r="M66" s="91" t="str">
        <f t="shared" si="13"/>
        <v>VER ARCHIVO ANEXO</v>
      </c>
      <c r="N66" s="93">
        <v>41608</v>
      </c>
      <c r="O66" s="94"/>
      <c r="P66" s="94"/>
      <c r="Q66" s="94">
        <v>59</v>
      </c>
      <c r="R66" s="95">
        <f t="shared" si="1"/>
        <v>24698.270679102483</v>
      </c>
      <c r="S66" s="94">
        <v>16162.6672</v>
      </c>
      <c r="T66" s="94">
        <f t="shared" si="2"/>
        <v>17256.879769440002</v>
      </c>
      <c r="U66" s="94">
        <f t="shared" si="3"/>
        <v>18249.150356182803</v>
      </c>
      <c r="V66" s="94">
        <f t="shared" si="4"/>
        <v>18995.540605750677</v>
      </c>
      <c r="W66" s="97">
        <f t="shared" si="5"/>
        <v>19599.59879701355</v>
      </c>
      <c r="X66" s="97">
        <f t="shared" si="6"/>
        <v>20344.383551300067</v>
      </c>
      <c r="Y66" s="97">
        <f t="shared" si="10"/>
        <v>20671.928126475999</v>
      </c>
      <c r="Z66" s="97">
        <f t="shared" si="7"/>
        <v>21833.690487183951</v>
      </c>
      <c r="AA66" s="97">
        <f t="shared" si="8"/>
        <v>24698.270679102483</v>
      </c>
    </row>
    <row r="67" spans="1:27" x14ac:dyDescent="0.25">
      <c r="A67" s="102" t="s">
        <v>366</v>
      </c>
      <c r="B67" s="87" t="s">
        <v>367</v>
      </c>
      <c r="C67" s="88" t="s">
        <v>226</v>
      </c>
      <c r="D67" s="89" t="s">
        <v>262</v>
      </c>
      <c r="E67" s="90">
        <f t="shared" si="11"/>
        <v>278496</v>
      </c>
      <c r="F67" s="90">
        <f t="shared" si="9"/>
        <v>234030.05419077977</v>
      </c>
      <c r="G67" s="91">
        <v>0.19</v>
      </c>
      <c r="H67" s="91" t="s">
        <v>228</v>
      </c>
      <c r="I67" s="91"/>
      <c r="J67" s="91"/>
      <c r="K67" s="91" t="s">
        <v>228</v>
      </c>
      <c r="L67" s="92" t="s">
        <v>356</v>
      </c>
      <c r="M67" s="91" t="str">
        <f t="shared" si="13"/>
        <v>VER ARCHIVO ANEXO</v>
      </c>
      <c r="N67" s="93">
        <v>41608</v>
      </c>
      <c r="O67" s="94"/>
      <c r="P67" s="94"/>
      <c r="Q67" s="94">
        <v>60</v>
      </c>
      <c r="R67" s="95">
        <f t="shared" si="1"/>
        <v>234030.05419077977</v>
      </c>
      <c r="S67" s="94">
        <v>153150.39379999999</v>
      </c>
      <c r="T67" s="94">
        <f t="shared" si="2"/>
        <v>163518.67546026001</v>
      </c>
      <c r="U67" s="94">
        <f t="shared" si="3"/>
        <v>172920.99929922499</v>
      </c>
      <c r="V67" s="94">
        <f t="shared" si="4"/>
        <v>179993.46817056328</v>
      </c>
      <c r="W67" s="97">
        <f t="shared" si="5"/>
        <v>185717.2604583872</v>
      </c>
      <c r="X67" s="97">
        <f t="shared" si="6"/>
        <v>192774.51635580591</v>
      </c>
      <c r="Y67" s="97">
        <f t="shared" si="10"/>
        <v>195878.18606913439</v>
      </c>
      <c r="Z67" s="97">
        <f t="shared" si="7"/>
        <v>206886.54012621974</v>
      </c>
      <c r="AA67" s="97">
        <f t="shared" si="8"/>
        <v>234030.05419077977</v>
      </c>
    </row>
    <row r="68" spans="1:27" x14ac:dyDescent="0.25">
      <c r="A68" s="102" t="s">
        <v>368</v>
      </c>
      <c r="B68" s="87" t="s">
        <v>369</v>
      </c>
      <c r="C68" s="88" t="s">
        <v>226</v>
      </c>
      <c r="D68" s="89" t="s">
        <v>262</v>
      </c>
      <c r="E68" s="90">
        <f t="shared" si="11"/>
        <v>409605</v>
      </c>
      <c r="F68" s="90">
        <f t="shared" si="9"/>
        <v>344206.01101570873</v>
      </c>
      <c r="G68" s="91">
        <v>0.19</v>
      </c>
      <c r="H68" s="91" t="s">
        <v>228</v>
      </c>
      <c r="I68" s="91"/>
      <c r="J68" s="91"/>
      <c r="K68" s="91" t="s">
        <v>228</v>
      </c>
      <c r="L68" s="92" t="s">
        <v>356</v>
      </c>
      <c r="M68" s="91" t="str">
        <f t="shared" si="13"/>
        <v>VER ARCHIVO ANEXO</v>
      </c>
      <c r="N68" s="93">
        <v>41608</v>
      </c>
      <c r="O68" s="94"/>
      <c r="P68" s="94"/>
      <c r="Q68" s="94">
        <v>61</v>
      </c>
      <c r="R68" s="95">
        <f t="shared" si="1"/>
        <v>344206.01101570873</v>
      </c>
      <c r="S68" s="94">
        <v>225250.07019999999</v>
      </c>
      <c r="T68" s="94">
        <f t="shared" si="2"/>
        <v>240499.49995254001</v>
      </c>
      <c r="U68" s="94">
        <f t="shared" si="3"/>
        <v>254328.22119981109</v>
      </c>
      <c r="V68" s="94">
        <f t="shared" si="4"/>
        <v>264730.24544688332</v>
      </c>
      <c r="W68" s="97">
        <f t="shared" si="5"/>
        <v>273148.66725209419</v>
      </c>
      <c r="X68" s="97">
        <f t="shared" si="6"/>
        <v>283528.31660767377</v>
      </c>
      <c r="Y68" s="97">
        <f t="shared" si="10"/>
        <v>288093.12250505731</v>
      </c>
      <c r="Z68" s="97">
        <f t="shared" si="7"/>
        <v>304283.95598984155</v>
      </c>
      <c r="AA68" s="97">
        <f t="shared" si="8"/>
        <v>344206.01101570873</v>
      </c>
    </row>
    <row r="69" spans="1:27" x14ac:dyDescent="0.25">
      <c r="A69" s="102" t="s">
        <v>370</v>
      </c>
      <c r="B69" s="87" t="s">
        <v>371</v>
      </c>
      <c r="C69" s="88" t="s">
        <v>226</v>
      </c>
      <c r="D69" s="89" t="s">
        <v>262</v>
      </c>
      <c r="E69" s="90">
        <f t="shared" si="11"/>
        <v>167954</v>
      </c>
      <c r="F69" s="90">
        <f t="shared" si="9"/>
        <v>141137.50112288556</v>
      </c>
      <c r="G69" s="91">
        <v>0.19</v>
      </c>
      <c r="H69" s="91" t="s">
        <v>228</v>
      </c>
      <c r="I69" s="91"/>
      <c r="J69" s="91"/>
      <c r="K69" s="91" t="s">
        <v>228</v>
      </c>
      <c r="L69" s="92" t="s">
        <v>372</v>
      </c>
      <c r="M69" s="91" t="str">
        <f t="shared" si="13"/>
        <v>VER ARCHIVO ANEXO</v>
      </c>
      <c r="N69" s="93">
        <v>41608</v>
      </c>
      <c r="O69" s="94"/>
      <c r="P69" s="94"/>
      <c r="Q69" s="94">
        <v>62</v>
      </c>
      <c r="R69" s="95">
        <f t="shared" si="1"/>
        <v>141137.50112288556</v>
      </c>
      <c r="S69" s="94">
        <v>92361.06</v>
      </c>
      <c r="T69" s="94">
        <f t="shared" si="2"/>
        <v>98613.903762000002</v>
      </c>
      <c r="U69" s="94">
        <f t="shared" si="3"/>
        <v>104284.20322831502</v>
      </c>
      <c r="V69" s="94">
        <f t="shared" si="4"/>
        <v>108549.4271403531</v>
      </c>
      <c r="W69" s="97">
        <f t="shared" si="5"/>
        <v>112001.29892341634</v>
      </c>
      <c r="X69" s="97">
        <f t="shared" si="6"/>
        <v>116257.34828250617</v>
      </c>
      <c r="Y69" s="97">
        <f t="shared" si="10"/>
        <v>118129.09158985452</v>
      </c>
      <c r="Z69" s="97">
        <f t="shared" si="7"/>
        <v>124767.94653720435</v>
      </c>
      <c r="AA69" s="97">
        <f t="shared" si="8"/>
        <v>141137.50112288556</v>
      </c>
    </row>
    <row r="70" spans="1:27" x14ac:dyDescent="0.25">
      <c r="A70" s="102" t="s">
        <v>373</v>
      </c>
      <c r="B70" s="98" t="s">
        <v>374</v>
      </c>
      <c r="C70" s="99" t="s">
        <v>226</v>
      </c>
      <c r="D70" s="100" t="s">
        <v>262</v>
      </c>
      <c r="E70" s="101">
        <f t="shared" si="11"/>
        <v>175324</v>
      </c>
      <c r="F70" s="90">
        <f t="shared" si="9"/>
        <v>147331.0772103208</v>
      </c>
      <c r="G70" s="91">
        <v>0.19</v>
      </c>
      <c r="H70" s="91" t="s">
        <v>228</v>
      </c>
      <c r="I70" s="91"/>
      <c r="J70" s="91"/>
      <c r="K70" s="91" t="s">
        <v>228</v>
      </c>
      <c r="L70" s="92" t="s">
        <v>372</v>
      </c>
      <c r="M70" s="91" t="str">
        <f t="shared" si="13"/>
        <v>VER ARCHIVO ANEXO</v>
      </c>
      <c r="N70" s="93">
        <v>41608</v>
      </c>
      <c r="O70" s="94"/>
      <c r="P70" s="94"/>
      <c r="Q70" s="94">
        <v>63</v>
      </c>
      <c r="R70" s="95">
        <f t="shared" si="1"/>
        <v>147331.0772103208</v>
      </c>
      <c r="S70" s="94">
        <v>96414.165999999997</v>
      </c>
      <c r="T70" s="94">
        <f t="shared" si="2"/>
        <v>102941.40503820001</v>
      </c>
      <c r="U70" s="94">
        <f t="shared" si="3"/>
        <v>108860.53582789653</v>
      </c>
      <c r="V70" s="94">
        <f t="shared" si="4"/>
        <v>113312.93174325749</v>
      </c>
      <c r="W70" s="97">
        <f t="shared" si="5"/>
        <v>116916.28297269308</v>
      </c>
      <c r="X70" s="97">
        <f t="shared" si="6"/>
        <v>121359.10172565542</v>
      </c>
      <c r="Y70" s="97">
        <f t="shared" si="10"/>
        <v>123312.98326343847</v>
      </c>
      <c r="Z70" s="97">
        <f t="shared" si="7"/>
        <v>130243.17292284372</v>
      </c>
      <c r="AA70" s="97">
        <f t="shared" si="8"/>
        <v>147331.0772103208</v>
      </c>
    </row>
    <row r="71" spans="1:27" x14ac:dyDescent="0.25">
      <c r="A71" s="102" t="s">
        <v>375</v>
      </c>
      <c r="B71" s="87" t="s">
        <v>376</v>
      </c>
      <c r="C71" s="88" t="s">
        <v>226</v>
      </c>
      <c r="D71" s="89" t="s">
        <v>262</v>
      </c>
      <c r="E71" s="90">
        <f t="shared" si="11"/>
        <v>97515</v>
      </c>
      <c r="F71" s="90">
        <f t="shared" si="9"/>
        <v>81945.288530742007</v>
      </c>
      <c r="G71" s="91">
        <v>0.19</v>
      </c>
      <c r="H71" s="91" t="s">
        <v>228</v>
      </c>
      <c r="I71" s="91"/>
      <c r="J71" s="91"/>
      <c r="K71" s="91" t="s">
        <v>228</v>
      </c>
      <c r="L71" s="92" t="s">
        <v>377</v>
      </c>
      <c r="M71" s="91" t="str">
        <f t="shared" si="13"/>
        <v>VER ARCHIVO ANEXO</v>
      </c>
      <c r="N71" s="93">
        <v>41608</v>
      </c>
      <c r="O71" s="94"/>
      <c r="P71" s="94"/>
      <c r="Q71" s="94">
        <v>64</v>
      </c>
      <c r="R71" s="95">
        <f t="shared" ref="R71:R134" si="14">+AA71</f>
        <v>81945.288530742007</v>
      </c>
      <c r="S71" s="94">
        <v>53625.391199999998</v>
      </c>
      <c r="T71" s="94">
        <f t="shared" ref="T71:T134" si="15">+S71*1.0677</f>
        <v>57255.830184240003</v>
      </c>
      <c r="U71" s="94">
        <f t="shared" ref="U71:U134" si="16">+T71*(1+$U$4)</f>
        <v>60548.040419833807</v>
      </c>
      <c r="V71" s="94">
        <f t="shared" ref="V71:V134" si="17">+U71*(1+$V$4)</f>
        <v>63024.455273005005</v>
      </c>
      <c r="W71" s="97">
        <f t="shared" ref="W71:W134" si="18">+V71*(1+$W$4)</f>
        <v>65028.632950686566</v>
      </c>
      <c r="X71" s="97">
        <f t="shared" ref="X71:X134" si="19">+W71*(1+$X$4)</f>
        <v>67499.721002812657</v>
      </c>
      <c r="Y71" s="97">
        <f t="shared" si="10"/>
        <v>68586.466510957936</v>
      </c>
      <c r="Z71" s="97">
        <f t="shared" ref="Z71:Z134" si="20">+Y71*(1+$Z$4)</f>
        <v>72441.025928873773</v>
      </c>
      <c r="AA71" s="97">
        <f t="shared" ref="AA71:AA134" si="21">+Z71*(1+$AA$4)</f>
        <v>81945.288530742007</v>
      </c>
    </row>
    <row r="72" spans="1:27" x14ac:dyDescent="0.25">
      <c r="A72" s="102" t="s">
        <v>378</v>
      </c>
      <c r="B72" s="87" t="s">
        <v>379</v>
      </c>
      <c r="C72" s="88" t="s">
        <v>226</v>
      </c>
      <c r="D72" s="89" t="s">
        <v>262</v>
      </c>
      <c r="E72" s="90">
        <f t="shared" si="11"/>
        <v>212781</v>
      </c>
      <c r="F72" s="90">
        <f t="shared" ref="F72:F135" si="22">R72</f>
        <v>178807.43281989274</v>
      </c>
      <c r="G72" s="91">
        <v>0.19</v>
      </c>
      <c r="H72" s="91" t="s">
        <v>228</v>
      </c>
      <c r="I72" s="91"/>
      <c r="J72" s="91"/>
      <c r="K72" s="91" t="s">
        <v>228</v>
      </c>
      <c r="L72" s="92" t="s">
        <v>356</v>
      </c>
      <c r="M72" s="91" t="str">
        <f t="shared" si="13"/>
        <v>VER ARCHIVO ANEXO</v>
      </c>
      <c r="N72" s="93">
        <v>41608</v>
      </c>
      <c r="O72" s="94"/>
      <c r="P72" s="94"/>
      <c r="Q72" s="94">
        <v>65</v>
      </c>
      <c r="R72" s="95">
        <f t="shared" si="14"/>
        <v>178807.43281989274</v>
      </c>
      <c r="S72" s="94">
        <v>117012.4446</v>
      </c>
      <c r="T72" s="94">
        <f t="shared" si="15"/>
        <v>124934.18709942001</v>
      </c>
      <c r="U72" s="94">
        <f t="shared" si="16"/>
        <v>132117.90285763668</v>
      </c>
      <c r="V72" s="94">
        <f t="shared" si="17"/>
        <v>137521.52508451403</v>
      </c>
      <c r="W72" s="97">
        <f t="shared" si="18"/>
        <v>141894.70958220158</v>
      </c>
      <c r="X72" s="97">
        <f t="shared" si="19"/>
        <v>147286.70854632524</v>
      </c>
      <c r="Y72" s="97">
        <f t="shared" ref="Y72:Y135" si="23">+X72*(1+$Y$4)</f>
        <v>149658.02455392107</v>
      </c>
      <c r="Z72" s="97">
        <f t="shared" si="20"/>
        <v>158068.80553385144</v>
      </c>
      <c r="AA72" s="97">
        <f t="shared" si="21"/>
        <v>178807.43281989274</v>
      </c>
    </row>
    <row r="73" spans="1:27" x14ac:dyDescent="0.25">
      <c r="A73" s="102" t="s">
        <v>380</v>
      </c>
      <c r="B73" s="87" t="s">
        <v>381</v>
      </c>
      <c r="C73" s="88" t="s">
        <v>226</v>
      </c>
      <c r="D73" s="89" t="s">
        <v>262</v>
      </c>
      <c r="E73" s="90">
        <f t="shared" ref="E73:E136" si="24">+ROUND(F73*(1+G73),0)</f>
        <v>632062</v>
      </c>
      <c r="F73" s="90">
        <f t="shared" si="22"/>
        <v>531144.29448951595</v>
      </c>
      <c r="G73" s="91">
        <v>0.19</v>
      </c>
      <c r="H73" s="91" t="s">
        <v>228</v>
      </c>
      <c r="I73" s="91"/>
      <c r="J73" s="91"/>
      <c r="K73" s="91" t="s">
        <v>228</v>
      </c>
      <c r="L73" s="92" t="s">
        <v>359</v>
      </c>
      <c r="M73" s="91" t="str">
        <f t="shared" si="13"/>
        <v>VER ARCHIVO ANEXO</v>
      </c>
      <c r="N73" s="93">
        <v>41608</v>
      </c>
      <c r="O73" s="94"/>
      <c r="P73" s="94"/>
      <c r="Q73" s="94">
        <v>66</v>
      </c>
      <c r="R73" s="95">
        <f t="shared" si="14"/>
        <v>531144.29448951595</v>
      </c>
      <c r="S73" s="94">
        <v>347583.38260000001</v>
      </c>
      <c r="T73" s="94">
        <f t="shared" si="15"/>
        <v>371114.77760202007</v>
      </c>
      <c r="U73" s="94">
        <f t="shared" si="16"/>
        <v>392453.87731413625</v>
      </c>
      <c r="V73" s="94">
        <f t="shared" si="17"/>
        <v>408505.24089628441</v>
      </c>
      <c r="W73" s="97">
        <f t="shared" si="18"/>
        <v>421495.70755678625</v>
      </c>
      <c r="X73" s="97">
        <f t="shared" si="19"/>
        <v>437512.54444394412</v>
      </c>
      <c r="Y73" s="97">
        <f t="shared" si="23"/>
        <v>444556.49640949164</v>
      </c>
      <c r="Z73" s="97">
        <f t="shared" si="20"/>
        <v>469540.57150770508</v>
      </c>
      <c r="AA73" s="97">
        <f t="shared" si="21"/>
        <v>531144.29448951595</v>
      </c>
    </row>
    <row r="74" spans="1:27" x14ac:dyDescent="0.25">
      <c r="A74" s="102" t="s">
        <v>382</v>
      </c>
      <c r="B74" s="87" t="s">
        <v>383</v>
      </c>
      <c r="C74" s="88" t="s">
        <v>226</v>
      </c>
      <c r="D74" s="89" t="s">
        <v>262</v>
      </c>
      <c r="E74" s="90">
        <f t="shared" si="24"/>
        <v>864415</v>
      </c>
      <c r="F74" s="90">
        <f t="shared" si="22"/>
        <v>726398.76068941888</v>
      </c>
      <c r="G74" s="91">
        <v>0.19</v>
      </c>
      <c r="H74" s="91" t="s">
        <v>228</v>
      </c>
      <c r="I74" s="91"/>
      <c r="J74" s="91"/>
      <c r="K74" s="91" t="s">
        <v>228</v>
      </c>
      <c r="L74" s="92" t="s">
        <v>359</v>
      </c>
      <c r="M74" s="91" t="str">
        <f t="shared" si="13"/>
        <v>VER ARCHIVO ANEXO</v>
      </c>
      <c r="N74" s="93">
        <v>41608</v>
      </c>
      <c r="O74" s="94"/>
      <c r="P74" s="94"/>
      <c r="Q74" s="94">
        <v>67</v>
      </c>
      <c r="R74" s="95">
        <f t="shared" si="14"/>
        <v>726398.76068941888</v>
      </c>
      <c r="S74" s="94">
        <v>475358.84499999997</v>
      </c>
      <c r="T74" s="94">
        <f t="shared" si="15"/>
        <v>507540.63880650001</v>
      </c>
      <c r="U74" s="94">
        <f t="shared" si="16"/>
        <v>536724.2255378738</v>
      </c>
      <c r="V74" s="94">
        <f t="shared" si="17"/>
        <v>558676.24636237277</v>
      </c>
      <c r="W74" s="97">
        <f t="shared" si="18"/>
        <v>576442.1509966962</v>
      </c>
      <c r="X74" s="97">
        <f t="shared" si="19"/>
        <v>598346.95273457072</v>
      </c>
      <c r="Y74" s="97">
        <f t="shared" si="23"/>
        <v>607980.33867359732</v>
      </c>
      <c r="Z74" s="97">
        <f t="shared" si="20"/>
        <v>642148.83370705345</v>
      </c>
      <c r="AA74" s="97">
        <f t="shared" si="21"/>
        <v>726398.76068941888</v>
      </c>
    </row>
    <row r="75" spans="1:27" x14ac:dyDescent="0.25">
      <c r="A75" s="102" t="s">
        <v>384</v>
      </c>
      <c r="B75" s="87" t="s">
        <v>385</v>
      </c>
      <c r="C75" s="88" t="s">
        <v>226</v>
      </c>
      <c r="D75" s="89" t="s">
        <v>262</v>
      </c>
      <c r="E75" s="90">
        <f t="shared" si="24"/>
        <v>580816</v>
      </c>
      <c r="F75" s="90">
        <f t="shared" si="22"/>
        <v>488080.72428158368</v>
      </c>
      <c r="G75" s="91">
        <v>0.19</v>
      </c>
      <c r="H75" s="91" t="s">
        <v>228</v>
      </c>
      <c r="I75" s="91"/>
      <c r="J75" s="91"/>
      <c r="K75" s="91" t="s">
        <v>228</v>
      </c>
      <c r="L75" s="92" t="s">
        <v>359</v>
      </c>
      <c r="M75" s="91" t="str">
        <f t="shared" si="13"/>
        <v>VER ARCHIVO ANEXO</v>
      </c>
      <c r="N75" s="93">
        <v>41608</v>
      </c>
      <c r="O75" s="94"/>
      <c r="P75" s="94"/>
      <c r="Q75" s="94">
        <v>68</v>
      </c>
      <c r="R75" s="95">
        <f t="shared" si="14"/>
        <v>488080.72428158368</v>
      </c>
      <c r="S75" s="94">
        <v>319402.375</v>
      </c>
      <c r="T75" s="94">
        <f t="shared" si="15"/>
        <v>341025.91578750004</v>
      </c>
      <c r="U75" s="94">
        <f t="shared" si="16"/>
        <v>360634.90594528132</v>
      </c>
      <c r="V75" s="94">
        <f t="shared" si="17"/>
        <v>375384.87359844329</v>
      </c>
      <c r="W75" s="97">
        <f t="shared" si="18"/>
        <v>387322.11257887381</v>
      </c>
      <c r="X75" s="97">
        <f t="shared" si="19"/>
        <v>402040.35285687103</v>
      </c>
      <c r="Y75" s="97">
        <f t="shared" si="23"/>
        <v>408513.20253786666</v>
      </c>
      <c r="Z75" s="97">
        <f t="shared" si="20"/>
        <v>431471.6445204948</v>
      </c>
      <c r="AA75" s="97">
        <f t="shared" si="21"/>
        <v>488080.72428158368</v>
      </c>
    </row>
    <row r="76" spans="1:27" x14ac:dyDescent="0.25">
      <c r="A76" s="102" t="s">
        <v>386</v>
      </c>
      <c r="B76" s="98" t="s">
        <v>387</v>
      </c>
      <c r="C76" s="99" t="s">
        <v>226</v>
      </c>
      <c r="D76" s="100" t="s">
        <v>262</v>
      </c>
      <c r="E76" s="101">
        <f t="shared" si="24"/>
        <v>111405</v>
      </c>
      <c r="F76" s="90">
        <f t="shared" si="22"/>
        <v>93618.041008570784</v>
      </c>
      <c r="G76" s="91">
        <v>0.19</v>
      </c>
      <c r="H76" s="91" t="s">
        <v>228</v>
      </c>
      <c r="I76" s="91"/>
      <c r="J76" s="91"/>
      <c r="K76" s="91" t="s">
        <v>228</v>
      </c>
      <c r="L76" s="92" t="s">
        <v>388</v>
      </c>
      <c r="M76" s="91" t="str">
        <f t="shared" si="13"/>
        <v>VER ARCHIVO ANEXO</v>
      </c>
      <c r="N76" s="93">
        <v>41608</v>
      </c>
      <c r="O76" s="94"/>
      <c r="P76" s="94"/>
      <c r="Q76" s="94">
        <v>69</v>
      </c>
      <c r="R76" s="95">
        <f t="shared" si="14"/>
        <v>93618.041008570784</v>
      </c>
      <c r="S76" s="94">
        <v>61264.096599999997</v>
      </c>
      <c r="T76" s="94">
        <f t="shared" si="15"/>
        <v>65411.675939820001</v>
      </c>
      <c r="U76" s="94">
        <f t="shared" si="16"/>
        <v>69172.847306359661</v>
      </c>
      <c r="V76" s="94">
        <f t="shared" si="17"/>
        <v>72002.016761189763</v>
      </c>
      <c r="W76" s="97">
        <f t="shared" si="18"/>
        <v>74291.680894195597</v>
      </c>
      <c r="X76" s="97">
        <f t="shared" si="19"/>
        <v>77114.764768175039</v>
      </c>
      <c r="Y76" s="97">
        <f t="shared" si="23"/>
        <v>78356.312480942652</v>
      </c>
      <c r="Z76" s="97">
        <f t="shared" si="20"/>
        <v>82759.937242371627</v>
      </c>
      <c r="AA76" s="97">
        <f t="shared" si="21"/>
        <v>93618.041008570784</v>
      </c>
    </row>
    <row r="77" spans="1:27" x14ac:dyDescent="0.25">
      <c r="A77" s="102" t="s">
        <v>389</v>
      </c>
      <c r="B77" s="98" t="s">
        <v>390</v>
      </c>
      <c r="C77" s="99" t="s">
        <v>226</v>
      </c>
      <c r="D77" s="100" t="s">
        <v>262</v>
      </c>
      <c r="E77" s="101">
        <f t="shared" si="24"/>
        <v>211484</v>
      </c>
      <c r="F77" s="90">
        <f t="shared" si="22"/>
        <v>177717.61687407288</v>
      </c>
      <c r="G77" s="91">
        <v>0.19</v>
      </c>
      <c r="H77" s="91" t="s">
        <v>228</v>
      </c>
      <c r="I77" s="91"/>
      <c r="J77" s="91"/>
      <c r="K77" s="91" t="s">
        <v>228</v>
      </c>
      <c r="L77" s="92" t="s">
        <v>388</v>
      </c>
      <c r="M77" s="91" t="str">
        <f t="shared" si="13"/>
        <v>VER ARCHIVO ANEXO</v>
      </c>
      <c r="N77" s="93">
        <v>41608</v>
      </c>
      <c r="O77" s="94"/>
      <c r="P77" s="94"/>
      <c r="Q77" s="94">
        <v>70</v>
      </c>
      <c r="R77" s="95">
        <f t="shared" si="14"/>
        <v>177717.61687407288</v>
      </c>
      <c r="S77" s="94">
        <v>116299.2638</v>
      </c>
      <c r="T77" s="94">
        <f t="shared" si="15"/>
        <v>124172.72395926001</v>
      </c>
      <c r="U77" s="94">
        <f t="shared" si="16"/>
        <v>131312.65558691748</v>
      </c>
      <c r="V77" s="94">
        <f t="shared" si="17"/>
        <v>136683.34320042239</v>
      </c>
      <c r="W77" s="97">
        <f t="shared" si="18"/>
        <v>141029.87351419582</v>
      </c>
      <c r="X77" s="97">
        <f t="shared" si="19"/>
        <v>146389.00870773525</v>
      </c>
      <c r="Y77" s="97">
        <f t="shared" si="23"/>
        <v>148745.87174792978</v>
      </c>
      <c r="Z77" s="97">
        <f t="shared" si="20"/>
        <v>157105.38974016343</v>
      </c>
      <c r="AA77" s="97">
        <f t="shared" si="21"/>
        <v>177717.61687407288</v>
      </c>
    </row>
    <row r="78" spans="1:27" x14ac:dyDescent="0.25">
      <c r="A78" s="102" t="s">
        <v>391</v>
      </c>
      <c r="B78" s="87" t="s">
        <v>392</v>
      </c>
      <c r="C78" s="88" t="s">
        <v>226</v>
      </c>
      <c r="D78" s="89" t="s">
        <v>262</v>
      </c>
      <c r="E78" s="90">
        <f t="shared" si="24"/>
        <v>51747</v>
      </c>
      <c r="F78" s="90">
        <f t="shared" si="22"/>
        <v>43484.923466054483</v>
      </c>
      <c r="G78" s="91">
        <v>0.19</v>
      </c>
      <c r="H78" s="91" t="s">
        <v>228</v>
      </c>
      <c r="I78" s="91"/>
      <c r="J78" s="91"/>
      <c r="K78" s="91" t="s">
        <v>228</v>
      </c>
      <c r="L78" s="92" t="s">
        <v>388</v>
      </c>
      <c r="M78" s="91" t="str">
        <f t="shared" si="13"/>
        <v>VER ARCHIVO ANEXO</v>
      </c>
      <c r="N78" s="93">
        <v>41608</v>
      </c>
      <c r="O78" s="94"/>
      <c r="P78" s="94"/>
      <c r="Q78" s="94">
        <v>71</v>
      </c>
      <c r="R78" s="95">
        <f t="shared" si="14"/>
        <v>43484.923466054483</v>
      </c>
      <c r="S78" s="94">
        <v>28456.743200000001</v>
      </c>
      <c r="T78" s="94">
        <f t="shared" si="15"/>
        <v>30383.264714640005</v>
      </c>
      <c r="U78" s="94">
        <f t="shared" si="16"/>
        <v>32130.30243573181</v>
      </c>
      <c r="V78" s="94">
        <f t="shared" si="17"/>
        <v>33444.431805353241</v>
      </c>
      <c r="W78" s="97">
        <f t="shared" si="18"/>
        <v>34507.964736763475</v>
      </c>
      <c r="X78" s="97">
        <f t="shared" si="19"/>
        <v>35819.267396760486</v>
      </c>
      <c r="Y78" s="97">
        <f t="shared" si="23"/>
        <v>36395.957601848328</v>
      </c>
      <c r="Z78" s="97">
        <f t="shared" si="20"/>
        <v>38441.410419072206</v>
      </c>
      <c r="AA78" s="97">
        <f t="shared" si="21"/>
        <v>43484.923466054483</v>
      </c>
    </row>
    <row r="79" spans="1:27" x14ac:dyDescent="0.25">
      <c r="A79" s="102" t="s">
        <v>393</v>
      </c>
      <c r="B79" s="87" t="s">
        <v>394</v>
      </c>
      <c r="C79" s="88" t="s">
        <v>226</v>
      </c>
      <c r="D79" s="89" t="s">
        <v>395</v>
      </c>
      <c r="E79" s="90">
        <f t="shared" si="24"/>
        <v>30846</v>
      </c>
      <c r="F79" s="90">
        <f t="shared" si="22"/>
        <v>25921.145548539829</v>
      </c>
      <c r="G79" s="91">
        <v>0.19</v>
      </c>
      <c r="H79" s="91" t="s">
        <v>228</v>
      </c>
      <c r="I79" s="91"/>
      <c r="J79" s="91"/>
      <c r="K79" s="91" t="s">
        <v>228</v>
      </c>
      <c r="L79" s="92" t="s">
        <v>353</v>
      </c>
      <c r="M79" s="91" t="str">
        <f t="shared" si="13"/>
        <v>VER ARCHIVO ANEXO</v>
      </c>
      <c r="N79" s="93">
        <v>41608</v>
      </c>
      <c r="O79" s="94"/>
      <c r="P79" s="94"/>
      <c r="Q79" s="94">
        <v>72</v>
      </c>
      <c r="R79" s="95">
        <f t="shared" si="14"/>
        <v>25921.145548539829</v>
      </c>
      <c r="S79" s="94">
        <v>16962.922399999999</v>
      </c>
      <c r="T79" s="94">
        <f t="shared" si="15"/>
        <v>18111.31224648</v>
      </c>
      <c r="U79" s="94">
        <f t="shared" si="16"/>
        <v>19152.712700652603</v>
      </c>
      <c r="V79" s="94">
        <f t="shared" si="17"/>
        <v>19936.058650109291</v>
      </c>
      <c r="W79" s="97">
        <f t="shared" si="18"/>
        <v>20570.025315182767</v>
      </c>
      <c r="X79" s="97">
        <f t="shared" si="19"/>
        <v>21351.686277159712</v>
      </c>
      <c r="Y79" s="97">
        <f t="shared" si="23"/>
        <v>21695.448426221985</v>
      </c>
      <c r="Z79" s="97">
        <f t="shared" si="20"/>
        <v>22914.732627775662</v>
      </c>
      <c r="AA79" s="97">
        <f t="shared" si="21"/>
        <v>25921.145548539829</v>
      </c>
    </row>
    <row r="80" spans="1:27" x14ac:dyDescent="0.25">
      <c r="A80" s="102" t="s">
        <v>396</v>
      </c>
      <c r="B80" s="87" t="s">
        <v>397</v>
      </c>
      <c r="C80" s="88" t="s">
        <v>226</v>
      </c>
      <c r="D80" s="89" t="s">
        <v>395</v>
      </c>
      <c r="E80" s="90">
        <f t="shared" si="24"/>
        <v>26322</v>
      </c>
      <c r="F80" s="90">
        <f t="shared" si="22"/>
        <v>22119.462016610254</v>
      </c>
      <c r="G80" s="91">
        <v>0.19</v>
      </c>
      <c r="H80" s="91" t="s">
        <v>228</v>
      </c>
      <c r="I80" s="91"/>
      <c r="J80" s="91"/>
      <c r="K80" s="91" t="s">
        <v>228</v>
      </c>
      <c r="L80" s="92" t="s">
        <v>353</v>
      </c>
      <c r="M80" s="91" t="str">
        <f t="shared" si="13"/>
        <v>VER ARCHIVO ANEXO</v>
      </c>
      <c r="N80" s="93">
        <v>41608</v>
      </c>
      <c r="O80" s="94"/>
      <c r="P80" s="94"/>
      <c r="Q80" s="94">
        <v>73</v>
      </c>
      <c r="R80" s="95">
        <f t="shared" si="14"/>
        <v>22119.462016610254</v>
      </c>
      <c r="S80" s="94">
        <v>14475.082399999999</v>
      </c>
      <c r="T80" s="94">
        <f t="shared" si="15"/>
        <v>15455.04547848</v>
      </c>
      <c r="U80" s="94">
        <f t="shared" si="16"/>
        <v>16343.710593492602</v>
      </c>
      <c r="V80" s="94">
        <f t="shared" si="17"/>
        <v>17012.168356766448</v>
      </c>
      <c r="W80" s="97">
        <f t="shared" si="18"/>
        <v>17553.155310511622</v>
      </c>
      <c r="X80" s="97">
        <f t="shared" si="19"/>
        <v>18220.175212311064</v>
      </c>
      <c r="Y80" s="97">
        <f t="shared" si="23"/>
        <v>18513.520033229273</v>
      </c>
      <c r="Z80" s="97">
        <f t="shared" si="20"/>
        <v>19553.979859096758</v>
      </c>
      <c r="AA80" s="97">
        <f t="shared" si="21"/>
        <v>22119.462016610254</v>
      </c>
    </row>
    <row r="81" spans="1:27" x14ac:dyDescent="0.25">
      <c r="A81" s="102" t="s">
        <v>398</v>
      </c>
      <c r="B81" s="98" t="s">
        <v>399</v>
      </c>
      <c r="C81" s="99" t="s">
        <v>226</v>
      </c>
      <c r="D81" s="100" t="s">
        <v>262</v>
      </c>
      <c r="E81" s="101">
        <f t="shared" si="24"/>
        <v>34277</v>
      </c>
      <c r="F81" s="90">
        <f t="shared" si="22"/>
        <v>28804.088893586428</v>
      </c>
      <c r="G81" s="91">
        <v>0.19</v>
      </c>
      <c r="H81" s="91" t="s">
        <v>228</v>
      </c>
      <c r="I81" s="91"/>
      <c r="J81" s="91"/>
      <c r="K81" s="91" t="s">
        <v>228</v>
      </c>
      <c r="L81" s="92" t="s">
        <v>353</v>
      </c>
      <c r="M81" s="91" t="str">
        <f t="shared" si="13"/>
        <v>VER ARCHIVO ANEXO</v>
      </c>
      <c r="N81" s="93">
        <v>41608</v>
      </c>
      <c r="O81" s="94"/>
      <c r="P81" s="94"/>
      <c r="Q81" s="94">
        <v>74</v>
      </c>
      <c r="R81" s="95">
        <f t="shared" si="14"/>
        <v>28804.088893586428</v>
      </c>
      <c r="S81" s="94">
        <v>18849.5344</v>
      </c>
      <c r="T81" s="94">
        <f t="shared" si="15"/>
        <v>20125.647878880001</v>
      </c>
      <c r="U81" s="94">
        <f t="shared" si="16"/>
        <v>21282.872631915605</v>
      </c>
      <c r="V81" s="94">
        <f t="shared" si="17"/>
        <v>22153.342122560953</v>
      </c>
      <c r="W81" s="97">
        <f t="shared" si="18"/>
        <v>22857.81840205839</v>
      </c>
      <c r="X81" s="97">
        <f t="shared" si="19"/>
        <v>23726.415501336611</v>
      </c>
      <c r="Y81" s="97">
        <f t="shared" si="23"/>
        <v>24108.410790908129</v>
      </c>
      <c r="Z81" s="97">
        <f t="shared" si="20"/>
        <v>25463.303477357167</v>
      </c>
      <c r="AA81" s="97">
        <f t="shared" si="21"/>
        <v>28804.088893586428</v>
      </c>
    </row>
    <row r="82" spans="1:27" x14ac:dyDescent="0.25">
      <c r="A82" s="102" t="s">
        <v>400</v>
      </c>
      <c r="B82" s="87" t="s">
        <v>401</v>
      </c>
      <c r="C82" s="88" t="s">
        <v>226</v>
      </c>
      <c r="D82" s="89" t="s">
        <v>262</v>
      </c>
      <c r="E82" s="90">
        <f t="shared" si="24"/>
        <v>17138</v>
      </c>
      <c r="F82" s="90">
        <f t="shared" si="22"/>
        <v>14402.044446793214</v>
      </c>
      <c r="G82" s="91">
        <v>0.19</v>
      </c>
      <c r="H82" s="91" t="s">
        <v>228</v>
      </c>
      <c r="I82" s="91"/>
      <c r="J82" s="91"/>
      <c r="K82" s="91" t="s">
        <v>228</v>
      </c>
      <c r="L82" s="92" t="s">
        <v>353</v>
      </c>
      <c r="M82" s="91" t="str">
        <f t="shared" si="13"/>
        <v>VER ARCHIVO ANEXO</v>
      </c>
      <c r="N82" s="93">
        <v>41608</v>
      </c>
      <c r="O82" s="94"/>
      <c r="P82" s="94"/>
      <c r="Q82" s="94">
        <v>75</v>
      </c>
      <c r="R82" s="95">
        <f t="shared" si="14"/>
        <v>14402.044446793214</v>
      </c>
      <c r="S82" s="94">
        <v>9424.7672000000002</v>
      </c>
      <c r="T82" s="94">
        <f t="shared" si="15"/>
        <v>10062.823939440001</v>
      </c>
      <c r="U82" s="94">
        <f t="shared" si="16"/>
        <v>10641.436315957802</v>
      </c>
      <c r="V82" s="94">
        <f t="shared" si="17"/>
        <v>11076.671061280476</v>
      </c>
      <c r="W82" s="97">
        <f t="shared" si="18"/>
        <v>11428.909201029195</v>
      </c>
      <c r="X82" s="97">
        <f t="shared" si="19"/>
        <v>11863.207750668305</v>
      </c>
      <c r="Y82" s="97">
        <f t="shared" si="23"/>
        <v>12054.205395454064</v>
      </c>
      <c r="Z82" s="97">
        <f t="shared" si="20"/>
        <v>12731.651738678584</v>
      </c>
      <c r="AA82" s="97">
        <f t="shared" si="21"/>
        <v>14402.044446793214</v>
      </c>
    </row>
    <row r="83" spans="1:27" x14ac:dyDescent="0.25">
      <c r="A83" s="102" t="s">
        <v>402</v>
      </c>
      <c r="B83" s="87" t="s">
        <v>403</v>
      </c>
      <c r="C83" s="88" t="s">
        <v>226</v>
      </c>
      <c r="D83" s="89" t="s">
        <v>262</v>
      </c>
      <c r="E83" s="90">
        <f t="shared" si="24"/>
        <v>25706</v>
      </c>
      <c r="F83" s="90">
        <f t="shared" si="22"/>
        <v>21601.482635384848</v>
      </c>
      <c r="G83" s="91">
        <v>0.19</v>
      </c>
      <c r="H83" s="91" t="s">
        <v>228</v>
      </c>
      <c r="I83" s="91"/>
      <c r="J83" s="91"/>
      <c r="K83" s="91" t="s">
        <v>228</v>
      </c>
      <c r="L83" s="92" t="s">
        <v>353</v>
      </c>
      <c r="M83" s="91" t="str">
        <f t="shared" si="13"/>
        <v>VER ARCHIVO ANEXO</v>
      </c>
      <c r="N83" s="93">
        <v>41608</v>
      </c>
      <c r="O83" s="94"/>
      <c r="P83" s="94"/>
      <c r="Q83" s="94">
        <v>76</v>
      </c>
      <c r="R83" s="95">
        <f t="shared" si="14"/>
        <v>21601.482635384848</v>
      </c>
      <c r="S83" s="94">
        <v>14136.1142</v>
      </c>
      <c r="T83" s="94">
        <f t="shared" si="15"/>
        <v>15093.129131340002</v>
      </c>
      <c r="U83" s="94">
        <f t="shared" si="16"/>
        <v>15960.984056392053</v>
      </c>
      <c r="V83" s="94">
        <f t="shared" si="17"/>
        <v>16613.788304298487</v>
      </c>
      <c r="W83" s="97">
        <f t="shared" si="18"/>
        <v>17142.10677237518</v>
      </c>
      <c r="X83" s="97">
        <f t="shared" si="19"/>
        <v>17793.506829725437</v>
      </c>
      <c r="Y83" s="97">
        <f t="shared" si="23"/>
        <v>18079.982289684016</v>
      </c>
      <c r="Z83" s="97">
        <f t="shared" si="20"/>
        <v>19096.077294364259</v>
      </c>
      <c r="AA83" s="97">
        <f t="shared" si="21"/>
        <v>21601.482635384848</v>
      </c>
    </row>
    <row r="84" spans="1:27" x14ac:dyDescent="0.25">
      <c r="A84" s="102" t="s">
        <v>404</v>
      </c>
      <c r="B84" s="87" t="s">
        <v>405</v>
      </c>
      <c r="C84" s="88" t="s">
        <v>226</v>
      </c>
      <c r="D84" s="89" t="s">
        <v>262</v>
      </c>
      <c r="E84" s="90">
        <f t="shared" si="24"/>
        <v>31244</v>
      </c>
      <c r="F84" s="90">
        <f t="shared" si="22"/>
        <v>26255.376892388638</v>
      </c>
      <c r="G84" s="91">
        <v>0.19</v>
      </c>
      <c r="H84" s="91" t="s">
        <v>228</v>
      </c>
      <c r="I84" s="91"/>
      <c r="J84" s="91"/>
      <c r="K84" s="91" t="s">
        <v>228</v>
      </c>
      <c r="L84" s="92" t="s">
        <v>353</v>
      </c>
      <c r="M84" s="91" t="str">
        <f t="shared" si="13"/>
        <v>VER ARCHIVO ANEXO</v>
      </c>
      <c r="N84" s="93">
        <v>41608</v>
      </c>
      <c r="O84" s="94"/>
      <c r="P84" s="94"/>
      <c r="Q84" s="94">
        <v>77</v>
      </c>
      <c r="R84" s="95">
        <f t="shared" si="14"/>
        <v>26255.376892388638</v>
      </c>
      <c r="S84" s="94">
        <v>17181.645</v>
      </c>
      <c r="T84" s="94">
        <f t="shared" si="15"/>
        <v>18344.842366500001</v>
      </c>
      <c r="U84" s="94">
        <f t="shared" si="16"/>
        <v>19399.670802573753</v>
      </c>
      <c r="V84" s="94">
        <f t="shared" si="17"/>
        <v>20193.117338399017</v>
      </c>
      <c r="W84" s="97">
        <f t="shared" si="18"/>
        <v>20835.258469760109</v>
      </c>
      <c r="X84" s="97">
        <f t="shared" si="19"/>
        <v>21626.998291610995</v>
      </c>
      <c r="Y84" s="97">
        <f t="shared" si="23"/>
        <v>21975.192964105932</v>
      </c>
      <c r="Z84" s="97">
        <f t="shared" si="20"/>
        <v>23210.198808688685</v>
      </c>
      <c r="AA84" s="97">
        <f t="shared" si="21"/>
        <v>26255.376892388638</v>
      </c>
    </row>
    <row r="85" spans="1:27" x14ac:dyDescent="0.25">
      <c r="A85" s="102" t="s">
        <v>406</v>
      </c>
      <c r="B85" s="87" t="s">
        <v>407</v>
      </c>
      <c r="C85" s="88" t="s">
        <v>226</v>
      </c>
      <c r="D85" s="89" t="s">
        <v>262</v>
      </c>
      <c r="E85" s="90">
        <f t="shared" si="24"/>
        <v>108536</v>
      </c>
      <c r="F85" s="90">
        <f t="shared" si="22"/>
        <v>91207.140035405449</v>
      </c>
      <c r="G85" s="91">
        <v>0.19</v>
      </c>
      <c r="H85" s="91" t="s">
        <v>228</v>
      </c>
      <c r="I85" s="91"/>
      <c r="J85" s="91"/>
      <c r="K85" s="91" t="s">
        <v>228</v>
      </c>
      <c r="L85" s="92" t="s">
        <v>353</v>
      </c>
      <c r="M85" s="91" t="str">
        <f t="shared" si="13"/>
        <v>VER ARCHIVO ANEXO</v>
      </c>
      <c r="N85" s="93">
        <v>41608</v>
      </c>
      <c r="O85" s="94"/>
      <c r="P85" s="94"/>
      <c r="Q85" s="94">
        <v>78</v>
      </c>
      <c r="R85" s="95">
        <f t="shared" si="14"/>
        <v>91207.140035405449</v>
      </c>
      <c r="S85" s="94">
        <v>59686.3914</v>
      </c>
      <c r="T85" s="94">
        <f t="shared" si="15"/>
        <v>63727.160097780004</v>
      </c>
      <c r="U85" s="94">
        <f t="shared" si="16"/>
        <v>67391.471803402368</v>
      </c>
      <c r="V85" s="94">
        <f t="shared" si="17"/>
        <v>70147.783000161522</v>
      </c>
      <c r="W85" s="97">
        <f t="shared" si="18"/>
        <v>72378.482499566657</v>
      </c>
      <c r="X85" s="97">
        <f t="shared" si="19"/>
        <v>75128.864834550186</v>
      </c>
      <c r="Y85" s="97">
        <f t="shared" si="23"/>
        <v>76338.439558386439</v>
      </c>
      <c r="Z85" s="97">
        <f t="shared" si="20"/>
        <v>80628.659861567765</v>
      </c>
      <c r="AA85" s="97">
        <f t="shared" si="21"/>
        <v>91207.140035405449</v>
      </c>
    </row>
    <row r="86" spans="1:27" x14ac:dyDescent="0.25">
      <c r="A86" s="102" t="s">
        <v>408</v>
      </c>
      <c r="B86" s="87" t="s">
        <v>409</v>
      </c>
      <c r="C86" s="88" t="s">
        <v>226</v>
      </c>
      <c r="D86" s="89" t="s">
        <v>262</v>
      </c>
      <c r="E86" s="90">
        <f t="shared" si="24"/>
        <v>108536</v>
      </c>
      <c r="F86" s="90">
        <f t="shared" si="22"/>
        <v>91207.140035405449</v>
      </c>
      <c r="G86" s="91">
        <v>0.19</v>
      </c>
      <c r="H86" s="91" t="s">
        <v>228</v>
      </c>
      <c r="I86" s="91"/>
      <c r="J86" s="91"/>
      <c r="K86" s="91" t="s">
        <v>228</v>
      </c>
      <c r="L86" s="92" t="s">
        <v>353</v>
      </c>
      <c r="M86" s="91" t="str">
        <f t="shared" si="13"/>
        <v>VER ARCHIVO ANEXO</v>
      </c>
      <c r="N86" s="93">
        <v>41608</v>
      </c>
      <c r="O86" s="94"/>
      <c r="P86" s="94"/>
      <c r="Q86" s="94">
        <v>79</v>
      </c>
      <c r="R86" s="95">
        <f t="shared" si="14"/>
        <v>91207.140035405449</v>
      </c>
      <c r="S86" s="94">
        <v>59686.3914</v>
      </c>
      <c r="T86" s="94">
        <f t="shared" si="15"/>
        <v>63727.160097780004</v>
      </c>
      <c r="U86" s="94">
        <f t="shared" si="16"/>
        <v>67391.471803402368</v>
      </c>
      <c r="V86" s="94">
        <f t="shared" si="17"/>
        <v>70147.783000161522</v>
      </c>
      <c r="W86" s="97">
        <f t="shared" si="18"/>
        <v>72378.482499566657</v>
      </c>
      <c r="X86" s="97">
        <f t="shared" si="19"/>
        <v>75128.864834550186</v>
      </c>
      <c r="Y86" s="97">
        <f t="shared" si="23"/>
        <v>76338.439558386439</v>
      </c>
      <c r="Z86" s="97">
        <f t="shared" si="20"/>
        <v>80628.659861567765</v>
      </c>
      <c r="AA86" s="97">
        <f t="shared" si="21"/>
        <v>91207.140035405449</v>
      </c>
    </row>
    <row r="87" spans="1:27" x14ac:dyDescent="0.25">
      <c r="A87" s="102" t="s">
        <v>410</v>
      </c>
      <c r="B87" s="87" t="s">
        <v>411</v>
      </c>
      <c r="C87" s="88" t="s">
        <v>226</v>
      </c>
      <c r="D87" s="89" t="s">
        <v>262</v>
      </c>
      <c r="E87" s="90">
        <f t="shared" si="24"/>
        <v>175756</v>
      </c>
      <c r="F87" s="90">
        <f t="shared" si="22"/>
        <v>147693.82118065908</v>
      </c>
      <c r="G87" s="91">
        <v>0.19</v>
      </c>
      <c r="H87" s="91" t="s">
        <v>228</v>
      </c>
      <c r="I87" s="91"/>
      <c r="J87" s="91"/>
      <c r="K87" s="91" t="s">
        <v>228</v>
      </c>
      <c r="L87" s="92" t="s">
        <v>353</v>
      </c>
      <c r="M87" s="91" t="str">
        <f t="shared" si="13"/>
        <v>VER ARCHIVO ANEXO</v>
      </c>
      <c r="N87" s="93">
        <v>41608</v>
      </c>
      <c r="O87" s="94"/>
      <c r="P87" s="94"/>
      <c r="Q87" s="94">
        <v>80</v>
      </c>
      <c r="R87" s="95">
        <f t="shared" si="14"/>
        <v>147693.82118065908</v>
      </c>
      <c r="S87" s="94">
        <v>96651.547399999996</v>
      </c>
      <c r="T87" s="94">
        <f t="shared" si="15"/>
        <v>103194.85715898</v>
      </c>
      <c r="U87" s="94">
        <f t="shared" si="16"/>
        <v>109128.56144562135</v>
      </c>
      <c r="V87" s="94">
        <f t="shared" si="17"/>
        <v>113591.91960874725</v>
      </c>
      <c r="W87" s="97">
        <f t="shared" si="18"/>
        <v>117204.14265230543</v>
      </c>
      <c r="X87" s="97">
        <f t="shared" si="19"/>
        <v>121657.90007309304</v>
      </c>
      <c r="Y87" s="97">
        <f t="shared" si="23"/>
        <v>123616.59226426984</v>
      </c>
      <c r="Z87" s="97">
        <f t="shared" si="20"/>
        <v>130563.84474952181</v>
      </c>
      <c r="AA87" s="97">
        <f t="shared" si="21"/>
        <v>147693.82118065908</v>
      </c>
    </row>
    <row r="88" spans="1:27" x14ac:dyDescent="0.25">
      <c r="A88" s="102" t="s">
        <v>412</v>
      </c>
      <c r="B88" s="98" t="s">
        <v>413</v>
      </c>
      <c r="C88" s="99" t="s">
        <v>226</v>
      </c>
      <c r="D88" s="100" t="s">
        <v>262</v>
      </c>
      <c r="E88" s="101">
        <f t="shared" si="24"/>
        <v>80376</v>
      </c>
      <c r="F88" s="90">
        <f t="shared" si="22"/>
        <v>67543.244083948797</v>
      </c>
      <c r="G88" s="91">
        <v>0.19</v>
      </c>
      <c r="H88" s="91" t="s">
        <v>228</v>
      </c>
      <c r="I88" s="91"/>
      <c r="J88" s="91"/>
      <c r="K88" s="91" t="s">
        <v>228</v>
      </c>
      <c r="L88" s="92" t="s">
        <v>414</v>
      </c>
      <c r="M88" s="91" t="str">
        <f t="shared" si="13"/>
        <v>VER ARCHIVO ANEXO</v>
      </c>
      <c r="N88" s="93">
        <v>41608</v>
      </c>
      <c r="O88" s="94"/>
      <c r="P88" s="94"/>
      <c r="Q88" s="94">
        <v>81</v>
      </c>
      <c r="R88" s="95">
        <f t="shared" si="14"/>
        <v>67543.244083948797</v>
      </c>
      <c r="S88" s="94">
        <v>44200.623999999996</v>
      </c>
      <c r="T88" s="94">
        <f t="shared" si="15"/>
        <v>47193.006244800003</v>
      </c>
      <c r="U88" s="94">
        <f t="shared" si="16"/>
        <v>49906.604103876009</v>
      </c>
      <c r="V88" s="94">
        <f t="shared" si="17"/>
        <v>51947.784211724531</v>
      </c>
      <c r="W88" s="97">
        <f t="shared" si="18"/>
        <v>53599.723749657373</v>
      </c>
      <c r="X88" s="97">
        <f t="shared" si="19"/>
        <v>55636.513252144352</v>
      </c>
      <c r="Y88" s="97">
        <f t="shared" si="23"/>
        <v>56532.261115503876</v>
      </c>
      <c r="Z88" s="97">
        <f t="shared" si="20"/>
        <v>59709.374190195194</v>
      </c>
      <c r="AA88" s="97">
        <f t="shared" si="21"/>
        <v>67543.244083948797</v>
      </c>
    </row>
    <row r="89" spans="1:27" x14ac:dyDescent="0.25">
      <c r="A89" s="102" t="s">
        <v>415</v>
      </c>
      <c r="B89" s="98" t="s">
        <v>416</v>
      </c>
      <c r="C89" s="99" t="s">
        <v>226</v>
      </c>
      <c r="D89" s="100" t="s">
        <v>262</v>
      </c>
      <c r="E89" s="101">
        <f t="shared" si="24"/>
        <v>109856</v>
      </c>
      <c r="F89" s="90">
        <f t="shared" si="22"/>
        <v>92315.964398884898</v>
      </c>
      <c r="G89" s="91">
        <v>0.19</v>
      </c>
      <c r="H89" s="91" t="s">
        <v>228</v>
      </c>
      <c r="I89" s="91"/>
      <c r="J89" s="91"/>
      <c r="K89" s="91" t="s">
        <v>228</v>
      </c>
      <c r="L89" s="92" t="s">
        <v>417</v>
      </c>
      <c r="M89" s="91" t="str">
        <f t="shared" si="13"/>
        <v>VER ARCHIVO ANEXO</v>
      </c>
      <c r="N89" s="93">
        <v>41608</v>
      </c>
      <c r="O89" s="94"/>
      <c r="P89" s="94"/>
      <c r="Q89" s="94">
        <v>82</v>
      </c>
      <c r="R89" s="95">
        <f t="shared" si="14"/>
        <v>92315.964398884898</v>
      </c>
      <c r="S89" s="94">
        <v>60412.011399999996</v>
      </c>
      <c r="T89" s="94">
        <f t="shared" si="15"/>
        <v>64501.904571780004</v>
      </c>
      <c r="U89" s="94">
        <f t="shared" si="16"/>
        <v>68210.764084657363</v>
      </c>
      <c r="V89" s="94">
        <f t="shared" si="17"/>
        <v>71000.584335719846</v>
      </c>
      <c r="W89" s="97">
        <f t="shared" si="18"/>
        <v>73258.40291759574</v>
      </c>
      <c r="X89" s="97">
        <f t="shared" si="19"/>
        <v>76042.222228464379</v>
      </c>
      <c r="Y89" s="97">
        <f t="shared" si="23"/>
        <v>77266.502006342649</v>
      </c>
      <c r="Z89" s="97">
        <f t="shared" si="20"/>
        <v>81608.879419099103</v>
      </c>
      <c r="AA89" s="97">
        <f t="shared" si="21"/>
        <v>92315.964398884898</v>
      </c>
    </row>
    <row r="90" spans="1:27" x14ac:dyDescent="0.25">
      <c r="A90" s="102" t="s">
        <v>418</v>
      </c>
      <c r="B90" s="87" t="s">
        <v>419</v>
      </c>
      <c r="C90" s="88" t="s">
        <v>226</v>
      </c>
      <c r="D90" s="89" t="s">
        <v>262</v>
      </c>
      <c r="E90" s="90">
        <f t="shared" si="24"/>
        <v>257075</v>
      </c>
      <c r="F90" s="90">
        <f t="shared" si="22"/>
        <v>216029.08266709326</v>
      </c>
      <c r="G90" s="91">
        <v>0.19</v>
      </c>
      <c r="H90" s="91" t="s">
        <v>228</v>
      </c>
      <c r="I90" s="91"/>
      <c r="J90" s="91"/>
      <c r="K90" s="91" t="s">
        <v>228</v>
      </c>
      <c r="L90" s="92" t="s">
        <v>417</v>
      </c>
      <c r="M90" s="91" t="str">
        <f t="shared" si="13"/>
        <v>VER ARCHIVO ANEXO</v>
      </c>
      <c r="N90" s="93">
        <v>41608</v>
      </c>
      <c r="O90" s="94"/>
      <c r="P90" s="94"/>
      <c r="Q90" s="94">
        <v>83</v>
      </c>
      <c r="R90" s="95">
        <f t="shared" si="14"/>
        <v>216029.08266709326</v>
      </c>
      <c r="S90" s="94">
        <v>141370.47140000001</v>
      </c>
      <c r="T90" s="94">
        <f t="shared" si="15"/>
        <v>150941.25231378002</v>
      </c>
      <c r="U90" s="94">
        <f t="shared" si="16"/>
        <v>159620.3743218224</v>
      </c>
      <c r="V90" s="94">
        <f t="shared" si="17"/>
        <v>166148.84763158491</v>
      </c>
      <c r="W90" s="97">
        <f t="shared" si="18"/>
        <v>171432.38098626933</v>
      </c>
      <c r="X90" s="97">
        <f t="shared" si="19"/>
        <v>177946.81146374758</v>
      </c>
      <c r="Y90" s="97">
        <f t="shared" si="23"/>
        <v>180811.7551283139</v>
      </c>
      <c r="Z90" s="97">
        <f t="shared" si="20"/>
        <v>190973.37576652516</v>
      </c>
      <c r="AA90" s="97">
        <f t="shared" si="21"/>
        <v>216029.08266709326</v>
      </c>
    </row>
    <row r="91" spans="1:27" x14ac:dyDescent="0.25">
      <c r="A91" s="102" t="s">
        <v>420</v>
      </c>
      <c r="B91" s="87" t="s">
        <v>421</v>
      </c>
      <c r="C91" s="88" t="s">
        <v>226</v>
      </c>
      <c r="D91" s="89" t="s">
        <v>262</v>
      </c>
      <c r="E91" s="90">
        <f t="shared" si="24"/>
        <v>249533</v>
      </c>
      <c r="F91" s="90">
        <f t="shared" si="22"/>
        <v>209691.35941240555</v>
      </c>
      <c r="G91" s="91">
        <v>0.19</v>
      </c>
      <c r="H91" s="91" t="s">
        <v>228</v>
      </c>
      <c r="I91" s="91"/>
      <c r="J91" s="91"/>
      <c r="K91" s="91" t="s">
        <v>228</v>
      </c>
      <c r="L91" s="92" t="s">
        <v>417</v>
      </c>
      <c r="M91" s="91" t="str">
        <f t="shared" si="13"/>
        <v>VER ARCHIVO ANEXO</v>
      </c>
      <c r="N91" s="93">
        <v>41608</v>
      </c>
      <c r="O91" s="94"/>
      <c r="P91" s="94"/>
      <c r="Q91" s="94">
        <v>84</v>
      </c>
      <c r="R91" s="95">
        <f t="shared" si="14"/>
        <v>209691.35941240555</v>
      </c>
      <c r="S91" s="94">
        <v>137223.03479999999</v>
      </c>
      <c r="T91" s="94">
        <f t="shared" si="15"/>
        <v>146513.03425596</v>
      </c>
      <c r="U91" s="94">
        <f t="shared" si="16"/>
        <v>154937.5337256777</v>
      </c>
      <c r="V91" s="94">
        <f t="shared" si="17"/>
        <v>161274.47885505791</v>
      </c>
      <c r="W91" s="97">
        <f t="shared" si="18"/>
        <v>166403.00728264876</v>
      </c>
      <c r="X91" s="97">
        <f t="shared" si="19"/>
        <v>172726.32155938941</v>
      </c>
      <c r="Y91" s="97">
        <f t="shared" si="23"/>
        <v>175507.21533649557</v>
      </c>
      <c r="Z91" s="97">
        <f t="shared" si="20"/>
        <v>185370.72083840662</v>
      </c>
      <c r="AA91" s="97">
        <f t="shared" si="21"/>
        <v>209691.35941240555</v>
      </c>
    </row>
    <row r="92" spans="1:27" x14ac:dyDescent="0.25">
      <c r="A92" s="102" t="s">
        <v>422</v>
      </c>
      <c r="B92" s="87" t="s">
        <v>423</v>
      </c>
      <c r="C92" s="88" t="s">
        <v>226</v>
      </c>
      <c r="D92" s="89" t="s">
        <v>262</v>
      </c>
      <c r="E92" s="90">
        <f t="shared" si="24"/>
        <v>257075</v>
      </c>
      <c r="F92" s="90">
        <f t="shared" si="22"/>
        <v>216029.08266709326</v>
      </c>
      <c r="G92" s="91">
        <v>0.19</v>
      </c>
      <c r="H92" s="91" t="s">
        <v>228</v>
      </c>
      <c r="I92" s="91"/>
      <c r="J92" s="91"/>
      <c r="K92" s="91" t="s">
        <v>228</v>
      </c>
      <c r="L92" s="92" t="s">
        <v>414</v>
      </c>
      <c r="M92" s="91" t="str">
        <f t="shared" si="13"/>
        <v>VER ARCHIVO ANEXO</v>
      </c>
      <c r="N92" s="93">
        <v>41608</v>
      </c>
      <c r="O92" s="94"/>
      <c r="P92" s="94"/>
      <c r="Q92" s="94">
        <v>85</v>
      </c>
      <c r="R92" s="95">
        <f t="shared" si="14"/>
        <v>216029.08266709326</v>
      </c>
      <c r="S92" s="94">
        <v>141370.47140000001</v>
      </c>
      <c r="T92" s="94">
        <f t="shared" si="15"/>
        <v>150941.25231378002</v>
      </c>
      <c r="U92" s="94">
        <f t="shared" si="16"/>
        <v>159620.3743218224</v>
      </c>
      <c r="V92" s="94">
        <f t="shared" si="17"/>
        <v>166148.84763158491</v>
      </c>
      <c r="W92" s="97">
        <f t="shared" si="18"/>
        <v>171432.38098626933</v>
      </c>
      <c r="X92" s="97">
        <f t="shared" si="19"/>
        <v>177946.81146374758</v>
      </c>
      <c r="Y92" s="97">
        <f t="shared" si="23"/>
        <v>180811.7551283139</v>
      </c>
      <c r="Z92" s="97">
        <f t="shared" si="20"/>
        <v>190973.37576652516</v>
      </c>
      <c r="AA92" s="97">
        <f t="shared" si="21"/>
        <v>216029.08266709326</v>
      </c>
    </row>
    <row r="93" spans="1:27" x14ac:dyDescent="0.25">
      <c r="A93" s="102" t="s">
        <v>424</v>
      </c>
      <c r="B93" s="98" t="s">
        <v>425</v>
      </c>
      <c r="C93" s="99" t="s">
        <v>226</v>
      </c>
      <c r="D93" s="100" t="s">
        <v>262</v>
      </c>
      <c r="E93" s="101">
        <f t="shared" si="24"/>
        <v>197088</v>
      </c>
      <c r="F93" s="90">
        <f t="shared" si="22"/>
        <v>165620.34306851198</v>
      </c>
      <c r="G93" s="91">
        <v>0.19</v>
      </c>
      <c r="H93" s="91" t="s">
        <v>228</v>
      </c>
      <c r="I93" s="91"/>
      <c r="J93" s="91"/>
      <c r="K93" s="91" t="s">
        <v>228</v>
      </c>
      <c r="L93" s="92" t="s">
        <v>414</v>
      </c>
      <c r="M93" s="91" t="str">
        <f t="shared" si="13"/>
        <v>VER ARCHIVO ANEXO</v>
      </c>
      <c r="N93" s="93">
        <v>41608</v>
      </c>
      <c r="O93" s="94"/>
      <c r="P93" s="94"/>
      <c r="Q93" s="94">
        <v>86</v>
      </c>
      <c r="R93" s="95">
        <f t="shared" si="14"/>
        <v>165620.34306851198</v>
      </c>
      <c r="S93" s="94">
        <v>108382.7496</v>
      </c>
      <c r="T93" s="94">
        <f t="shared" si="15"/>
        <v>115720.26174792001</v>
      </c>
      <c r="U93" s="94">
        <f t="shared" si="16"/>
        <v>122374.17679842543</v>
      </c>
      <c r="V93" s="94">
        <f t="shared" si="17"/>
        <v>127379.28062948101</v>
      </c>
      <c r="W93" s="97">
        <f t="shared" si="18"/>
        <v>131429.94175349851</v>
      </c>
      <c r="X93" s="97">
        <f t="shared" si="19"/>
        <v>136424.27954013145</v>
      </c>
      <c r="Y93" s="97">
        <f t="shared" si="23"/>
        <v>138620.71044072756</v>
      </c>
      <c r="Z93" s="97">
        <f t="shared" si="20"/>
        <v>146411.19436749644</v>
      </c>
      <c r="AA93" s="97">
        <f t="shared" si="21"/>
        <v>165620.34306851198</v>
      </c>
    </row>
    <row r="94" spans="1:27" x14ac:dyDescent="0.25">
      <c r="A94" s="102" t="s">
        <v>426</v>
      </c>
      <c r="B94" s="87" t="s">
        <v>427</v>
      </c>
      <c r="C94" s="88" t="s">
        <v>226</v>
      </c>
      <c r="D94" s="89" t="s">
        <v>262</v>
      </c>
      <c r="E94" s="90">
        <f t="shared" si="24"/>
        <v>99400</v>
      </c>
      <c r="F94" s="90">
        <f t="shared" si="22"/>
        <v>83529.323335712645</v>
      </c>
      <c r="G94" s="91">
        <v>0.19</v>
      </c>
      <c r="H94" s="91" t="s">
        <v>228</v>
      </c>
      <c r="I94" s="91"/>
      <c r="J94" s="91"/>
      <c r="K94" s="91" t="s">
        <v>228</v>
      </c>
      <c r="L94" s="92" t="s">
        <v>428</v>
      </c>
      <c r="M94" s="91" t="str">
        <f t="shared" si="13"/>
        <v>VER ARCHIVO ANEXO</v>
      </c>
      <c r="N94" s="93">
        <v>41608</v>
      </c>
      <c r="O94" s="94"/>
      <c r="P94" s="94"/>
      <c r="Q94" s="94">
        <v>87</v>
      </c>
      <c r="R94" s="95">
        <f t="shared" si="14"/>
        <v>83529.323335712645</v>
      </c>
      <c r="S94" s="94">
        <v>54661.991199999997</v>
      </c>
      <c r="T94" s="94">
        <f t="shared" si="15"/>
        <v>58362.608004239999</v>
      </c>
      <c r="U94" s="94">
        <f t="shared" si="16"/>
        <v>61718.457964483809</v>
      </c>
      <c r="V94" s="94">
        <f t="shared" si="17"/>
        <v>64242.742895231189</v>
      </c>
      <c r="W94" s="97">
        <f t="shared" si="18"/>
        <v>66285.662119299537</v>
      </c>
      <c r="X94" s="97">
        <f t="shared" si="19"/>
        <v>68804.517279832915</v>
      </c>
      <c r="Y94" s="97">
        <f t="shared" si="23"/>
        <v>69912.27000803822</v>
      </c>
      <c r="Z94" s="97">
        <f t="shared" si="20"/>
        <v>73841.339582489964</v>
      </c>
      <c r="AA94" s="97">
        <f t="shared" si="21"/>
        <v>83529.323335712645</v>
      </c>
    </row>
    <row r="95" spans="1:27" x14ac:dyDescent="0.25">
      <c r="A95" s="102" t="s">
        <v>429</v>
      </c>
      <c r="B95" s="87" t="s">
        <v>427</v>
      </c>
      <c r="C95" s="88" t="s">
        <v>226</v>
      </c>
      <c r="D95" s="89" t="s">
        <v>262</v>
      </c>
      <c r="E95" s="90">
        <f t="shared" si="24"/>
        <v>59044</v>
      </c>
      <c r="F95" s="90">
        <f t="shared" si="22"/>
        <v>49616.722196095885</v>
      </c>
      <c r="G95" s="91">
        <v>0.19</v>
      </c>
      <c r="H95" s="91" t="s">
        <v>228</v>
      </c>
      <c r="I95" s="91"/>
      <c r="J95" s="91"/>
      <c r="K95" s="91" t="s">
        <v>228</v>
      </c>
      <c r="L95" s="92" t="s">
        <v>428</v>
      </c>
      <c r="M95" s="91" t="str">
        <f t="shared" si="13"/>
        <v>VER ARCHIVO ANEXO</v>
      </c>
      <c r="N95" s="93">
        <v>41608</v>
      </c>
      <c r="O95" s="94"/>
      <c r="P95" s="94"/>
      <c r="Q95" s="94">
        <v>88</v>
      </c>
      <c r="R95" s="95">
        <f t="shared" si="14"/>
        <v>49616.722196095885</v>
      </c>
      <c r="S95" s="94">
        <v>32469.4218</v>
      </c>
      <c r="T95" s="94">
        <f t="shared" si="15"/>
        <v>34667.601655860002</v>
      </c>
      <c r="U95" s="94">
        <f t="shared" si="16"/>
        <v>36660.988751071956</v>
      </c>
      <c r="V95" s="94">
        <f t="shared" si="17"/>
        <v>38160.423190990798</v>
      </c>
      <c r="W95" s="97">
        <f t="shared" si="18"/>
        <v>39373.924648464308</v>
      </c>
      <c r="X95" s="97">
        <f t="shared" si="19"/>
        <v>40870.133785105951</v>
      </c>
      <c r="Y95" s="97">
        <f t="shared" si="23"/>
        <v>41528.142939046156</v>
      </c>
      <c r="Z95" s="97">
        <f t="shared" si="20"/>
        <v>43862.024572220551</v>
      </c>
      <c r="AA95" s="97">
        <f t="shared" si="21"/>
        <v>49616.722196095885</v>
      </c>
    </row>
    <row r="96" spans="1:27" x14ac:dyDescent="0.25">
      <c r="A96" s="102" t="s">
        <v>430</v>
      </c>
      <c r="B96" s="87" t="s">
        <v>431</v>
      </c>
      <c r="C96" s="88" t="s">
        <v>226</v>
      </c>
      <c r="D96" s="89" t="s">
        <v>262</v>
      </c>
      <c r="E96" s="90">
        <f t="shared" si="24"/>
        <v>233080</v>
      </c>
      <c r="F96" s="90">
        <f t="shared" si="22"/>
        <v>195865.90363462173</v>
      </c>
      <c r="G96" s="91">
        <v>0.19</v>
      </c>
      <c r="H96" s="91" t="s">
        <v>228</v>
      </c>
      <c r="I96" s="91"/>
      <c r="J96" s="91"/>
      <c r="K96" s="91" t="s">
        <v>228</v>
      </c>
      <c r="L96" s="92" t="s">
        <v>417</v>
      </c>
      <c r="M96" s="91" t="str">
        <f t="shared" si="13"/>
        <v>VER ARCHIVO ANEXO</v>
      </c>
      <c r="N96" s="93">
        <v>41608</v>
      </c>
      <c r="O96" s="94"/>
      <c r="P96" s="94"/>
      <c r="Q96" s="94">
        <v>89</v>
      </c>
      <c r="R96" s="95">
        <f t="shared" si="14"/>
        <v>195865.90363462173</v>
      </c>
      <c r="S96" s="94">
        <v>128175.59</v>
      </c>
      <c r="T96" s="94">
        <f t="shared" si="15"/>
        <v>136853.07744300002</v>
      </c>
      <c r="U96" s="94">
        <f t="shared" si="16"/>
        <v>144722.12939597253</v>
      </c>
      <c r="V96" s="94">
        <f t="shared" si="17"/>
        <v>150641.2644882678</v>
      </c>
      <c r="W96" s="97">
        <f t="shared" si="18"/>
        <v>155431.65669899472</v>
      </c>
      <c r="X96" s="97">
        <f t="shared" si="19"/>
        <v>161338.05965355653</v>
      </c>
      <c r="Y96" s="97">
        <f t="shared" si="23"/>
        <v>163935.60241397878</v>
      </c>
      <c r="Z96" s="97">
        <f t="shared" si="20"/>
        <v>173148.78326964439</v>
      </c>
      <c r="AA96" s="97">
        <f t="shared" si="21"/>
        <v>195865.90363462173</v>
      </c>
    </row>
    <row r="97" spans="1:27" x14ac:dyDescent="0.25">
      <c r="A97" s="102" t="s">
        <v>432</v>
      </c>
      <c r="B97" s="87" t="s">
        <v>433</v>
      </c>
      <c r="C97" s="88" t="s">
        <v>226</v>
      </c>
      <c r="D97" s="89" t="s">
        <v>262</v>
      </c>
      <c r="E97" s="90">
        <f t="shared" si="24"/>
        <v>222370</v>
      </c>
      <c r="F97" s="90">
        <f t="shared" si="22"/>
        <v>186865.41787277846</v>
      </c>
      <c r="G97" s="91">
        <v>0.19</v>
      </c>
      <c r="H97" s="91" t="s">
        <v>228</v>
      </c>
      <c r="I97" s="91"/>
      <c r="J97" s="91"/>
      <c r="K97" s="91" t="s">
        <v>228</v>
      </c>
      <c r="L97" s="92" t="s">
        <v>417</v>
      </c>
      <c r="M97" s="91" t="str">
        <f t="shared" si="13"/>
        <v>VER ARCHIVO ANEXO</v>
      </c>
      <c r="N97" s="93">
        <v>41608</v>
      </c>
      <c r="O97" s="94"/>
      <c r="P97" s="94"/>
      <c r="Q97" s="94">
        <v>90</v>
      </c>
      <c r="R97" s="95">
        <f t="shared" si="14"/>
        <v>186865.41787277846</v>
      </c>
      <c r="S97" s="94">
        <v>122285.62879999999</v>
      </c>
      <c r="T97" s="94">
        <f t="shared" si="15"/>
        <v>130564.36586976</v>
      </c>
      <c r="U97" s="94">
        <f t="shared" si="16"/>
        <v>138071.81690727122</v>
      </c>
      <c r="V97" s="94">
        <f t="shared" si="17"/>
        <v>143718.95421877861</v>
      </c>
      <c r="W97" s="97">
        <f t="shared" si="18"/>
        <v>148289.21696293578</v>
      </c>
      <c r="X97" s="97">
        <f t="shared" si="19"/>
        <v>153924.20720752733</v>
      </c>
      <c r="Y97" s="97">
        <f t="shared" si="23"/>
        <v>156402.38694356853</v>
      </c>
      <c r="Z97" s="97">
        <f t="shared" si="20"/>
        <v>165192.20108979708</v>
      </c>
      <c r="AA97" s="97">
        <f t="shared" si="21"/>
        <v>186865.41787277846</v>
      </c>
    </row>
    <row r="98" spans="1:27" x14ac:dyDescent="0.25">
      <c r="A98" s="102" t="s">
        <v>434</v>
      </c>
      <c r="B98" s="87" t="s">
        <v>435</v>
      </c>
      <c r="C98" s="88" t="s">
        <v>226</v>
      </c>
      <c r="D98" s="89" t="s">
        <v>262</v>
      </c>
      <c r="E98" s="90">
        <f t="shared" si="24"/>
        <v>771554</v>
      </c>
      <c r="F98" s="90">
        <f t="shared" si="22"/>
        <v>648364.45409214951</v>
      </c>
      <c r="G98" s="91">
        <v>0.19</v>
      </c>
      <c r="H98" s="91" t="s">
        <v>228</v>
      </c>
      <c r="I98" s="91"/>
      <c r="J98" s="91"/>
      <c r="K98" s="91" t="s">
        <v>228</v>
      </c>
      <c r="L98" s="92" t="s">
        <v>417</v>
      </c>
      <c r="M98" s="91" t="str">
        <f t="shared" si="13"/>
        <v>VER ARCHIVO ANEXO</v>
      </c>
      <c r="N98" s="93">
        <v>41608</v>
      </c>
      <c r="O98" s="94"/>
      <c r="P98" s="94"/>
      <c r="Q98" s="94">
        <v>91</v>
      </c>
      <c r="R98" s="95">
        <f t="shared" si="14"/>
        <v>648364.45409214951</v>
      </c>
      <c r="S98" s="94">
        <v>424292.81919999997</v>
      </c>
      <c r="T98" s="94">
        <f t="shared" si="15"/>
        <v>453017.44305984001</v>
      </c>
      <c r="U98" s="94">
        <f t="shared" si="16"/>
        <v>479065.94603578083</v>
      </c>
      <c r="V98" s="94">
        <f t="shared" si="17"/>
        <v>498659.74322864425</v>
      </c>
      <c r="W98" s="97">
        <f t="shared" si="18"/>
        <v>514517.12306331517</v>
      </c>
      <c r="X98" s="97">
        <f t="shared" si="19"/>
        <v>534068.77373972116</v>
      </c>
      <c r="Y98" s="97">
        <f t="shared" si="23"/>
        <v>542667.28099693067</v>
      </c>
      <c r="Z98" s="97">
        <f t="shared" si="20"/>
        <v>573165.18218895816</v>
      </c>
      <c r="AA98" s="97">
        <f t="shared" si="21"/>
        <v>648364.45409214951</v>
      </c>
    </row>
    <row r="99" spans="1:27" x14ac:dyDescent="0.25">
      <c r="A99" s="102" t="s">
        <v>436</v>
      </c>
      <c r="B99" s="87" t="s">
        <v>437</v>
      </c>
      <c r="C99" s="88" t="s">
        <v>226</v>
      </c>
      <c r="D99" s="89" t="s">
        <v>262</v>
      </c>
      <c r="E99" s="90">
        <f t="shared" si="24"/>
        <v>29135</v>
      </c>
      <c r="F99" s="90">
        <f t="shared" si="22"/>
        <v>24482.841945626475</v>
      </c>
      <c r="G99" s="91">
        <v>0.19</v>
      </c>
      <c r="H99" s="91" t="s">
        <v>228</v>
      </c>
      <c r="I99" s="91"/>
      <c r="J99" s="91"/>
      <c r="K99" s="91" t="s">
        <v>228</v>
      </c>
      <c r="L99" s="92" t="s">
        <v>353</v>
      </c>
      <c r="M99" s="91" t="str">
        <f t="shared" si="13"/>
        <v>VER ARCHIVO ANEXO</v>
      </c>
      <c r="N99" s="93">
        <v>41608</v>
      </c>
      <c r="O99" s="94"/>
      <c r="P99" s="94"/>
      <c r="Q99" s="94">
        <v>92</v>
      </c>
      <c r="R99" s="95">
        <f t="shared" si="14"/>
        <v>24482.841945626475</v>
      </c>
      <c r="S99" s="94">
        <v>16021.6896</v>
      </c>
      <c r="T99" s="94">
        <f t="shared" si="15"/>
        <v>17106.35798592</v>
      </c>
      <c r="U99" s="94">
        <f t="shared" si="16"/>
        <v>18089.9735701104</v>
      </c>
      <c r="V99" s="94">
        <f t="shared" si="17"/>
        <v>18829.853489127916</v>
      </c>
      <c r="W99" s="97">
        <f t="shared" si="18"/>
        <v>19428.642830082186</v>
      </c>
      <c r="X99" s="97">
        <f t="shared" si="19"/>
        <v>20166.931257625311</v>
      </c>
      <c r="Y99" s="97">
        <f t="shared" si="23"/>
        <v>20491.618850873077</v>
      </c>
      <c r="Z99" s="97">
        <f t="shared" si="20"/>
        <v>21643.247830292144</v>
      </c>
      <c r="AA99" s="97">
        <f t="shared" si="21"/>
        <v>24482.841945626475</v>
      </c>
    </row>
    <row r="100" spans="1:27" x14ac:dyDescent="0.25">
      <c r="A100" s="102" t="s">
        <v>438</v>
      </c>
      <c r="B100" s="87" t="s">
        <v>439</v>
      </c>
      <c r="C100" s="88" t="s">
        <v>226</v>
      </c>
      <c r="D100" s="89" t="s">
        <v>262</v>
      </c>
      <c r="E100" s="90">
        <f t="shared" si="24"/>
        <v>33890</v>
      </c>
      <c r="F100" s="90">
        <f t="shared" si="22"/>
        <v>28479.361758567436</v>
      </c>
      <c r="G100" s="91">
        <v>0.19</v>
      </c>
      <c r="H100" s="91" t="s">
        <v>228</v>
      </c>
      <c r="I100" s="91"/>
      <c r="J100" s="91"/>
      <c r="K100" s="91" t="s">
        <v>228</v>
      </c>
      <c r="L100" s="92" t="s">
        <v>353</v>
      </c>
      <c r="M100" s="91" t="str">
        <f t="shared" si="13"/>
        <v>VER ARCHIVO ANEXO</v>
      </c>
      <c r="N100" s="93">
        <v>41608</v>
      </c>
      <c r="O100" s="94"/>
      <c r="P100" s="94"/>
      <c r="Q100" s="94">
        <v>93</v>
      </c>
      <c r="R100" s="95">
        <f t="shared" si="14"/>
        <v>28479.361758567436</v>
      </c>
      <c r="S100" s="94">
        <v>18637.0314</v>
      </c>
      <c r="T100" s="94">
        <f t="shared" si="15"/>
        <v>19898.758425780001</v>
      </c>
      <c r="U100" s="94">
        <f t="shared" si="16"/>
        <v>21042.937035262352</v>
      </c>
      <c r="V100" s="94">
        <f t="shared" si="17"/>
        <v>21903.593160004581</v>
      </c>
      <c r="W100" s="97">
        <f t="shared" si="18"/>
        <v>22600.127422492726</v>
      </c>
      <c r="X100" s="97">
        <f t="shared" si="19"/>
        <v>23458.932264547449</v>
      </c>
      <c r="Y100" s="97">
        <f t="shared" si="23"/>
        <v>23836.621074006664</v>
      </c>
      <c r="Z100" s="97">
        <f t="shared" si="20"/>
        <v>25176.239178365839</v>
      </c>
      <c r="AA100" s="97">
        <f t="shared" si="21"/>
        <v>28479.361758567436</v>
      </c>
    </row>
    <row r="101" spans="1:27" x14ac:dyDescent="0.25">
      <c r="A101" s="102" t="s">
        <v>440</v>
      </c>
      <c r="B101" s="87" t="s">
        <v>441</v>
      </c>
      <c r="C101" s="88" t="s">
        <v>226</v>
      </c>
      <c r="D101" s="89" t="s">
        <v>262</v>
      </c>
      <c r="E101" s="90">
        <f t="shared" si="24"/>
        <v>443882</v>
      </c>
      <c r="F101" s="90">
        <f t="shared" si="22"/>
        <v>373010.09990929533</v>
      </c>
      <c r="G101" s="91">
        <v>0.19</v>
      </c>
      <c r="H101" s="91" t="s">
        <v>228</v>
      </c>
      <c r="I101" s="91"/>
      <c r="J101" s="91"/>
      <c r="K101" s="91" t="s">
        <v>228</v>
      </c>
      <c r="L101" s="92" t="s">
        <v>417</v>
      </c>
      <c r="M101" s="91" t="str">
        <f t="shared" si="13"/>
        <v>VER ARCHIVO ANEXO</v>
      </c>
      <c r="N101" s="93">
        <v>41608</v>
      </c>
      <c r="O101" s="94"/>
      <c r="P101" s="94"/>
      <c r="Q101" s="94">
        <v>94</v>
      </c>
      <c r="R101" s="95">
        <f t="shared" si="14"/>
        <v>373010.09990929533</v>
      </c>
      <c r="S101" s="94">
        <v>244099.60459999999</v>
      </c>
      <c r="T101" s="94">
        <f t="shared" si="15"/>
        <v>260625.14783142001</v>
      </c>
      <c r="U101" s="94">
        <f t="shared" si="16"/>
        <v>275611.0938317267</v>
      </c>
      <c r="V101" s="94">
        <f t="shared" si="17"/>
        <v>286883.58756944432</v>
      </c>
      <c r="W101" s="97">
        <f t="shared" si="18"/>
        <v>296006.4856541527</v>
      </c>
      <c r="X101" s="97">
        <f t="shared" si="19"/>
        <v>307254.73210901051</v>
      </c>
      <c r="Y101" s="97">
        <f t="shared" si="23"/>
        <v>312201.53329596558</v>
      </c>
      <c r="Z101" s="97">
        <f t="shared" si="20"/>
        <v>329747.25946719886</v>
      </c>
      <c r="AA101" s="97">
        <f t="shared" si="21"/>
        <v>373010.09990929533</v>
      </c>
    </row>
    <row r="102" spans="1:27" x14ac:dyDescent="0.25">
      <c r="A102" s="102" t="s">
        <v>442</v>
      </c>
      <c r="B102" s="87" t="s">
        <v>443</v>
      </c>
      <c r="C102" s="88" t="s">
        <v>226</v>
      </c>
      <c r="D102" s="89" t="s">
        <v>262</v>
      </c>
      <c r="E102" s="90">
        <f t="shared" si="24"/>
        <v>204832</v>
      </c>
      <c r="F102" s="90">
        <f t="shared" si="22"/>
        <v>172127.55804733146</v>
      </c>
      <c r="G102" s="91">
        <v>0.19</v>
      </c>
      <c r="H102" s="91" t="s">
        <v>228</v>
      </c>
      <c r="I102" s="91"/>
      <c r="J102" s="91"/>
      <c r="K102" s="91" t="s">
        <v>228</v>
      </c>
      <c r="L102" s="92" t="s">
        <v>444</v>
      </c>
      <c r="M102" s="91" t="str">
        <f t="shared" si="13"/>
        <v>VER ARCHIVO ANEXO</v>
      </c>
      <c r="N102" s="93">
        <v>41608</v>
      </c>
      <c r="O102" s="94"/>
      <c r="P102" s="94"/>
      <c r="Q102" s="94">
        <v>95</v>
      </c>
      <c r="R102" s="95">
        <f t="shared" si="14"/>
        <v>172127.55804733146</v>
      </c>
      <c r="S102" s="94">
        <v>112641.1024</v>
      </c>
      <c r="T102" s="94">
        <f t="shared" si="15"/>
        <v>120266.90503248002</v>
      </c>
      <c r="U102" s="94">
        <f t="shared" si="16"/>
        <v>127182.25207184763</v>
      </c>
      <c r="V102" s="94">
        <f t="shared" si="17"/>
        <v>132384.00618158618</v>
      </c>
      <c r="W102" s="97">
        <f t="shared" si="18"/>
        <v>136593.81757816064</v>
      </c>
      <c r="X102" s="97">
        <f t="shared" si="19"/>
        <v>141784.38264613075</v>
      </c>
      <c r="Y102" s="97">
        <f t="shared" si="23"/>
        <v>144067.11120673345</v>
      </c>
      <c r="Z102" s="97">
        <f t="shared" si="20"/>
        <v>152163.68285655187</v>
      </c>
      <c r="AA102" s="97">
        <f t="shared" si="21"/>
        <v>172127.55804733146</v>
      </c>
    </row>
    <row r="103" spans="1:27" x14ac:dyDescent="0.25">
      <c r="A103" s="102" t="s">
        <v>445</v>
      </c>
      <c r="B103" s="87" t="s">
        <v>446</v>
      </c>
      <c r="C103" s="88" t="s">
        <v>226</v>
      </c>
      <c r="D103" s="89" t="s">
        <v>262</v>
      </c>
      <c r="E103" s="90">
        <f t="shared" si="24"/>
        <v>980312</v>
      </c>
      <c r="F103" s="90">
        <f t="shared" si="22"/>
        <v>823791.55663823476</v>
      </c>
      <c r="G103" s="91">
        <v>0.19</v>
      </c>
      <c r="H103" s="91" t="s">
        <v>228</v>
      </c>
      <c r="I103" s="91"/>
      <c r="J103" s="91"/>
      <c r="K103" s="91" t="s">
        <v>228</v>
      </c>
      <c r="L103" s="92" t="s">
        <v>447</v>
      </c>
      <c r="M103" s="91" t="str">
        <f t="shared" si="13"/>
        <v>VER ARCHIVO ANEXO</v>
      </c>
      <c r="N103" s="93">
        <v>41608</v>
      </c>
      <c r="O103" s="94"/>
      <c r="P103" s="94"/>
      <c r="Q103" s="94">
        <v>96</v>
      </c>
      <c r="R103" s="95">
        <f t="shared" si="14"/>
        <v>823791.55663823476</v>
      </c>
      <c r="S103" s="94">
        <v>539093.1594</v>
      </c>
      <c r="T103" s="94">
        <f t="shared" si="15"/>
        <v>575589.76629138005</v>
      </c>
      <c r="U103" s="94">
        <f t="shared" si="16"/>
        <v>608686.17785313446</v>
      </c>
      <c r="V103" s="94">
        <f t="shared" si="17"/>
        <v>633581.44252732757</v>
      </c>
      <c r="W103" s="97">
        <f t="shared" si="18"/>
        <v>653729.33239969658</v>
      </c>
      <c r="X103" s="97">
        <f t="shared" si="19"/>
        <v>678571.04703088512</v>
      </c>
      <c r="Y103" s="97">
        <f t="shared" si="23"/>
        <v>689496.04088808235</v>
      </c>
      <c r="Z103" s="97">
        <f t="shared" si="20"/>
        <v>728245.71838599257</v>
      </c>
      <c r="AA103" s="97">
        <f t="shared" si="21"/>
        <v>823791.55663823476</v>
      </c>
    </row>
    <row r="104" spans="1:27" x14ac:dyDescent="0.25">
      <c r="A104" s="102" t="s">
        <v>448</v>
      </c>
      <c r="B104" s="87" t="s">
        <v>449</v>
      </c>
      <c r="C104" s="88" t="s">
        <v>226</v>
      </c>
      <c r="D104" s="89" t="s">
        <v>262</v>
      </c>
      <c r="E104" s="90">
        <f t="shared" si="24"/>
        <v>12839</v>
      </c>
      <c r="F104" s="90">
        <f t="shared" si="22"/>
        <v>10788.861056655145</v>
      </c>
      <c r="G104" s="91">
        <v>0.19</v>
      </c>
      <c r="H104" s="91" t="s">
        <v>228</v>
      </c>
      <c r="I104" s="91"/>
      <c r="J104" s="91"/>
      <c r="K104" s="91" t="s">
        <v>228</v>
      </c>
      <c r="L104" s="92" t="s">
        <v>450</v>
      </c>
      <c r="M104" s="91" t="str">
        <f t="shared" si="13"/>
        <v>VER ARCHIVO ANEXO</v>
      </c>
      <c r="N104" s="93">
        <v>41608</v>
      </c>
      <c r="O104" s="94"/>
      <c r="P104" s="94"/>
      <c r="Q104" s="94">
        <v>97</v>
      </c>
      <c r="R104" s="95">
        <f t="shared" si="14"/>
        <v>10788.861056655145</v>
      </c>
      <c r="S104" s="94">
        <v>7060.2825999999995</v>
      </c>
      <c r="T104" s="94">
        <f t="shared" si="15"/>
        <v>7538.2637320200001</v>
      </c>
      <c r="U104" s="94">
        <f t="shared" si="16"/>
        <v>7971.7138966111506</v>
      </c>
      <c r="V104" s="94">
        <f t="shared" si="17"/>
        <v>8297.7569949825465</v>
      </c>
      <c r="W104" s="97">
        <f t="shared" si="18"/>
        <v>8561.6256674229917</v>
      </c>
      <c r="X104" s="97">
        <f t="shared" si="19"/>
        <v>8886.9674427850659</v>
      </c>
      <c r="Y104" s="97">
        <f t="shared" si="23"/>
        <v>9030.0476186139058</v>
      </c>
      <c r="Z104" s="97">
        <f t="shared" si="20"/>
        <v>9537.5362947800077</v>
      </c>
      <c r="AA104" s="97">
        <f t="shared" si="21"/>
        <v>10788.861056655145</v>
      </c>
    </row>
    <row r="105" spans="1:27" x14ac:dyDescent="0.25">
      <c r="A105" s="102" t="s">
        <v>451</v>
      </c>
      <c r="B105" s="110" t="s">
        <v>452</v>
      </c>
      <c r="C105" s="88" t="s">
        <v>226</v>
      </c>
      <c r="D105" s="89" t="s">
        <v>262</v>
      </c>
      <c r="E105" s="90">
        <f t="shared" si="24"/>
        <v>22620</v>
      </c>
      <c r="F105" s="90">
        <f t="shared" si="22"/>
        <v>19008.417659647879</v>
      </c>
      <c r="G105" s="91">
        <v>0.19</v>
      </c>
      <c r="H105" s="91" t="s">
        <v>228</v>
      </c>
      <c r="I105" s="91"/>
      <c r="J105" s="91"/>
      <c r="K105" s="91" t="s">
        <v>228</v>
      </c>
      <c r="L105" s="92" t="s">
        <v>353</v>
      </c>
      <c r="M105" s="91" t="str">
        <f t="shared" si="13"/>
        <v>VER ARCHIVO ANEXO</v>
      </c>
      <c r="N105" s="93">
        <v>41608</v>
      </c>
      <c r="O105" s="94"/>
      <c r="P105" s="94"/>
      <c r="Q105" s="94">
        <v>98</v>
      </c>
      <c r="R105" s="95">
        <f t="shared" si="14"/>
        <v>19008.417659647879</v>
      </c>
      <c r="S105" s="94">
        <v>12439.199999999999</v>
      </c>
      <c r="T105" s="94">
        <f t="shared" si="15"/>
        <v>13281.333839999999</v>
      </c>
      <c r="U105" s="94">
        <f t="shared" si="16"/>
        <v>14045.0105358</v>
      </c>
      <c r="V105" s="94">
        <f t="shared" si="17"/>
        <v>14619.451466714219</v>
      </c>
      <c r="W105" s="97">
        <f t="shared" si="18"/>
        <v>15084.350023355732</v>
      </c>
      <c r="X105" s="97">
        <f t="shared" si="19"/>
        <v>15657.555324243251</v>
      </c>
      <c r="Y105" s="97">
        <f t="shared" si="23"/>
        <v>15909.641964963566</v>
      </c>
      <c r="Z105" s="97">
        <f t="shared" si="20"/>
        <v>16803.763843394518</v>
      </c>
      <c r="AA105" s="97">
        <f t="shared" si="21"/>
        <v>19008.417659647879</v>
      </c>
    </row>
    <row r="106" spans="1:27" x14ac:dyDescent="0.25">
      <c r="A106" s="102" t="s">
        <v>453</v>
      </c>
      <c r="B106" s="110" t="s">
        <v>454</v>
      </c>
      <c r="C106" s="88" t="s">
        <v>226</v>
      </c>
      <c r="D106" s="89" t="s">
        <v>262</v>
      </c>
      <c r="E106" s="90">
        <f t="shared" si="24"/>
        <v>32788</v>
      </c>
      <c r="F106" s="90">
        <f t="shared" si="22"/>
        <v>27552.70139765961</v>
      </c>
      <c r="G106" s="91">
        <v>0.19</v>
      </c>
      <c r="H106" s="91" t="s">
        <v>228</v>
      </c>
      <c r="I106" s="91"/>
      <c r="J106" s="91"/>
      <c r="K106" s="91" t="s">
        <v>228</v>
      </c>
      <c r="L106" s="92" t="s">
        <v>353</v>
      </c>
      <c r="M106" s="91" t="str">
        <f t="shared" si="13"/>
        <v>VER ARCHIVO ANEXO</v>
      </c>
      <c r="N106" s="93">
        <v>41608</v>
      </c>
      <c r="O106" s="94"/>
      <c r="P106" s="94"/>
      <c r="Q106" s="94">
        <v>99</v>
      </c>
      <c r="R106" s="95">
        <f t="shared" si="14"/>
        <v>27552.70139765961</v>
      </c>
      <c r="S106" s="94">
        <v>18030.6204</v>
      </c>
      <c r="T106" s="94">
        <f t="shared" si="15"/>
        <v>19251.293401080002</v>
      </c>
      <c r="U106" s="94">
        <f t="shared" si="16"/>
        <v>20358.242771642104</v>
      </c>
      <c r="V106" s="94">
        <f t="shared" si="17"/>
        <v>21190.894901002266</v>
      </c>
      <c r="W106" s="97">
        <f t="shared" si="18"/>
        <v>21864.76535885414</v>
      </c>
      <c r="X106" s="97">
        <f t="shared" si="19"/>
        <v>22695.626442490597</v>
      </c>
      <c r="Y106" s="97">
        <f t="shared" si="23"/>
        <v>23061.026028214696</v>
      </c>
      <c r="Z106" s="97">
        <f t="shared" si="20"/>
        <v>24357.055691000362</v>
      </c>
      <c r="AA106" s="97">
        <f t="shared" si="21"/>
        <v>27552.70139765961</v>
      </c>
    </row>
    <row r="107" spans="1:27" x14ac:dyDescent="0.25">
      <c r="A107" s="102" t="s">
        <v>455</v>
      </c>
      <c r="B107" s="87" t="s">
        <v>456</v>
      </c>
      <c r="C107" s="88" t="s">
        <v>226</v>
      </c>
      <c r="D107" s="89" t="s">
        <v>262</v>
      </c>
      <c r="E107" s="90">
        <f t="shared" si="24"/>
        <v>182900</v>
      </c>
      <c r="F107" s="90">
        <f t="shared" si="22"/>
        <v>153697.31309149787</v>
      </c>
      <c r="G107" s="91">
        <v>0.19</v>
      </c>
      <c r="H107" s="91" t="s">
        <v>228</v>
      </c>
      <c r="I107" s="91"/>
      <c r="J107" s="91"/>
      <c r="K107" s="91" t="s">
        <v>228</v>
      </c>
      <c r="L107" s="92" t="s">
        <v>417</v>
      </c>
      <c r="M107" s="91" t="str">
        <f t="shared" si="13"/>
        <v>VER ARCHIVO ANEXO</v>
      </c>
      <c r="N107" s="93">
        <v>41608</v>
      </c>
      <c r="O107" s="94"/>
      <c r="P107" s="94"/>
      <c r="Q107" s="94">
        <v>100</v>
      </c>
      <c r="R107" s="95">
        <f t="shared" si="14"/>
        <v>153697.31309149787</v>
      </c>
      <c r="S107" s="94">
        <v>100580.2614</v>
      </c>
      <c r="T107" s="94">
        <f t="shared" si="15"/>
        <v>107389.54509678001</v>
      </c>
      <c r="U107" s="94">
        <f t="shared" si="16"/>
        <v>113564.44393984487</v>
      </c>
      <c r="V107" s="94">
        <f t="shared" si="17"/>
        <v>118209.22969698452</v>
      </c>
      <c r="W107" s="97">
        <f t="shared" si="18"/>
        <v>121968.28320134863</v>
      </c>
      <c r="X107" s="97">
        <f t="shared" si="19"/>
        <v>126603.07796299989</v>
      </c>
      <c r="Y107" s="97">
        <f t="shared" si="23"/>
        <v>128641.38751820418</v>
      </c>
      <c r="Z107" s="97">
        <f t="shared" si="20"/>
        <v>135871.03349672726</v>
      </c>
      <c r="AA107" s="97">
        <f t="shared" si="21"/>
        <v>153697.31309149787</v>
      </c>
    </row>
    <row r="108" spans="1:27" x14ac:dyDescent="0.25">
      <c r="A108" s="102" t="s">
        <v>457</v>
      </c>
      <c r="B108" s="87" t="s">
        <v>458</v>
      </c>
      <c r="C108" s="88" t="s">
        <v>226</v>
      </c>
      <c r="D108" s="89" t="s">
        <v>262</v>
      </c>
      <c r="E108" s="90">
        <f t="shared" si="24"/>
        <v>111330</v>
      </c>
      <c r="F108" s="90">
        <f t="shared" si="22"/>
        <v>93554.679616371955</v>
      </c>
      <c r="G108" s="91">
        <v>0.19</v>
      </c>
      <c r="H108" s="91" t="s">
        <v>228</v>
      </c>
      <c r="I108" s="91"/>
      <c r="J108" s="91"/>
      <c r="K108" s="91" t="s">
        <v>228</v>
      </c>
      <c r="L108" s="92" t="s">
        <v>417</v>
      </c>
      <c r="M108" s="91" t="str">
        <f t="shared" si="13"/>
        <v>VER ARCHIVO ANEXO</v>
      </c>
      <c r="N108" s="93">
        <v>41608</v>
      </c>
      <c r="O108" s="94"/>
      <c r="P108" s="94"/>
      <c r="Q108" s="94">
        <v>101</v>
      </c>
      <c r="R108" s="95">
        <f t="shared" si="14"/>
        <v>93554.679616371955</v>
      </c>
      <c r="S108" s="94">
        <v>61222.632599999997</v>
      </c>
      <c r="T108" s="94">
        <f t="shared" si="15"/>
        <v>65367.40482702</v>
      </c>
      <c r="U108" s="94">
        <f t="shared" si="16"/>
        <v>69126.030604573651</v>
      </c>
      <c r="V108" s="94">
        <f t="shared" si="17"/>
        <v>71953.285256300704</v>
      </c>
      <c r="W108" s="97">
        <f t="shared" si="18"/>
        <v>74241.399727451077</v>
      </c>
      <c r="X108" s="97">
        <f t="shared" si="19"/>
        <v>77062.572917094221</v>
      </c>
      <c r="Y108" s="97">
        <f t="shared" si="23"/>
        <v>78303.280341059435</v>
      </c>
      <c r="Z108" s="97">
        <f t="shared" si="20"/>
        <v>82703.924696226983</v>
      </c>
      <c r="AA108" s="97">
        <f t="shared" si="21"/>
        <v>93554.679616371955</v>
      </c>
    </row>
    <row r="109" spans="1:27" x14ac:dyDescent="0.25">
      <c r="A109" s="102" t="s">
        <v>459</v>
      </c>
      <c r="B109" s="87" t="s">
        <v>460</v>
      </c>
      <c r="C109" s="88" t="s">
        <v>226</v>
      </c>
      <c r="D109" s="89" t="s">
        <v>262</v>
      </c>
      <c r="E109" s="90">
        <f t="shared" si="24"/>
        <v>117739</v>
      </c>
      <c r="F109" s="90">
        <f t="shared" si="22"/>
        <v>98940.397953272201</v>
      </c>
      <c r="G109" s="91">
        <v>0.19</v>
      </c>
      <c r="H109" s="91" t="s">
        <v>228</v>
      </c>
      <c r="I109" s="91"/>
      <c r="J109" s="91"/>
      <c r="K109" s="91" t="s">
        <v>228</v>
      </c>
      <c r="L109" s="92" t="s">
        <v>417</v>
      </c>
      <c r="M109" s="91" t="str">
        <f t="shared" si="13"/>
        <v>VER ARCHIVO ANEXO</v>
      </c>
      <c r="N109" s="93">
        <v>41608</v>
      </c>
      <c r="O109" s="94"/>
      <c r="P109" s="94"/>
      <c r="Q109" s="94">
        <v>102</v>
      </c>
      <c r="R109" s="95">
        <f t="shared" si="14"/>
        <v>98940.397953272201</v>
      </c>
      <c r="S109" s="94">
        <v>64747.0726</v>
      </c>
      <c r="T109" s="94">
        <f t="shared" si="15"/>
        <v>69130.449415020004</v>
      </c>
      <c r="U109" s="94">
        <f t="shared" si="16"/>
        <v>73105.450256383658</v>
      </c>
      <c r="V109" s="94">
        <f t="shared" si="17"/>
        <v>76095.463171869749</v>
      </c>
      <c r="W109" s="97">
        <f t="shared" si="18"/>
        <v>78515.298900735215</v>
      </c>
      <c r="X109" s="97">
        <f t="shared" si="19"/>
        <v>81498.880258963152</v>
      </c>
      <c r="Y109" s="97">
        <f t="shared" si="23"/>
        <v>82811.012231132452</v>
      </c>
      <c r="Z109" s="97">
        <f t="shared" si="20"/>
        <v>87464.991118522099</v>
      </c>
      <c r="AA109" s="97">
        <f t="shared" si="21"/>
        <v>98940.397953272201</v>
      </c>
    </row>
    <row r="110" spans="1:27" x14ac:dyDescent="0.25">
      <c r="A110" s="102" t="s">
        <v>461</v>
      </c>
      <c r="B110" s="87" t="s">
        <v>462</v>
      </c>
      <c r="C110" s="88" t="s">
        <v>226</v>
      </c>
      <c r="D110" s="89" t="s">
        <v>262</v>
      </c>
      <c r="E110" s="90">
        <f t="shared" si="24"/>
        <v>125643</v>
      </c>
      <c r="F110" s="90">
        <f t="shared" si="22"/>
        <v>105582.25589051416</v>
      </c>
      <c r="G110" s="91">
        <v>0.19</v>
      </c>
      <c r="H110" s="91" t="s">
        <v>228</v>
      </c>
      <c r="I110" s="91"/>
      <c r="J110" s="91"/>
      <c r="K110" s="91" t="s">
        <v>228</v>
      </c>
      <c r="L110" s="92" t="s">
        <v>463</v>
      </c>
      <c r="M110" s="91" t="str">
        <f t="shared" si="13"/>
        <v>VER ARCHIVO ANEXO</v>
      </c>
      <c r="N110" s="93">
        <v>41608</v>
      </c>
      <c r="O110" s="94"/>
      <c r="P110" s="94"/>
      <c r="Q110" s="94">
        <v>103</v>
      </c>
      <c r="R110" s="95">
        <f t="shared" si="14"/>
        <v>105582.25589051416</v>
      </c>
      <c r="S110" s="94">
        <v>69093.536399999997</v>
      </c>
      <c r="T110" s="94">
        <f t="shared" si="15"/>
        <v>73771.168814279998</v>
      </c>
      <c r="U110" s="94">
        <f t="shared" si="16"/>
        <v>78013.011021101105</v>
      </c>
      <c r="V110" s="94">
        <f t="shared" si="17"/>
        <v>81203.743171864131</v>
      </c>
      <c r="W110" s="97">
        <f t="shared" si="18"/>
        <v>83786.022204729408</v>
      </c>
      <c r="X110" s="97">
        <f t="shared" si="19"/>
        <v>86969.891048509133</v>
      </c>
      <c r="Y110" s="97">
        <f t="shared" si="23"/>
        <v>88370.106294390134</v>
      </c>
      <c r="Z110" s="97">
        <f t="shared" si="20"/>
        <v>93336.506268134865</v>
      </c>
      <c r="AA110" s="97">
        <f t="shared" si="21"/>
        <v>105582.25589051416</v>
      </c>
    </row>
    <row r="111" spans="1:27" x14ac:dyDescent="0.25">
      <c r="A111" s="102" t="s">
        <v>464</v>
      </c>
      <c r="B111" s="87" t="s">
        <v>465</v>
      </c>
      <c r="C111" s="88" t="s">
        <v>226</v>
      </c>
      <c r="D111" s="89" t="s">
        <v>262</v>
      </c>
      <c r="E111" s="90">
        <f t="shared" si="24"/>
        <v>219478</v>
      </c>
      <c r="F111" s="90">
        <f t="shared" si="22"/>
        <v>184435.50848195347</v>
      </c>
      <c r="G111" s="91">
        <v>0.19</v>
      </c>
      <c r="H111" s="91" t="s">
        <v>228</v>
      </c>
      <c r="I111" s="91"/>
      <c r="J111" s="91"/>
      <c r="K111" s="91" t="s">
        <v>228</v>
      </c>
      <c r="L111" s="92" t="s">
        <v>463</v>
      </c>
      <c r="M111" s="91" t="str">
        <f t="shared" si="13"/>
        <v>VER ARCHIVO ANEXO</v>
      </c>
      <c r="N111" s="93">
        <v>41608</v>
      </c>
      <c r="O111" s="94"/>
      <c r="P111" s="94"/>
      <c r="Q111" s="94">
        <v>104</v>
      </c>
      <c r="R111" s="95">
        <f t="shared" si="14"/>
        <v>184435.50848195347</v>
      </c>
      <c r="S111" s="94">
        <v>120695.4844</v>
      </c>
      <c r="T111" s="94">
        <f t="shared" si="15"/>
        <v>128866.56869388001</v>
      </c>
      <c r="U111" s="94">
        <f t="shared" si="16"/>
        <v>136276.39639377812</v>
      </c>
      <c r="V111" s="94">
        <f t="shared" si="17"/>
        <v>141850.10100628363</v>
      </c>
      <c r="W111" s="97">
        <f t="shared" si="18"/>
        <v>146360.93421828345</v>
      </c>
      <c r="X111" s="97">
        <f t="shared" si="19"/>
        <v>151922.64971857824</v>
      </c>
      <c r="Y111" s="97">
        <f t="shared" si="23"/>
        <v>154368.60437904735</v>
      </c>
      <c r="Z111" s="97">
        <f t="shared" si="20"/>
        <v>163044.11994514981</v>
      </c>
      <c r="AA111" s="97">
        <f t="shared" si="21"/>
        <v>184435.50848195347</v>
      </c>
    </row>
    <row r="112" spans="1:27" x14ac:dyDescent="0.25">
      <c r="A112" s="102" t="s">
        <v>466</v>
      </c>
      <c r="B112" s="87" t="s">
        <v>467</v>
      </c>
      <c r="C112" s="88" t="s">
        <v>226</v>
      </c>
      <c r="D112" s="89" t="s">
        <v>262</v>
      </c>
      <c r="E112" s="90">
        <f t="shared" si="24"/>
        <v>909728</v>
      </c>
      <c r="F112" s="90">
        <f t="shared" si="22"/>
        <v>764477.37336610863</v>
      </c>
      <c r="G112" s="91">
        <v>0.19</v>
      </c>
      <c r="H112" s="91" t="s">
        <v>228</v>
      </c>
      <c r="I112" s="91"/>
      <c r="J112" s="91"/>
      <c r="K112" s="91" t="s">
        <v>228</v>
      </c>
      <c r="L112" s="92" t="s">
        <v>447</v>
      </c>
      <c r="M112" s="91" t="str">
        <f t="shared" si="13"/>
        <v>VER ARCHIVO ANEXO</v>
      </c>
      <c r="N112" s="93">
        <v>41608</v>
      </c>
      <c r="O112" s="94"/>
      <c r="P112" s="94"/>
      <c r="Q112" s="94">
        <v>105</v>
      </c>
      <c r="R112" s="95">
        <f t="shared" si="14"/>
        <v>764477.37336610863</v>
      </c>
      <c r="S112" s="94">
        <v>500277.67239999998</v>
      </c>
      <c r="T112" s="94">
        <f t="shared" si="15"/>
        <v>534146.47082148003</v>
      </c>
      <c r="U112" s="94">
        <f t="shared" si="16"/>
        <v>564859.89289371518</v>
      </c>
      <c r="V112" s="94">
        <f t="shared" si="17"/>
        <v>587962.66251306806</v>
      </c>
      <c r="W112" s="97">
        <f t="shared" si="18"/>
        <v>606659.87518098368</v>
      </c>
      <c r="X112" s="97">
        <f t="shared" si="19"/>
        <v>629712.95043786103</v>
      </c>
      <c r="Y112" s="97">
        <f t="shared" si="23"/>
        <v>639851.32893991063</v>
      </c>
      <c r="Z112" s="97">
        <f t="shared" si="20"/>
        <v>675810.97362633364</v>
      </c>
      <c r="AA112" s="97">
        <f t="shared" si="21"/>
        <v>764477.37336610863</v>
      </c>
    </row>
    <row r="113" spans="1:27" x14ac:dyDescent="0.25">
      <c r="A113" s="102" t="s">
        <v>468</v>
      </c>
      <c r="B113" s="87" t="s">
        <v>469</v>
      </c>
      <c r="C113" s="88" t="s">
        <v>226</v>
      </c>
      <c r="D113" s="89" t="s">
        <v>262</v>
      </c>
      <c r="E113" s="90">
        <f t="shared" si="24"/>
        <v>1510915</v>
      </c>
      <c r="F113" s="90">
        <f t="shared" si="22"/>
        <v>1269676.7617850103</v>
      </c>
      <c r="G113" s="91">
        <v>0.19</v>
      </c>
      <c r="H113" s="91" t="s">
        <v>228</v>
      </c>
      <c r="I113" s="91"/>
      <c r="J113" s="91"/>
      <c r="K113" s="91" t="s">
        <v>228</v>
      </c>
      <c r="L113" s="92" t="s">
        <v>447</v>
      </c>
      <c r="M113" s="91" t="str">
        <f t="shared" si="13"/>
        <v>VER ARCHIVO ANEXO</v>
      </c>
      <c r="N113" s="93">
        <v>41608</v>
      </c>
      <c r="O113" s="94"/>
      <c r="P113" s="94"/>
      <c r="Q113" s="94">
        <v>106</v>
      </c>
      <c r="R113" s="95">
        <f t="shared" si="14"/>
        <v>1269676.7617850103</v>
      </c>
      <c r="S113" s="94">
        <v>830882.58360000001</v>
      </c>
      <c r="T113" s="94">
        <f t="shared" si="15"/>
        <v>887133.33450972009</v>
      </c>
      <c r="U113" s="94">
        <f t="shared" si="16"/>
        <v>938143.50124402915</v>
      </c>
      <c r="V113" s="94">
        <f t="shared" si="17"/>
        <v>976513.57044490986</v>
      </c>
      <c r="W113" s="97">
        <f t="shared" si="18"/>
        <v>1007566.701985058</v>
      </c>
      <c r="X113" s="97">
        <f t="shared" si="19"/>
        <v>1045854.2366604903</v>
      </c>
      <c r="Y113" s="97">
        <f t="shared" si="23"/>
        <v>1062692.4898707243</v>
      </c>
      <c r="Z113" s="97">
        <f t="shared" si="20"/>
        <v>1122415.807801459</v>
      </c>
      <c r="AA113" s="97">
        <f t="shared" si="21"/>
        <v>1269676.7617850103</v>
      </c>
    </row>
    <row r="114" spans="1:27" x14ac:dyDescent="0.25">
      <c r="A114" s="102" t="s">
        <v>470</v>
      </c>
      <c r="B114" s="87" t="s">
        <v>471</v>
      </c>
      <c r="C114" s="88" t="s">
        <v>226</v>
      </c>
      <c r="D114" s="89" t="s">
        <v>262</v>
      </c>
      <c r="E114" s="90">
        <f t="shared" si="24"/>
        <v>155861</v>
      </c>
      <c r="F114" s="90">
        <f t="shared" si="22"/>
        <v>130975.91784899878</v>
      </c>
      <c r="G114" s="91">
        <v>0.19</v>
      </c>
      <c r="H114" s="91" t="s">
        <v>228</v>
      </c>
      <c r="I114" s="91"/>
      <c r="J114" s="91"/>
      <c r="K114" s="91" t="s">
        <v>228</v>
      </c>
      <c r="L114" s="92" t="s">
        <v>472</v>
      </c>
      <c r="M114" s="91" t="str">
        <f t="shared" si="13"/>
        <v>VER ARCHIVO ANEXO</v>
      </c>
      <c r="N114" s="93">
        <v>41608</v>
      </c>
      <c r="O114" s="94"/>
      <c r="P114" s="94"/>
      <c r="Q114" s="94">
        <v>107</v>
      </c>
      <c r="R114" s="95">
        <f t="shared" si="14"/>
        <v>130975.91784899878</v>
      </c>
      <c r="S114" s="94">
        <v>85711.270999999993</v>
      </c>
      <c r="T114" s="94">
        <f t="shared" si="15"/>
        <v>91513.924046700005</v>
      </c>
      <c r="U114" s="94">
        <f t="shared" si="16"/>
        <v>96775.974679385268</v>
      </c>
      <c r="V114" s="94">
        <f t="shared" si="17"/>
        <v>100734.11204377213</v>
      </c>
      <c r="W114" s="97">
        <f t="shared" si="18"/>
        <v>103937.45680676408</v>
      </c>
      <c r="X114" s="97">
        <f t="shared" si="19"/>
        <v>107887.08016542112</v>
      </c>
      <c r="Y114" s="97">
        <f t="shared" si="23"/>
        <v>109624.0621560844</v>
      </c>
      <c r="Z114" s="97">
        <f t="shared" si="20"/>
        <v>115784.93444925635</v>
      </c>
      <c r="AA114" s="97">
        <f t="shared" si="21"/>
        <v>130975.91784899878</v>
      </c>
    </row>
    <row r="115" spans="1:27" x14ac:dyDescent="0.25">
      <c r="A115" s="102" t="s">
        <v>473</v>
      </c>
      <c r="B115" s="87" t="s">
        <v>474</v>
      </c>
      <c r="C115" s="88" t="s">
        <v>226</v>
      </c>
      <c r="D115" s="89" t="s">
        <v>262</v>
      </c>
      <c r="E115" s="90">
        <f t="shared" si="24"/>
        <v>349894</v>
      </c>
      <c r="F115" s="90">
        <f t="shared" si="22"/>
        <v>294028.54049865325</v>
      </c>
      <c r="G115" s="91">
        <v>0.19</v>
      </c>
      <c r="H115" s="91" t="s">
        <v>228</v>
      </c>
      <c r="I115" s="91"/>
      <c r="J115" s="91"/>
      <c r="K115" s="91" t="s">
        <v>228</v>
      </c>
      <c r="L115" s="92" t="s">
        <v>417</v>
      </c>
      <c r="M115" s="91" t="str">
        <f t="shared" si="13"/>
        <v>VER ARCHIVO ANEXO</v>
      </c>
      <c r="N115" s="93">
        <v>41608</v>
      </c>
      <c r="O115" s="94"/>
      <c r="P115" s="94"/>
      <c r="Q115" s="94">
        <v>108</v>
      </c>
      <c r="R115" s="95">
        <f t="shared" si="14"/>
        <v>294028.54049865325</v>
      </c>
      <c r="S115" s="94">
        <v>192413.69199999998</v>
      </c>
      <c r="T115" s="94">
        <f t="shared" si="15"/>
        <v>205440.0989484</v>
      </c>
      <c r="U115" s="94">
        <f t="shared" si="16"/>
        <v>217252.90463793301</v>
      </c>
      <c r="V115" s="94">
        <f t="shared" si="17"/>
        <v>226138.54843762444</v>
      </c>
      <c r="W115" s="97">
        <f t="shared" si="18"/>
        <v>233329.7542779409</v>
      </c>
      <c r="X115" s="97">
        <f t="shared" si="19"/>
        <v>242196.28494050266</v>
      </c>
      <c r="Y115" s="97">
        <f t="shared" si="23"/>
        <v>246095.64512804477</v>
      </c>
      <c r="Z115" s="97">
        <f t="shared" si="20"/>
        <v>259926.22038424088</v>
      </c>
      <c r="AA115" s="97">
        <f t="shared" si="21"/>
        <v>294028.54049865325</v>
      </c>
    </row>
    <row r="116" spans="1:27" x14ac:dyDescent="0.25">
      <c r="A116" s="102" t="s">
        <v>475</v>
      </c>
      <c r="B116" s="87" t="s">
        <v>476</v>
      </c>
      <c r="C116" s="88" t="s">
        <v>226</v>
      </c>
      <c r="D116" s="89" t="s">
        <v>262</v>
      </c>
      <c r="E116" s="90">
        <f t="shared" si="24"/>
        <v>453273</v>
      </c>
      <c r="F116" s="90">
        <f t="shared" si="22"/>
        <v>380901.76130765915</v>
      </c>
      <c r="G116" s="91">
        <v>0.19</v>
      </c>
      <c r="H116" s="91" t="s">
        <v>228</v>
      </c>
      <c r="I116" s="91"/>
      <c r="J116" s="91"/>
      <c r="K116" s="91" t="s">
        <v>228</v>
      </c>
      <c r="L116" s="92" t="s">
        <v>417</v>
      </c>
      <c r="M116" s="91" t="str">
        <f t="shared" si="13"/>
        <v>VER ARCHIVO ANEXO</v>
      </c>
      <c r="N116" s="93">
        <v>41608</v>
      </c>
      <c r="O116" s="94"/>
      <c r="P116" s="94"/>
      <c r="Q116" s="94">
        <v>109</v>
      </c>
      <c r="R116" s="95">
        <f t="shared" si="14"/>
        <v>380901.76130765915</v>
      </c>
      <c r="S116" s="94">
        <v>249263.94579999999</v>
      </c>
      <c r="T116" s="94">
        <f t="shared" si="15"/>
        <v>266139.11493066</v>
      </c>
      <c r="U116" s="94">
        <f t="shared" si="16"/>
        <v>281442.114039173</v>
      </c>
      <c r="V116" s="94">
        <f t="shared" si="17"/>
        <v>292953.09650337516</v>
      </c>
      <c r="W116" s="97">
        <f t="shared" si="18"/>
        <v>302269.00497218251</v>
      </c>
      <c r="X116" s="97">
        <f t="shared" si="19"/>
        <v>313755.22716112545</v>
      </c>
      <c r="Y116" s="97">
        <f t="shared" si="23"/>
        <v>318806.68631841958</v>
      </c>
      <c r="Z116" s="97">
        <f t="shared" si="20"/>
        <v>336723.6220895148</v>
      </c>
      <c r="AA116" s="97">
        <f t="shared" si="21"/>
        <v>380901.76130765915</v>
      </c>
    </row>
    <row r="117" spans="1:27" x14ac:dyDescent="0.25">
      <c r="A117" s="102" t="s">
        <v>477</v>
      </c>
      <c r="B117" s="87" t="s">
        <v>478</v>
      </c>
      <c r="C117" s="88" t="s">
        <v>226</v>
      </c>
      <c r="D117" s="89" t="s">
        <v>262</v>
      </c>
      <c r="E117" s="90">
        <f t="shared" si="24"/>
        <v>38169</v>
      </c>
      <c r="F117" s="90">
        <f t="shared" si="22"/>
        <v>32075.120765850828</v>
      </c>
      <c r="G117" s="91">
        <v>0.19</v>
      </c>
      <c r="H117" s="91" t="s">
        <v>228</v>
      </c>
      <c r="I117" s="91"/>
      <c r="J117" s="91"/>
      <c r="K117" s="91" t="s">
        <v>228</v>
      </c>
      <c r="L117" s="92" t="s">
        <v>353</v>
      </c>
      <c r="M117" s="91" t="str">
        <f t="shared" si="13"/>
        <v>VER ARCHIVO ANEXO</v>
      </c>
      <c r="N117" s="93">
        <v>41608</v>
      </c>
      <c r="O117" s="94"/>
      <c r="P117" s="94"/>
      <c r="Q117" s="94">
        <v>110</v>
      </c>
      <c r="R117" s="95">
        <f t="shared" si="14"/>
        <v>32075.120765850828</v>
      </c>
      <c r="S117" s="94">
        <v>20990.113399999998</v>
      </c>
      <c r="T117" s="94">
        <f t="shared" si="15"/>
        <v>22411.144077180001</v>
      </c>
      <c r="U117" s="94">
        <f t="shared" si="16"/>
        <v>23699.784861617853</v>
      </c>
      <c r="V117" s="94">
        <f t="shared" si="17"/>
        <v>24669.10606245802</v>
      </c>
      <c r="W117" s="97">
        <f t="shared" si="18"/>
        <v>25453.583635244187</v>
      </c>
      <c r="X117" s="97">
        <f t="shared" si="19"/>
        <v>26420.819813383467</v>
      </c>
      <c r="Y117" s="97">
        <f t="shared" si="23"/>
        <v>26846.195012378939</v>
      </c>
      <c r="Z117" s="97">
        <f t="shared" si="20"/>
        <v>28354.951172074638</v>
      </c>
      <c r="AA117" s="97">
        <f t="shared" si="21"/>
        <v>32075.120765850828</v>
      </c>
    </row>
    <row r="118" spans="1:27" x14ac:dyDescent="0.25">
      <c r="A118" s="102" t="s">
        <v>479</v>
      </c>
      <c r="B118" s="87" t="s">
        <v>480</v>
      </c>
      <c r="C118" s="88" t="s">
        <v>226</v>
      </c>
      <c r="D118" s="89" t="s">
        <v>262</v>
      </c>
      <c r="E118" s="90">
        <f t="shared" si="24"/>
        <v>41349</v>
      </c>
      <c r="F118" s="90">
        <f t="shared" si="22"/>
        <v>34747.387481836333</v>
      </c>
      <c r="G118" s="91">
        <v>0.19</v>
      </c>
      <c r="H118" s="91" t="s">
        <v>228</v>
      </c>
      <c r="I118" s="91"/>
      <c r="J118" s="91"/>
      <c r="K118" s="91" t="s">
        <v>228</v>
      </c>
      <c r="L118" s="92" t="s">
        <v>353</v>
      </c>
      <c r="M118" s="91" t="str">
        <f t="shared" si="13"/>
        <v>VER ARCHIVO ANEXO</v>
      </c>
      <c r="N118" s="93">
        <v>41608</v>
      </c>
      <c r="O118" s="94"/>
      <c r="P118" s="94"/>
      <c r="Q118" s="94">
        <v>111</v>
      </c>
      <c r="R118" s="95">
        <f t="shared" si="14"/>
        <v>34747.387481836333</v>
      </c>
      <c r="S118" s="94">
        <v>22738.857599999999</v>
      </c>
      <c r="T118" s="94">
        <f t="shared" si="15"/>
        <v>24278.278259520001</v>
      </c>
      <c r="U118" s="94">
        <f t="shared" si="16"/>
        <v>25674.279259442403</v>
      </c>
      <c r="V118" s="94">
        <f t="shared" si="17"/>
        <v>26724.357281153596</v>
      </c>
      <c r="W118" s="97">
        <f t="shared" si="18"/>
        <v>27574.191842694283</v>
      </c>
      <c r="X118" s="97">
        <f t="shared" si="19"/>
        <v>28622.011132716667</v>
      </c>
      <c r="Y118" s="97">
        <f t="shared" si="23"/>
        <v>29082.825511953404</v>
      </c>
      <c r="Z118" s="97">
        <f t="shared" si="20"/>
        <v>30717.280305725188</v>
      </c>
      <c r="AA118" s="97">
        <f t="shared" si="21"/>
        <v>34747.387481836333</v>
      </c>
    </row>
    <row r="119" spans="1:27" x14ac:dyDescent="0.25">
      <c r="A119" s="102" t="s">
        <v>481</v>
      </c>
      <c r="B119" s="87" t="s">
        <v>482</v>
      </c>
      <c r="C119" s="88" t="s">
        <v>226</v>
      </c>
      <c r="D119" s="89" t="s">
        <v>262</v>
      </c>
      <c r="E119" s="90">
        <f t="shared" si="24"/>
        <v>348725</v>
      </c>
      <c r="F119" s="90">
        <f t="shared" si="22"/>
        <v>293046.43891957152</v>
      </c>
      <c r="G119" s="91">
        <v>0.19</v>
      </c>
      <c r="H119" s="91" t="s">
        <v>228</v>
      </c>
      <c r="I119" s="91"/>
      <c r="J119" s="91"/>
      <c r="K119" s="91" t="s">
        <v>228</v>
      </c>
      <c r="L119" s="92" t="s">
        <v>353</v>
      </c>
      <c r="M119" s="91" t="str">
        <f t="shared" si="13"/>
        <v>VER ARCHIVO ANEXO</v>
      </c>
      <c r="N119" s="93">
        <v>41608</v>
      </c>
      <c r="O119" s="94"/>
      <c r="P119" s="94"/>
      <c r="Q119" s="94">
        <v>112</v>
      </c>
      <c r="R119" s="95">
        <f t="shared" si="14"/>
        <v>293046.43891957152</v>
      </c>
      <c r="S119" s="94">
        <v>191771</v>
      </c>
      <c r="T119" s="94">
        <f t="shared" si="15"/>
        <v>204753.89670000001</v>
      </c>
      <c r="U119" s="94">
        <f t="shared" si="16"/>
        <v>216527.24576025002</v>
      </c>
      <c r="V119" s="94">
        <f t="shared" si="17"/>
        <v>225383.21011184424</v>
      </c>
      <c r="W119" s="97">
        <f t="shared" si="18"/>
        <v>232550.3961934009</v>
      </c>
      <c r="X119" s="97">
        <f t="shared" si="19"/>
        <v>241387.31124875013</v>
      </c>
      <c r="Y119" s="97">
        <f t="shared" si="23"/>
        <v>245273.64695985502</v>
      </c>
      <c r="Z119" s="97">
        <f t="shared" si="20"/>
        <v>259058.02591899887</v>
      </c>
      <c r="AA119" s="97">
        <f t="shared" si="21"/>
        <v>293046.43891957152</v>
      </c>
    </row>
    <row r="120" spans="1:27" x14ac:dyDescent="0.25">
      <c r="A120" s="102" t="s">
        <v>483</v>
      </c>
      <c r="B120" s="87" t="s">
        <v>484</v>
      </c>
      <c r="C120" s="88" t="s">
        <v>226</v>
      </c>
      <c r="D120" s="89" t="s">
        <v>262</v>
      </c>
      <c r="E120" s="90">
        <f t="shared" si="24"/>
        <v>603200</v>
      </c>
      <c r="F120" s="90">
        <f t="shared" si="22"/>
        <v>506891.13759061019</v>
      </c>
      <c r="G120" s="91">
        <v>0.19</v>
      </c>
      <c r="H120" s="91" t="s">
        <v>228</v>
      </c>
      <c r="I120" s="91"/>
      <c r="J120" s="91"/>
      <c r="K120" s="91" t="s">
        <v>228</v>
      </c>
      <c r="L120" s="92" t="s">
        <v>353</v>
      </c>
      <c r="M120" s="91" t="str">
        <f t="shared" si="13"/>
        <v>VER ARCHIVO ANEXO</v>
      </c>
      <c r="N120" s="93">
        <v>41608</v>
      </c>
      <c r="O120" s="94"/>
      <c r="P120" s="94"/>
      <c r="Q120" s="94">
        <v>113</v>
      </c>
      <c r="R120" s="95">
        <f t="shared" si="14"/>
        <v>506891.13759061019</v>
      </c>
      <c r="S120" s="94">
        <v>331712</v>
      </c>
      <c r="T120" s="94">
        <f t="shared" si="15"/>
        <v>354168.90240000002</v>
      </c>
      <c r="U120" s="94">
        <f t="shared" si="16"/>
        <v>374533.61428800004</v>
      </c>
      <c r="V120" s="94">
        <f t="shared" si="17"/>
        <v>389852.03911237919</v>
      </c>
      <c r="W120" s="97">
        <f t="shared" si="18"/>
        <v>402249.3339561529</v>
      </c>
      <c r="X120" s="97">
        <f t="shared" si="19"/>
        <v>417534.80864648672</v>
      </c>
      <c r="Y120" s="97">
        <f t="shared" si="23"/>
        <v>424257.11906569515</v>
      </c>
      <c r="Z120" s="97">
        <f t="shared" si="20"/>
        <v>448100.36915718723</v>
      </c>
      <c r="AA120" s="97">
        <f t="shared" si="21"/>
        <v>506891.13759061019</v>
      </c>
    </row>
    <row r="121" spans="1:27" x14ac:dyDescent="0.25">
      <c r="A121" s="102" t="s">
        <v>485</v>
      </c>
      <c r="B121" s="87" t="s">
        <v>486</v>
      </c>
      <c r="C121" s="88" t="s">
        <v>226</v>
      </c>
      <c r="D121" s="89" t="s">
        <v>262</v>
      </c>
      <c r="E121" s="90">
        <f t="shared" si="24"/>
        <v>56550</v>
      </c>
      <c r="F121" s="90">
        <f t="shared" si="22"/>
        <v>47521.044149119713</v>
      </c>
      <c r="G121" s="91">
        <v>0.19</v>
      </c>
      <c r="H121" s="91" t="s">
        <v>228</v>
      </c>
      <c r="I121" s="91"/>
      <c r="J121" s="91"/>
      <c r="K121" s="91" t="s">
        <v>228</v>
      </c>
      <c r="L121" s="92" t="s">
        <v>353</v>
      </c>
      <c r="M121" s="91" t="str">
        <f t="shared" si="13"/>
        <v>VER ARCHIVO ANEXO</v>
      </c>
      <c r="N121" s="93">
        <v>41608</v>
      </c>
      <c r="O121" s="94"/>
      <c r="P121" s="94"/>
      <c r="Q121" s="94">
        <v>114</v>
      </c>
      <c r="R121" s="95">
        <f t="shared" si="14"/>
        <v>47521.044149119713</v>
      </c>
      <c r="S121" s="94">
        <v>31098</v>
      </c>
      <c r="T121" s="94">
        <f t="shared" si="15"/>
        <v>33203.334600000002</v>
      </c>
      <c r="U121" s="94">
        <f t="shared" si="16"/>
        <v>35112.526339500007</v>
      </c>
      <c r="V121" s="94">
        <f t="shared" si="17"/>
        <v>36548.628666785553</v>
      </c>
      <c r="W121" s="97">
        <f t="shared" si="18"/>
        <v>37710.875058389334</v>
      </c>
      <c r="X121" s="97">
        <f t="shared" si="19"/>
        <v>39143.888310608134</v>
      </c>
      <c r="Y121" s="97">
        <f t="shared" si="23"/>
        <v>39774.104912408926</v>
      </c>
      <c r="Z121" s="97">
        <f t="shared" si="20"/>
        <v>42009.409608486312</v>
      </c>
      <c r="AA121" s="97">
        <f t="shared" si="21"/>
        <v>47521.044149119713</v>
      </c>
    </row>
    <row r="122" spans="1:27" x14ac:dyDescent="0.25">
      <c r="A122" s="102" t="s">
        <v>487</v>
      </c>
      <c r="B122" s="87" t="s">
        <v>488</v>
      </c>
      <c r="C122" s="88" t="s">
        <v>226</v>
      </c>
      <c r="D122" s="89" t="s">
        <v>262</v>
      </c>
      <c r="E122" s="90">
        <f t="shared" si="24"/>
        <v>395850</v>
      </c>
      <c r="F122" s="90">
        <f t="shared" si="22"/>
        <v>332647.30904383789</v>
      </c>
      <c r="G122" s="91">
        <v>0.19</v>
      </c>
      <c r="H122" s="91" t="s">
        <v>228</v>
      </c>
      <c r="I122" s="91"/>
      <c r="J122" s="91"/>
      <c r="K122" s="91" t="s">
        <v>228</v>
      </c>
      <c r="L122" s="92" t="s">
        <v>353</v>
      </c>
      <c r="M122" s="91" t="str">
        <f t="shared" si="13"/>
        <v>VER ARCHIVO ANEXO</v>
      </c>
      <c r="N122" s="93">
        <v>41608</v>
      </c>
      <c r="O122" s="94"/>
      <c r="P122" s="94"/>
      <c r="Q122" s="94">
        <v>115</v>
      </c>
      <c r="R122" s="95">
        <f t="shared" si="14"/>
        <v>332647.30904383789</v>
      </c>
      <c r="S122" s="94">
        <v>217686</v>
      </c>
      <c r="T122" s="94">
        <f t="shared" si="15"/>
        <v>232423.34220000001</v>
      </c>
      <c r="U122" s="94">
        <f t="shared" si="16"/>
        <v>245787.68437650005</v>
      </c>
      <c r="V122" s="94">
        <f t="shared" si="17"/>
        <v>255840.40066749888</v>
      </c>
      <c r="W122" s="97">
        <f t="shared" si="18"/>
        <v>263976.12540872535</v>
      </c>
      <c r="X122" s="97">
        <f t="shared" si="19"/>
        <v>274007.21817425691</v>
      </c>
      <c r="Y122" s="97">
        <f t="shared" si="23"/>
        <v>278418.73438686243</v>
      </c>
      <c r="Z122" s="97">
        <f t="shared" si="20"/>
        <v>294065.8672594041</v>
      </c>
      <c r="AA122" s="97">
        <f t="shared" si="21"/>
        <v>332647.30904383789</v>
      </c>
    </row>
    <row r="123" spans="1:27" x14ac:dyDescent="0.25">
      <c r="A123" s="102" t="s">
        <v>489</v>
      </c>
      <c r="B123" s="87" t="s">
        <v>490</v>
      </c>
      <c r="C123" s="88" t="s">
        <v>226</v>
      </c>
      <c r="D123" s="89" t="s">
        <v>262</v>
      </c>
      <c r="E123" s="90">
        <f t="shared" si="24"/>
        <v>207350</v>
      </c>
      <c r="F123" s="90">
        <f t="shared" si="22"/>
        <v>174243.8285467723</v>
      </c>
      <c r="G123" s="91">
        <v>0.19</v>
      </c>
      <c r="H123" s="91" t="s">
        <v>228</v>
      </c>
      <c r="I123" s="91"/>
      <c r="J123" s="91"/>
      <c r="K123" s="91" t="s">
        <v>228</v>
      </c>
      <c r="L123" s="92" t="s">
        <v>353</v>
      </c>
      <c r="M123" s="91" t="str">
        <f t="shared" si="13"/>
        <v>VER ARCHIVO ANEXO</v>
      </c>
      <c r="N123" s="93">
        <v>41608</v>
      </c>
      <c r="O123" s="94"/>
      <c r="P123" s="94"/>
      <c r="Q123" s="94">
        <v>116</v>
      </c>
      <c r="R123" s="95">
        <f t="shared" si="14"/>
        <v>174243.8285467723</v>
      </c>
      <c r="S123" s="94">
        <v>114026</v>
      </c>
      <c r="T123" s="94">
        <f t="shared" si="15"/>
        <v>121745.56020000001</v>
      </c>
      <c r="U123" s="94">
        <f t="shared" si="16"/>
        <v>128745.92991150002</v>
      </c>
      <c r="V123" s="94">
        <f t="shared" si="17"/>
        <v>134011.63844488037</v>
      </c>
      <c r="W123" s="97">
        <f t="shared" si="18"/>
        <v>138273.20854742758</v>
      </c>
      <c r="X123" s="97">
        <f t="shared" si="19"/>
        <v>143527.59047222984</v>
      </c>
      <c r="Y123" s="97">
        <f t="shared" si="23"/>
        <v>145838.38467883275</v>
      </c>
      <c r="Z123" s="97">
        <f t="shared" si="20"/>
        <v>154034.50189778316</v>
      </c>
      <c r="AA123" s="97">
        <f t="shared" si="21"/>
        <v>174243.8285467723</v>
      </c>
    </row>
    <row r="124" spans="1:27" x14ac:dyDescent="0.25">
      <c r="A124" s="102" t="s">
        <v>491</v>
      </c>
      <c r="B124" s="87" t="s">
        <v>492</v>
      </c>
      <c r="C124" s="88" t="s">
        <v>226</v>
      </c>
      <c r="D124" s="89" t="s">
        <v>262</v>
      </c>
      <c r="E124" s="90">
        <f t="shared" si="24"/>
        <v>245050</v>
      </c>
      <c r="F124" s="90">
        <f t="shared" si="22"/>
        <v>205924.52464618534</v>
      </c>
      <c r="G124" s="91">
        <v>0.19</v>
      </c>
      <c r="H124" s="91" t="s">
        <v>228</v>
      </c>
      <c r="I124" s="91"/>
      <c r="J124" s="91"/>
      <c r="K124" s="91" t="s">
        <v>228</v>
      </c>
      <c r="L124" s="92" t="s">
        <v>353</v>
      </c>
      <c r="M124" s="91" t="str">
        <f>+IF(L124="no aplica","no aplica","VER ARCHIVO ANEXO")</f>
        <v>VER ARCHIVO ANEXO</v>
      </c>
      <c r="N124" s="93">
        <v>41608</v>
      </c>
      <c r="O124" s="94"/>
      <c r="P124" s="94"/>
      <c r="Q124" s="94">
        <v>117</v>
      </c>
      <c r="R124" s="95">
        <f t="shared" si="14"/>
        <v>205924.52464618534</v>
      </c>
      <c r="S124" s="94">
        <v>134758</v>
      </c>
      <c r="T124" s="94">
        <f t="shared" si="15"/>
        <v>143881.11660000001</v>
      </c>
      <c r="U124" s="94">
        <f t="shared" si="16"/>
        <v>152154.28080450001</v>
      </c>
      <c r="V124" s="94">
        <f t="shared" si="17"/>
        <v>158377.39088940405</v>
      </c>
      <c r="W124" s="97">
        <f t="shared" si="18"/>
        <v>163413.79191968709</v>
      </c>
      <c r="X124" s="97">
        <f t="shared" si="19"/>
        <v>169623.5160126352</v>
      </c>
      <c r="Y124" s="97">
        <f t="shared" si="23"/>
        <v>172354.45462043863</v>
      </c>
      <c r="Z124" s="97">
        <f t="shared" si="20"/>
        <v>182040.77497010728</v>
      </c>
      <c r="AA124" s="97">
        <f t="shared" si="21"/>
        <v>205924.52464618534</v>
      </c>
    </row>
    <row r="125" spans="1:27" x14ac:dyDescent="0.25">
      <c r="A125" s="105" t="s">
        <v>493</v>
      </c>
      <c r="B125" s="106" t="s">
        <v>494</v>
      </c>
      <c r="C125" s="107"/>
      <c r="D125" s="108"/>
      <c r="E125" s="90">
        <f t="shared" si="24"/>
        <v>0</v>
      </c>
      <c r="F125" s="90">
        <f t="shared" si="22"/>
        <v>0</v>
      </c>
      <c r="G125" s="91"/>
      <c r="H125" s="91"/>
      <c r="I125" s="91"/>
      <c r="J125" s="91"/>
      <c r="K125" s="91"/>
      <c r="L125" s="92" t="s">
        <v>302</v>
      </c>
      <c r="M125" s="91"/>
      <c r="N125" s="93">
        <v>41608</v>
      </c>
      <c r="O125" s="109"/>
      <c r="P125" s="109"/>
      <c r="Q125" s="109">
        <v>0</v>
      </c>
      <c r="R125" s="95">
        <f t="shared" si="14"/>
        <v>0</v>
      </c>
      <c r="S125" s="109">
        <v>0</v>
      </c>
      <c r="T125" s="94">
        <f t="shared" si="15"/>
        <v>0</v>
      </c>
      <c r="U125" s="94">
        <f t="shared" si="16"/>
        <v>0</v>
      </c>
      <c r="V125" s="94">
        <f t="shared" si="17"/>
        <v>0</v>
      </c>
      <c r="W125" s="97">
        <f t="shared" si="18"/>
        <v>0</v>
      </c>
      <c r="X125" s="97">
        <f t="shared" si="19"/>
        <v>0</v>
      </c>
      <c r="Y125" s="97">
        <f t="shared" si="23"/>
        <v>0</v>
      </c>
      <c r="Z125" s="97">
        <f t="shared" si="20"/>
        <v>0</v>
      </c>
      <c r="AA125" s="97">
        <f t="shared" si="21"/>
        <v>0</v>
      </c>
    </row>
    <row r="126" spans="1:27" x14ac:dyDescent="0.25">
      <c r="A126" s="102" t="s">
        <v>495</v>
      </c>
      <c r="B126" s="87" t="s">
        <v>496</v>
      </c>
      <c r="C126" s="88" t="s">
        <v>226</v>
      </c>
      <c r="D126" s="89" t="s">
        <v>4</v>
      </c>
      <c r="E126" s="90">
        <f t="shared" si="24"/>
        <v>329794</v>
      </c>
      <c r="F126" s="90">
        <f t="shared" si="22"/>
        <v>277137.97737325117</v>
      </c>
      <c r="G126" s="91">
        <v>0.19</v>
      </c>
      <c r="H126" s="91" t="s">
        <v>228</v>
      </c>
      <c r="I126" s="91"/>
      <c r="J126" s="91"/>
      <c r="K126" s="91" t="s">
        <v>228</v>
      </c>
      <c r="L126" s="92" t="s">
        <v>302</v>
      </c>
      <c r="M126" s="91" t="str">
        <f t="shared" ref="M126:M167" si="25">+IF(L126="no aplica","no aplica","VER ARCHIVO ANEXO")</f>
        <v>no aplica</v>
      </c>
      <c r="N126" s="93">
        <v>41608</v>
      </c>
      <c r="O126" s="94"/>
      <c r="P126" s="94"/>
      <c r="Q126" s="94">
        <v>118</v>
      </c>
      <c r="R126" s="95">
        <f t="shared" si="14"/>
        <v>277137.97737325117</v>
      </c>
      <c r="S126" s="94">
        <v>181360.42619999999</v>
      </c>
      <c r="T126" s="94">
        <f t="shared" si="15"/>
        <v>193638.52705373999</v>
      </c>
      <c r="U126" s="94">
        <f t="shared" si="16"/>
        <v>204772.74235933006</v>
      </c>
      <c r="V126" s="94">
        <f t="shared" si="17"/>
        <v>213147.94752182666</v>
      </c>
      <c r="W126" s="97">
        <f t="shared" si="18"/>
        <v>219926.05225302075</v>
      </c>
      <c r="X126" s="97">
        <f t="shared" si="19"/>
        <v>228283.24223863555</v>
      </c>
      <c r="Y126" s="97">
        <f t="shared" si="23"/>
        <v>231958.60243867757</v>
      </c>
      <c r="Z126" s="97">
        <f t="shared" si="20"/>
        <v>244994.67589573126</v>
      </c>
      <c r="AA126" s="97">
        <f t="shared" si="21"/>
        <v>277137.97737325117</v>
      </c>
    </row>
    <row r="127" spans="1:27" x14ac:dyDescent="0.25">
      <c r="A127" s="102" t="s">
        <v>497</v>
      </c>
      <c r="B127" s="87" t="s">
        <v>498</v>
      </c>
      <c r="C127" s="88" t="s">
        <v>226</v>
      </c>
      <c r="D127" s="89" t="s">
        <v>4</v>
      </c>
      <c r="E127" s="90">
        <f t="shared" si="24"/>
        <v>763682</v>
      </c>
      <c r="F127" s="90">
        <f t="shared" si="22"/>
        <v>641749.52474659204</v>
      </c>
      <c r="G127" s="91">
        <v>0.19</v>
      </c>
      <c r="H127" s="91" t="s">
        <v>228</v>
      </c>
      <c r="I127" s="91"/>
      <c r="J127" s="91"/>
      <c r="K127" s="91" t="s">
        <v>228</v>
      </c>
      <c r="L127" s="92" t="s">
        <v>302</v>
      </c>
      <c r="M127" s="91" t="str">
        <f t="shared" si="25"/>
        <v>no aplica</v>
      </c>
      <c r="N127" s="93">
        <v>41608</v>
      </c>
      <c r="O127" s="94"/>
      <c r="P127" s="94"/>
      <c r="Q127" s="94">
        <v>119</v>
      </c>
      <c r="R127" s="95">
        <f t="shared" si="14"/>
        <v>641749.52474659204</v>
      </c>
      <c r="S127" s="94">
        <v>419963.97759999998</v>
      </c>
      <c r="T127" s="94">
        <f t="shared" si="15"/>
        <v>448395.53888352</v>
      </c>
      <c r="U127" s="94">
        <f t="shared" si="16"/>
        <v>474178.28236932243</v>
      </c>
      <c r="V127" s="94">
        <f t="shared" si="17"/>
        <v>493572.17411822767</v>
      </c>
      <c r="W127" s="97">
        <f t="shared" si="18"/>
        <v>509267.76925518736</v>
      </c>
      <c r="X127" s="97">
        <f t="shared" si="19"/>
        <v>528619.94448688452</v>
      </c>
      <c r="Y127" s="97">
        <f t="shared" si="23"/>
        <v>537130.72559312335</v>
      </c>
      <c r="Z127" s="97">
        <f t="shared" si="20"/>
        <v>567317.47237145691</v>
      </c>
      <c r="AA127" s="97">
        <f t="shared" si="21"/>
        <v>641749.52474659204</v>
      </c>
    </row>
    <row r="128" spans="1:27" x14ac:dyDescent="0.25">
      <c r="A128" s="102" t="s">
        <v>499</v>
      </c>
      <c r="B128" s="87" t="s">
        <v>500</v>
      </c>
      <c r="C128" s="88" t="s">
        <v>226</v>
      </c>
      <c r="D128" s="89" t="s">
        <v>4</v>
      </c>
      <c r="E128" s="90">
        <f t="shared" si="24"/>
        <v>918476</v>
      </c>
      <c r="F128" s="90">
        <f t="shared" si="22"/>
        <v>771828.87889597763</v>
      </c>
      <c r="G128" s="91">
        <v>0.19</v>
      </c>
      <c r="H128" s="91" t="s">
        <v>228</v>
      </c>
      <c r="I128" s="91"/>
      <c r="J128" s="91"/>
      <c r="K128" s="91" t="s">
        <v>228</v>
      </c>
      <c r="L128" s="92" t="s">
        <v>302</v>
      </c>
      <c r="M128" s="91" t="str">
        <f t="shared" si="25"/>
        <v>no aplica</v>
      </c>
      <c r="N128" s="93">
        <v>41608</v>
      </c>
      <c r="O128" s="94"/>
      <c r="P128" s="94"/>
      <c r="Q128" s="94">
        <v>120</v>
      </c>
      <c r="R128" s="95">
        <f t="shared" si="14"/>
        <v>771828.87889597763</v>
      </c>
      <c r="S128" s="94">
        <v>505088.533</v>
      </c>
      <c r="T128" s="94">
        <f t="shared" si="15"/>
        <v>539283.02668410004</v>
      </c>
      <c r="U128" s="94">
        <f t="shared" si="16"/>
        <v>570291.8007184359</v>
      </c>
      <c r="V128" s="94">
        <f t="shared" si="17"/>
        <v>593616.7353678199</v>
      </c>
      <c r="W128" s="97">
        <f t="shared" si="18"/>
        <v>612493.74755251664</v>
      </c>
      <c r="X128" s="97">
        <f t="shared" si="19"/>
        <v>635768.50995951227</v>
      </c>
      <c r="Y128" s="97">
        <f t="shared" si="23"/>
        <v>646004.38296986045</v>
      </c>
      <c r="Z128" s="97">
        <f t="shared" si="20"/>
        <v>682309.82929276663</v>
      </c>
      <c r="AA128" s="97">
        <f t="shared" si="21"/>
        <v>771828.87889597763</v>
      </c>
    </row>
    <row r="129" spans="1:27" x14ac:dyDescent="0.25">
      <c r="A129" s="102" t="s">
        <v>501</v>
      </c>
      <c r="B129" s="87" t="s">
        <v>502</v>
      </c>
      <c r="C129" s="88" t="s">
        <v>226</v>
      </c>
      <c r="D129" s="89" t="s">
        <v>4</v>
      </c>
      <c r="E129" s="90">
        <f t="shared" si="24"/>
        <v>804918</v>
      </c>
      <c r="F129" s="90">
        <f t="shared" si="22"/>
        <v>676401.87014013005</v>
      </c>
      <c r="G129" s="91">
        <v>0.19</v>
      </c>
      <c r="H129" s="91" t="s">
        <v>228</v>
      </c>
      <c r="I129" s="91"/>
      <c r="J129" s="91"/>
      <c r="K129" s="91" t="s">
        <v>228</v>
      </c>
      <c r="L129" s="92" t="s">
        <v>302</v>
      </c>
      <c r="M129" s="91" t="str">
        <f t="shared" si="25"/>
        <v>no aplica</v>
      </c>
      <c r="N129" s="93">
        <v>41608</v>
      </c>
      <c r="O129" s="94"/>
      <c r="P129" s="94"/>
      <c r="Q129" s="94">
        <v>121</v>
      </c>
      <c r="R129" s="95">
        <f t="shared" si="14"/>
        <v>676401.87014013005</v>
      </c>
      <c r="S129" s="94">
        <v>442640.63919999998</v>
      </c>
      <c r="T129" s="94">
        <f t="shared" si="15"/>
        <v>472607.41047384002</v>
      </c>
      <c r="U129" s="94">
        <f t="shared" si="16"/>
        <v>499782.33657608589</v>
      </c>
      <c r="V129" s="94">
        <f t="shared" si="17"/>
        <v>520223.43414204777</v>
      </c>
      <c r="W129" s="97">
        <f t="shared" si="18"/>
        <v>536766.53934776492</v>
      </c>
      <c r="X129" s="97">
        <f t="shared" si="19"/>
        <v>557163.66784298001</v>
      </c>
      <c r="Y129" s="97">
        <f t="shared" si="23"/>
        <v>566134.00289525196</v>
      </c>
      <c r="Z129" s="97">
        <f t="shared" si="20"/>
        <v>597950.7338579651</v>
      </c>
      <c r="AA129" s="97">
        <f t="shared" si="21"/>
        <v>676401.87014013005</v>
      </c>
    </row>
    <row r="130" spans="1:27" x14ac:dyDescent="0.25">
      <c r="A130" s="102" t="s">
        <v>503</v>
      </c>
      <c r="B130" s="87" t="s">
        <v>504</v>
      </c>
      <c r="C130" s="88" t="s">
        <v>226</v>
      </c>
      <c r="D130" s="89" t="s">
        <v>4</v>
      </c>
      <c r="E130" s="90">
        <f t="shared" si="24"/>
        <v>1168970</v>
      </c>
      <c r="F130" s="90">
        <f t="shared" si="22"/>
        <v>982328.09605891816</v>
      </c>
      <c r="G130" s="91">
        <v>0.19</v>
      </c>
      <c r="H130" s="91" t="s">
        <v>228</v>
      </c>
      <c r="I130" s="91"/>
      <c r="J130" s="91"/>
      <c r="K130" s="91" t="s">
        <v>228</v>
      </c>
      <c r="L130" s="92" t="s">
        <v>302</v>
      </c>
      <c r="M130" s="91" t="str">
        <f t="shared" si="25"/>
        <v>no aplica</v>
      </c>
      <c r="N130" s="93">
        <v>41608</v>
      </c>
      <c r="O130" s="94"/>
      <c r="P130" s="94"/>
      <c r="Q130" s="94">
        <v>122</v>
      </c>
      <c r="R130" s="95">
        <f t="shared" si="14"/>
        <v>982328.09605891816</v>
      </c>
      <c r="S130" s="94">
        <v>642840.23379999993</v>
      </c>
      <c r="T130" s="94">
        <f t="shared" si="15"/>
        <v>686360.51762825996</v>
      </c>
      <c r="U130" s="94">
        <f t="shared" si="16"/>
        <v>725826.24739188503</v>
      </c>
      <c r="V130" s="94">
        <f t="shared" si="17"/>
        <v>755512.54091021314</v>
      </c>
      <c r="W130" s="97">
        <f t="shared" si="18"/>
        <v>779537.83971115795</v>
      </c>
      <c r="X130" s="97">
        <f t="shared" si="19"/>
        <v>809160.27762018202</v>
      </c>
      <c r="Y130" s="97">
        <f t="shared" si="23"/>
        <v>822187.75808986695</v>
      </c>
      <c r="Z130" s="97">
        <f t="shared" si="20"/>
        <v>868394.71009451745</v>
      </c>
      <c r="AA130" s="97">
        <f t="shared" si="21"/>
        <v>982328.09605891816</v>
      </c>
    </row>
    <row r="131" spans="1:27" x14ac:dyDescent="0.25">
      <c r="A131" s="102" t="s">
        <v>505</v>
      </c>
      <c r="B131" s="87" t="s">
        <v>506</v>
      </c>
      <c r="C131" s="88" t="s">
        <v>226</v>
      </c>
      <c r="D131" s="89" t="s">
        <v>4</v>
      </c>
      <c r="E131" s="90">
        <f t="shared" si="24"/>
        <v>1075048</v>
      </c>
      <c r="F131" s="90">
        <f t="shared" si="22"/>
        <v>903401.97786645021</v>
      </c>
      <c r="G131" s="91">
        <v>0.19</v>
      </c>
      <c r="H131" s="91" t="s">
        <v>228</v>
      </c>
      <c r="I131" s="91"/>
      <c r="J131" s="91"/>
      <c r="K131" s="91" t="s">
        <v>228</v>
      </c>
      <c r="L131" s="92" t="s">
        <v>302</v>
      </c>
      <c r="M131" s="91" t="str">
        <f t="shared" si="25"/>
        <v>no aplica</v>
      </c>
      <c r="N131" s="93">
        <v>41608</v>
      </c>
      <c r="O131" s="94"/>
      <c r="P131" s="94"/>
      <c r="Q131" s="94">
        <v>123</v>
      </c>
      <c r="R131" s="95">
        <f t="shared" si="14"/>
        <v>903401.97786645021</v>
      </c>
      <c r="S131" s="94">
        <v>591190.60219999996</v>
      </c>
      <c r="T131" s="94">
        <f t="shared" si="15"/>
        <v>631214.20596894005</v>
      </c>
      <c r="U131" s="94">
        <f t="shared" si="16"/>
        <v>667509.02281215414</v>
      </c>
      <c r="V131" s="94">
        <f t="shared" si="17"/>
        <v>694810.14184517122</v>
      </c>
      <c r="W131" s="97">
        <f t="shared" si="18"/>
        <v>716905.1043558477</v>
      </c>
      <c r="X131" s="97">
        <f t="shared" si="19"/>
        <v>744147.49832136999</v>
      </c>
      <c r="Y131" s="97">
        <f t="shared" si="23"/>
        <v>756128.27304434404</v>
      </c>
      <c r="Z131" s="97">
        <f t="shared" si="20"/>
        <v>798622.68198943615</v>
      </c>
      <c r="AA131" s="97">
        <f t="shared" si="21"/>
        <v>903401.97786645021</v>
      </c>
    </row>
    <row r="132" spans="1:27" x14ac:dyDescent="0.25">
      <c r="A132" s="102" t="s">
        <v>507</v>
      </c>
      <c r="B132" s="87" t="s">
        <v>508</v>
      </c>
      <c r="C132" s="88" t="s">
        <v>226</v>
      </c>
      <c r="D132" s="89" t="s">
        <v>4</v>
      </c>
      <c r="E132" s="90">
        <f t="shared" si="24"/>
        <v>319285</v>
      </c>
      <c r="F132" s="90">
        <f t="shared" si="22"/>
        <v>268306.98333553976</v>
      </c>
      <c r="G132" s="91">
        <v>0.19</v>
      </c>
      <c r="H132" s="91" t="s">
        <v>228</v>
      </c>
      <c r="I132" s="91"/>
      <c r="J132" s="91"/>
      <c r="K132" s="91" t="s">
        <v>228</v>
      </c>
      <c r="L132" s="92" t="s">
        <v>302</v>
      </c>
      <c r="M132" s="91" t="str">
        <f t="shared" si="25"/>
        <v>no aplica</v>
      </c>
      <c r="N132" s="93">
        <v>41608</v>
      </c>
      <c r="O132" s="94"/>
      <c r="P132" s="94"/>
      <c r="Q132" s="94">
        <v>124</v>
      </c>
      <c r="R132" s="95">
        <f t="shared" si="14"/>
        <v>268306.98333553976</v>
      </c>
      <c r="S132" s="94">
        <v>175581.3812</v>
      </c>
      <c r="T132" s="94">
        <f t="shared" si="15"/>
        <v>187468.24070724001</v>
      </c>
      <c r="U132" s="94">
        <f t="shared" si="16"/>
        <v>198247.66454790632</v>
      </c>
      <c r="V132" s="94">
        <f t="shared" si="17"/>
        <v>206355.99402791567</v>
      </c>
      <c r="W132" s="97">
        <f t="shared" si="18"/>
        <v>212918.1146380034</v>
      </c>
      <c r="X132" s="97">
        <f t="shared" si="19"/>
        <v>221009.00299424754</v>
      </c>
      <c r="Y132" s="97">
        <f t="shared" si="23"/>
        <v>224567.24794245491</v>
      </c>
      <c r="Z132" s="97">
        <f t="shared" si="20"/>
        <v>237187.92727682088</v>
      </c>
      <c r="AA132" s="97">
        <f t="shared" si="21"/>
        <v>268306.98333553976</v>
      </c>
    </row>
    <row r="133" spans="1:27" x14ac:dyDescent="0.25">
      <c r="A133" s="102" t="s">
        <v>509</v>
      </c>
      <c r="B133" s="87" t="s">
        <v>510</v>
      </c>
      <c r="C133" s="88" t="s">
        <v>226</v>
      </c>
      <c r="D133" s="89" t="s">
        <v>4</v>
      </c>
      <c r="E133" s="90">
        <f t="shared" si="24"/>
        <v>1168970</v>
      </c>
      <c r="F133" s="90">
        <f t="shared" si="22"/>
        <v>982328.09605891816</v>
      </c>
      <c r="G133" s="91">
        <v>0.19</v>
      </c>
      <c r="H133" s="91" t="s">
        <v>228</v>
      </c>
      <c r="I133" s="91"/>
      <c r="J133" s="91"/>
      <c r="K133" s="91" t="s">
        <v>228</v>
      </c>
      <c r="L133" s="92" t="s">
        <v>302</v>
      </c>
      <c r="M133" s="91" t="str">
        <f t="shared" si="25"/>
        <v>no aplica</v>
      </c>
      <c r="N133" s="93">
        <v>41608</v>
      </c>
      <c r="O133" s="94"/>
      <c r="P133" s="94"/>
      <c r="Q133" s="94">
        <v>125</v>
      </c>
      <c r="R133" s="95">
        <f t="shared" si="14"/>
        <v>982328.09605891816</v>
      </c>
      <c r="S133" s="94">
        <v>642840.23379999993</v>
      </c>
      <c r="T133" s="94">
        <f t="shared" si="15"/>
        <v>686360.51762825996</v>
      </c>
      <c r="U133" s="94">
        <f t="shared" si="16"/>
        <v>725826.24739188503</v>
      </c>
      <c r="V133" s="94">
        <f t="shared" si="17"/>
        <v>755512.54091021314</v>
      </c>
      <c r="W133" s="97">
        <f t="shared" si="18"/>
        <v>779537.83971115795</v>
      </c>
      <c r="X133" s="97">
        <f t="shared" si="19"/>
        <v>809160.27762018202</v>
      </c>
      <c r="Y133" s="97">
        <f t="shared" si="23"/>
        <v>822187.75808986695</v>
      </c>
      <c r="Z133" s="97">
        <f t="shared" si="20"/>
        <v>868394.71009451745</v>
      </c>
      <c r="AA133" s="97">
        <f t="shared" si="21"/>
        <v>982328.09605891816</v>
      </c>
    </row>
    <row r="134" spans="1:27" x14ac:dyDescent="0.25">
      <c r="A134" s="102" t="s">
        <v>511</v>
      </c>
      <c r="B134" s="87" t="s">
        <v>512</v>
      </c>
      <c r="C134" s="88" t="s">
        <v>226</v>
      </c>
      <c r="D134" s="89" t="s">
        <v>4</v>
      </c>
      <c r="E134" s="90">
        <f t="shared" si="24"/>
        <v>1069648</v>
      </c>
      <c r="F134" s="90">
        <f t="shared" si="22"/>
        <v>898863.7181502094</v>
      </c>
      <c r="G134" s="91">
        <v>0.19</v>
      </c>
      <c r="H134" s="91" t="s">
        <v>228</v>
      </c>
      <c r="I134" s="91"/>
      <c r="J134" s="91"/>
      <c r="K134" s="91" t="s">
        <v>228</v>
      </c>
      <c r="L134" s="92" t="s">
        <v>302</v>
      </c>
      <c r="M134" s="91" t="str">
        <f t="shared" si="25"/>
        <v>no aplica</v>
      </c>
      <c r="N134" s="93">
        <v>41608</v>
      </c>
      <c r="O134" s="94"/>
      <c r="P134" s="94"/>
      <c r="Q134" s="94">
        <v>126</v>
      </c>
      <c r="R134" s="95">
        <f t="shared" si="14"/>
        <v>898863.7181502094</v>
      </c>
      <c r="S134" s="94">
        <v>588220.74320000003</v>
      </c>
      <c r="T134" s="94">
        <f t="shared" si="15"/>
        <v>628043.28751464013</v>
      </c>
      <c r="U134" s="94">
        <f t="shared" si="16"/>
        <v>664155.77654673206</v>
      </c>
      <c r="V134" s="94">
        <f t="shared" si="17"/>
        <v>691319.74780749332</v>
      </c>
      <c r="W134" s="97">
        <f t="shared" si="18"/>
        <v>713303.71578777162</v>
      </c>
      <c r="X134" s="97">
        <f t="shared" si="19"/>
        <v>740409.25698770699</v>
      </c>
      <c r="Y134" s="97">
        <f t="shared" si="23"/>
        <v>752329.84602520906</v>
      </c>
      <c r="Z134" s="97">
        <f t="shared" si="20"/>
        <v>794610.78337182582</v>
      </c>
      <c r="AA134" s="97">
        <f t="shared" si="21"/>
        <v>898863.7181502094</v>
      </c>
    </row>
    <row r="135" spans="1:27" x14ac:dyDescent="0.25">
      <c r="A135" s="102" t="s">
        <v>513</v>
      </c>
      <c r="B135" s="87" t="s">
        <v>514</v>
      </c>
      <c r="C135" s="88" t="s">
        <v>226</v>
      </c>
      <c r="D135" s="89" t="s">
        <v>4</v>
      </c>
      <c r="E135" s="90">
        <f t="shared" si="24"/>
        <v>970962</v>
      </c>
      <c r="F135" s="90">
        <f t="shared" si="22"/>
        <v>815934.74400558043</v>
      </c>
      <c r="G135" s="91">
        <v>0.19</v>
      </c>
      <c r="H135" s="91" t="s">
        <v>228</v>
      </c>
      <c r="I135" s="91"/>
      <c r="J135" s="91"/>
      <c r="K135" s="91" t="s">
        <v>228</v>
      </c>
      <c r="L135" s="92" t="s">
        <v>302</v>
      </c>
      <c r="M135" s="91" t="str">
        <f t="shared" si="25"/>
        <v>no aplica</v>
      </c>
      <c r="N135" s="93">
        <v>41608</v>
      </c>
      <c r="O135" s="94"/>
      <c r="P135" s="94"/>
      <c r="Q135" s="94">
        <v>127</v>
      </c>
      <c r="R135" s="95">
        <f t="shared" ref="R135:R198" si="26">+AA135</f>
        <v>815934.74400558043</v>
      </c>
      <c r="S135" s="94">
        <v>533951.62340000004</v>
      </c>
      <c r="T135" s="94">
        <f t="shared" ref="T135:T198" si="27">+S135*1.0677</f>
        <v>570100.14830418013</v>
      </c>
      <c r="U135" s="94">
        <f t="shared" ref="U135:U198" si="28">+T135*(1+$U$4)</f>
        <v>602880.90683167055</v>
      </c>
      <c r="V135" s="94">
        <f t="shared" ref="V135:V198" si="29">+U135*(1+$V$4)</f>
        <v>627538.73592108581</v>
      </c>
      <c r="W135" s="97">
        <f t="shared" ref="W135:W198" si="30">+V135*(1+$W$4)</f>
        <v>647494.46772337635</v>
      </c>
      <c r="X135" s="97">
        <f t="shared" ref="X135:X198" si="31">+W135*(1+$X$4)</f>
        <v>672099.25749686465</v>
      </c>
      <c r="Y135" s="97">
        <f t="shared" si="23"/>
        <v>682920.05554256414</v>
      </c>
      <c r="Z135" s="97">
        <f t="shared" ref="Z135:Z198" si="32">+Y135*(1+$Z$4)</f>
        <v>721300.16266405629</v>
      </c>
      <c r="AA135" s="97">
        <f t="shared" ref="AA135:AA198" si="33">+Z135*(1+$AA$4)</f>
        <v>815934.74400558043</v>
      </c>
    </row>
    <row r="136" spans="1:27" x14ac:dyDescent="0.25">
      <c r="A136" s="102" t="s">
        <v>515</v>
      </c>
      <c r="B136" s="87" t="s">
        <v>516</v>
      </c>
      <c r="C136" s="88" t="s">
        <v>226</v>
      </c>
      <c r="D136" s="89" t="s">
        <v>4</v>
      </c>
      <c r="E136" s="90">
        <f t="shared" si="24"/>
        <v>843248</v>
      </c>
      <c r="F136" s="90">
        <f t="shared" ref="F136:F199" si="34">R136</f>
        <v>708611.63386440359</v>
      </c>
      <c r="G136" s="91">
        <v>0.19</v>
      </c>
      <c r="H136" s="91" t="s">
        <v>228</v>
      </c>
      <c r="I136" s="91"/>
      <c r="J136" s="91"/>
      <c r="K136" s="91" t="s">
        <v>228</v>
      </c>
      <c r="L136" s="92" t="s">
        <v>302</v>
      </c>
      <c r="M136" s="91" t="str">
        <f t="shared" si="25"/>
        <v>no aplica</v>
      </c>
      <c r="N136" s="93">
        <v>41608</v>
      </c>
      <c r="O136" s="94"/>
      <c r="P136" s="94"/>
      <c r="Q136" s="94">
        <v>128</v>
      </c>
      <c r="R136" s="95">
        <f t="shared" si="26"/>
        <v>708611.63386440359</v>
      </c>
      <c r="S136" s="94">
        <v>463718.86359999998</v>
      </c>
      <c r="T136" s="94">
        <f t="shared" si="27"/>
        <v>495112.63066572003</v>
      </c>
      <c r="U136" s="94">
        <f t="shared" si="28"/>
        <v>523581.60692899901</v>
      </c>
      <c r="V136" s="94">
        <f t="shared" si="29"/>
        <v>544996.094652395</v>
      </c>
      <c r="W136" s="97">
        <f t="shared" si="30"/>
        <v>562326.97046234121</v>
      </c>
      <c r="X136" s="97">
        <f t="shared" si="31"/>
        <v>583695.39533991017</v>
      </c>
      <c r="Y136" s="97">
        <f t="shared" ref="Y136:Y199" si="35">+X136*(1+$Y$4)</f>
        <v>593092.89120488276</v>
      </c>
      <c r="Z136" s="97">
        <f t="shared" si="32"/>
        <v>626424.71169059724</v>
      </c>
      <c r="AA136" s="97">
        <f t="shared" si="33"/>
        <v>708611.63386440359</v>
      </c>
    </row>
    <row r="137" spans="1:27" x14ac:dyDescent="0.25">
      <c r="A137" s="102" t="s">
        <v>517</v>
      </c>
      <c r="B137" s="87" t="s">
        <v>518</v>
      </c>
      <c r="C137" s="88" t="s">
        <v>226</v>
      </c>
      <c r="D137" s="89" t="s">
        <v>4</v>
      </c>
      <c r="E137" s="90">
        <f t="shared" ref="E137:E200" si="36">+ROUND(F137*(1+G137),0)</f>
        <v>149499</v>
      </c>
      <c r="F137" s="90">
        <f t="shared" si="34"/>
        <v>125629.80038222281</v>
      </c>
      <c r="G137" s="91">
        <v>0.19</v>
      </c>
      <c r="H137" s="91" t="s">
        <v>228</v>
      </c>
      <c r="I137" s="91"/>
      <c r="J137" s="91"/>
      <c r="K137" s="91" t="s">
        <v>228</v>
      </c>
      <c r="L137" s="92" t="s">
        <v>302</v>
      </c>
      <c r="M137" s="91" t="str">
        <f t="shared" si="25"/>
        <v>no aplica</v>
      </c>
      <c r="N137" s="93">
        <v>41608</v>
      </c>
      <c r="O137" s="94"/>
      <c r="P137" s="94"/>
      <c r="Q137" s="94">
        <v>129</v>
      </c>
      <c r="R137" s="95">
        <f t="shared" si="26"/>
        <v>125629.80038222281</v>
      </c>
      <c r="S137" s="94">
        <v>82212.745999999999</v>
      </c>
      <c r="T137" s="94">
        <f t="shared" si="27"/>
        <v>87778.548904200012</v>
      </c>
      <c r="U137" s="94">
        <f t="shared" si="28"/>
        <v>92825.815466191518</v>
      </c>
      <c r="V137" s="94">
        <f t="shared" si="29"/>
        <v>96622.391318758746</v>
      </c>
      <c r="W137" s="97">
        <f t="shared" si="30"/>
        <v>99694.983362695275</v>
      </c>
      <c r="X137" s="97">
        <f t="shared" si="31"/>
        <v>103483.3927304777</v>
      </c>
      <c r="Y137" s="97">
        <f t="shared" si="35"/>
        <v>105149.47535343839</v>
      </c>
      <c r="Z137" s="97">
        <f t="shared" si="32"/>
        <v>111058.87586830163</v>
      </c>
      <c r="AA137" s="97">
        <f t="shared" si="33"/>
        <v>125629.80038222281</v>
      </c>
    </row>
    <row r="138" spans="1:27" x14ac:dyDescent="0.25">
      <c r="A138" s="102" t="s">
        <v>519</v>
      </c>
      <c r="B138" s="87" t="s">
        <v>520</v>
      </c>
      <c r="C138" s="88" t="s">
        <v>226</v>
      </c>
      <c r="D138" s="89" t="s">
        <v>4</v>
      </c>
      <c r="E138" s="90">
        <f t="shared" si="36"/>
        <v>165750</v>
      </c>
      <c r="F138" s="90">
        <f t="shared" si="34"/>
        <v>139285.76443587482</v>
      </c>
      <c r="G138" s="91">
        <v>0.19</v>
      </c>
      <c r="H138" s="91" t="s">
        <v>228</v>
      </c>
      <c r="I138" s="91"/>
      <c r="J138" s="91"/>
      <c r="K138" s="91" t="s">
        <v>228</v>
      </c>
      <c r="L138" s="92" t="s">
        <v>302</v>
      </c>
      <c r="M138" s="91" t="str">
        <f t="shared" si="25"/>
        <v>no aplica</v>
      </c>
      <c r="N138" s="93">
        <v>41608</v>
      </c>
      <c r="O138" s="94"/>
      <c r="P138" s="94"/>
      <c r="Q138" s="94">
        <v>130</v>
      </c>
      <c r="R138" s="95">
        <f t="shared" si="26"/>
        <v>139285.76443587482</v>
      </c>
      <c r="S138" s="94">
        <v>91149.27459999999</v>
      </c>
      <c r="T138" s="94">
        <f t="shared" si="27"/>
        <v>97320.08049041999</v>
      </c>
      <c r="U138" s="94">
        <f t="shared" si="28"/>
        <v>102915.98511861915</v>
      </c>
      <c r="V138" s="94">
        <f t="shared" si="29"/>
        <v>107125.24890997067</v>
      </c>
      <c r="W138" s="97">
        <f t="shared" si="30"/>
        <v>110531.83182530775</v>
      </c>
      <c r="X138" s="97">
        <f t="shared" si="31"/>
        <v>114732.04143466945</v>
      </c>
      <c r="Y138" s="97">
        <f t="shared" si="35"/>
        <v>116579.22730176762</v>
      </c>
      <c r="Z138" s="97">
        <f t="shared" si="32"/>
        <v>123130.97987612696</v>
      </c>
      <c r="AA138" s="97">
        <f t="shared" si="33"/>
        <v>139285.76443587482</v>
      </c>
    </row>
    <row r="139" spans="1:27" x14ac:dyDescent="0.25">
      <c r="A139" s="102" t="s">
        <v>521</v>
      </c>
      <c r="B139" s="87" t="s">
        <v>522</v>
      </c>
      <c r="C139" s="88" t="s">
        <v>226</v>
      </c>
      <c r="D139" s="89" t="s">
        <v>4</v>
      </c>
      <c r="E139" s="90">
        <f t="shared" si="36"/>
        <v>360297</v>
      </c>
      <c r="F139" s="90">
        <f t="shared" si="34"/>
        <v>302770.82858728635</v>
      </c>
      <c r="G139" s="91">
        <v>0.19</v>
      </c>
      <c r="H139" s="91" t="s">
        <v>228</v>
      </c>
      <c r="I139" s="91"/>
      <c r="J139" s="91"/>
      <c r="K139" s="91" t="s">
        <v>228</v>
      </c>
      <c r="L139" s="92" t="s">
        <v>302</v>
      </c>
      <c r="M139" s="91" t="str">
        <f t="shared" si="25"/>
        <v>no aplica</v>
      </c>
      <c r="N139" s="93">
        <v>41608</v>
      </c>
      <c r="O139" s="94"/>
      <c r="P139" s="94"/>
      <c r="Q139" s="94">
        <v>131</v>
      </c>
      <c r="R139" s="95">
        <f t="shared" si="26"/>
        <v>302770.82858728635</v>
      </c>
      <c r="S139" s="94">
        <v>198134.6874</v>
      </c>
      <c r="T139" s="94">
        <f t="shared" si="27"/>
        <v>211548.40573698</v>
      </c>
      <c r="U139" s="94">
        <f t="shared" si="28"/>
        <v>223712.43906685637</v>
      </c>
      <c r="V139" s="94">
        <f t="shared" si="29"/>
        <v>232862.27782469077</v>
      </c>
      <c r="W139" s="97">
        <f t="shared" si="30"/>
        <v>240267.29825951596</v>
      </c>
      <c r="X139" s="97">
        <f t="shared" si="31"/>
        <v>249397.45559337756</v>
      </c>
      <c r="Y139" s="97">
        <f t="shared" si="35"/>
        <v>253412.75462843094</v>
      </c>
      <c r="Z139" s="97">
        <f t="shared" si="32"/>
        <v>267654.55143854878</v>
      </c>
      <c r="AA139" s="97">
        <f t="shared" si="33"/>
        <v>302770.82858728635</v>
      </c>
    </row>
    <row r="140" spans="1:27" x14ac:dyDescent="0.25">
      <c r="A140" s="102" t="s">
        <v>523</v>
      </c>
      <c r="B140" s="87" t="s">
        <v>524</v>
      </c>
      <c r="C140" s="88" t="s">
        <v>226</v>
      </c>
      <c r="D140" s="89" t="s">
        <v>4</v>
      </c>
      <c r="E140" s="90">
        <f t="shared" si="36"/>
        <v>331489</v>
      </c>
      <c r="F140" s="90">
        <f t="shared" si="34"/>
        <v>278562.02466291987</v>
      </c>
      <c r="G140" s="91">
        <v>0.19</v>
      </c>
      <c r="H140" s="91" t="s">
        <v>228</v>
      </c>
      <c r="I140" s="91"/>
      <c r="J140" s="91"/>
      <c r="K140" s="91" t="s">
        <v>228</v>
      </c>
      <c r="L140" s="92" t="s">
        <v>302</v>
      </c>
      <c r="M140" s="91" t="str">
        <f t="shared" si="25"/>
        <v>no aplica</v>
      </c>
      <c r="N140" s="93">
        <v>41608</v>
      </c>
      <c r="O140" s="94"/>
      <c r="P140" s="94"/>
      <c r="Q140" s="94">
        <v>132</v>
      </c>
      <c r="R140" s="95">
        <f t="shared" si="26"/>
        <v>278562.02466291987</v>
      </c>
      <c r="S140" s="94">
        <v>182292.3296</v>
      </c>
      <c r="T140" s="94">
        <f t="shared" si="27"/>
        <v>194633.52031392002</v>
      </c>
      <c r="U140" s="94">
        <f t="shared" si="28"/>
        <v>205824.94773197043</v>
      </c>
      <c r="V140" s="94">
        <f t="shared" si="29"/>
        <v>214243.18809420802</v>
      </c>
      <c r="W140" s="97">
        <f t="shared" si="30"/>
        <v>221056.12147560384</v>
      </c>
      <c r="X140" s="97">
        <f t="shared" si="31"/>
        <v>229456.25409167679</v>
      </c>
      <c r="Y140" s="97">
        <f t="shared" si="35"/>
        <v>233150.4997825528</v>
      </c>
      <c r="Z140" s="97">
        <f t="shared" si="32"/>
        <v>246253.55787033227</v>
      </c>
      <c r="AA140" s="97">
        <f t="shared" si="33"/>
        <v>278562.02466291987</v>
      </c>
    </row>
    <row r="141" spans="1:27" x14ac:dyDescent="0.25">
      <c r="A141" s="102" t="s">
        <v>525</v>
      </c>
      <c r="B141" s="87" t="s">
        <v>526</v>
      </c>
      <c r="C141" s="88" t="s">
        <v>226</v>
      </c>
      <c r="D141" s="89" t="s">
        <v>4</v>
      </c>
      <c r="E141" s="90">
        <f t="shared" si="36"/>
        <v>814070</v>
      </c>
      <c r="F141" s="90">
        <f t="shared" si="34"/>
        <v>684092.35911826266</v>
      </c>
      <c r="G141" s="91">
        <v>0.19</v>
      </c>
      <c r="H141" s="91" t="s">
        <v>228</v>
      </c>
      <c r="I141" s="91"/>
      <c r="J141" s="91"/>
      <c r="K141" s="91" t="s">
        <v>228</v>
      </c>
      <c r="L141" s="92" t="s">
        <v>302</v>
      </c>
      <c r="M141" s="91" t="str">
        <f t="shared" si="25"/>
        <v>no aplica</v>
      </c>
      <c r="N141" s="93">
        <v>41608</v>
      </c>
      <c r="O141" s="94"/>
      <c r="P141" s="94"/>
      <c r="Q141" s="94">
        <v>133</v>
      </c>
      <c r="R141" s="95">
        <f t="shared" si="26"/>
        <v>684092.35911826266</v>
      </c>
      <c r="S141" s="94">
        <v>447673.3322</v>
      </c>
      <c r="T141" s="94">
        <f t="shared" si="27"/>
        <v>477980.81678994006</v>
      </c>
      <c r="U141" s="94">
        <f t="shared" si="28"/>
        <v>505464.71375536168</v>
      </c>
      <c r="V141" s="94">
        <f t="shared" si="29"/>
        <v>526138.22054795595</v>
      </c>
      <c r="W141" s="97">
        <f t="shared" si="30"/>
        <v>542869.41596138093</v>
      </c>
      <c r="X141" s="97">
        <f t="shared" si="31"/>
        <v>563498.45376791339</v>
      </c>
      <c r="Y141" s="97">
        <f t="shared" si="35"/>
        <v>572570.77887357678</v>
      </c>
      <c r="Z141" s="97">
        <f t="shared" si="32"/>
        <v>604749.2566462718</v>
      </c>
      <c r="AA141" s="97">
        <f t="shared" si="33"/>
        <v>684092.35911826266</v>
      </c>
    </row>
    <row r="142" spans="1:27" x14ac:dyDescent="0.25">
      <c r="A142" s="102" t="s">
        <v>527</v>
      </c>
      <c r="B142" s="87" t="s">
        <v>528</v>
      </c>
      <c r="C142" s="88" t="s">
        <v>226</v>
      </c>
      <c r="D142" s="89" t="s">
        <v>4</v>
      </c>
      <c r="E142" s="90">
        <f t="shared" si="36"/>
        <v>767882</v>
      </c>
      <c r="F142" s="90">
        <f t="shared" si="34"/>
        <v>645278.75429206667</v>
      </c>
      <c r="G142" s="91">
        <v>0.19</v>
      </c>
      <c r="H142" s="91" t="s">
        <v>228</v>
      </c>
      <c r="I142" s="91"/>
      <c r="J142" s="91"/>
      <c r="K142" s="91" t="s">
        <v>228</v>
      </c>
      <c r="L142" s="92" t="s">
        <v>302</v>
      </c>
      <c r="M142" s="91" t="str">
        <f t="shared" si="25"/>
        <v>no aplica</v>
      </c>
      <c r="N142" s="93">
        <v>41608</v>
      </c>
      <c r="O142" s="94"/>
      <c r="P142" s="94"/>
      <c r="Q142" s="94">
        <v>134</v>
      </c>
      <c r="R142" s="95">
        <f t="shared" si="26"/>
        <v>645278.75429206667</v>
      </c>
      <c r="S142" s="94">
        <v>422273.52239999996</v>
      </c>
      <c r="T142" s="94">
        <f t="shared" si="27"/>
        <v>450861.43986648001</v>
      </c>
      <c r="U142" s="94">
        <f t="shared" si="28"/>
        <v>476785.97265880264</v>
      </c>
      <c r="V142" s="94">
        <f t="shared" si="29"/>
        <v>496286.51894054766</v>
      </c>
      <c r="W142" s="97">
        <f t="shared" si="30"/>
        <v>512068.43024285708</v>
      </c>
      <c r="X142" s="97">
        <f t="shared" si="31"/>
        <v>531527.03059208568</v>
      </c>
      <c r="Y142" s="97">
        <f t="shared" si="35"/>
        <v>540084.61578461831</v>
      </c>
      <c r="Z142" s="97">
        <f t="shared" si="32"/>
        <v>570437.37119171384</v>
      </c>
      <c r="AA142" s="97">
        <f t="shared" si="33"/>
        <v>645278.75429206667</v>
      </c>
    </row>
    <row r="143" spans="1:27" x14ac:dyDescent="0.25">
      <c r="A143" s="102" t="s">
        <v>529</v>
      </c>
      <c r="B143" s="87" t="s">
        <v>530</v>
      </c>
      <c r="C143" s="88" t="s">
        <v>226</v>
      </c>
      <c r="D143" s="89" t="s">
        <v>4</v>
      </c>
      <c r="E143" s="90">
        <f t="shared" si="36"/>
        <v>838748</v>
      </c>
      <c r="F143" s="90">
        <f t="shared" si="34"/>
        <v>704830.54278493859</v>
      </c>
      <c r="G143" s="91">
        <v>0.19</v>
      </c>
      <c r="H143" s="91" t="s">
        <v>228</v>
      </c>
      <c r="I143" s="91"/>
      <c r="J143" s="91"/>
      <c r="K143" s="91" t="s">
        <v>228</v>
      </c>
      <c r="L143" s="92" t="s">
        <v>302</v>
      </c>
      <c r="M143" s="91" t="str">
        <f t="shared" si="25"/>
        <v>no aplica</v>
      </c>
      <c r="N143" s="93">
        <v>41608</v>
      </c>
      <c r="O143" s="94"/>
      <c r="P143" s="94"/>
      <c r="Q143" s="94">
        <v>135</v>
      </c>
      <c r="R143" s="95">
        <f t="shared" si="26"/>
        <v>704830.54278493859</v>
      </c>
      <c r="S143" s="94">
        <v>461244.49939999997</v>
      </c>
      <c r="T143" s="94">
        <f t="shared" si="27"/>
        <v>492470.75200938003</v>
      </c>
      <c r="U143" s="94">
        <f t="shared" si="28"/>
        <v>520787.82024991943</v>
      </c>
      <c r="V143" s="94">
        <f t="shared" si="29"/>
        <v>542088.04209814116</v>
      </c>
      <c r="W143" s="97">
        <f t="shared" si="30"/>
        <v>559326.44183686213</v>
      </c>
      <c r="X143" s="97">
        <f t="shared" si="31"/>
        <v>580580.84662666288</v>
      </c>
      <c r="Y143" s="97">
        <f t="shared" si="35"/>
        <v>589928.19825735211</v>
      </c>
      <c r="Z143" s="97">
        <f t="shared" si="32"/>
        <v>623082.1629994153</v>
      </c>
      <c r="AA143" s="97">
        <f t="shared" si="33"/>
        <v>704830.54278493859</v>
      </c>
    </row>
    <row r="144" spans="1:27" x14ac:dyDescent="0.25">
      <c r="A144" s="102" t="s">
        <v>531</v>
      </c>
      <c r="B144" s="87" t="s">
        <v>532</v>
      </c>
      <c r="C144" s="88" t="s">
        <v>226</v>
      </c>
      <c r="D144" s="89" t="s">
        <v>4</v>
      </c>
      <c r="E144" s="90">
        <f t="shared" si="36"/>
        <v>823323</v>
      </c>
      <c r="F144" s="90">
        <f t="shared" si="34"/>
        <v>691868.38597586355</v>
      </c>
      <c r="G144" s="91">
        <v>0.19</v>
      </c>
      <c r="H144" s="91" t="s">
        <v>228</v>
      </c>
      <c r="I144" s="91"/>
      <c r="J144" s="91"/>
      <c r="K144" s="91" t="s">
        <v>228</v>
      </c>
      <c r="L144" s="92" t="s">
        <v>302</v>
      </c>
      <c r="M144" s="91" t="str">
        <f t="shared" si="25"/>
        <v>no aplica</v>
      </c>
      <c r="N144" s="93">
        <v>41608</v>
      </c>
      <c r="O144" s="94"/>
      <c r="P144" s="94"/>
      <c r="Q144" s="94">
        <v>136</v>
      </c>
      <c r="R144" s="95">
        <f t="shared" si="26"/>
        <v>691868.38597586355</v>
      </c>
      <c r="S144" s="94">
        <v>452762.00159999996</v>
      </c>
      <c r="T144" s="94">
        <f t="shared" si="27"/>
        <v>483413.98910831998</v>
      </c>
      <c r="U144" s="94">
        <f t="shared" si="28"/>
        <v>511210.29348204844</v>
      </c>
      <c r="V144" s="94">
        <f t="shared" si="29"/>
        <v>532118.79448546423</v>
      </c>
      <c r="W144" s="97">
        <f t="shared" si="30"/>
        <v>549040.17215010198</v>
      </c>
      <c r="X144" s="97">
        <f t="shared" si="31"/>
        <v>569903.69869180582</v>
      </c>
      <c r="Y144" s="97">
        <f t="shared" si="35"/>
        <v>579079.1482407439</v>
      </c>
      <c r="Z144" s="97">
        <f t="shared" si="32"/>
        <v>611623.39637187368</v>
      </c>
      <c r="AA144" s="97">
        <f t="shared" si="33"/>
        <v>691868.38597586355</v>
      </c>
    </row>
    <row r="145" spans="1:27" x14ac:dyDescent="0.25">
      <c r="A145" s="102" t="s">
        <v>533</v>
      </c>
      <c r="B145" s="87" t="s">
        <v>532</v>
      </c>
      <c r="C145" s="88" t="s">
        <v>226</v>
      </c>
      <c r="D145" s="89" t="s">
        <v>4</v>
      </c>
      <c r="E145" s="90">
        <f t="shared" si="36"/>
        <v>931724</v>
      </c>
      <c r="F145" s="90">
        <f t="shared" si="34"/>
        <v>782961.47550531116</v>
      </c>
      <c r="G145" s="91">
        <v>0.19</v>
      </c>
      <c r="H145" s="91" t="s">
        <v>228</v>
      </c>
      <c r="I145" s="91"/>
      <c r="J145" s="91"/>
      <c r="K145" s="91" t="s">
        <v>228</v>
      </c>
      <c r="L145" s="92" t="s">
        <v>302</v>
      </c>
      <c r="M145" s="91" t="str">
        <f t="shared" si="25"/>
        <v>no aplica</v>
      </c>
      <c r="N145" s="93">
        <v>41608</v>
      </c>
      <c r="O145" s="94"/>
      <c r="P145" s="94"/>
      <c r="Q145" s="94">
        <v>137</v>
      </c>
      <c r="R145" s="95">
        <f t="shared" si="26"/>
        <v>782961.47550531116</v>
      </c>
      <c r="S145" s="94">
        <v>512373.75779999996</v>
      </c>
      <c r="T145" s="94">
        <f t="shared" si="27"/>
        <v>547061.46120306</v>
      </c>
      <c r="U145" s="94">
        <f t="shared" si="28"/>
        <v>578517.49522223603</v>
      </c>
      <c r="V145" s="94">
        <f t="shared" si="29"/>
        <v>602178.86077682546</v>
      </c>
      <c r="W145" s="97">
        <f t="shared" si="30"/>
        <v>621328.14854952856</v>
      </c>
      <c r="X145" s="97">
        <f t="shared" si="31"/>
        <v>644938.61819441069</v>
      </c>
      <c r="Y145" s="97">
        <f t="shared" si="35"/>
        <v>655322.1299473407</v>
      </c>
      <c r="Z145" s="97">
        <f t="shared" si="32"/>
        <v>692151.23365038121</v>
      </c>
      <c r="AA145" s="97">
        <f t="shared" si="33"/>
        <v>782961.47550531116</v>
      </c>
    </row>
    <row r="146" spans="1:27" x14ac:dyDescent="0.25">
      <c r="A146" s="102" t="s">
        <v>534</v>
      </c>
      <c r="B146" s="87" t="s">
        <v>532</v>
      </c>
      <c r="C146" s="88" t="s">
        <v>226</v>
      </c>
      <c r="D146" s="89" t="s">
        <v>4</v>
      </c>
      <c r="E146" s="90">
        <f t="shared" si="36"/>
        <v>931724</v>
      </c>
      <c r="F146" s="90">
        <f t="shared" si="34"/>
        <v>782961.47550531116</v>
      </c>
      <c r="G146" s="91">
        <v>0.19</v>
      </c>
      <c r="H146" s="91" t="s">
        <v>228</v>
      </c>
      <c r="I146" s="91"/>
      <c r="J146" s="91"/>
      <c r="K146" s="91" t="s">
        <v>228</v>
      </c>
      <c r="L146" s="92" t="s">
        <v>302</v>
      </c>
      <c r="M146" s="91" t="str">
        <f t="shared" si="25"/>
        <v>no aplica</v>
      </c>
      <c r="N146" s="93">
        <v>41608</v>
      </c>
      <c r="O146" s="94"/>
      <c r="P146" s="94"/>
      <c r="Q146" s="94">
        <v>138</v>
      </c>
      <c r="R146" s="95">
        <f t="shared" si="26"/>
        <v>782961.47550531116</v>
      </c>
      <c r="S146" s="94">
        <v>512373.75779999996</v>
      </c>
      <c r="T146" s="94">
        <f t="shared" si="27"/>
        <v>547061.46120306</v>
      </c>
      <c r="U146" s="94">
        <f t="shared" si="28"/>
        <v>578517.49522223603</v>
      </c>
      <c r="V146" s="94">
        <f t="shared" si="29"/>
        <v>602178.86077682546</v>
      </c>
      <c r="W146" s="97">
        <f t="shared" si="30"/>
        <v>621328.14854952856</v>
      </c>
      <c r="X146" s="97">
        <f t="shared" si="31"/>
        <v>644938.61819441069</v>
      </c>
      <c r="Y146" s="97">
        <f t="shared" si="35"/>
        <v>655322.1299473407</v>
      </c>
      <c r="Z146" s="97">
        <f t="shared" si="32"/>
        <v>692151.23365038121</v>
      </c>
      <c r="AA146" s="97">
        <f t="shared" si="33"/>
        <v>782961.47550531116</v>
      </c>
    </row>
    <row r="147" spans="1:27" x14ac:dyDescent="0.25">
      <c r="A147" s="102" t="s">
        <v>535</v>
      </c>
      <c r="B147" s="87" t="s">
        <v>536</v>
      </c>
      <c r="C147" s="88" t="s">
        <v>226</v>
      </c>
      <c r="D147" s="89" t="s">
        <v>4</v>
      </c>
      <c r="E147" s="90">
        <f t="shared" si="36"/>
        <v>931724</v>
      </c>
      <c r="F147" s="90">
        <f t="shared" si="34"/>
        <v>782961.47550531116</v>
      </c>
      <c r="G147" s="91">
        <v>0.19</v>
      </c>
      <c r="H147" s="91" t="s">
        <v>228</v>
      </c>
      <c r="I147" s="91"/>
      <c r="J147" s="91"/>
      <c r="K147" s="91" t="s">
        <v>228</v>
      </c>
      <c r="L147" s="92" t="s">
        <v>302</v>
      </c>
      <c r="M147" s="91" t="str">
        <f t="shared" si="25"/>
        <v>no aplica</v>
      </c>
      <c r="N147" s="93">
        <v>41608</v>
      </c>
      <c r="O147" s="94"/>
      <c r="P147" s="94"/>
      <c r="Q147" s="94">
        <v>139</v>
      </c>
      <c r="R147" s="95">
        <f t="shared" si="26"/>
        <v>782961.47550531116</v>
      </c>
      <c r="S147" s="94">
        <v>512373.75779999996</v>
      </c>
      <c r="T147" s="94">
        <f t="shared" si="27"/>
        <v>547061.46120306</v>
      </c>
      <c r="U147" s="94">
        <f t="shared" si="28"/>
        <v>578517.49522223603</v>
      </c>
      <c r="V147" s="94">
        <f t="shared" si="29"/>
        <v>602178.86077682546</v>
      </c>
      <c r="W147" s="97">
        <f t="shared" si="30"/>
        <v>621328.14854952856</v>
      </c>
      <c r="X147" s="97">
        <f t="shared" si="31"/>
        <v>644938.61819441069</v>
      </c>
      <c r="Y147" s="97">
        <f t="shared" si="35"/>
        <v>655322.1299473407</v>
      </c>
      <c r="Z147" s="97">
        <f t="shared" si="32"/>
        <v>692151.23365038121</v>
      </c>
      <c r="AA147" s="97">
        <f t="shared" si="33"/>
        <v>782961.47550531116</v>
      </c>
    </row>
    <row r="148" spans="1:27" x14ac:dyDescent="0.25">
      <c r="A148" s="102" t="s">
        <v>537</v>
      </c>
      <c r="B148" s="87" t="s">
        <v>538</v>
      </c>
      <c r="C148" s="88" t="s">
        <v>226</v>
      </c>
      <c r="D148" s="89" t="s">
        <v>4</v>
      </c>
      <c r="E148" s="90">
        <f t="shared" si="36"/>
        <v>831208</v>
      </c>
      <c r="F148" s="90">
        <f t="shared" si="34"/>
        <v>698494.40356505592</v>
      </c>
      <c r="G148" s="91">
        <v>0.19</v>
      </c>
      <c r="H148" s="91" t="s">
        <v>228</v>
      </c>
      <c r="I148" s="91"/>
      <c r="J148" s="91"/>
      <c r="K148" s="91" t="s">
        <v>228</v>
      </c>
      <c r="L148" s="92" t="s">
        <v>302</v>
      </c>
      <c r="M148" s="91" t="str">
        <f t="shared" si="25"/>
        <v>no aplica</v>
      </c>
      <c r="N148" s="93">
        <v>41608</v>
      </c>
      <c r="O148" s="94"/>
      <c r="P148" s="94"/>
      <c r="Q148" s="94">
        <v>140</v>
      </c>
      <c r="R148" s="95">
        <f t="shared" si="26"/>
        <v>698494.40356505592</v>
      </c>
      <c r="S148" s="94">
        <v>457098.09940000001</v>
      </c>
      <c r="T148" s="94">
        <f t="shared" si="27"/>
        <v>488043.64072938007</v>
      </c>
      <c r="U148" s="94">
        <f t="shared" si="28"/>
        <v>516106.15007131948</v>
      </c>
      <c r="V148" s="94">
        <f t="shared" si="29"/>
        <v>537214.89160923637</v>
      </c>
      <c r="W148" s="97">
        <f t="shared" si="30"/>
        <v>554298.32516241015</v>
      </c>
      <c r="X148" s="97">
        <f t="shared" si="31"/>
        <v>575361.66151858179</v>
      </c>
      <c r="Y148" s="97">
        <f t="shared" si="35"/>
        <v>584624.98426903097</v>
      </c>
      <c r="Z148" s="97">
        <f t="shared" si="32"/>
        <v>617480.90838495048</v>
      </c>
      <c r="AA148" s="97">
        <f t="shared" si="33"/>
        <v>698494.40356505592</v>
      </c>
    </row>
    <row r="149" spans="1:27" x14ac:dyDescent="0.25">
      <c r="A149" s="102" t="s">
        <v>539</v>
      </c>
      <c r="B149" s="87" t="s">
        <v>540</v>
      </c>
      <c r="C149" s="88" t="s">
        <v>226</v>
      </c>
      <c r="D149" s="89" t="s">
        <v>4</v>
      </c>
      <c r="E149" s="90">
        <f t="shared" si="36"/>
        <v>778251</v>
      </c>
      <c r="F149" s="90">
        <f t="shared" si="34"/>
        <v>653992.52975421026</v>
      </c>
      <c r="G149" s="91">
        <v>0.19</v>
      </c>
      <c r="H149" s="91" t="s">
        <v>228</v>
      </c>
      <c r="I149" s="91"/>
      <c r="J149" s="91"/>
      <c r="K149" s="91" t="s">
        <v>228</v>
      </c>
      <c r="L149" s="92" t="s">
        <v>302</v>
      </c>
      <c r="M149" s="91" t="str">
        <f t="shared" si="25"/>
        <v>no aplica</v>
      </c>
      <c r="N149" s="93">
        <v>41608</v>
      </c>
      <c r="O149" s="94"/>
      <c r="P149" s="94"/>
      <c r="Q149" s="94">
        <v>141</v>
      </c>
      <c r="R149" s="95">
        <f t="shared" si="26"/>
        <v>653992.52975421026</v>
      </c>
      <c r="S149" s="94">
        <v>427975.859</v>
      </c>
      <c r="T149" s="94">
        <f t="shared" si="27"/>
        <v>456949.82465430006</v>
      </c>
      <c r="U149" s="94">
        <f t="shared" si="28"/>
        <v>483224.43957192235</v>
      </c>
      <c r="V149" s="94">
        <f t="shared" si="29"/>
        <v>502988.31915041397</v>
      </c>
      <c r="W149" s="97">
        <f t="shared" si="30"/>
        <v>518983.34769939719</v>
      </c>
      <c r="X149" s="97">
        <f t="shared" si="31"/>
        <v>538704.71491197427</v>
      </c>
      <c r="Y149" s="97">
        <f t="shared" si="35"/>
        <v>547377.860822057</v>
      </c>
      <c r="Z149" s="97">
        <f t="shared" si="32"/>
        <v>578140.49660025665</v>
      </c>
      <c r="AA149" s="97">
        <f t="shared" si="33"/>
        <v>653992.52975421026</v>
      </c>
    </row>
    <row r="150" spans="1:27" x14ac:dyDescent="0.25">
      <c r="A150" s="102" t="s">
        <v>541</v>
      </c>
      <c r="B150" s="87" t="s">
        <v>542</v>
      </c>
      <c r="C150" s="88" t="s">
        <v>226</v>
      </c>
      <c r="D150" s="89" t="s">
        <v>4</v>
      </c>
      <c r="E150" s="90">
        <f t="shared" si="36"/>
        <v>440282</v>
      </c>
      <c r="F150" s="90">
        <f t="shared" si="34"/>
        <v>369984.59343180136</v>
      </c>
      <c r="G150" s="91">
        <v>0.19</v>
      </c>
      <c r="H150" s="91" t="s">
        <v>228</v>
      </c>
      <c r="I150" s="91"/>
      <c r="J150" s="91"/>
      <c r="K150" s="91" t="s">
        <v>228</v>
      </c>
      <c r="L150" s="92" t="s">
        <v>302</v>
      </c>
      <c r="M150" s="91" t="str">
        <f t="shared" si="25"/>
        <v>no aplica</v>
      </c>
      <c r="N150" s="93">
        <v>41608</v>
      </c>
      <c r="O150" s="94"/>
      <c r="P150" s="94"/>
      <c r="Q150" s="94">
        <v>142</v>
      </c>
      <c r="R150" s="95">
        <f t="shared" si="26"/>
        <v>369984.59343180136</v>
      </c>
      <c r="S150" s="94">
        <v>242119.6986</v>
      </c>
      <c r="T150" s="94">
        <f t="shared" si="27"/>
        <v>258511.20219522002</v>
      </c>
      <c r="U150" s="94">
        <f t="shared" si="28"/>
        <v>273375.59632144519</v>
      </c>
      <c r="V150" s="94">
        <f t="shared" si="29"/>
        <v>284556.65821099229</v>
      </c>
      <c r="W150" s="97">
        <f t="shared" si="30"/>
        <v>293605.55994210189</v>
      </c>
      <c r="X150" s="97">
        <f t="shared" si="31"/>
        <v>304762.57121990179</v>
      </c>
      <c r="Y150" s="97">
        <f t="shared" si="35"/>
        <v>309669.2486165422</v>
      </c>
      <c r="Z150" s="97">
        <f t="shared" si="32"/>
        <v>327072.66038879188</v>
      </c>
      <c r="AA150" s="97">
        <f t="shared" si="33"/>
        <v>369984.59343180136</v>
      </c>
    </row>
    <row r="151" spans="1:27" x14ac:dyDescent="0.25">
      <c r="A151" s="102" t="s">
        <v>543</v>
      </c>
      <c r="B151" s="87" t="s">
        <v>544</v>
      </c>
      <c r="C151" s="88" t="s">
        <v>226</v>
      </c>
      <c r="D151" s="89" t="s">
        <v>4</v>
      </c>
      <c r="E151" s="90">
        <f t="shared" si="36"/>
        <v>645085</v>
      </c>
      <c r="F151" s="90">
        <f t="shared" si="34"/>
        <v>542088.39095705817</v>
      </c>
      <c r="G151" s="91">
        <v>0.19</v>
      </c>
      <c r="H151" s="91" t="s">
        <v>228</v>
      </c>
      <c r="I151" s="91"/>
      <c r="J151" s="91"/>
      <c r="K151" s="91" t="s">
        <v>228</v>
      </c>
      <c r="L151" s="92" t="s">
        <v>302</v>
      </c>
      <c r="M151" s="91" t="str">
        <f t="shared" si="25"/>
        <v>no aplica</v>
      </c>
      <c r="N151" s="93">
        <v>41608</v>
      </c>
      <c r="O151" s="94"/>
      <c r="P151" s="94"/>
      <c r="Q151" s="94">
        <v>143</v>
      </c>
      <c r="R151" s="95">
        <f t="shared" si="26"/>
        <v>542088.39095705817</v>
      </c>
      <c r="S151" s="94">
        <v>354745.25199999998</v>
      </c>
      <c r="T151" s="94">
        <f t="shared" si="27"/>
        <v>378761.50556040002</v>
      </c>
      <c r="U151" s="94">
        <f t="shared" si="28"/>
        <v>400540.29213012307</v>
      </c>
      <c r="V151" s="94">
        <f t="shared" si="29"/>
        <v>416922.39007824508</v>
      </c>
      <c r="W151" s="97">
        <f t="shared" si="30"/>
        <v>430180.52208273328</v>
      </c>
      <c r="X151" s="97">
        <f t="shared" si="31"/>
        <v>446527.38192187715</v>
      </c>
      <c r="Y151" s="97">
        <f t="shared" si="35"/>
        <v>453716.47277081938</v>
      </c>
      <c r="Z151" s="97">
        <f t="shared" si="32"/>
        <v>479215.33854053944</v>
      </c>
      <c r="AA151" s="97">
        <f t="shared" si="33"/>
        <v>542088.39095705817</v>
      </c>
    </row>
    <row r="152" spans="1:27" x14ac:dyDescent="0.25">
      <c r="A152" s="102" t="s">
        <v>545</v>
      </c>
      <c r="B152" s="87" t="s">
        <v>546</v>
      </c>
      <c r="C152" s="88" t="s">
        <v>226</v>
      </c>
      <c r="D152" s="89" t="s">
        <v>4</v>
      </c>
      <c r="E152" s="90">
        <f t="shared" si="36"/>
        <v>309587</v>
      </c>
      <c r="F152" s="90">
        <f t="shared" si="34"/>
        <v>260157.12426396579</v>
      </c>
      <c r="G152" s="91">
        <v>0.19</v>
      </c>
      <c r="H152" s="91" t="s">
        <v>228</v>
      </c>
      <c r="I152" s="91"/>
      <c r="J152" s="91"/>
      <c r="K152" s="91" t="s">
        <v>228</v>
      </c>
      <c r="L152" s="92" t="s">
        <v>302</v>
      </c>
      <c r="M152" s="91" t="str">
        <f t="shared" si="25"/>
        <v>no aplica</v>
      </c>
      <c r="N152" s="93">
        <v>41608</v>
      </c>
      <c r="O152" s="94"/>
      <c r="P152" s="94"/>
      <c r="Q152" s="94">
        <v>144</v>
      </c>
      <c r="R152" s="95">
        <f t="shared" si="26"/>
        <v>260157.12426396579</v>
      </c>
      <c r="S152" s="94">
        <v>170248.0742</v>
      </c>
      <c r="T152" s="94">
        <f t="shared" si="27"/>
        <v>181773.86882334002</v>
      </c>
      <c r="U152" s="94">
        <f t="shared" si="28"/>
        <v>192225.86628068209</v>
      </c>
      <c r="V152" s="94">
        <f t="shared" si="29"/>
        <v>200087.90421156198</v>
      </c>
      <c r="W152" s="97">
        <f t="shared" si="30"/>
        <v>206450.69956548966</v>
      </c>
      <c r="X152" s="97">
        <f t="shared" si="31"/>
        <v>214295.82614897826</v>
      </c>
      <c r="Y152" s="97">
        <f t="shared" si="35"/>
        <v>217745.9889499768</v>
      </c>
      <c r="Z152" s="97">
        <f t="shared" si="32"/>
        <v>229983.31352896552</v>
      </c>
      <c r="AA152" s="97">
        <f t="shared" si="33"/>
        <v>260157.12426396579</v>
      </c>
    </row>
    <row r="153" spans="1:27" x14ac:dyDescent="0.25">
      <c r="A153" s="102" t="s">
        <v>547</v>
      </c>
      <c r="B153" s="87" t="s">
        <v>548</v>
      </c>
      <c r="C153" s="88" t="s">
        <v>226</v>
      </c>
      <c r="D153" s="89" t="s">
        <v>4</v>
      </c>
      <c r="E153" s="90">
        <f t="shared" si="36"/>
        <v>318908</v>
      </c>
      <c r="F153" s="90">
        <f t="shared" si="34"/>
        <v>267990.17637454567</v>
      </c>
      <c r="G153" s="91">
        <v>0.19</v>
      </c>
      <c r="H153" s="91" t="s">
        <v>228</v>
      </c>
      <c r="I153" s="91"/>
      <c r="J153" s="91"/>
      <c r="K153" s="91" t="s">
        <v>228</v>
      </c>
      <c r="L153" s="92" t="s">
        <v>302</v>
      </c>
      <c r="M153" s="91" t="str">
        <f t="shared" si="25"/>
        <v>no aplica</v>
      </c>
      <c r="N153" s="93">
        <v>41608</v>
      </c>
      <c r="O153" s="94"/>
      <c r="P153" s="94"/>
      <c r="Q153" s="94">
        <v>145</v>
      </c>
      <c r="R153" s="95">
        <f t="shared" si="26"/>
        <v>267990.17637454567</v>
      </c>
      <c r="S153" s="94">
        <v>175374.0612</v>
      </c>
      <c r="T153" s="94">
        <f t="shared" si="27"/>
        <v>187246.88514324001</v>
      </c>
      <c r="U153" s="94">
        <f t="shared" si="28"/>
        <v>198013.58103897632</v>
      </c>
      <c r="V153" s="94">
        <f t="shared" si="29"/>
        <v>206112.33650347043</v>
      </c>
      <c r="W153" s="97">
        <f t="shared" si="30"/>
        <v>212666.70880428082</v>
      </c>
      <c r="X153" s="97">
        <f t="shared" si="31"/>
        <v>220748.04373884349</v>
      </c>
      <c r="Y153" s="97">
        <f t="shared" si="35"/>
        <v>224302.08724303887</v>
      </c>
      <c r="Z153" s="97">
        <f t="shared" si="32"/>
        <v>236907.86454609767</v>
      </c>
      <c r="AA153" s="97">
        <f t="shared" si="33"/>
        <v>267990.17637454567</v>
      </c>
    </row>
    <row r="154" spans="1:27" x14ac:dyDescent="0.25">
      <c r="A154" s="102" t="s">
        <v>549</v>
      </c>
      <c r="B154" s="87" t="s">
        <v>550</v>
      </c>
      <c r="C154" s="88" t="s">
        <v>226</v>
      </c>
      <c r="D154" s="89" t="s">
        <v>4</v>
      </c>
      <c r="E154" s="90">
        <f t="shared" si="36"/>
        <v>338652</v>
      </c>
      <c r="F154" s="90">
        <f t="shared" si="34"/>
        <v>284581.35692180827</v>
      </c>
      <c r="G154" s="91">
        <v>0.19</v>
      </c>
      <c r="H154" s="91" t="s">
        <v>228</v>
      </c>
      <c r="I154" s="91"/>
      <c r="J154" s="91"/>
      <c r="K154" s="91" t="s">
        <v>228</v>
      </c>
      <c r="L154" s="92" t="s">
        <v>302</v>
      </c>
      <c r="M154" s="91" t="str">
        <f t="shared" si="25"/>
        <v>no aplica</v>
      </c>
      <c r="N154" s="93">
        <v>41608</v>
      </c>
      <c r="O154" s="94"/>
      <c r="P154" s="94"/>
      <c r="Q154" s="94">
        <v>146</v>
      </c>
      <c r="R154" s="95">
        <f t="shared" si="26"/>
        <v>284581.35692180827</v>
      </c>
      <c r="S154" s="94">
        <v>186231.40959999998</v>
      </c>
      <c r="T154" s="94">
        <f t="shared" si="27"/>
        <v>198839.27602992</v>
      </c>
      <c r="U154" s="94">
        <f t="shared" si="28"/>
        <v>210272.53440164041</v>
      </c>
      <c r="V154" s="94">
        <f t="shared" si="29"/>
        <v>218872.68105866748</v>
      </c>
      <c r="W154" s="97">
        <f t="shared" si="30"/>
        <v>225832.83231633311</v>
      </c>
      <c r="X154" s="97">
        <f t="shared" si="31"/>
        <v>234414.47994435378</v>
      </c>
      <c r="Y154" s="97">
        <f t="shared" si="35"/>
        <v>238188.55307145786</v>
      </c>
      <c r="Z154" s="97">
        <f t="shared" si="32"/>
        <v>251574.7497540738</v>
      </c>
      <c r="AA154" s="97">
        <f t="shared" si="33"/>
        <v>284581.35692180827</v>
      </c>
    </row>
    <row r="155" spans="1:27" x14ac:dyDescent="0.25">
      <c r="A155" s="102" t="s">
        <v>551</v>
      </c>
      <c r="B155" s="87" t="s">
        <v>552</v>
      </c>
      <c r="C155" s="88" t="s">
        <v>226</v>
      </c>
      <c r="D155" s="89" t="s">
        <v>262</v>
      </c>
      <c r="E155" s="90">
        <f t="shared" si="36"/>
        <v>1346387</v>
      </c>
      <c r="F155" s="90">
        <f t="shared" si="34"/>
        <v>1131417.451902756</v>
      </c>
      <c r="G155" s="91">
        <v>0.19</v>
      </c>
      <c r="H155" s="91" t="s">
        <v>228</v>
      </c>
      <c r="I155" s="91"/>
      <c r="J155" s="91"/>
      <c r="K155" s="91" t="s">
        <v>228</v>
      </c>
      <c r="L155" s="92" t="s">
        <v>302</v>
      </c>
      <c r="M155" s="91" t="str">
        <f t="shared" si="25"/>
        <v>no aplica</v>
      </c>
      <c r="N155" s="93">
        <v>41608</v>
      </c>
      <c r="O155" s="94"/>
      <c r="P155" s="94"/>
      <c r="Q155" s="94">
        <v>147</v>
      </c>
      <c r="R155" s="95">
        <f t="shared" si="26"/>
        <v>1131417.451902756</v>
      </c>
      <c r="S155" s="94">
        <v>740405.02579999994</v>
      </c>
      <c r="T155" s="94">
        <f t="shared" si="27"/>
        <v>790530.44604665996</v>
      </c>
      <c r="U155" s="94">
        <f t="shared" si="28"/>
        <v>835985.946694343</v>
      </c>
      <c r="V155" s="94">
        <f t="shared" si="29"/>
        <v>870177.7719141416</v>
      </c>
      <c r="W155" s="97">
        <f t="shared" si="30"/>
        <v>897849.42506101134</v>
      </c>
      <c r="X155" s="97">
        <f t="shared" si="31"/>
        <v>931967.70321332978</v>
      </c>
      <c r="Y155" s="97">
        <f t="shared" si="35"/>
        <v>946972.38323506434</v>
      </c>
      <c r="Z155" s="97">
        <f t="shared" si="32"/>
        <v>1000192.2311728749</v>
      </c>
      <c r="AA155" s="97">
        <f t="shared" si="33"/>
        <v>1131417.451902756</v>
      </c>
    </row>
    <row r="156" spans="1:27" x14ac:dyDescent="0.25">
      <c r="A156" s="102" t="s">
        <v>553</v>
      </c>
      <c r="B156" s="87" t="s">
        <v>554</v>
      </c>
      <c r="C156" s="88" t="s">
        <v>226</v>
      </c>
      <c r="D156" s="89" t="s">
        <v>4</v>
      </c>
      <c r="E156" s="90">
        <f t="shared" si="36"/>
        <v>406519</v>
      </c>
      <c r="F156" s="90">
        <f t="shared" si="34"/>
        <v>341612.9460399719</v>
      </c>
      <c r="G156" s="91">
        <v>0.19</v>
      </c>
      <c r="H156" s="91" t="s">
        <v>228</v>
      </c>
      <c r="I156" s="91"/>
      <c r="J156" s="91"/>
      <c r="K156" s="91" t="s">
        <v>228</v>
      </c>
      <c r="L156" s="92" t="s">
        <v>302</v>
      </c>
      <c r="M156" s="91" t="str">
        <f t="shared" si="25"/>
        <v>no aplica</v>
      </c>
      <c r="N156" s="93">
        <v>41608</v>
      </c>
      <c r="O156" s="94"/>
      <c r="P156" s="94"/>
      <c r="Q156" s="94">
        <v>148</v>
      </c>
      <c r="R156" s="95">
        <f t="shared" si="26"/>
        <v>341612.9460399719</v>
      </c>
      <c r="S156" s="94">
        <v>223553.15599999999</v>
      </c>
      <c r="T156" s="94">
        <f t="shared" si="27"/>
        <v>238687.7046612</v>
      </c>
      <c r="U156" s="94">
        <f t="shared" si="28"/>
        <v>252412.24767921903</v>
      </c>
      <c r="V156" s="94">
        <f t="shared" si="29"/>
        <v>262735.90860929905</v>
      </c>
      <c r="W156" s="97">
        <f t="shared" si="30"/>
        <v>271090.91050307476</v>
      </c>
      <c r="X156" s="97">
        <f t="shared" si="31"/>
        <v>281392.36510219163</v>
      </c>
      <c r="Y156" s="97">
        <f t="shared" si="35"/>
        <v>285922.78218033694</v>
      </c>
      <c r="Z156" s="97">
        <f t="shared" si="32"/>
        <v>301991.64253887191</v>
      </c>
      <c r="AA156" s="97">
        <f t="shared" si="33"/>
        <v>341612.9460399719</v>
      </c>
    </row>
    <row r="157" spans="1:27" x14ac:dyDescent="0.25">
      <c r="A157" s="102" t="s">
        <v>555</v>
      </c>
      <c r="B157" s="87" t="s">
        <v>556</v>
      </c>
      <c r="C157" s="88" t="s">
        <v>226</v>
      </c>
      <c r="D157" s="89" t="s">
        <v>4</v>
      </c>
      <c r="E157" s="90">
        <f t="shared" si="36"/>
        <v>406519</v>
      </c>
      <c r="F157" s="90">
        <f t="shared" si="34"/>
        <v>341612.9460399719</v>
      </c>
      <c r="G157" s="91">
        <v>0.19</v>
      </c>
      <c r="H157" s="91" t="s">
        <v>228</v>
      </c>
      <c r="I157" s="91"/>
      <c r="J157" s="91"/>
      <c r="K157" s="91" t="s">
        <v>228</v>
      </c>
      <c r="L157" s="92" t="s">
        <v>302</v>
      </c>
      <c r="M157" s="91" t="str">
        <f t="shared" si="25"/>
        <v>no aplica</v>
      </c>
      <c r="N157" s="93">
        <v>41608</v>
      </c>
      <c r="O157" s="94"/>
      <c r="P157" s="94"/>
      <c r="Q157" s="94">
        <v>149</v>
      </c>
      <c r="R157" s="95">
        <f t="shared" si="26"/>
        <v>341612.9460399719</v>
      </c>
      <c r="S157" s="94">
        <v>223553.15599999999</v>
      </c>
      <c r="T157" s="94">
        <f t="shared" si="27"/>
        <v>238687.7046612</v>
      </c>
      <c r="U157" s="94">
        <f t="shared" si="28"/>
        <v>252412.24767921903</v>
      </c>
      <c r="V157" s="94">
        <f t="shared" si="29"/>
        <v>262735.90860929905</v>
      </c>
      <c r="W157" s="97">
        <f t="shared" si="30"/>
        <v>271090.91050307476</v>
      </c>
      <c r="X157" s="97">
        <f t="shared" si="31"/>
        <v>281392.36510219163</v>
      </c>
      <c r="Y157" s="97">
        <f t="shared" si="35"/>
        <v>285922.78218033694</v>
      </c>
      <c r="Z157" s="97">
        <f t="shared" si="32"/>
        <v>301991.64253887191</v>
      </c>
      <c r="AA157" s="97">
        <f t="shared" si="33"/>
        <v>341612.9460399719</v>
      </c>
    </row>
    <row r="158" spans="1:27" x14ac:dyDescent="0.25">
      <c r="A158" s="102" t="s">
        <v>557</v>
      </c>
      <c r="B158" s="87" t="s">
        <v>558</v>
      </c>
      <c r="C158" s="88" t="s">
        <v>226</v>
      </c>
      <c r="D158" s="89" t="s">
        <v>4</v>
      </c>
      <c r="E158" s="90">
        <f t="shared" si="36"/>
        <v>294846</v>
      </c>
      <c r="F158" s="90">
        <f t="shared" si="34"/>
        <v>247769.97208909527</v>
      </c>
      <c r="G158" s="91">
        <v>0.19</v>
      </c>
      <c r="H158" s="91" t="s">
        <v>228</v>
      </c>
      <c r="I158" s="91"/>
      <c r="J158" s="91"/>
      <c r="K158" s="91" t="s">
        <v>228</v>
      </c>
      <c r="L158" s="92" t="s">
        <v>302</v>
      </c>
      <c r="M158" s="91" t="str">
        <f t="shared" si="25"/>
        <v>no aplica</v>
      </c>
      <c r="N158" s="93">
        <v>41608</v>
      </c>
      <c r="O158" s="94"/>
      <c r="P158" s="94"/>
      <c r="Q158" s="94">
        <v>150</v>
      </c>
      <c r="R158" s="95">
        <f t="shared" si="26"/>
        <v>247769.97208909527</v>
      </c>
      <c r="S158" s="94">
        <v>162141.8622</v>
      </c>
      <c r="T158" s="94">
        <f t="shared" si="27"/>
        <v>173118.86627094002</v>
      </c>
      <c r="U158" s="94">
        <f t="shared" si="28"/>
        <v>183073.2010815191</v>
      </c>
      <c r="V158" s="94">
        <f t="shared" si="29"/>
        <v>190560.89500575323</v>
      </c>
      <c r="W158" s="97">
        <f t="shared" si="30"/>
        <v>196620.73146693621</v>
      </c>
      <c r="X158" s="97">
        <f t="shared" si="31"/>
        <v>204092.31926267978</v>
      </c>
      <c r="Y158" s="97">
        <f t="shared" si="35"/>
        <v>207378.20560280891</v>
      </c>
      <c r="Z158" s="97">
        <f t="shared" si="32"/>
        <v>219032.86075768678</v>
      </c>
      <c r="AA158" s="97">
        <f t="shared" si="33"/>
        <v>247769.97208909527</v>
      </c>
    </row>
    <row r="159" spans="1:27" x14ac:dyDescent="0.25">
      <c r="A159" s="102" t="s">
        <v>559</v>
      </c>
      <c r="B159" s="87" t="s">
        <v>560</v>
      </c>
      <c r="C159" s="88" t="s">
        <v>226</v>
      </c>
      <c r="D159" s="89" t="s">
        <v>4</v>
      </c>
      <c r="E159" s="90">
        <f t="shared" si="36"/>
        <v>338094</v>
      </c>
      <c r="F159" s="90">
        <f t="shared" si="34"/>
        <v>284112.48261953704</v>
      </c>
      <c r="G159" s="91">
        <v>0.19</v>
      </c>
      <c r="H159" s="91" t="s">
        <v>228</v>
      </c>
      <c r="I159" s="91"/>
      <c r="J159" s="91"/>
      <c r="K159" s="91" t="s">
        <v>228</v>
      </c>
      <c r="L159" s="92" t="s">
        <v>302</v>
      </c>
      <c r="M159" s="91" t="str">
        <f t="shared" si="25"/>
        <v>no aplica</v>
      </c>
      <c r="N159" s="93">
        <v>41608</v>
      </c>
      <c r="O159" s="94"/>
      <c r="P159" s="94"/>
      <c r="Q159" s="94">
        <v>151</v>
      </c>
      <c r="R159" s="95">
        <f t="shared" si="26"/>
        <v>284112.48261953704</v>
      </c>
      <c r="S159" s="94">
        <v>185924.576</v>
      </c>
      <c r="T159" s="94">
        <f t="shared" si="27"/>
        <v>198511.66979520002</v>
      </c>
      <c r="U159" s="94">
        <f t="shared" si="28"/>
        <v>209926.09080842405</v>
      </c>
      <c r="V159" s="94">
        <f t="shared" si="29"/>
        <v>218512.06792248858</v>
      </c>
      <c r="W159" s="97">
        <f t="shared" si="30"/>
        <v>225460.75168242372</v>
      </c>
      <c r="X159" s="97">
        <f t="shared" si="31"/>
        <v>234028.26024635584</v>
      </c>
      <c r="Y159" s="97">
        <f t="shared" si="35"/>
        <v>237796.11523632216</v>
      </c>
      <c r="Z159" s="97">
        <f t="shared" si="32"/>
        <v>251160.25691260348</v>
      </c>
      <c r="AA159" s="97">
        <f t="shared" si="33"/>
        <v>284112.48261953704</v>
      </c>
    </row>
    <row r="160" spans="1:27" x14ac:dyDescent="0.25">
      <c r="A160" s="102" t="s">
        <v>561</v>
      </c>
      <c r="B160" s="87" t="s">
        <v>562</v>
      </c>
      <c r="C160" s="88" t="s">
        <v>226</v>
      </c>
      <c r="D160" s="89" t="s">
        <v>4</v>
      </c>
      <c r="E160" s="90">
        <f t="shared" si="36"/>
        <v>296835</v>
      </c>
      <c r="F160" s="90">
        <f t="shared" si="34"/>
        <v>249441.1288083393</v>
      </c>
      <c r="G160" s="91">
        <v>0.19</v>
      </c>
      <c r="H160" s="91" t="s">
        <v>228</v>
      </c>
      <c r="I160" s="91"/>
      <c r="J160" s="91"/>
      <c r="K160" s="91" t="s">
        <v>228</v>
      </c>
      <c r="L160" s="92" t="s">
        <v>302</v>
      </c>
      <c r="M160" s="91" t="str">
        <f t="shared" si="25"/>
        <v>no aplica</v>
      </c>
      <c r="N160" s="93">
        <v>41608</v>
      </c>
      <c r="O160" s="94"/>
      <c r="P160" s="94"/>
      <c r="Q160" s="94">
        <v>152</v>
      </c>
      <c r="R160" s="95">
        <f t="shared" si="26"/>
        <v>249441.1288083393</v>
      </c>
      <c r="S160" s="94">
        <v>163235.47519999999</v>
      </c>
      <c r="T160" s="94">
        <f t="shared" si="27"/>
        <v>174286.51687103999</v>
      </c>
      <c r="U160" s="94">
        <f t="shared" si="28"/>
        <v>184307.9915911248</v>
      </c>
      <c r="V160" s="94">
        <f t="shared" si="29"/>
        <v>191846.1884472018</v>
      </c>
      <c r="W160" s="97">
        <f t="shared" si="30"/>
        <v>197946.89723982284</v>
      </c>
      <c r="X160" s="97">
        <f t="shared" si="31"/>
        <v>205468.87933493612</v>
      </c>
      <c r="Y160" s="97">
        <f t="shared" si="35"/>
        <v>208776.92829222861</v>
      </c>
      <c r="Z160" s="97">
        <f t="shared" si="32"/>
        <v>220510.19166225186</v>
      </c>
      <c r="AA160" s="97">
        <f t="shared" si="33"/>
        <v>249441.1288083393</v>
      </c>
    </row>
    <row r="161" spans="1:27" x14ac:dyDescent="0.25">
      <c r="A161" s="102" t="s">
        <v>563</v>
      </c>
      <c r="B161" s="87" t="s">
        <v>564</v>
      </c>
      <c r="C161" s="88" t="s">
        <v>226</v>
      </c>
      <c r="D161" s="89" t="s">
        <v>4</v>
      </c>
      <c r="E161" s="90">
        <f t="shared" si="36"/>
        <v>263141</v>
      </c>
      <c r="F161" s="90">
        <f t="shared" si="34"/>
        <v>221126.50666948882</v>
      </c>
      <c r="G161" s="91">
        <v>0.19</v>
      </c>
      <c r="H161" s="91" t="s">
        <v>228</v>
      </c>
      <c r="I161" s="91"/>
      <c r="J161" s="91"/>
      <c r="K161" s="91" t="s">
        <v>228</v>
      </c>
      <c r="L161" s="92" t="s">
        <v>302</v>
      </c>
      <c r="M161" s="91" t="str">
        <f t="shared" si="25"/>
        <v>no aplica</v>
      </c>
      <c r="N161" s="93">
        <v>41608</v>
      </c>
      <c r="O161" s="94"/>
      <c r="P161" s="94"/>
      <c r="Q161" s="94">
        <v>153</v>
      </c>
      <c r="R161" s="95">
        <f t="shared" si="26"/>
        <v>221126.50666948882</v>
      </c>
      <c r="S161" s="94">
        <v>144706.25020000001</v>
      </c>
      <c r="T161" s="94">
        <f t="shared" si="27"/>
        <v>154502.86333854002</v>
      </c>
      <c r="U161" s="94">
        <f t="shared" si="28"/>
        <v>163386.77798050607</v>
      </c>
      <c r="V161" s="94">
        <f t="shared" si="29"/>
        <v>170069.29719990876</v>
      </c>
      <c r="W161" s="97">
        <f t="shared" si="30"/>
        <v>175477.50085086588</v>
      </c>
      <c r="X161" s="97">
        <f t="shared" si="31"/>
        <v>182145.6458831988</v>
      </c>
      <c r="Y161" s="97">
        <f t="shared" si="35"/>
        <v>185078.1907819183</v>
      </c>
      <c r="Z161" s="97">
        <f t="shared" si="32"/>
        <v>195479.5851038621</v>
      </c>
      <c r="AA161" s="97">
        <f t="shared" si="33"/>
        <v>221126.50666948882</v>
      </c>
    </row>
    <row r="162" spans="1:27" x14ac:dyDescent="0.25">
      <c r="A162" s="102" t="s">
        <v>565</v>
      </c>
      <c r="B162" s="87" t="s">
        <v>566</v>
      </c>
      <c r="C162" s="88" t="s">
        <v>226</v>
      </c>
      <c r="D162" s="89" t="s">
        <v>4</v>
      </c>
      <c r="E162" s="90">
        <f t="shared" si="36"/>
        <v>281450</v>
      </c>
      <c r="F162" s="90">
        <f t="shared" si="34"/>
        <v>236512.23673016884</v>
      </c>
      <c r="G162" s="91">
        <v>0.19</v>
      </c>
      <c r="H162" s="91" t="s">
        <v>228</v>
      </c>
      <c r="I162" s="91"/>
      <c r="J162" s="91"/>
      <c r="K162" s="91" t="s">
        <v>228</v>
      </c>
      <c r="L162" s="92" t="s">
        <v>302</v>
      </c>
      <c r="M162" s="91" t="str">
        <f t="shared" si="25"/>
        <v>no aplica</v>
      </c>
      <c r="N162" s="93">
        <v>41608</v>
      </c>
      <c r="O162" s="94"/>
      <c r="P162" s="94"/>
      <c r="Q162" s="94">
        <v>154</v>
      </c>
      <c r="R162" s="95">
        <f t="shared" si="26"/>
        <v>236512.23673016884</v>
      </c>
      <c r="S162" s="94">
        <v>154774.74599999998</v>
      </c>
      <c r="T162" s="94">
        <f t="shared" si="27"/>
        <v>165252.9963042</v>
      </c>
      <c r="U162" s="94">
        <f t="shared" si="28"/>
        <v>174755.04359169153</v>
      </c>
      <c r="V162" s="94">
        <f t="shared" si="29"/>
        <v>181902.52487459171</v>
      </c>
      <c r="W162" s="97">
        <f t="shared" si="30"/>
        <v>187687.02516560373</v>
      </c>
      <c r="X162" s="97">
        <f t="shared" si="31"/>
        <v>194819.13212189669</v>
      </c>
      <c r="Y162" s="97">
        <f t="shared" si="35"/>
        <v>197955.72014905923</v>
      </c>
      <c r="Z162" s="97">
        <f t="shared" si="32"/>
        <v>209080.83162143637</v>
      </c>
      <c r="AA162" s="97">
        <f t="shared" si="33"/>
        <v>236512.23673016884</v>
      </c>
    </row>
    <row r="163" spans="1:27" x14ac:dyDescent="0.25">
      <c r="A163" s="102" t="s">
        <v>567</v>
      </c>
      <c r="B163" s="87" t="s">
        <v>568</v>
      </c>
      <c r="C163" s="88" t="s">
        <v>226</v>
      </c>
      <c r="D163" s="89" t="s">
        <v>4</v>
      </c>
      <c r="E163" s="90">
        <f t="shared" si="36"/>
        <v>527800</v>
      </c>
      <c r="F163" s="90">
        <f t="shared" si="34"/>
        <v>443529.74539178394</v>
      </c>
      <c r="G163" s="91">
        <v>0.19</v>
      </c>
      <c r="H163" s="91" t="s">
        <v>228</v>
      </c>
      <c r="I163" s="91"/>
      <c r="J163" s="91"/>
      <c r="K163" s="91" t="s">
        <v>228</v>
      </c>
      <c r="L163" s="92" t="s">
        <v>302</v>
      </c>
      <c r="M163" s="91" t="str">
        <f t="shared" si="25"/>
        <v>no aplica</v>
      </c>
      <c r="N163" s="93">
        <v>41608</v>
      </c>
      <c r="O163" s="94"/>
      <c r="P163" s="94"/>
      <c r="Q163" s="94">
        <v>155</v>
      </c>
      <c r="R163" s="95">
        <f t="shared" si="26"/>
        <v>443529.74539178394</v>
      </c>
      <c r="S163" s="94">
        <v>290248</v>
      </c>
      <c r="T163" s="94">
        <f t="shared" si="27"/>
        <v>309897.78960000002</v>
      </c>
      <c r="U163" s="94">
        <f t="shared" si="28"/>
        <v>327716.91250200005</v>
      </c>
      <c r="V163" s="94">
        <f t="shared" si="29"/>
        <v>341120.53422333184</v>
      </c>
      <c r="W163" s="97">
        <f t="shared" si="30"/>
        <v>351968.16721163382</v>
      </c>
      <c r="X163" s="97">
        <f t="shared" si="31"/>
        <v>365342.9575656759</v>
      </c>
      <c r="Y163" s="97">
        <f t="shared" si="35"/>
        <v>371224.97918248328</v>
      </c>
      <c r="Z163" s="97">
        <f t="shared" si="32"/>
        <v>392087.82301253884</v>
      </c>
      <c r="AA163" s="97">
        <f t="shared" si="33"/>
        <v>443529.74539178394</v>
      </c>
    </row>
    <row r="164" spans="1:27" x14ac:dyDescent="0.25">
      <c r="A164" s="102" t="s">
        <v>569</v>
      </c>
      <c r="B164" s="87" t="s">
        <v>570</v>
      </c>
      <c r="C164" s="88" t="s">
        <v>226</v>
      </c>
      <c r="D164" s="89" t="s">
        <v>292</v>
      </c>
      <c r="E164" s="90">
        <f t="shared" si="36"/>
        <v>9425</v>
      </c>
      <c r="F164" s="90">
        <f t="shared" si="34"/>
        <v>7920.1740248532842</v>
      </c>
      <c r="G164" s="91">
        <v>0.19</v>
      </c>
      <c r="H164" s="91" t="s">
        <v>228</v>
      </c>
      <c r="I164" s="91"/>
      <c r="J164" s="91"/>
      <c r="K164" s="91" t="s">
        <v>228</v>
      </c>
      <c r="L164" s="92" t="s">
        <v>302</v>
      </c>
      <c r="M164" s="91" t="str">
        <f t="shared" si="25"/>
        <v>no aplica</v>
      </c>
      <c r="N164" s="93">
        <v>41608</v>
      </c>
      <c r="O164" s="94"/>
      <c r="P164" s="94"/>
      <c r="Q164" s="94">
        <v>156</v>
      </c>
      <c r="R164" s="95">
        <f t="shared" si="26"/>
        <v>7920.1740248532842</v>
      </c>
      <c r="S164" s="94">
        <v>5183</v>
      </c>
      <c r="T164" s="94">
        <f t="shared" si="27"/>
        <v>5533.8891000000003</v>
      </c>
      <c r="U164" s="94">
        <f t="shared" si="28"/>
        <v>5852.0877232500006</v>
      </c>
      <c r="V164" s="94">
        <f t="shared" si="29"/>
        <v>6091.4381111309249</v>
      </c>
      <c r="W164" s="97">
        <f t="shared" si="30"/>
        <v>6285.145843064889</v>
      </c>
      <c r="X164" s="97">
        <f t="shared" si="31"/>
        <v>6523.981385101355</v>
      </c>
      <c r="Y164" s="97">
        <f t="shared" si="35"/>
        <v>6629.0174854014867</v>
      </c>
      <c r="Z164" s="97">
        <f t="shared" si="32"/>
        <v>7001.5682680810505</v>
      </c>
      <c r="AA164" s="97">
        <f t="shared" si="33"/>
        <v>7920.1740248532842</v>
      </c>
    </row>
    <row r="165" spans="1:27" x14ac:dyDescent="0.25">
      <c r="A165" s="102" t="s">
        <v>571</v>
      </c>
      <c r="B165" s="87" t="s">
        <v>572</v>
      </c>
      <c r="C165" s="88" t="s">
        <v>226</v>
      </c>
      <c r="D165" s="89" t="s">
        <v>292</v>
      </c>
      <c r="E165" s="90">
        <f t="shared" si="36"/>
        <v>9425</v>
      </c>
      <c r="F165" s="90">
        <f t="shared" si="34"/>
        <v>7920.1740248532842</v>
      </c>
      <c r="G165" s="91">
        <v>0.19</v>
      </c>
      <c r="H165" s="91" t="s">
        <v>228</v>
      </c>
      <c r="I165" s="91"/>
      <c r="J165" s="91"/>
      <c r="K165" s="91" t="s">
        <v>228</v>
      </c>
      <c r="L165" s="92" t="s">
        <v>302</v>
      </c>
      <c r="M165" s="91" t="str">
        <f t="shared" si="25"/>
        <v>no aplica</v>
      </c>
      <c r="N165" s="93">
        <v>41608</v>
      </c>
      <c r="O165" s="94"/>
      <c r="P165" s="94"/>
      <c r="Q165" s="94">
        <v>157</v>
      </c>
      <c r="R165" s="95">
        <f t="shared" si="26"/>
        <v>7920.1740248532842</v>
      </c>
      <c r="S165" s="94">
        <v>5183</v>
      </c>
      <c r="T165" s="94">
        <f t="shared" si="27"/>
        <v>5533.8891000000003</v>
      </c>
      <c r="U165" s="94">
        <f t="shared" si="28"/>
        <v>5852.0877232500006</v>
      </c>
      <c r="V165" s="94">
        <f t="shared" si="29"/>
        <v>6091.4381111309249</v>
      </c>
      <c r="W165" s="97">
        <f t="shared" si="30"/>
        <v>6285.145843064889</v>
      </c>
      <c r="X165" s="97">
        <f t="shared" si="31"/>
        <v>6523.981385101355</v>
      </c>
      <c r="Y165" s="97">
        <f t="shared" si="35"/>
        <v>6629.0174854014867</v>
      </c>
      <c r="Z165" s="97">
        <f t="shared" si="32"/>
        <v>7001.5682680810505</v>
      </c>
      <c r="AA165" s="97">
        <f t="shared" si="33"/>
        <v>7920.1740248532842</v>
      </c>
    </row>
    <row r="166" spans="1:27" x14ac:dyDescent="0.25">
      <c r="A166" s="102" t="s">
        <v>573</v>
      </c>
      <c r="B166" s="87" t="s">
        <v>574</v>
      </c>
      <c r="C166" s="88" t="s">
        <v>226</v>
      </c>
      <c r="D166" s="89" t="s">
        <v>262</v>
      </c>
      <c r="E166" s="90">
        <f t="shared" si="36"/>
        <v>113</v>
      </c>
      <c r="F166" s="90">
        <f t="shared" si="34"/>
        <v>95.04208829823942</v>
      </c>
      <c r="G166" s="91">
        <v>0.19</v>
      </c>
      <c r="H166" s="91" t="s">
        <v>228</v>
      </c>
      <c r="I166" s="91"/>
      <c r="J166" s="91"/>
      <c r="K166" s="91" t="s">
        <v>228</v>
      </c>
      <c r="L166" s="92" t="s">
        <v>302</v>
      </c>
      <c r="M166" s="91" t="str">
        <f t="shared" si="25"/>
        <v>no aplica</v>
      </c>
      <c r="N166" s="93">
        <v>41608</v>
      </c>
      <c r="O166" s="94"/>
      <c r="P166" s="94"/>
      <c r="Q166" s="94">
        <v>158</v>
      </c>
      <c r="R166" s="95">
        <f t="shared" si="26"/>
        <v>95.04208829823942</v>
      </c>
      <c r="S166" s="94">
        <v>62.195999999999998</v>
      </c>
      <c r="T166" s="94">
        <f t="shared" si="27"/>
        <v>66.40666920000001</v>
      </c>
      <c r="U166" s="94">
        <f t="shared" si="28"/>
        <v>70.225052679000015</v>
      </c>
      <c r="V166" s="94">
        <f t="shared" si="29"/>
        <v>73.097257333571108</v>
      </c>
      <c r="W166" s="97">
        <f t="shared" si="30"/>
        <v>75.421750116778668</v>
      </c>
      <c r="X166" s="97">
        <f t="shared" si="31"/>
        <v>78.287776621216267</v>
      </c>
      <c r="Y166" s="97">
        <f t="shared" si="35"/>
        <v>79.548209824817846</v>
      </c>
      <c r="Z166" s="97">
        <f t="shared" si="32"/>
        <v>84.018819216972616</v>
      </c>
      <c r="AA166" s="97">
        <f t="shared" si="33"/>
        <v>95.04208829823942</v>
      </c>
    </row>
    <row r="167" spans="1:27" x14ac:dyDescent="0.25">
      <c r="A167" s="102" t="s">
        <v>575</v>
      </c>
      <c r="B167" s="87" t="s">
        <v>576</v>
      </c>
      <c r="C167" s="88" t="s">
        <v>226</v>
      </c>
      <c r="D167" s="89" t="s">
        <v>262</v>
      </c>
      <c r="E167" s="90">
        <f t="shared" si="36"/>
        <v>20735</v>
      </c>
      <c r="F167" s="90">
        <f t="shared" si="34"/>
        <v>17424.382854677227</v>
      </c>
      <c r="G167" s="91">
        <v>0.19</v>
      </c>
      <c r="H167" s="91" t="s">
        <v>228</v>
      </c>
      <c r="I167" s="91"/>
      <c r="J167" s="91"/>
      <c r="K167" s="91" t="s">
        <v>228</v>
      </c>
      <c r="L167" s="92" t="s">
        <v>302</v>
      </c>
      <c r="M167" s="91" t="str">
        <f t="shared" si="25"/>
        <v>no aplica</v>
      </c>
      <c r="N167" s="93">
        <v>41608</v>
      </c>
      <c r="O167" s="94"/>
      <c r="P167" s="94"/>
      <c r="Q167" s="94">
        <v>159</v>
      </c>
      <c r="R167" s="95">
        <f t="shared" si="26"/>
        <v>17424.382854677227</v>
      </c>
      <c r="S167" s="94">
        <v>11402.6</v>
      </c>
      <c r="T167" s="94">
        <f t="shared" si="27"/>
        <v>12174.556020000002</v>
      </c>
      <c r="U167" s="94">
        <f t="shared" si="28"/>
        <v>12874.592991150002</v>
      </c>
      <c r="V167" s="94">
        <f t="shared" si="29"/>
        <v>13401.163844488037</v>
      </c>
      <c r="W167" s="97">
        <f t="shared" si="30"/>
        <v>13827.320854742757</v>
      </c>
      <c r="X167" s="97">
        <f t="shared" si="31"/>
        <v>14352.759047222982</v>
      </c>
      <c r="Y167" s="97">
        <f t="shared" si="35"/>
        <v>14583.838467883272</v>
      </c>
      <c r="Z167" s="97">
        <f t="shared" si="32"/>
        <v>15403.450189778312</v>
      </c>
      <c r="AA167" s="97">
        <f t="shared" si="33"/>
        <v>17424.382854677227</v>
      </c>
    </row>
    <row r="168" spans="1:27" x14ac:dyDescent="0.25">
      <c r="A168" s="105" t="s">
        <v>577</v>
      </c>
      <c r="B168" s="106" t="s">
        <v>578</v>
      </c>
      <c r="C168" s="107"/>
      <c r="D168" s="108"/>
      <c r="E168" s="90">
        <f t="shared" si="36"/>
        <v>0</v>
      </c>
      <c r="F168" s="90">
        <f t="shared" si="34"/>
        <v>0</v>
      </c>
      <c r="G168" s="91"/>
      <c r="H168" s="91"/>
      <c r="I168" s="91"/>
      <c r="J168" s="91"/>
      <c r="K168" s="91"/>
      <c r="L168" s="92"/>
      <c r="M168" s="91"/>
      <c r="N168" s="93">
        <v>41608</v>
      </c>
      <c r="O168" s="109"/>
      <c r="P168" s="109"/>
      <c r="Q168" s="109">
        <v>0</v>
      </c>
      <c r="R168" s="95">
        <f t="shared" si="26"/>
        <v>0</v>
      </c>
      <c r="S168" s="109">
        <v>0</v>
      </c>
      <c r="T168" s="94">
        <f t="shared" si="27"/>
        <v>0</v>
      </c>
      <c r="U168" s="94">
        <f t="shared" si="28"/>
        <v>0</v>
      </c>
      <c r="V168" s="94">
        <f t="shared" si="29"/>
        <v>0</v>
      </c>
      <c r="W168" s="97">
        <f t="shared" si="30"/>
        <v>0</v>
      </c>
      <c r="X168" s="97">
        <f t="shared" si="31"/>
        <v>0</v>
      </c>
      <c r="Y168" s="97">
        <f t="shared" si="35"/>
        <v>0</v>
      </c>
      <c r="Z168" s="97">
        <f t="shared" si="32"/>
        <v>0</v>
      </c>
      <c r="AA168" s="97">
        <f t="shared" si="33"/>
        <v>0</v>
      </c>
    </row>
    <row r="169" spans="1:27" x14ac:dyDescent="0.25">
      <c r="A169" s="102" t="s">
        <v>579</v>
      </c>
      <c r="B169" s="87" t="s">
        <v>580</v>
      </c>
      <c r="C169" s="88" t="s">
        <v>226</v>
      </c>
      <c r="D169" s="89" t="s">
        <v>262</v>
      </c>
      <c r="E169" s="90">
        <f t="shared" si="36"/>
        <v>105409</v>
      </c>
      <c r="F169" s="90">
        <f t="shared" si="34"/>
        <v>88579.226293959131</v>
      </c>
      <c r="G169" s="91">
        <v>0.19</v>
      </c>
      <c r="H169" s="91" t="s">
        <v>228</v>
      </c>
      <c r="I169" s="91"/>
      <c r="J169" s="91"/>
      <c r="K169" s="91" t="s">
        <v>228</v>
      </c>
      <c r="L169" s="92" t="s">
        <v>229</v>
      </c>
      <c r="M169" s="91" t="str">
        <f t="shared" ref="M169:M232" si="37">+IF(L169="no aplica","no aplica","VER ARCHIVO ANEXO")</f>
        <v>VER ARCHIVO ANEXO</v>
      </c>
      <c r="N169" s="93">
        <v>41608</v>
      </c>
      <c r="O169" s="94"/>
      <c r="P169" s="94"/>
      <c r="Q169" s="94">
        <v>160</v>
      </c>
      <c r="R169" s="95">
        <f t="shared" si="26"/>
        <v>88579.226293959131</v>
      </c>
      <c r="S169" s="94">
        <v>57966.671999999999</v>
      </c>
      <c r="T169" s="94">
        <f t="shared" si="27"/>
        <v>61891.015694400005</v>
      </c>
      <c r="U169" s="94">
        <f t="shared" si="28"/>
        <v>65449.749096828011</v>
      </c>
      <c r="V169" s="94">
        <f t="shared" si="29"/>
        <v>68126.643834888266</v>
      </c>
      <c r="W169" s="97">
        <f t="shared" si="30"/>
        <v>70293.071108837714</v>
      </c>
      <c r="X169" s="97">
        <f t="shared" si="31"/>
        <v>72964.207810973545</v>
      </c>
      <c r="Y169" s="97">
        <f t="shared" si="35"/>
        <v>74138.931556730226</v>
      </c>
      <c r="Z169" s="97">
        <f t="shared" si="32"/>
        <v>78305.53951021847</v>
      </c>
      <c r="AA169" s="97">
        <f t="shared" si="33"/>
        <v>88579.226293959131</v>
      </c>
    </row>
    <row r="170" spans="1:27" x14ac:dyDescent="0.25">
      <c r="A170" s="102" t="s">
        <v>581</v>
      </c>
      <c r="B170" s="87" t="s">
        <v>582</v>
      </c>
      <c r="C170" s="88" t="s">
        <v>226</v>
      </c>
      <c r="D170" s="89" t="s">
        <v>255</v>
      </c>
      <c r="E170" s="90">
        <f t="shared" si="36"/>
        <v>5140</v>
      </c>
      <c r="F170" s="90">
        <f t="shared" si="34"/>
        <v>4319.6629131549817</v>
      </c>
      <c r="G170" s="91">
        <v>0.19</v>
      </c>
      <c r="H170" s="91" t="s">
        <v>228</v>
      </c>
      <c r="I170" s="91"/>
      <c r="J170" s="91"/>
      <c r="K170" s="91" t="s">
        <v>228</v>
      </c>
      <c r="L170" s="92" t="s">
        <v>229</v>
      </c>
      <c r="M170" s="91" t="str">
        <f t="shared" si="37"/>
        <v>VER ARCHIVO ANEXO</v>
      </c>
      <c r="N170" s="93">
        <v>41608</v>
      </c>
      <c r="O170" s="94"/>
      <c r="P170" s="94"/>
      <c r="Q170" s="94">
        <v>161</v>
      </c>
      <c r="R170" s="95">
        <f t="shared" si="26"/>
        <v>4319.6629131549817</v>
      </c>
      <c r="S170" s="94">
        <v>2826.8081999999999</v>
      </c>
      <c r="T170" s="94">
        <f t="shared" si="27"/>
        <v>3018.1831151400002</v>
      </c>
      <c r="U170" s="94">
        <f t="shared" si="28"/>
        <v>3191.7286442605505</v>
      </c>
      <c r="V170" s="94">
        <f t="shared" si="29"/>
        <v>3322.2703458108067</v>
      </c>
      <c r="W170" s="97">
        <f t="shared" si="30"/>
        <v>3427.9185428075907</v>
      </c>
      <c r="X170" s="97">
        <f t="shared" si="31"/>
        <v>3558.1794474342792</v>
      </c>
      <c r="Y170" s="97">
        <f t="shared" si="35"/>
        <v>3615.4661365379711</v>
      </c>
      <c r="Z170" s="97">
        <f t="shared" si="32"/>
        <v>3818.6553334114051</v>
      </c>
      <c r="AA170" s="97">
        <f t="shared" si="33"/>
        <v>4319.6629131549817</v>
      </c>
    </row>
    <row r="171" spans="1:27" x14ac:dyDescent="0.25">
      <c r="A171" s="102" t="s">
        <v>583</v>
      </c>
      <c r="B171" s="87" t="s">
        <v>584</v>
      </c>
      <c r="C171" s="88" t="s">
        <v>226</v>
      </c>
      <c r="D171" s="89" t="s">
        <v>262</v>
      </c>
      <c r="E171" s="90">
        <f t="shared" si="36"/>
        <v>137106</v>
      </c>
      <c r="F171" s="90">
        <f t="shared" si="34"/>
        <v>115214.77153954071</v>
      </c>
      <c r="G171" s="91">
        <v>0.19</v>
      </c>
      <c r="H171" s="91" t="s">
        <v>228</v>
      </c>
      <c r="I171" s="91"/>
      <c r="J171" s="91"/>
      <c r="K171" s="91" t="s">
        <v>228</v>
      </c>
      <c r="L171" s="92" t="s">
        <v>229</v>
      </c>
      <c r="M171" s="91" t="str">
        <f t="shared" si="37"/>
        <v>VER ARCHIVO ANEXO</v>
      </c>
      <c r="N171" s="93">
        <v>41608</v>
      </c>
      <c r="O171" s="94"/>
      <c r="P171" s="94"/>
      <c r="Q171" s="94">
        <v>162</v>
      </c>
      <c r="R171" s="95">
        <f t="shared" si="26"/>
        <v>115214.77153954071</v>
      </c>
      <c r="S171" s="94">
        <v>75397.100999999995</v>
      </c>
      <c r="T171" s="94">
        <f t="shared" si="27"/>
        <v>80501.484737699997</v>
      </c>
      <c r="U171" s="94">
        <f t="shared" si="28"/>
        <v>85130.320110117755</v>
      </c>
      <c r="V171" s="94">
        <f t="shared" si="29"/>
        <v>88612.15020262156</v>
      </c>
      <c r="W171" s="97">
        <f t="shared" si="30"/>
        <v>91430.016579064933</v>
      </c>
      <c r="X171" s="97">
        <f t="shared" si="31"/>
        <v>94904.357209069407</v>
      </c>
      <c r="Y171" s="97">
        <f t="shared" si="35"/>
        <v>96432.317360135421</v>
      </c>
      <c r="Z171" s="97">
        <f t="shared" si="32"/>
        <v>101851.81359577503</v>
      </c>
      <c r="AA171" s="97">
        <f t="shared" si="33"/>
        <v>115214.77153954071</v>
      </c>
    </row>
    <row r="172" spans="1:27" x14ac:dyDescent="0.25">
      <c r="A172" s="102" t="s">
        <v>585</v>
      </c>
      <c r="B172" s="87" t="s">
        <v>586</v>
      </c>
      <c r="C172" s="88" t="s">
        <v>226</v>
      </c>
      <c r="D172" s="89" t="s">
        <v>262</v>
      </c>
      <c r="E172" s="90">
        <f t="shared" si="36"/>
        <v>133198</v>
      </c>
      <c r="F172" s="90">
        <f t="shared" si="34"/>
        <v>111931.06738883656</v>
      </c>
      <c r="G172" s="91">
        <v>0.19</v>
      </c>
      <c r="H172" s="91" t="s">
        <v>228</v>
      </c>
      <c r="I172" s="91"/>
      <c r="J172" s="91"/>
      <c r="K172" s="91" t="s">
        <v>228</v>
      </c>
      <c r="L172" s="92" t="s">
        <v>229</v>
      </c>
      <c r="M172" s="91" t="str">
        <f t="shared" si="37"/>
        <v>VER ARCHIVO ANEXO</v>
      </c>
      <c r="N172" s="93">
        <v>41608</v>
      </c>
      <c r="O172" s="94"/>
      <c r="P172" s="94"/>
      <c r="Q172" s="94">
        <v>163</v>
      </c>
      <c r="R172" s="95">
        <f t="shared" si="26"/>
        <v>111931.06738883656</v>
      </c>
      <c r="S172" s="94">
        <v>73248.229200000002</v>
      </c>
      <c r="T172" s="94">
        <f t="shared" si="27"/>
        <v>78207.134316840005</v>
      </c>
      <c r="U172" s="94">
        <f t="shared" si="28"/>
        <v>82704.044540058312</v>
      </c>
      <c r="V172" s="94">
        <f t="shared" si="29"/>
        <v>86086.639961746696</v>
      </c>
      <c r="W172" s="97">
        <f t="shared" si="30"/>
        <v>88824.195112530244</v>
      </c>
      <c r="X172" s="97">
        <f t="shared" si="31"/>
        <v>92199.514526806393</v>
      </c>
      <c r="Y172" s="97">
        <f t="shared" si="35"/>
        <v>93683.926710687971</v>
      </c>
      <c r="Z172" s="97">
        <f t="shared" si="32"/>
        <v>98948.963391828642</v>
      </c>
      <c r="AA172" s="97">
        <f t="shared" si="33"/>
        <v>111931.06738883656</v>
      </c>
    </row>
    <row r="173" spans="1:27" x14ac:dyDescent="0.25">
      <c r="A173" s="102" t="s">
        <v>587</v>
      </c>
      <c r="B173" s="87" t="s">
        <v>588</v>
      </c>
      <c r="C173" s="88" t="s">
        <v>226</v>
      </c>
      <c r="D173" s="89" t="s">
        <v>262</v>
      </c>
      <c r="E173" s="90">
        <f t="shared" si="36"/>
        <v>170253</v>
      </c>
      <c r="F173" s="90">
        <f t="shared" si="34"/>
        <v>143070.02358494973</v>
      </c>
      <c r="G173" s="91">
        <v>0.19</v>
      </c>
      <c r="H173" s="91" t="s">
        <v>228</v>
      </c>
      <c r="I173" s="91"/>
      <c r="J173" s="91"/>
      <c r="K173" s="91" t="s">
        <v>228</v>
      </c>
      <c r="L173" s="92" t="s">
        <v>302</v>
      </c>
      <c r="M173" s="91" t="str">
        <f t="shared" si="37"/>
        <v>no aplica</v>
      </c>
      <c r="N173" s="93">
        <v>41608</v>
      </c>
      <c r="O173" s="94"/>
      <c r="P173" s="94"/>
      <c r="Q173" s="94">
        <v>164</v>
      </c>
      <c r="R173" s="95">
        <f t="shared" si="26"/>
        <v>143070.02358494973</v>
      </c>
      <c r="S173" s="94">
        <v>93625.712</v>
      </c>
      <c r="T173" s="94">
        <f t="shared" si="27"/>
        <v>99964.172702400014</v>
      </c>
      <c r="U173" s="94">
        <f t="shared" si="28"/>
        <v>105712.11263278802</v>
      </c>
      <c r="V173" s="94">
        <f t="shared" si="29"/>
        <v>110035.73803946904</v>
      </c>
      <c r="W173" s="97">
        <f t="shared" si="30"/>
        <v>113534.87450912416</v>
      </c>
      <c r="X173" s="97">
        <f t="shared" si="31"/>
        <v>117849.19974047088</v>
      </c>
      <c r="Y173" s="97">
        <f t="shared" si="35"/>
        <v>119746.57185629246</v>
      </c>
      <c r="Z173" s="97">
        <f t="shared" si="32"/>
        <v>126476.3291946161</v>
      </c>
      <c r="AA173" s="97">
        <f t="shared" si="33"/>
        <v>143070.02358494973</v>
      </c>
    </row>
    <row r="174" spans="1:27" x14ac:dyDescent="0.25">
      <c r="A174" s="102" t="s">
        <v>589</v>
      </c>
      <c r="B174" s="87" t="s">
        <v>590</v>
      </c>
      <c r="C174" s="88" t="s">
        <v>226</v>
      </c>
      <c r="D174" s="89" t="s">
        <v>262</v>
      </c>
      <c r="E174" s="90">
        <f t="shared" si="36"/>
        <v>356305</v>
      </c>
      <c r="F174" s="90">
        <f t="shared" si="34"/>
        <v>299415.84287035855</v>
      </c>
      <c r="G174" s="91">
        <v>0.19</v>
      </c>
      <c r="H174" s="91" t="s">
        <v>228</v>
      </c>
      <c r="I174" s="91"/>
      <c r="J174" s="91"/>
      <c r="K174" s="91" t="s">
        <v>228</v>
      </c>
      <c r="L174" s="92" t="s">
        <v>302</v>
      </c>
      <c r="M174" s="91" t="str">
        <f t="shared" si="37"/>
        <v>no aplica</v>
      </c>
      <c r="N174" s="93">
        <v>41608</v>
      </c>
      <c r="O174" s="94"/>
      <c r="P174" s="94"/>
      <c r="Q174" s="94">
        <v>165</v>
      </c>
      <c r="R174" s="95">
        <f t="shared" si="26"/>
        <v>299415.84287035855</v>
      </c>
      <c r="S174" s="94">
        <v>195939.1686</v>
      </c>
      <c r="T174" s="94">
        <f t="shared" si="27"/>
        <v>209204.25031422003</v>
      </c>
      <c r="U174" s="94">
        <f t="shared" si="28"/>
        <v>221233.4947072877</v>
      </c>
      <c r="V174" s="94">
        <f t="shared" si="29"/>
        <v>230281.94464081575</v>
      </c>
      <c r="W174" s="97">
        <f t="shared" si="30"/>
        <v>237604.91048039371</v>
      </c>
      <c r="X174" s="97">
        <f t="shared" si="31"/>
        <v>246633.89707864868</v>
      </c>
      <c r="Y174" s="97">
        <f t="shared" si="35"/>
        <v>250604.70282161492</v>
      </c>
      <c r="Z174" s="97">
        <f t="shared" si="32"/>
        <v>264688.68712018966</v>
      </c>
      <c r="AA174" s="97">
        <f t="shared" si="33"/>
        <v>299415.84287035855</v>
      </c>
    </row>
    <row r="175" spans="1:27" x14ac:dyDescent="0.25">
      <c r="A175" s="102" t="s">
        <v>591</v>
      </c>
      <c r="B175" s="87" t="s">
        <v>592</v>
      </c>
      <c r="C175" s="88" t="s">
        <v>226</v>
      </c>
      <c r="D175" s="89" t="s">
        <v>262</v>
      </c>
      <c r="E175" s="90">
        <f t="shared" si="36"/>
        <v>178922</v>
      </c>
      <c r="F175" s="90">
        <f t="shared" si="34"/>
        <v>150354.99965300979</v>
      </c>
      <c r="G175" s="91">
        <v>0.19</v>
      </c>
      <c r="H175" s="91" t="s">
        <v>228</v>
      </c>
      <c r="I175" s="91"/>
      <c r="J175" s="91"/>
      <c r="K175" s="91" t="s">
        <v>228</v>
      </c>
      <c r="L175" s="92" t="s">
        <v>593</v>
      </c>
      <c r="M175" s="91" t="str">
        <f t="shared" si="37"/>
        <v>VER ARCHIVO ANEXO</v>
      </c>
      <c r="N175" s="93">
        <v>41608</v>
      </c>
      <c r="O175" s="94"/>
      <c r="P175" s="94"/>
      <c r="Q175" s="94">
        <v>166</v>
      </c>
      <c r="R175" s="95">
        <f t="shared" si="26"/>
        <v>150354.99965300979</v>
      </c>
      <c r="S175" s="94">
        <v>98393.035399999993</v>
      </c>
      <c r="T175" s="94">
        <f t="shared" si="27"/>
        <v>105054.24389658</v>
      </c>
      <c r="U175" s="94">
        <f t="shared" si="28"/>
        <v>111094.86292063336</v>
      </c>
      <c r="V175" s="94">
        <f t="shared" si="29"/>
        <v>115638.64281408726</v>
      </c>
      <c r="W175" s="97">
        <f t="shared" si="30"/>
        <v>119315.95165557523</v>
      </c>
      <c r="X175" s="97">
        <f t="shared" si="31"/>
        <v>123849.95781848709</v>
      </c>
      <c r="Y175" s="97">
        <f t="shared" si="35"/>
        <v>125843.94213936474</v>
      </c>
      <c r="Z175" s="97">
        <f t="shared" si="32"/>
        <v>132916.37168759704</v>
      </c>
      <c r="AA175" s="97">
        <f t="shared" si="33"/>
        <v>150354.99965300979</v>
      </c>
    </row>
    <row r="176" spans="1:27" x14ac:dyDescent="0.25">
      <c r="A176" s="102" t="s">
        <v>594</v>
      </c>
      <c r="B176" s="87" t="s">
        <v>595</v>
      </c>
      <c r="C176" s="88" t="s">
        <v>226</v>
      </c>
      <c r="D176" s="89" t="s">
        <v>4</v>
      </c>
      <c r="E176" s="90">
        <f t="shared" si="36"/>
        <v>32562</v>
      </c>
      <c r="F176" s="90">
        <f t="shared" si="34"/>
        <v>27362.617221063138</v>
      </c>
      <c r="G176" s="91">
        <v>0.19</v>
      </c>
      <c r="H176" s="91" t="s">
        <v>228</v>
      </c>
      <c r="I176" s="91"/>
      <c r="J176" s="91"/>
      <c r="K176" s="91" t="s">
        <v>228</v>
      </c>
      <c r="L176" s="92" t="s">
        <v>229</v>
      </c>
      <c r="M176" s="91" t="str">
        <f t="shared" si="37"/>
        <v>VER ARCHIVO ANEXO</v>
      </c>
      <c r="N176" s="93">
        <v>41608</v>
      </c>
      <c r="O176" s="94"/>
      <c r="P176" s="94"/>
      <c r="Q176" s="94">
        <v>167</v>
      </c>
      <c r="R176" s="95">
        <f t="shared" si="26"/>
        <v>27362.617221063138</v>
      </c>
      <c r="S176" s="94">
        <v>17906.2284</v>
      </c>
      <c r="T176" s="94">
        <f t="shared" si="27"/>
        <v>19118.480062680002</v>
      </c>
      <c r="U176" s="94">
        <f t="shared" si="28"/>
        <v>20217.792666284106</v>
      </c>
      <c r="V176" s="94">
        <f t="shared" si="29"/>
        <v>21044.700386335124</v>
      </c>
      <c r="W176" s="97">
        <f t="shared" si="30"/>
        <v>21713.921858620582</v>
      </c>
      <c r="X176" s="97">
        <f t="shared" si="31"/>
        <v>22539.050889248167</v>
      </c>
      <c r="Y176" s="97">
        <f t="shared" si="35"/>
        <v>22901.929608565064</v>
      </c>
      <c r="Z176" s="97">
        <f t="shared" si="32"/>
        <v>24189.018052566422</v>
      </c>
      <c r="AA176" s="97">
        <f t="shared" si="33"/>
        <v>27362.617221063138</v>
      </c>
    </row>
    <row r="177" spans="1:27" x14ac:dyDescent="0.25">
      <c r="A177" s="102" t="s">
        <v>596</v>
      </c>
      <c r="B177" s="87" t="s">
        <v>597</v>
      </c>
      <c r="C177" s="88" t="s">
        <v>226</v>
      </c>
      <c r="D177" s="89" t="s">
        <v>4</v>
      </c>
      <c r="E177" s="90">
        <f t="shared" si="36"/>
        <v>368473</v>
      </c>
      <c r="F177" s="90">
        <f t="shared" si="34"/>
        <v>309640.78753644414</v>
      </c>
      <c r="G177" s="91">
        <v>0.19</v>
      </c>
      <c r="H177" s="91" t="s">
        <v>228</v>
      </c>
      <c r="I177" s="91"/>
      <c r="J177" s="91"/>
      <c r="K177" s="91" t="s">
        <v>228</v>
      </c>
      <c r="L177" s="92" t="s">
        <v>598</v>
      </c>
      <c r="M177" s="91" t="str">
        <f t="shared" si="37"/>
        <v>VER ARCHIVO ANEXO</v>
      </c>
      <c r="N177" s="93">
        <v>41608</v>
      </c>
      <c r="O177" s="94"/>
      <c r="P177" s="94"/>
      <c r="Q177" s="94">
        <v>168</v>
      </c>
      <c r="R177" s="95">
        <f t="shared" si="26"/>
        <v>309640.78753644414</v>
      </c>
      <c r="S177" s="94">
        <v>202630.4216</v>
      </c>
      <c r="T177" s="94">
        <f t="shared" si="27"/>
        <v>216348.50114232002</v>
      </c>
      <c r="U177" s="94">
        <f t="shared" si="28"/>
        <v>228788.53995800344</v>
      </c>
      <c r="V177" s="94">
        <f t="shared" si="29"/>
        <v>238145.99124228576</v>
      </c>
      <c r="W177" s="97">
        <f t="shared" si="30"/>
        <v>245719.03376379044</v>
      </c>
      <c r="X177" s="97">
        <f t="shared" si="31"/>
        <v>255056.35704681449</v>
      </c>
      <c r="Y177" s="97">
        <f t="shared" si="35"/>
        <v>259162.7643952682</v>
      </c>
      <c r="Z177" s="97">
        <f t="shared" si="32"/>
        <v>273727.7117542823</v>
      </c>
      <c r="AA177" s="97">
        <f t="shared" si="33"/>
        <v>309640.78753644414</v>
      </c>
    </row>
    <row r="178" spans="1:27" x14ac:dyDescent="0.25">
      <c r="A178" s="102" t="s">
        <v>599</v>
      </c>
      <c r="B178" s="87" t="s">
        <v>600</v>
      </c>
      <c r="C178" s="88" t="s">
        <v>226</v>
      </c>
      <c r="D178" s="89" t="s">
        <v>4</v>
      </c>
      <c r="E178" s="90">
        <f t="shared" si="36"/>
        <v>17994</v>
      </c>
      <c r="F178" s="90">
        <f t="shared" si="34"/>
        <v>15121.196248249891</v>
      </c>
      <c r="G178" s="91">
        <v>0.19</v>
      </c>
      <c r="H178" s="91" t="s">
        <v>228</v>
      </c>
      <c r="I178" s="91"/>
      <c r="J178" s="91"/>
      <c r="K178" s="91" t="s">
        <v>228</v>
      </c>
      <c r="L178" s="92" t="s">
        <v>598</v>
      </c>
      <c r="M178" s="91" t="str">
        <f t="shared" si="37"/>
        <v>VER ARCHIVO ANEXO</v>
      </c>
      <c r="N178" s="93">
        <v>41608</v>
      </c>
      <c r="O178" s="94"/>
      <c r="P178" s="94"/>
      <c r="Q178" s="94">
        <v>169</v>
      </c>
      <c r="R178" s="95">
        <f t="shared" si="26"/>
        <v>15121.196248249891</v>
      </c>
      <c r="S178" s="94">
        <v>9895.3835999999992</v>
      </c>
      <c r="T178" s="94">
        <f t="shared" si="27"/>
        <v>10565.301069720001</v>
      </c>
      <c r="U178" s="94">
        <f t="shared" si="28"/>
        <v>11172.805881228902</v>
      </c>
      <c r="V178" s="94">
        <f t="shared" si="29"/>
        <v>11629.773641771164</v>
      </c>
      <c r="W178" s="97">
        <f t="shared" si="30"/>
        <v>11999.600443579488</v>
      </c>
      <c r="X178" s="97">
        <f t="shared" si="31"/>
        <v>12455.585260435508</v>
      </c>
      <c r="Y178" s="97">
        <f t="shared" si="35"/>
        <v>12656.12018312852</v>
      </c>
      <c r="Z178" s="97">
        <f t="shared" si="32"/>
        <v>13367.394137420342</v>
      </c>
      <c r="AA178" s="97">
        <f t="shared" si="33"/>
        <v>15121.196248249891</v>
      </c>
    </row>
    <row r="179" spans="1:27" x14ac:dyDescent="0.25">
      <c r="A179" s="102" t="s">
        <v>601</v>
      </c>
      <c r="B179" s="87" t="s">
        <v>602</v>
      </c>
      <c r="C179" s="88" t="s">
        <v>226</v>
      </c>
      <c r="D179" s="89" t="s">
        <v>255</v>
      </c>
      <c r="E179" s="90">
        <f t="shared" si="36"/>
        <v>31704</v>
      </c>
      <c r="F179" s="90">
        <f t="shared" si="34"/>
        <v>26641.88138480148</v>
      </c>
      <c r="G179" s="91">
        <v>0.19</v>
      </c>
      <c r="H179" s="91" t="s">
        <v>228</v>
      </c>
      <c r="I179" s="91"/>
      <c r="J179" s="91"/>
      <c r="K179" s="91" t="s">
        <v>228</v>
      </c>
      <c r="L179" s="92" t="s">
        <v>603</v>
      </c>
      <c r="M179" s="91" t="str">
        <f t="shared" si="37"/>
        <v>VER ARCHIVO ANEXO</v>
      </c>
      <c r="N179" s="93">
        <v>41608</v>
      </c>
      <c r="O179" s="94"/>
      <c r="P179" s="94"/>
      <c r="Q179" s="94">
        <v>170</v>
      </c>
      <c r="R179" s="95">
        <f t="shared" si="26"/>
        <v>26641.88138480148</v>
      </c>
      <c r="S179" s="94">
        <v>17434.575399999998</v>
      </c>
      <c r="T179" s="94">
        <f t="shared" si="27"/>
        <v>18614.896154580001</v>
      </c>
      <c r="U179" s="94">
        <f t="shared" si="28"/>
        <v>19685.252683468352</v>
      </c>
      <c r="V179" s="94">
        <f t="shared" si="29"/>
        <v>20490.379518222206</v>
      </c>
      <c r="W179" s="97">
        <f t="shared" si="30"/>
        <v>21141.973586901673</v>
      </c>
      <c r="X179" s="97">
        <f t="shared" si="31"/>
        <v>21945.368583203937</v>
      </c>
      <c r="Y179" s="97">
        <f t="shared" si="35"/>
        <v>22298.689017393521</v>
      </c>
      <c r="Z179" s="97">
        <f t="shared" si="32"/>
        <v>23551.875340171038</v>
      </c>
      <c r="AA179" s="97">
        <f t="shared" si="33"/>
        <v>26641.88138480148</v>
      </c>
    </row>
    <row r="180" spans="1:27" x14ac:dyDescent="0.25">
      <c r="A180" s="102" t="s">
        <v>604</v>
      </c>
      <c r="B180" s="87" t="s">
        <v>605</v>
      </c>
      <c r="C180" s="88" t="s">
        <v>226</v>
      </c>
      <c r="D180" s="89" t="s">
        <v>262</v>
      </c>
      <c r="E180" s="90">
        <f t="shared" si="36"/>
        <v>329662</v>
      </c>
      <c r="F180" s="90">
        <f t="shared" si="34"/>
        <v>277027.09493690328</v>
      </c>
      <c r="G180" s="91">
        <v>0.19</v>
      </c>
      <c r="H180" s="91" t="s">
        <v>228</v>
      </c>
      <c r="I180" s="91"/>
      <c r="J180" s="91"/>
      <c r="K180" s="91" t="s">
        <v>228</v>
      </c>
      <c r="L180" s="92" t="s">
        <v>606</v>
      </c>
      <c r="M180" s="91" t="str">
        <f t="shared" si="37"/>
        <v>VER ARCHIVO ANEXO</v>
      </c>
      <c r="N180" s="93">
        <v>41608</v>
      </c>
      <c r="O180" s="94"/>
      <c r="P180" s="94"/>
      <c r="Q180" s="94">
        <v>171</v>
      </c>
      <c r="R180" s="95">
        <f t="shared" si="26"/>
        <v>277027.09493690328</v>
      </c>
      <c r="S180" s="94">
        <v>181287.86419999998</v>
      </c>
      <c r="T180" s="94">
        <f t="shared" si="27"/>
        <v>193561.05260634</v>
      </c>
      <c r="U180" s="94">
        <f t="shared" si="28"/>
        <v>204690.81313120457</v>
      </c>
      <c r="V180" s="94">
        <f t="shared" si="29"/>
        <v>213062.66738827084</v>
      </c>
      <c r="W180" s="97">
        <f t="shared" si="30"/>
        <v>219838.06021121787</v>
      </c>
      <c r="X180" s="97">
        <f t="shared" si="31"/>
        <v>228191.90649924416</v>
      </c>
      <c r="Y180" s="97">
        <f t="shared" si="35"/>
        <v>231865.79619388198</v>
      </c>
      <c r="Z180" s="97">
        <f t="shared" si="32"/>
        <v>244896.65393997816</v>
      </c>
      <c r="AA180" s="97">
        <f t="shared" si="33"/>
        <v>277027.09493690328</v>
      </c>
    </row>
    <row r="181" spans="1:27" x14ac:dyDescent="0.25">
      <c r="A181" s="102" t="s">
        <v>607</v>
      </c>
      <c r="B181" s="87" t="s">
        <v>608</v>
      </c>
      <c r="C181" s="88" t="s">
        <v>226</v>
      </c>
      <c r="D181" s="89" t="s">
        <v>262</v>
      </c>
      <c r="E181" s="90">
        <f t="shared" si="36"/>
        <v>386976</v>
      </c>
      <c r="F181" s="90">
        <f t="shared" si="34"/>
        <v>325189.67318203609</v>
      </c>
      <c r="G181" s="91">
        <v>0.19</v>
      </c>
      <c r="H181" s="91" t="s">
        <v>228</v>
      </c>
      <c r="I181" s="91"/>
      <c r="J181" s="91"/>
      <c r="K181" s="91" t="s">
        <v>228</v>
      </c>
      <c r="L181" s="92" t="s">
        <v>302</v>
      </c>
      <c r="M181" s="91" t="str">
        <f t="shared" si="37"/>
        <v>no aplica</v>
      </c>
      <c r="N181" s="93">
        <v>41608</v>
      </c>
      <c r="O181" s="94"/>
      <c r="P181" s="94"/>
      <c r="Q181" s="94">
        <v>172</v>
      </c>
      <c r="R181" s="95">
        <f t="shared" si="26"/>
        <v>325189.67318203609</v>
      </c>
      <c r="S181" s="94">
        <v>212805.68719999999</v>
      </c>
      <c r="T181" s="94">
        <f t="shared" si="27"/>
        <v>227212.63222344001</v>
      </c>
      <c r="U181" s="94">
        <f t="shared" si="28"/>
        <v>240277.35857628784</v>
      </c>
      <c r="V181" s="94">
        <f t="shared" si="29"/>
        <v>250104.70254205799</v>
      </c>
      <c r="W181" s="97">
        <f t="shared" si="30"/>
        <v>258058.03208289546</v>
      </c>
      <c r="X181" s="97">
        <f t="shared" si="31"/>
        <v>267864.23730204551</v>
      </c>
      <c r="Y181" s="97">
        <f t="shared" si="35"/>
        <v>272176.85152260843</v>
      </c>
      <c r="Z181" s="97">
        <f t="shared" si="32"/>
        <v>287473.19057817903</v>
      </c>
      <c r="AA181" s="97">
        <f t="shared" si="33"/>
        <v>325189.67318203609</v>
      </c>
    </row>
    <row r="182" spans="1:27" x14ac:dyDescent="0.25">
      <c r="A182" s="102" t="s">
        <v>609</v>
      </c>
      <c r="B182" s="87" t="s">
        <v>610</v>
      </c>
      <c r="C182" s="88" t="s">
        <v>226</v>
      </c>
      <c r="D182" s="89" t="s">
        <v>262</v>
      </c>
      <c r="E182" s="90">
        <f t="shared" si="36"/>
        <v>303804</v>
      </c>
      <c r="F182" s="90">
        <f t="shared" si="34"/>
        <v>255297.30548231583</v>
      </c>
      <c r="G182" s="91">
        <v>0.19</v>
      </c>
      <c r="H182" s="91" t="s">
        <v>228</v>
      </c>
      <c r="I182" s="91"/>
      <c r="J182" s="91"/>
      <c r="K182" s="91" t="s">
        <v>228</v>
      </c>
      <c r="L182" s="92" t="s">
        <v>302</v>
      </c>
      <c r="M182" s="91" t="str">
        <f t="shared" si="37"/>
        <v>no aplica</v>
      </c>
      <c r="N182" s="93">
        <v>41608</v>
      </c>
      <c r="O182" s="94"/>
      <c r="P182" s="94"/>
      <c r="Q182" s="94">
        <v>173</v>
      </c>
      <c r="R182" s="95">
        <f t="shared" si="26"/>
        <v>255297.30548231583</v>
      </c>
      <c r="S182" s="94">
        <v>167067.78539999999</v>
      </c>
      <c r="T182" s="94">
        <f t="shared" si="27"/>
        <v>178378.27447158002</v>
      </c>
      <c r="U182" s="94">
        <f t="shared" si="28"/>
        <v>188635.0252536959</v>
      </c>
      <c r="V182" s="94">
        <f t="shared" si="29"/>
        <v>196350.19778657204</v>
      </c>
      <c r="W182" s="97">
        <f t="shared" si="30"/>
        <v>202594.13407618503</v>
      </c>
      <c r="X182" s="97">
        <f t="shared" si="31"/>
        <v>210292.71117108007</v>
      </c>
      <c r="Y182" s="97">
        <f t="shared" si="35"/>
        <v>213678.42382093446</v>
      </c>
      <c r="Z182" s="97">
        <f t="shared" si="32"/>
        <v>225687.15123967099</v>
      </c>
      <c r="AA182" s="97">
        <f t="shared" si="33"/>
        <v>255297.30548231583</v>
      </c>
    </row>
    <row r="183" spans="1:27" x14ac:dyDescent="0.25">
      <c r="A183" s="102" t="s">
        <v>611</v>
      </c>
      <c r="B183" s="87" t="s">
        <v>612</v>
      </c>
      <c r="C183" s="88" t="s">
        <v>226</v>
      </c>
      <c r="D183" s="89" t="s">
        <v>262</v>
      </c>
      <c r="E183" s="90">
        <f t="shared" si="36"/>
        <v>361119</v>
      </c>
      <c r="F183" s="90">
        <f t="shared" si="34"/>
        <v>303461.46776225365</v>
      </c>
      <c r="G183" s="91">
        <v>0.19</v>
      </c>
      <c r="H183" s="91" t="s">
        <v>228</v>
      </c>
      <c r="I183" s="91"/>
      <c r="J183" s="91"/>
      <c r="K183" s="91" t="s">
        <v>228</v>
      </c>
      <c r="L183" s="92" t="s">
        <v>302</v>
      </c>
      <c r="M183" s="91" t="str">
        <f t="shared" si="37"/>
        <v>no aplica</v>
      </c>
      <c r="N183" s="93">
        <v>41608</v>
      </c>
      <c r="O183" s="94"/>
      <c r="P183" s="94"/>
      <c r="Q183" s="94">
        <v>174</v>
      </c>
      <c r="R183" s="95">
        <f t="shared" si="26"/>
        <v>303461.46776225365</v>
      </c>
      <c r="S183" s="94">
        <v>198586.64499999999</v>
      </c>
      <c r="T183" s="94">
        <f t="shared" si="27"/>
        <v>212030.96086650001</v>
      </c>
      <c r="U183" s="94">
        <f t="shared" si="28"/>
        <v>224222.7411163238</v>
      </c>
      <c r="V183" s="94">
        <f t="shared" si="29"/>
        <v>233393.45122798142</v>
      </c>
      <c r="W183" s="97">
        <f t="shared" si="30"/>
        <v>240815.36297703124</v>
      </c>
      <c r="X183" s="97">
        <f t="shared" si="31"/>
        <v>249966.34677015844</v>
      </c>
      <c r="Y183" s="97">
        <f t="shared" si="35"/>
        <v>253990.80495315799</v>
      </c>
      <c r="Z183" s="97">
        <f t="shared" si="32"/>
        <v>268265.08819152549</v>
      </c>
      <c r="AA183" s="97">
        <f t="shared" si="33"/>
        <v>303461.46776225365</v>
      </c>
    </row>
    <row r="184" spans="1:27" x14ac:dyDescent="0.25">
      <c r="A184" s="102" t="s">
        <v>613</v>
      </c>
      <c r="B184" s="87" t="s">
        <v>614</v>
      </c>
      <c r="C184" s="88" t="s">
        <v>226</v>
      </c>
      <c r="D184" s="89" t="s">
        <v>262</v>
      </c>
      <c r="E184" s="90">
        <f t="shared" si="36"/>
        <v>284942</v>
      </c>
      <c r="F184" s="90">
        <f t="shared" si="34"/>
        <v>239447.45322377939</v>
      </c>
      <c r="G184" s="91">
        <v>0.19</v>
      </c>
      <c r="H184" s="91" t="s">
        <v>228</v>
      </c>
      <c r="I184" s="91"/>
      <c r="J184" s="91"/>
      <c r="K184" s="91" t="s">
        <v>228</v>
      </c>
      <c r="L184" s="92" t="s">
        <v>302</v>
      </c>
      <c r="M184" s="91" t="str">
        <f t="shared" si="37"/>
        <v>no aplica</v>
      </c>
      <c r="N184" s="93">
        <v>41608</v>
      </c>
      <c r="O184" s="94"/>
      <c r="P184" s="94"/>
      <c r="Q184" s="94">
        <v>175</v>
      </c>
      <c r="R184" s="95">
        <f t="shared" si="26"/>
        <v>239447.45322377939</v>
      </c>
      <c r="S184" s="94">
        <v>156695.56579999998</v>
      </c>
      <c r="T184" s="94">
        <f t="shared" si="27"/>
        <v>167303.85560466</v>
      </c>
      <c r="U184" s="94">
        <f t="shared" si="28"/>
        <v>176923.82730192796</v>
      </c>
      <c r="V184" s="94">
        <f t="shared" si="29"/>
        <v>184160.01183857681</v>
      </c>
      <c r="W184" s="97">
        <f t="shared" si="30"/>
        <v>190016.30021504356</v>
      </c>
      <c r="X184" s="97">
        <f t="shared" si="31"/>
        <v>197236.91962321522</v>
      </c>
      <c r="Y184" s="97">
        <f t="shared" si="35"/>
        <v>200412.43402914898</v>
      </c>
      <c r="Z184" s="97">
        <f t="shared" si="32"/>
        <v>211675.61282158716</v>
      </c>
      <c r="AA184" s="97">
        <f t="shared" si="33"/>
        <v>239447.45322377939</v>
      </c>
    </row>
    <row r="185" spans="1:27" x14ac:dyDescent="0.25">
      <c r="A185" s="102" t="s">
        <v>615</v>
      </c>
      <c r="B185" s="87" t="s">
        <v>616</v>
      </c>
      <c r="C185" s="88" t="s">
        <v>226</v>
      </c>
      <c r="D185" s="89" t="s">
        <v>262</v>
      </c>
      <c r="E185" s="90">
        <f t="shared" si="36"/>
        <v>310799</v>
      </c>
      <c r="F185" s="90">
        <f t="shared" si="34"/>
        <v>261175.658643562</v>
      </c>
      <c r="G185" s="91">
        <v>0.19</v>
      </c>
      <c r="H185" s="91" t="s">
        <v>228</v>
      </c>
      <c r="I185" s="91"/>
      <c r="J185" s="91"/>
      <c r="K185" s="91" t="s">
        <v>228</v>
      </c>
      <c r="L185" s="92" t="s">
        <v>302</v>
      </c>
      <c r="M185" s="91" t="str">
        <f t="shared" si="37"/>
        <v>no aplica</v>
      </c>
      <c r="N185" s="93">
        <v>41608</v>
      </c>
      <c r="O185" s="94"/>
      <c r="P185" s="94"/>
      <c r="Q185" s="94">
        <v>176</v>
      </c>
      <c r="R185" s="95">
        <f t="shared" si="26"/>
        <v>261175.658643562</v>
      </c>
      <c r="S185" s="94">
        <v>170914.60800000001</v>
      </c>
      <c r="T185" s="94">
        <f t="shared" si="27"/>
        <v>182485.52696160003</v>
      </c>
      <c r="U185" s="94">
        <f t="shared" si="28"/>
        <v>192978.44476189205</v>
      </c>
      <c r="V185" s="94">
        <f t="shared" si="29"/>
        <v>200871.26315265344</v>
      </c>
      <c r="W185" s="97">
        <f t="shared" si="30"/>
        <v>207258.96932090784</v>
      </c>
      <c r="X185" s="97">
        <f t="shared" si="31"/>
        <v>215134.81015510234</v>
      </c>
      <c r="Y185" s="97">
        <f t="shared" si="35"/>
        <v>218598.4805985995</v>
      </c>
      <c r="Z185" s="97">
        <f t="shared" si="32"/>
        <v>230883.71520824081</v>
      </c>
      <c r="AA185" s="97">
        <f t="shared" si="33"/>
        <v>261175.658643562</v>
      </c>
    </row>
    <row r="186" spans="1:27" x14ac:dyDescent="0.25">
      <c r="A186" s="102" t="s">
        <v>617</v>
      </c>
      <c r="B186" s="87" t="s">
        <v>618</v>
      </c>
      <c r="C186" s="88" t="s">
        <v>226</v>
      </c>
      <c r="D186" s="89" t="s">
        <v>262</v>
      </c>
      <c r="E186" s="90">
        <f t="shared" si="36"/>
        <v>302543</v>
      </c>
      <c r="F186" s="90">
        <f t="shared" si="34"/>
        <v>254237.58619779037</v>
      </c>
      <c r="G186" s="91">
        <v>0.19</v>
      </c>
      <c r="H186" s="91" t="s">
        <v>228</v>
      </c>
      <c r="I186" s="91"/>
      <c r="J186" s="91"/>
      <c r="K186" s="91" t="s">
        <v>228</v>
      </c>
      <c r="L186" s="92" t="s">
        <v>302</v>
      </c>
      <c r="M186" s="91" t="str">
        <f t="shared" si="37"/>
        <v>no aplica</v>
      </c>
      <c r="N186" s="93">
        <v>41608</v>
      </c>
      <c r="O186" s="94"/>
      <c r="P186" s="94"/>
      <c r="Q186" s="94">
        <v>177</v>
      </c>
      <c r="R186" s="95">
        <f t="shared" si="26"/>
        <v>254237.58619779037</v>
      </c>
      <c r="S186" s="94">
        <v>166374.29999999999</v>
      </c>
      <c r="T186" s="94">
        <f t="shared" si="27"/>
        <v>177637.84010999999</v>
      </c>
      <c r="U186" s="94">
        <f t="shared" si="28"/>
        <v>187852.01591632501</v>
      </c>
      <c r="V186" s="94">
        <f t="shared" si="29"/>
        <v>195535.16336730268</v>
      </c>
      <c r="W186" s="97">
        <f t="shared" si="30"/>
        <v>201753.1815623829</v>
      </c>
      <c r="X186" s="97">
        <f t="shared" si="31"/>
        <v>209419.80246175345</v>
      </c>
      <c r="Y186" s="97">
        <f t="shared" si="35"/>
        <v>212791.46128138769</v>
      </c>
      <c r="Z186" s="97">
        <f t="shared" si="32"/>
        <v>224750.34140540168</v>
      </c>
      <c r="AA186" s="97">
        <f t="shared" si="33"/>
        <v>254237.58619779037</v>
      </c>
    </row>
    <row r="187" spans="1:27" x14ac:dyDescent="0.25">
      <c r="A187" s="102" t="s">
        <v>619</v>
      </c>
      <c r="B187" s="87" t="s">
        <v>620</v>
      </c>
      <c r="C187" s="88" t="s">
        <v>226</v>
      </c>
      <c r="D187" s="89" t="s">
        <v>262</v>
      </c>
      <c r="E187" s="90">
        <f t="shared" si="36"/>
        <v>340263</v>
      </c>
      <c r="F187" s="90">
        <f t="shared" si="34"/>
        <v>285935.70668005821</v>
      </c>
      <c r="G187" s="91">
        <v>0.19</v>
      </c>
      <c r="H187" s="91" t="s">
        <v>228</v>
      </c>
      <c r="I187" s="91"/>
      <c r="J187" s="91"/>
      <c r="K187" s="91" t="s">
        <v>228</v>
      </c>
      <c r="L187" s="92" t="s">
        <v>302</v>
      </c>
      <c r="M187" s="91" t="str">
        <f t="shared" si="37"/>
        <v>no aplica</v>
      </c>
      <c r="N187" s="93">
        <v>41608</v>
      </c>
      <c r="O187" s="94"/>
      <c r="P187" s="94"/>
      <c r="Q187" s="94">
        <v>178</v>
      </c>
      <c r="R187" s="95">
        <f t="shared" si="26"/>
        <v>285935.70668005821</v>
      </c>
      <c r="S187" s="94">
        <v>187117.70259999999</v>
      </c>
      <c r="T187" s="94">
        <f t="shared" si="27"/>
        <v>199785.57106602</v>
      </c>
      <c r="U187" s="94">
        <f t="shared" si="28"/>
        <v>211273.24140231617</v>
      </c>
      <c r="V187" s="94">
        <f t="shared" si="29"/>
        <v>219914.3169756709</v>
      </c>
      <c r="W187" s="97">
        <f t="shared" si="30"/>
        <v>226907.59225549723</v>
      </c>
      <c r="X187" s="97">
        <f t="shared" si="31"/>
        <v>235530.08076120613</v>
      </c>
      <c r="Y187" s="97">
        <f t="shared" si="35"/>
        <v>239322.11506146155</v>
      </c>
      <c r="Z187" s="97">
        <f t="shared" si="32"/>
        <v>252772.0179279157</v>
      </c>
      <c r="AA187" s="97">
        <f t="shared" si="33"/>
        <v>285935.70668005821</v>
      </c>
    </row>
    <row r="188" spans="1:27" x14ac:dyDescent="0.25">
      <c r="A188" s="102" t="s">
        <v>621</v>
      </c>
      <c r="B188" s="87" t="s">
        <v>622</v>
      </c>
      <c r="C188" s="88" t="s">
        <v>226</v>
      </c>
      <c r="D188" s="89" t="s">
        <v>262</v>
      </c>
      <c r="E188" s="90">
        <f t="shared" si="36"/>
        <v>239165</v>
      </c>
      <c r="F188" s="90">
        <f t="shared" si="34"/>
        <v>200979.16798506703</v>
      </c>
      <c r="G188" s="91">
        <v>0.19</v>
      </c>
      <c r="H188" s="91" t="s">
        <v>228</v>
      </c>
      <c r="I188" s="91"/>
      <c r="J188" s="91"/>
      <c r="K188" s="91" t="s">
        <v>228</v>
      </c>
      <c r="L188" s="92" t="s">
        <v>302</v>
      </c>
      <c r="M188" s="91" t="str">
        <f t="shared" si="37"/>
        <v>no aplica</v>
      </c>
      <c r="N188" s="93">
        <v>41608</v>
      </c>
      <c r="O188" s="94"/>
      <c r="P188" s="94"/>
      <c r="Q188" s="94">
        <v>179</v>
      </c>
      <c r="R188" s="95">
        <f t="shared" si="26"/>
        <v>200979.16798506703</v>
      </c>
      <c r="S188" s="94">
        <v>131521.73480000001</v>
      </c>
      <c r="T188" s="94">
        <f t="shared" si="27"/>
        <v>140425.75624596002</v>
      </c>
      <c r="U188" s="94">
        <f t="shared" si="28"/>
        <v>148500.23723010274</v>
      </c>
      <c r="V188" s="94">
        <f t="shared" si="29"/>
        <v>154573.89693281392</v>
      </c>
      <c r="W188" s="97">
        <f t="shared" si="30"/>
        <v>159489.3468552774</v>
      </c>
      <c r="X188" s="97">
        <f t="shared" si="31"/>
        <v>165549.94203577796</v>
      </c>
      <c r="Y188" s="97">
        <f t="shared" si="35"/>
        <v>168215.29610255398</v>
      </c>
      <c r="Z188" s="97">
        <f t="shared" si="32"/>
        <v>177668.99574351753</v>
      </c>
      <c r="AA188" s="97">
        <f t="shared" si="33"/>
        <v>200979.16798506703</v>
      </c>
    </row>
    <row r="189" spans="1:27" x14ac:dyDescent="0.25">
      <c r="A189" s="102" t="s">
        <v>623</v>
      </c>
      <c r="B189" s="87" t="s">
        <v>624</v>
      </c>
      <c r="C189" s="88" t="s">
        <v>226</v>
      </c>
      <c r="D189" s="89" t="s">
        <v>262</v>
      </c>
      <c r="E189" s="90">
        <f t="shared" si="36"/>
        <v>213311</v>
      </c>
      <c r="F189" s="90">
        <f t="shared" si="34"/>
        <v>179252.5466000895</v>
      </c>
      <c r="G189" s="91">
        <v>0.19</v>
      </c>
      <c r="H189" s="91" t="s">
        <v>228</v>
      </c>
      <c r="I189" s="91"/>
      <c r="J189" s="91"/>
      <c r="K189" s="91" t="s">
        <v>228</v>
      </c>
      <c r="L189" s="92" t="s">
        <v>302</v>
      </c>
      <c r="M189" s="91" t="str">
        <f t="shared" si="37"/>
        <v>no aplica</v>
      </c>
      <c r="N189" s="93">
        <v>41608</v>
      </c>
      <c r="O189" s="94"/>
      <c r="P189" s="94"/>
      <c r="Q189" s="94">
        <v>180</v>
      </c>
      <c r="R189" s="95">
        <f t="shared" si="26"/>
        <v>179252.5466000895</v>
      </c>
      <c r="S189" s="94">
        <v>117303.7292</v>
      </c>
      <c r="T189" s="94">
        <f t="shared" si="27"/>
        <v>125245.19166684001</v>
      </c>
      <c r="U189" s="94">
        <f t="shared" si="28"/>
        <v>132446.79018768333</v>
      </c>
      <c r="V189" s="94">
        <f t="shared" si="29"/>
        <v>137863.86390635956</v>
      </c>
      <c r="W189" s="97">
        <f t="shared" si="30"/>
        <v>142247.93477858181</v>
      </c>
      <c r="X189" s="97">
        <f t="shared" si="31"/>
        <v>147653.35630016791</v>
      </c>
      <c r="Y189" s="97">
        <f t="shared" si="35"/>
        <v>150030.57533660062</v>
      </c>
      <c r="Z189" s="97">
        <f t="shared" si="32"/>
        <v>158462.2936705176</v>
      </c>
      <c r="AA189" s="97">
        <f t="shared" si="33"/>
        <v>179252.5466000895</v>
      </c>
    </row>
    <row r="190" spans="1:27" x14ac:dyDescent="0.25">
      <c r="A190" s="102" t="s">
        <v>625</v>
      </c>
      <c r="B190" s="87" t="s">
        <v>626</v>
      </c>
      <c r="C190" s="88" t="s">
        <v>226</v>
      </c>
      <c r="D190" s="89" t="s">
        <v>262</v>
      </c>
      <c r="E190" s="90">
        <f t="shared" si="36"/>
        <v>254247</v>
      </c>
      <c r="F190" s="90">
        <f t="shared" si="34"/>
        <v>213653.03045963723</v>
      </c>
      <c r="G190" s="91">
        <v>0.19</v>
      </c>
      <c r="H190" s="91" t="s">
        <v>228</v>
      </c>
      <c r="I190" s="91"/>
      <c r="J190" s="91"/>
      <c r="K190" s="91" t="s">
        <v>228</v>
      </c>
      <c r="L190" s="92" t="s">
        <v>302</v>
      </c>
      <c r="M190" s="91" t="str">
        <f t="shared" si="37"/>
        <v>no aplica</v>
      </c>
      <c r="N190" s="93">
        <v>41608</v>
      </c>
      <c r="O190" s="94"/>
      <c r="P190" s="94"/>
      <c r="Q190" s="94">
        <v>181</v>
      </c>
      <c r="R190" s="95">
        <f t="shared" si="26"/>
        <v>213653.03045963723</v>
      </c>
      <c r="S190" s="94">
        <v>139815.57139999999</v>
      </c>
      <c r="T190" s="94">
        <f t="shared" si="27"/>
        <v>149281.08558377999</v>
      </c>
      <c r="U190" s="94">
        <f t="shared" si="28"/>
        <v>157864.74800484735</v>
      </c>
      <c r="V190" s="94">
        <f t="shared" si="29"/>
        <v>164321.4161982456</v>
      </c>
      <c r="W190" s="97">
        <f t="shared" si="30"/>
        <v>169546.83723334983</v>
      </c>
      <c r="X190" s="97">
        <f t="shared" si="31"/>
        <v>175989.61704821713</v>
      </c>
      <c r="Y190" s="97">
        <f t="shared" si="35"/>
        <v>178823.04988269342</v>
      </c>
      <c r="Z190" s="97">
        <f t="shared" si="32"/>
        <v>188872.90528610081</v>
      </c>
      <c r="AA190" s="97">
        <f t="shared" si="33"/>
        <v>213653.03045963723</v>
      </c>
    </row>
    <row r="191" spans="1:27" x14ac:dyDescent="0.25">
      <c r="A191" s="102" t="s">
        <v>627</v>
      </c>
      <c r="B191" s="87" t="s">
        <v>628</v>
      </c>
      <c r="C191" s="88" t="s">
        <v>226</v>
      </c>
      <c r="D191" s="89" t="s">
        <v>262</v>
      </c>
      <c r="E191" s="90">
        <f t="shared" si="36"/>
        <v>228379</v>
      </c>
      <c r="F191" s="90">
        <f t="shared" si="34"/>
        <v>191915.32083102487</v>
      </c>
      <c r="G191" s="91">
        <v>0.19</v>
      </c>
      <c r="H191" s="91" t="s">
        <v>228</v>
      </c>
      <c r="I191" s="91"/>
      <c r="J191" s="91"/>
      <c r="K191" s="91" t="s">
        <v>228</v>
      </c>
      <c r="L191" s="92" t="s">
        <v>302</v>
      </c>
      <c r="M191" s="91" t="str">
        <f t="shared" si="37"/>
        <v>no aplica</v>
      </c>
      <c r="N191" s="93">
        <v>41608</v>
      </c>
      <c r="O191" s="94"/>
      <c r="P191" s="94"/>
      <c r="Q191" s="94">
        <v>182</v>
      </c>
      <c r="R191" s="95">
        <f t="shared" si="26"/>
        <v>191915.32083102487</v>
      </c>
      <c r="S191" s="94">
        <v>125590.30959999999</v>
      </c>
      <c r="T191" s="94">
        <f t="shared" si="27"/>
        <v>134092.77355992</v>
      </c>
      <c r="U191" s="94">
        <f t="shared" si="28"/>
        <v>141803.10803961541</v>
      </c>
      <c r="V191" s="94">
        <f t="shared" si="29"/>
        <v>147602.85515843568</v>
      </c>
      <c r="W191" s="97">
        <f t="shared" si="30"/>
        <v>152296.62595247393</v>
      </c>
      <c r="X191" s="97">
        <f t="shared" si="31"/>
        <v>158083.89773866793</v>
      </c>
      <c r="Y191" s="97">
        <f t="shared" si="35"/>
        <v>160629.04849226048</v>
      </c>
      <c r="Z191" s="97">
        <f t="shared" si="32"/>
        <v>169656.40101752552</v>
      </c>
      <c r="AA191" s="97">
        <f t="shared" si="33"/>
        <v>191915.32083102487</v>
      </c>
    </row>
    <row r="192" spans="1:27" x14ac:dyDescent="0.25">
      <c r="A192" s="102" t="s">
        <v>629</v>
      </c>
      <c r="B192" s="87" t="s">
        <v>630</v>
      </c>
      <c r="C192" s="88" t="s">
        <v>226</v>
      </c>
      <c r="D192" s="89" t="s">
        <v>262</v>
      </c>
      <c r="E192" s="90">
        <f t="shared" si="36"/>
        <v>263729</v>
      </c>
      <c r="F192" s="90">
        <f t="shared" si="34"/>
        <v>221620.72552863962</v>
      </c>
      <c r="G192" s="91">
        <v>0.19</v>
      </c>
      <c r="H192" s="91" t="s">
        <v>228</v>
      </c>
      <c r="I192" s="91"/>
      <c r="J192" s="91"/>
      <c r="K192" s="91" t="s">
        <v>228</v>
      </c>
      <c r="L192" s="92" t="s">
        <v>302</v>
      </c>
      <c r="M192" s="91" t="str">
        <f t="shared" si="37"/>
        <v>no aplica</v>
      </c>
      <c r="N192" s="93">
        <v>41608</v>
      </c>
      <c r="O192" s="94"/>
      <c r="P192" s="94"/>
      <c r="Q192" s="94">
        <v>183</v>
      </c>
      <c r="R192" s="95">
        <f t="shared" si="26"/>
        <v>221620.72552863962</v>
      </c>
      <c r="S192" s="94">
        <v>145029.66939999998</v>
      </c>
      <c r="T192" s="94">
        <f t="shared" si="27"/>
        <v>154848.17801837999</v>
      </c>
      <c r="U192" s="94">
        <f t="shared" si="28"/>
        <v>163751.94825443687</v>
      </c>
      <c r="V192" s="94">
        <f t="shared" si="29"/>
        <v>170449.40293804332</v>
      </c>
      <c r="W192" s="97">
        <f t="shared" si="30"/>
        <v>175869.69395147311</v>
      </c>
      <c r="X192" s="97">
        <f t="shared" si="31"/>
        <v>182552.74232162908</v>
      </c>
      <c r="Y192" s="97">
        <f t="shared" si="35"/>
        <v>185491.84147300731</v>
      </c>
      <c r="Z192" s="97">
        <f t="shared" si="32"/>
        <v>195916.48296379033</v>
      </c>
      <c r="AA192" s="97">
        <f t="shared" si="33"/>
        <v>221620.72552863962</v>
      </c>
    </row>
    <row r="193" spans="1:27" x14ac:dyDescent="0.25">
      <c r="A193" s="102" t="s">
        <v>631</v>
      </c>
      <c r="B193" s="87" t="s">
        <v>632</v>
      </c>
      <c r="C193" s="88" t="s">
        <v>226</v>
      </c>
      <c r="D193" s="89" t="s">
        <v>262</v>
      </c>
      <c r="E193" s="90">
        <f t="shared" si="36"/>
        <v>309578</v>
      </c>
      <c r="F193" s="90">
        <f t="shared" si="34"/>
        <v>260149.20408994093</v>
      </c>
      <c r="G193" s="91">
        <v>0.19</v>
      </c>
      <c r="H193" s="91" t="s">
        <v>228</v>
      </c>
      <c r="I193" s="91"/>
      <c r="J193" s="91"/>
      <c r="K193" s="91" t="s">
        <v>228</v>
      </c>
      <c r="L193" s="92" t="s">
        <v>302</v>
      </c>
      <c r="M193" s="91" t="str">
        <f t="shared" si="37"/>
        <v>no aplica</v>
      </c>
      <c r="N193" s="93">
        <v>41608</v>
      </c>
      <c r="O193" s="94"/>
      <c r="P193" s="94"/>
      <c r="Q193" s="94">
        <v>184</v>
      </c>
      <c r="R193" s="95">
        <f t="shared" si="26"/>
        <v>260149.20408994093</v>
      </c>
      <c r="S193" s="94">
        <v>170242.89119999998</v>
      </c>
      <c r="T193" s="94">
        <f t="shared" si="27"/>
        <v>181768.33493424</v>
      </c>
      <c r="U193" s="94">
        <f t="shared" si="28"/>
        <v>192220.01419295883</v>
      </c>
      <c r="V193" s="94">
        <f t="shared" si="29"/>
        <v>200081.81277345083</v>
      </c>
      <c r="W193" s="97">
        <f t="shared" si="30"/>
        <v>206444.41441964658</v>
      </c>
      <c r="X193" s="97">
        <f t="shared" si="31"/>
        <v>214289.30216759315</v>
      </c>
      <c r="Y193" s="97">
        <f t="shared" si="35"/>
        <v>217739.35993249141</v>
      </c>
      <c r="Z193" s="97">
        <f t="shared" si="32"/>
        <v>229976.31196069744</v>
      </c>
      <c r="AA193" s="97">
        <f t="shared" si="33"/>
        <v>260149.20408994093</v>
      </c>
    </row>
    <row r="194" spans="1:27" x14ac:dyDescent="0.25">
      <c r="A194" s="102" t="s">
        <v>633</v>
      </c>
      <c r="B194" s="87" t="s">
        <v>634</v>
      </c>
      <c r="C194" s="88" t="s">
        <v>226</v>
      </c>
      <c r="D194" s="89" t="s">
        <v>262</v>
      </c>
      <c r="E194" s="90">
        <f t="shared" si="36"/>
        <v>243043</v>
      </c>
      <c r="F194" s="90">
        <f t="shared" si="34"/>
        <v>204237.52757889166</v>
      </c>
      <c r="G194" s="91">
        <v>0.19</v>
      </c>
      <c r="H194" s="91" t="s">
        <v>228</v>
      </c>
      <c r="I194" s="91"/>
      <c r="J194" s="91"/>
      <c r="K194" s="91" t="s">
        <v>228</v>
      </c>
      <c r="L194" s="92" t="s">
        <v>302</v>
      </c>
      <c r="M194" s="91" t="str">
        <f t="shared" si="37"/>
        <v>no aplica</v>
      </c>
      <c r="N194" s="93">
        <v>41608</v>
      </c>
      <c r="O194" s="94"/>
      <c r="P194" s="94"/>
      <c r="Q194" s="94">
        <v>185</v>
      </c>
      <c r="R194" s="95">
        <f t="shared" si="26"/>
        <v>204237.52757889166</v>
      </c>
      <c r="S194" s="94">
        <v>133654.02100000001</v>
      </c>
      <c r="T194" s="94">
        <f t="shared" si="27"/>
        <v>142702.39822170002</v>
      </c>
      <c r="U194" s="94">
        <f t="shared" si="28"/>
        <v>150907.78611944779</v>
      </c>
      <c r="V194" s="94">
        <f t="shared" si="29"/>
        <v>157079.91457173318</v>
      </c>
      <c r="W194" s="97">
        <f t="shared" si="30"/>
        <v>162075.0558551143</v>
      </c>
      <c r="X194" s="97">
        <f t="shared" si="31"/>
        <v>168233.90797760864</v>
      </c>
      <c r="Y194" s="97">
        <f t="shared" si="35"/>
        <v>170942.47389604815</v>
      </c>
      <c r="Z194" s="97">
        <f t="shared" si="32"/>
        <v>180549.44092900606</v>
      </c>
      <c r="AA194" s="97">
        <f t="shared" si="33"/>
        <v>204237.52757889166</v>
      </c>
    </row>
    <row r="195" spans="1:27" x14ac:dyDescent="0.25">
      <c r="A195" s="102" t="s">
        <v>635</v>
      </c>
      <c r="B195" s="87" t="s">
        <v>636</v>
      </c>
      <c r="C195" s="88" t="s">
        <v>226</v>
      </c>
      <c r="D195" s="89" t="s">
        <v>262</v>
      </c>
      <c r="E195" s="90">
        <f t="shared" si="36"/>
        <v>288897</v>
      </c>
      <c r="F195" s="90">
        <f t="shared" si="34"/>
        <v>242770.7582446078</v>
      </c>
      <c r="G195" s="91">
        <v>0.19</v>
      </c>
      <c r="H195" s="91" t="s">
        <v>228</v>
      </c>
      <c r="I195" s="91"/>
      <c r="J195" s="91"/>
      <c r="K195" s="91" t="s">
        <v>228</v>
      </c>
      <c r="L195" s="92" t="s">
        <v>302</v>
      </c>
      <c r="M195" s="91" t="str">
        <f t="shared" si="37"/>
        <v>no aplica</v>
      </c>
      <c r="N195" s="93">
        <v>41608</v>
      </c>
      <c r="O195" s="94"/>
      <c r="P195" s="94"/>
      <c r="Q195" s="94">
        <v>186</v>
      </c>
      <c r="R195" s="95">
        <f t="shared" si="26"/>
        <v>242770.7582446078</v>
      </c>
      <c r="S195" s="94">
        <v>158870.35259999998</v>
      </c>
      <c r="T195" s="94">
        <f t="shared" si="27"/>
        <v>169625.87547102</v>
      </c>
      <c r="U195" s="94">
        <f t="shared" si="28"/>
        <v>179379.36331060366</v>
      </c>
      <c r="V195" s="94">
        <f t="shared" si="29"/>
        <v>186715.97927000734</v>
      </c>
      <c r="W195" s="97">
        <f t="shared" si="30"/>
        <v>192653.54741079357</v>
      </c>
      <c r="X195" s="97">
        <f t="shared" si="31"/>
        <v>199974.38221240373</v>
      </c>
      <c r="Y195" s="97">
        <f t="shared" si="35"/>
        <v>203193.96976602342</v>
      </c>
      <c r="Z195" s="97">
        <f t="shared" si="32"/>
        <v>214613.47086687395</v>
      </c>
      <c r="AA195" s="97">
        <f t="shared" si="33"/>
        <v>242770.7582446078</v>
      </c>
    </row>
    <row r="196" spans="1:27" x14ac:dyDescent="0.25">
      <c r="A196" s="102" t="s">
        <v>637</v>
      </c>
      <c r="B196" s="87" t="s">
        <v>638</v>
      </c>
      <c r="C196" s="88" t="s">
        <v>226</v>
      </c>
      <c r="D196" s="89" t="s">
        <v>262</v>
      </c>
      <c r="E196" s="90">
        <f t="shared" si="36"/>
        <v>227955</v>
      </c>
      <c r="F196" s="90">
        <f t="shared" si="34"/>
        <v>191558.91299990652</v>
      </c>
      <c r="G196" s="91">
        <v>0.19</v>
      </c>
      <c r="H196" s="91" t="s">
        <v>228</v>
      </c>
      <c r="I196" s="91"/>
      <c r="J196" s="91"/>
      <c r="K196" s="91" t="s">
        <v>228</v>
      </c>
      <c r="L196" s="92" t="s">
        <v>302</v>
      </c>
      <c r="M196" s="91" t="str">
        <f t="shared" si="37"/>
        <v>no aplica</v>
      </c>
      <c r="N196" s="93">
        <v>41608</v>
      </c>
      <c r="O196" s="94"/>
      <c r="P196" s="94"/>
      <c r="Q196" s="94">
        <v>187</v>
      </c>
      <c r="R196" s="95">
        <f t="shared" si="26"/>
        <v>191558.91299990652</v>
      </c>
      <c r="S196" s="94">
        <v>125357.07459999999</v>
      </c>
      <c r="T196" s="94">
        <f t="shared" si="27"/>
        <v>133843.74855042002</v>
      </c>
      <c r="U196" s="94">
        <f t="shared" si="28"/>
        <v>141539.76409206918</v>
      </c>
      <c r="V196" s="94">
        <f t="shared" si="29"/>
        <v>147328.7404434348</v>
      </c>
      <c r="W196" s="97">
        <f t="shared" si="30"/>
        <v>152013.79438953602</v>
      </c>
      <c r="X196" s="97">
        <f t="shared" si="31"/>
        <v>157790.31857633841</v>
      </c>
      <c r="Y196" s="97">
        <f t="shared" si="35"/>
        <v>160330.74270541745</v>
      </c>
      <c r="Z196" s="97">
        <f t="shared" si="32"/>
        <v>169341.33044546191</v>
      </c>
      <c r="AA196" s="97">
        <f t="shared" si="33"/>
        <v>191558.91299990652</v>
      </c>
    </row>
    <row r="197" spans="1:27" x14ac:dyDescent="0.25">
      <c r="A197" s="102" t="s">
        <v>639</v>
      </c>
      <c r="B197" s="87" t="s">
        <v>640</v>
      </c>
      <c r="C197" s="88" t="s">
        <v>226</v>
      </c>
      <c r="D197" s="89" t="s">
        <v>262</v>
      </c>
      <c r="E197" s="90">
        <f t="shared" si="36"/>
        <v>248637</v>
      </c>
      <c r="F197" s="90">
        <f t="shared" si="34"/>
        <v>208938.94288004452</v>
      </c>
      <c r="G197" s="91">
        <v>0.19</v>
      </c>
      <c r="H197" s="91" t="s">
        <v>228</v>
      </c>
      <c r="I197" s="91"/>
      <c r="J197" s="91"/>
      <c r="K197" s="91" t="s">
        <v>228</v>
      </c>
      <c r="L197" s="92" t="s">
        <v>302</v>
      </c>
      <c r="M197" s="91" t="str">
        <f t="shared" si="37"/>
        <v>no aplica</v>
      </c>
      <c r="N197" s="93">
        <v>41608</v>
      </c>
      <c r="O197" s="94"/>
      <c r="P197" s="94"/>
      <c r="Q197" s="94">
        <v>188</v>
      </c>
      <c r="R197" s="95">
        <f t="shared" si="26"/>
        <v>208938.94288004452</v>
      </c>
      <c r="S197" s="94">
        <v>136730.64979999998</v>
      </c>
      <c r="T197" s="94">
        <f t="shared" si="27"/>
        <v>145987.31479146</v>
      </c>
      <c r="U197" s="94">
        <f t="shared" si="28"/>
        <v>154381.58539196895</v>
      </c>
      <c r="V197" s="94">
        <f t="shared" si="29"/>
        <v>160695.79223450046</v>
      </c>
      <c r="W197" s="97">
        <f t="shared" si="30"/>
        <v>165805.9184275576</v>
      </c>
      <c r="X197" s="97">
        <f t="shared" si="31"/>
        <v>172106.5433278048</v>
      </c>
      <c r="Y197" s="97">
        <f t="shared" si="35"/>
        <v>174877.45867538246</v>
      </c>
      <c r="Z197" s="97">
        <f t="shared" si="32"/>
        <v>184705.57185293894</v>
      </c>
      <c r="AA197" s="97">
        <f t="shared" si="33"/>
        <v>208938.94288004452</v>
      </c>
    </row>
    <row r="198" spans="1:27" x14ac:dyDescent="0.25">
      <c r="A198" s="102" t="s">
        <v>641</v>
      </c>
      <c r="B198" s="87" t="s">
        <v>642</v>
      </c>
      <c r="C198" s="88" t="s">
        <v>226</v>
      </c>
      <c r="D198" s="89" t="s">
        <v>262</v>
      </c>
      <c r="E198" s="90">
        <f t="shared" si="36"/>
        <v>272209</v>
      </c>
      <c r="F198" s="90">
        <f t="shared" si="34"/>
        <v>228747.29811620264</v>
      </c>
      <c r="G198" s="91">
        <v>0.19</v>
      </c>
      <c r="H198" s="91" t="s">
        <v>228</v>
      </c>
      <c r="I198" s="91"/>
      <c r="J198" s="91"/>
      <c r="K198" s="91" t="s">
        <v>228</v>
      </c>
      <c r="L198" s="92" t="s">
        <v>302</v>
      </c>
      <c r="M198" s="91" t="str">
        <f t="shared" si="37"/>
        <v>no aplica</v>
      </c>
      <c r="N198" s="93">
        <v>41608</v>
      </c>
      <c r="O198" s="94"/>
      <c r="P198" s="94"/>
      <c r="Q198" s="94">
        <v>189</v>
      </c>
      <c r="R198" s="95">
        <f t="shared" si="26"/>
        <v>228747.29811620264</v>
      </c>
      <c r="S198" s="94">
        <v>149693.3328</v>
      </c>
      <c r="T198" s="94">
        <f t="shared" si="27"/>
        <v>159827.57143056003</v>
      </c>
      <c r="U198" s="94">
        <f t="shared" si="28"/>
        <v>169017.65678781725</v>
      </c>
      <c r="V198" s="94">
        <f t="shared" si="29"/>
        <v>175930.47895043896</v>
      </c>
      <c r="W198" s="97">
        <f t="shared" si="30"/>
        <v>181525.06818106293</v>
      </c>
      <c r="X198" s="97">
        <f t="shared" si="31"/>
        <v>188423.02077194332</v>
      </c>
      <c r="Y198" s="97">
        <f t="shared" si="35"/>
        <v>191456.6314063716</v>
      </c>
      <c r="Z198" s="97">
        <f t="shared" si="32"/>
        <v>202216.4940914097</v>
      </c>
      <c r="AA198" s="97">
        <f t="shared" si="33"/>
        <v>228747.29811620264</v>
      </c>
    </row>
    <row r="199" spans="1:27" x14ac:dyDescent="0.25">
      <c r="A199" s="102" t="s">
        <v>643</v>
      </c>
      <c r="B199" s="87" t="s">
        <v>644</v>
      </c>
      <c r="C199" s="88" t="s">
        <v>226</v>
      </c>
      <c r="D199" s="89" t="s">
        <v>262</v>
      </c>
      <c r="E199" s="90">
        <f t="shared" si="36"/>
        <v>242034</v>
      </c>
      <c r="F199" s="90">
        <f t="shared" si="34"/>
        <v>203390.06895823238</v>
      </c>
      <c r="G199" s="91">
        <v>0.19</v>
      </c>
      <c r="H199" s="91" t="s">
        <v>228</v>
      </c>
      <c r="I199" s="91"/>
      <c r="J199" s="91"/>
      <c r="K199" s="91" t="s">
        <v>228</v>
      </c>
      <c r="L199" s="92" t="s">
        <v>302</v>
      </c>
      <c r="M199" s="91" t="str">
        <f t="shared" si="37"/>
        <v>no aplica</v>
      </c>
      <c r="N199" s="93">
        <v>41608</v>
      </c>
      <c r="O199" s="94"/>
      <c r="P199" s="94"/>
      <c r="Q199" s="94">
        <v>190</v>
      </c>
      <c r="R199" s="95">
        <f t="shared" ref="R199:R262" si="38">+AA199</f>
        <v>203390.06895823238</v>
      </c>
      <c r="S199" s="94">
        <v>133099.44</v>
      </c>
      <c r="T199" s="94">
        <f t="shared" ref="T199:T262" si="39">+S199*1.0677</f>
        <v>142110.27208800003</v>
      </c>
      <c r="U199" s="94">
        <f t="shared" ref="U199:U262" si="40">+T199*(1+$U$4)</f>
        <v>150281.61273306006</v>
      </c>
      <c r="V199" s="94">
        <f t="shared" ref="V199:V262" si="41">+U199*(1+$V$4)</f>
        <v>156428.13069384219</v>
      </c>
      <c r="W199" s="97">
        <f t="shared" ref="W199:W262" si="42">+V199*(1+$W$4)</f>
        <v>161402.54524990637</v>
      </c>
      <c r="X199" s="97">
        <f t="shared" ref="X199:X262" si="43">+W199*(1+$X$4)</f>
        <v>167535.84196940283</v>
      </c>
      <c r="Y199" s="97">
        <f t="shared" si="35"/>
        <v>170233.16902511023</v>
      </c>
      <c r="Z199" s="97">
        <f t="shared" ref="Z199:Z262" si="44">+Y199*(1+$Z$4)</f>
        <v>179800.27312432142</v>
      </c>
      <c r="AA199" s="97">
        <f t="shared" ref="AA199:AA262" si="45">+Z199*(1+$AA$4)</f>
        <v>203390.06895823238</v>
      </c>
    </row>
    <row r="200" spans="1:27" x14ac:dyDescent="0.25">
      <c r="A200" s="102" t="s">
        <v>645</v>
      </c>
      <c r="B200" s="87" t="s">
        <v>646</v>
      </c>
      <c r="C200" s="88" t="s">
        <v>226</v>
      </c>
      <c r="D200" s="89" t="s">
        <v>262</v>
      </c>
      <c r="E200" s="90">
        <f t="shared" si="36"/>
        <v>137415</v>
      </c>
      <c r="F200" s="90">
        <f t="shared" ref="F200:F263" si="46">R200</f>
        <v>115474.55324755592</v>
      </c>
      <c r="G200" s="91">
        <v>0.19</v>
      </c>
      <c r="H200" s="91" t="s">
        <v>228</v>
      </c>
      <c r="I200" s="91"/>
      <c r="J200" s="91"/>
      <c r="K200" s="91" t="s">
        <v>228</v>
      </c>
      <c r="L200" s="92" t="s">
        <v>302</v>
      </c>
      <c r="M200" s="91" t="str">
        <f t="shared" si="37"/>
        <v>no aplica</v>
      </c>
      <c r="N200" s="93">
        <v>41608</v>
      </c>
      <c r="O200" s="94"/>
      <c r="P200" s="94"/>
      <c r="Q200" s="94">
        <v>191</v>
      </c>
      <c r="R200" s="95">
        <f t="shared" si="38"/>
        <v>115474.55324755592</v>
      </c>
      <c r="S200" s="94">
        <v>75567.103399999993</v>
      </c>
      <c r="T200" s="94">
        <f t="shared" si="39"/>
        <v>80682.996300180006</v>
      </c>
      <c r="U200" s="94">
        <f t="shared" si="40"/>
        <v>85322.268587440369</v>
      </c>
      <c r="V200" s="94">
        <f t="shared" si="41"/>
        <v>88811.94937266667</v>
      </c>
      <c r="W200" s="97">
        <f t="shared" si="42"/>
        <v>91636.169362717468</v>
      </c>
      <c r="X200" s="97">
        <f t="shared" si="43"/>
        <v>95118.343798500733</v>
      </c>
      <c r="Y200" s="97">
        <f t="shared" ref="Y200:Y263" si="47">+X200*(1+$Y$4)</f>
        <v>96649.749133656602</v>
      </c>
      <c r="Z200" s="97">
        <f t="shared" si="44"/>
        <v>102081.4650349681</v>
      </c>
      <c r="AA200" s="97">
        <f t="shared" si="45"/>
        <v>115474.55324755592</v>
      </c>
    </row>
    <row r="201" spans="1:27" x14ac:dyDescent="0.25">
      <c r="A201" s="102" t="s">
        <v>647</v>
      </c>
      <c r="B201" s="87" t="s">
        <v>648</v>
      </c>
      <c r="C201" s="88" t="s">
        <v>226</v>
      </c>
      <c r="D201" s="89" t="s">
        <v>262</v>
      </c>
      <c r="E201" s="90">
        <f t="shared" ref="E201:E264" si="48">+ROUND(F201*(1+G201),0)</f>
        <v>173991</v>
      </c>
      <c r="F201" s="90">
        <f t="shared" si="46"/>
        <v>146211.16460320656</v>
      </c>
      <c r="G201" s="91">
        <v>0.19</v>
      </c>
      <c r="H201" s="91" t="s">
        <v>228</v>
      </c>
      <c r="I201" s="91"/>
      <c r="J201" s="91"/>
      <c r="K201" s="91" t="s">
        <v>228</v>
      </c>
      <c r="L201" s="92" t="s">
        <v>302</v>
      </c>
      <c r="M201" s="91" t="str">
        <f t="shared" si="37"/>
        <v>no aplica</v>
      </c>
      <c r="N201" s="93">
        <v>41608</v>
      </c>
      <c r="O201" s="94"/>
      <c r="P201" s="94"/>
      <c r="Q201" s="94">
        <v>192</v>
      </c>
      <c r="R201" s="95">
        <f t="shared" si="38"/>
        <v>146211.16460320656</v>
      </c>
      <c r="S201" s="94">
        <v>95681.289799999999</v>
      </c>
      <c r="T201" s="94">
        <f t="shared" si="39"/>
        <v>102158.91311946</v>
      </c>
      <c r="U201" s="94">
        <f t="shared" si="40"/>
        <v>108033.05062382897</v>
      </c>
      <c r="V201" s="94">
        <f t="shared" si="41"/>
        <v>112451.60239434357</v>
      </c>
      <c r="W201" s="97">
        <f t="shared" si="42"/>
        <v>116027.5633504837</v>
      </c>
      <c r="X201" s="97">
        <f t="shared" si="43"/>
        <v>120436.61075780209</v>
      </c>
      <c r="Y201" s="97">
        <f t="shared" si="47"/>
        <v>122375.64019100271</v>
      </c>
      <c r="Z201" s="97">
        <f t="shared" si="44"/>
        <v>129253.15116973706</v>
      </c>
      <c r="AA201" s="97">
        <f t="shared" si="45"/>
        <v>146211.16460320656</v>
      </c>
    </row>
    <row r="202" spans="1:27" x14ac:dyDescent="0.25">
      <c r="A202" s="102" t="s">
        <v>649</v>
      </c>
      <c r="B202" s="87" t="s">
        <v>650</v>
      </c>
      <c r="C202" s="88" t="s">
        <v>226</v>
      </c>
      <c r="D202" s="89" t="s">
        <v>262</v>
      </c>
      <c r="E202" s="90">
        <f t="shared" si="48"/>
        <v>148862</v>
      </c>
      <c r="F202" s="90">
        <f t="shared" si="46"/>
        <v>125094.39661814271</v>
      </c>
      <c r="G202" s="91">
        <v>0.19</v>
      </c>
      <c r="H202" s="91" t="s">
        <v>228</v>
      </c>
      <c r="I202" s="91"/>
      <c r="J202" s="91"/>
      <c r="K202" s="91" t="s">
        <v>228</v>
      </c>
      <c r="L202" s="92" t="s">
        <v>302</v>
      </c>
      <c r="M202" s="91" t="str">
        <f t="shared" si="37"/>
        <v>no aplica</v>
      </c>
      <c r="N202" s="93">
        <v>41608</v>
      </c>
      <c r="O202" s="94"/>
      <c r="P202" s="94"/>
      <c r="Q202" s="94">
        <v>193</v>
      </c>
      <c r="R202" s="95">
        <f t="shared" si="38"/>
        <v>125094.39661814271</v>
      </c>
      <c r="S202" s="94">
        <v>81862.375199999995</v>
      </c>
      <c r="T202" s="94">
        <f t="shared" si="39"/>
        <v>87404.458001039995</v>
      </c>
      <c r="U202" s="94">
        <f t="shared" si="40"/>
        <v>92430.214336099802</v>
      </c>
      <c r="V202" s="94">
        <f t="shared" si="41"/>
        <v>96210.610102446284</v>
      </c>
      <c r="W202" s="97">
        <f t="shared" si="42"/>
        <v>99270.107503704086</v>
      </c>
      <c r="X202" s="97">
        <f t="shared" si="43"/>
        <v>103042.37158884485</v>
      </c>
      <c r="Y202" s="97">
        <f t="shared" si="47"/>
        <v>104701.35377142525</v>
      </c>
      <c r="Z202" s="97">
        <f t="shared" si="44"/>
        <v>110585.56985337935</v>
      </c>
      <c r="AA202" s="97">
        <f t="shared" si="45"/>
        <v>125094.39661814271</v>
      </c>
    </row>
    <row r="203" spans="1:27" x14ac:dyDescent="0.25">
      <c r="A203" s="102" t="s">
        <v>651</v>
      </c>
      <c r="B203" s="87" t="s">
        <v>652</v>
      </c>
      <c r="C203" s="88" t="s">
        <v>226</v>
      </c>
      <c r="D203" s="89" t="s">
        <v>262</v>
      </c>
      <c r="E203" s="90">
        <f t="shared" si="48"/>
        <v>178873</v>
      </c>
      <c r="F203" s="90">
        <f t="shared" si="46"/>
        <v>150313.81474808056</v>
      </c>
      <c r="G203" s="91">
        <v>0.19</v>
      </c>
      <c r="H203" s="91" t="s">
        <v>228</v>
      </c>
      <c r="I203" s="91"/>
      <c r="J203" s="91"/>
      <c r="K203" s="91" t="s">
        <v>228</v>
      </c>
      <c r="L203" s="92" t="s">
        <v>302</v>
      </c>
      <c r="M203" s="91" t="str">
        <f t="shared" si="37"/>
        <v>no aplica</v>
      </c>
      <c r="N203" s="93">
        <v>41608</v>
      </c>
      <c r="O203" s="94"/>
      <c r="P203" s="94"/>
      <c r="Q203" s="94">
        <v>194</v>
      </c>
      <c r="R203" s="95">
        <f t="shared" si="38"/>
        <v>150313.81474808056</v>
      </c>
      <c r="S203" s="94">
        <v>98366.083799999993</v>
      </c>
      <c r="T203" s="94">
        <f t="shared" si="39"/>
        <v>105025.46767326001</v>
      </c>
      <c r="U203" s="94">
        <f t="shared" si="40"/>
        <v>111064.43206447246</v>
      </c>
      <c r="V203" s="94">
        <f t="shared" si="41"/>
        <v>115606.96733590939</v>
      </c>
      <c r="W203" s="97">
        <f t="shared" si="42"/>
        <v>119283.26889719132</v>
      </c>
      <c r="X203" s="97">
        <f t="shared" si="43"/>
        <v>123816.03311528459</v>
      </c>
      <c r="Y203" s="97">
        <f t="shared" si="47"/>
        <v>125809.47124844068</v>
      </c>
      <c r="Z203" s="97">
        <f t="shared" si="44"/>
        <v>132879.96353260305</v>
      </c>
      <c r="AA203" s="97">
        <f t="shared" si="45"/>
        <v>150313.81474808056</v>
      </c>
    </row>
    <row r="204" spans="1:27" x14ac:dyDescent="0.25">
      <c r="A204" s="102" t="s">
        <v>653</v>
      </c>
      <c r="B204" s="87" t="s">
        <v>654</v>
      </c>
      <c r="C204" s="88" t="s">
        <v>226</v>
      </c>
      <c r="D204" s="89" t="s">
        <v>262</v>
      </c>
      <c r="E204" s="90">
        <f t="shared" si="48"/>
        <v>222711</v>
      </c>
      <c r="F204" s="90">
        <f t="shared" si="46"/>
        <v>187152.12817247817</v>
      </c>
      <c r="G204" s="91">
        <v>0.19</v>
      </c>
      <c r="H204" s="91" t="s">
        <v>228</v>
      </c>
      <c r="I204" s="91"/>
      <c r="J204" s="91"/>
      <c r="K204" s="91" t="s">
        <v>228</v>
      </c>
      <c r="L204" s="92" t="s">
        <v>229</v>
      </c>
      <c r="M204" s="91" t="str">
        <f t="shared" si="37"/>
        <v>VER ARCHIVO ANEXO</v>
      </c>
      <c r="N204" s="93">
        <v>41608</v>
      </c>
      <c r="O204" s="94"/>
      <c r="P204" s="94"/>
      <c r="Q204" s="94">
        <v>195</v>
      </c>
      <c r="R204" s="95">
        <f t="shared" si="38"/>
        <v>187152.12817247817</v>
      </c>
      <c r="S204" s="94">
        <v>122473.2534</v>
      </c>
      <c r="T204" s="94">
        <f t="shared" si="39"/>
        <v>130764.69265518001</v>
      </c>
      <c r="U204" s="94">
        <f t="shared" si="40"/>
        <v>138283.66248285287</v>
      </c>
      <c r="V204" s="94">
        <f t="shared" si="41"/>
        <v>143939.46427840155</v>
      </c>
      <c r="W204" s="97">
        <f t="shared" si="42"/>
        <v>148516.73924245473</v>
      </c>
      <c r="X204" s="97">
        <f t="shared" si="43"/>
        <v>154160.37533366802</v>
      </c>
      <c r="Y204" s="97">
        <f t="shared" si="47"/>
        <v>156642.35737654008</v>
      </c>
      <c r="Z204" s="97">
        <f t="shared" si="44"/>
        <v>165445.65786110164</v>
      </c>
      <c r="AA204" s="97">
        <f t="shared" si="45"/>
        <v>187152.12817247817</v>
      </c>
    </row>
    <row r="205" spans="1:27" x14ac:dyDescent="0.25">
      <c r="A205" s="102" t="s">
        <v>655</v>
      </c>
      <c r="B205" s="87" t="s">
        <v>656</v>
      </c>
      <c r="C205" s="88" t="s">
        <v>226</v>
      </c>
      <c r="D205" s="89" t="s">
        <v>262</v>
      </c>
      <c r="E205" s="90">
        <f t="shared" si="48"/>
        <v>63649</v>
      </c>
      <c r="F205" s="90">
        <f t="shared" si="46"/>
        <v>53486.519224639196</v>
      </c>
      <c r="G205" s="91">
        <v>0.19</v>
      </c>
      <c r="H205" s="91" t="s">
        <v>228</v>
      </c>
      <c r="I205" s="91"/>
      <c r="J205" s="91"/>
      <c r="K205" s="91" t="s">
        <v>228</v>
      </c>
      <c r="L205" s="92" t="s">
        <v>229</v>
      </c>
      <c r="M205" s="91" t="str">
        <f t="shared" si="37"/>
        <v>VER ARCHIVO ANEXO</v>
      </c>
      <c r="N205" s="93">
        <v>41608</v>
      </c>
      <c r="O205" s="94"/>
      <c r="P205" s="94"/>
      <c r="Q205" s="94">
        <v>196</v>
      </c>
      <c r="R205" s="95">
        <f t="shared" si="38"/>
        <v>53486.519224639196</v>
      </c>
      <c r="S205" s="94">
        <v>35001.835599999999</v>
      </c>
      <c r="T205" s="94">
        <f t="shared" si="39"/>
        <v>37371.459870120001</v>
      </c>
      <c r="U205" s="94">
        <f t="shared" si="40"/>
        <v>39520.318812651902</v>
      </c>
      <c r="V205" s="94">
        <f t="shared" si="41"/>
        <v>41136.699852089361</v>
      </c>
      <c r="W205" s="97">
        <f t="shared" si="42"/>
        <v>42444.846907385807</v>
      </c>
      <c r="X205" s="97">
        <f t="shared" si="43"/>
        <v>44057.75108986647</v>
      </c>
      <c r="Y205" s="97">
        <f t="shared" si="47"/>
        <v>44767.08088241332</v>
      </c>
      <c r="Z205" s="97">
        <f t="shared" si="44"/>
        <v>47282.990828004949</v>
      </c>
      <c r="AA205" s="97">
        <f t="shared" si="45"/>
        <v>53486.519224639196</v>
      </c>
    </row>
    <row r="206" spans="1:27" x14ac:dyDescent="0.25">
      <c r="A206" s="102" t="s">
        <v>657</v>
      </c>
      <c r="B206" s="87" t="s">
        <v>658</v>
      </c>
      <c r="C206" s="88" t="s">
        <v>226</v>
      </c>
      <c r="D206" s="89" t="s">
        <v>262</v>
      </c>
      <c r="E206" s="90">
        <f t="shared" si="48"/>
        <v>91176</v>
      </c>
      <c r="F206" s="90">
        <f t="shared" si="46"/>
        <v>76618.179481625702</v>
      </c>
      <c r="G206" s="91">
        <v>0.19</v>
      </c>
      <c r="H206" s="91" t="s">
        <v>228</v>
      </c>
      <c r="I206" s="91"/>
      <c r="J206" s="91"/>
      <c r="K206" s="91" t="s">
        <v>228</v>
      </c>
      <c r="L206" s="92" t="s">
        <v>229</v>
      </c>
      <c r="M206" s="91" t="str">
        <f t="shared" si="37"/>
        <v>VER ARCHIVO ANEXO</v>
      </c>
      <c r="N206" s="93">
        <v>41608</v>
      </c>
      <c r="O206" s="94"/>
      <c r="P206" s="94"/>
      <c r="Q206" s="94">
        <v>197</v>
      </c>
      <c r="R206" s="95">
        <f t="shared" si="38"/>
        <v>76618.179481625702</v>
      </c>
      <c r="S206" s="94">
        <v>50139.305399999997</v>
      </c>
      <c r="T206" s="94">
        <f t="shared" si="39"/>
        <v>53533.736375580003</v>
      </c>
      <c r="U206" s="94">
        <f t="shared" si="40"/>
        <v>56611.92621717586</v>
      </c>
      <c r="V206" s="94">
        <f t="shared" si="41"/>
        <v>58927.353999458348</v>
      </c>
      <c r="W206" s="97">
        <f t="shared" si="42"/>
        <v>60801.243856641129</v>
      </c>
      <c r="X206" s="97">
        <f t="shared" si="43"/>
        <v>63111.691123193494</v>
      </c>
      <c r="Y206" s="97">
        <f t="shared" si="47"/>
        <v>64127.789350276907</v>
      </c>
      <c r="Z206" s="97">
        <f t="shared" si="44"/>
        <v>67731.771111762471</v>
      </c>
      <c r="AA206" s="97">
        <f t="shared" si="45"/>
        <v>76618.179481625702</v>
      </c>
    </row>
    <row r="207" spans="1:27" x14ac:dyDescent="0.25">
      <c r="A207" s="102" t="s">
        <v>659</v>
      </c>
      <c r="B207" s="87" t="s">
        <v>660</v>
      </c>
      <c r="C207" s="88" t="s">
        <v>226</v>
      </c>
      <c r="D207" s="89" t="s">
        <v>262</v>
      </c>
      <c r="E207" s="90">
        <f t="shared" si="48"/>
        <v>310863</v>
      </c>
      <c r="F207" s="90">
        <f t="shared" si="46"/>
        <v>261229.51582693096</v>
      </c>
      <c r="G207" s="91">
        <v>0.19</v>
      </c>
      <c r="H207" s="91" t="s">
        <v>228</v>
      </c>
      <c r="I207" s="91"/>
      <c r="J207" s="91"/>
      <c r="K207" s="91" t="s">
        <v>228</v>
      </c>
      <c r="L207" s="92" t="s">
        <v>229</v>
      </c>
      <c r="M207" s="91" t="str">
        <f t="shared" si="37"/>
        <v>VER ARCHIVO ANEXO</v>
      </c>
      <c r="N207" s="93">
        <v>41608</v>
      </c>
      <c r="O207" s="94"/>
      <c r="P207" s="94"/>
      <c r="Q207" s="94">
        <v>198</v>
      </c>
      <c r="R207" s="95">
        <f t="shared" si="38"/>
        <v>261229.51582693096</v>
      </c>
      <c r="S207" s="94">
        <v>170949.8524</v>
      </c>
      <c r="T207" s="94">
        <f t="shared" si="39"/>
        <v>182523.15740748003</v>
      </c>
      <c r="U207" s="94">
        <f t="shared" si="40"/>
        <v>193018.23895841016</v>
      </c>
      <c r="V207" s="94">
        <f t="shared" si="41"/>
        <v>200912.68493180911</v>
      </c>
      <c r="W207" s="97">
        <f t="shared" si="42"/>
        <v>207301.70831264067</v>
      </c>
      <c r="X207" s="97">
        <f t="shared" si="43"/>
        <v>215179.17322852102</v>
      </c>
      <c r="Y207" s="97">
        <f t="shared" si="47"/>
        <v>218643.55791750021</v>
      </c>
      <c r="Z207" s="97">
        <f t="shared" si="44"/>
        <v>230931.32587246373</v>
      </c>
      <c r="AA207" s="97">
        <f t="shared" si="45"/>
        <v>261229.51582693096</v>
      </c>
    </row>
    <row r="208" spans="1:27" x14ac:dyDescent="0.25">
      <c r="A208" s="102" t="s">
        <v>661</v>
      </c>
      <c r="B208" s="87" t="s">
        <v>662</v>
      </c>
      <c r="C208" s="88" t="s">
        <v>226</v>
      </c>
      <c r="D208" s="89" t="s">
        <v>262</v>
      </c>
      <c r="E208" s="90">
        <f t="shared" si="48"/>
        <v>439724</v>
      </c>
      <c r="F208" s="90">
        <f t="shared" si="46"/>
        <v>369515.71912952996</v>
      </c>
      <c r="G208" s="91">
        <v>0.19</v>
      </c>
      <c r="H208" s="91" t="s">
        <v>228</v>
      </c>
      <c r="I208" s="91"/>
      <c r="J208" s="91"/>
      <c r="K208" s="91" t="s">
        <v>228</v>
      </c>
      <c r="L208" s="92" t="s">
        <v>229</v>
      </c>
      <c r="M208" s="91" t="str">
        <f t="shared" si="37"/>
        <v>VER ARCHIVO ANEXO</v>
      </c>
      <c r="N208" s="93">
        <v>41608</v>
      </c>
      <c r="O208" s="94"/>
      <c r="P208" s="94"/>
      <c r="Q208" s="94">
        <v>199</v>
      </c>
      <c r="R208" s="95">
        <f t="shared" si="38"/>
        <v>369515.71912952996</v>
      </c>
      <c r="S208" s="94">
        <v>241812.86499999999</v>
      </c>
      <c r="T208" s="94">
        <f t="shared" si="39"/>
        <v>258183.59596050001</v>
      </c>
      <c r="U208" s="94">
        <f t="shared" si="40"/>
        <v>273029.15272822877</v>
      </c>
      <c r="V208" s="94">
        <f t="shared" si="41"/>
        <v>284196.0450748133</v>
      </c>
      <c r="W208" s="97">
        <f t="shared" si="42"/>
        <v>293233.47930819239</v>
      </c>
      <c r="X208" s="97">
        <f t="shared" si="43"/>
        <v>304376.35152190371</v>
      </c>
      <c r="Y208" s="97">
        <f t="shared" si="47"/>
        <v>309276.81078140636</v>
      </c>
      <c r="Z208" s="97">
        <f t="shared" si="44"/>
        <v>326658.16754732141</v>
      </c>
      <c r="AA208" s="97">
        <f t="shared" si="45"/>
        <v>369515.71912952996</v>
      </c>
    </row>
    <row r="209" spans="1:27" x14ac:dyDescent="0.25">
      <c r="A209" s="102" t="s">
        <v>663</v>
      </c>
      <c r="B209" s="87" t="s">
        <v>664</v>
      </c>
      <c r="C209" s="88" t="s">
        <v>226</v>
      </c>
      <c r="D209" s="89" t="s">
        <v>262</v>
      </c>
      <c r="E209" s="90">
        <f t="shared" si="48"/>
        <v>581201</v>
      </c>
      <c r="F209" s="90">
        <f t="shared" si="46"/>
        <v>488403.86738179764</v>
      </c>
      <c r="G209" s="91">
        <v>0.19</v>
      </c>
      <c r="H209" s="91" t="s">
        <v>228</v>
      </c>
      <c r="I209" s="91"/>
      <c r="J209" s="91"/>
      <c r="K209" s="91" t="s">
        <v>228</v>
      </c>
      <c r="L209" s="92" t="s">
        <v>229</v>
      </c>
      <c r="M209" s="91" t="str">
        <f t="shared" si="37"/>
        <v>VER ARCHIVO ANEXO</v>
      </c>
      <c r="N209" s="93">
        <v>41608</v>
      </c>
      <c r="O209" s="94"/>
      <c r="P209" s="94"/>
      <c r="Q209" s="94">
        <v>200</v>
      </c>
      <c r="R209" s="95">
        <f t="shared" si="38"/>
        <v>488403.86738179764</v>
      </c>
      <c r="S209" s="94">
        <v>319613.84139999998</v>
      </c>
      <c r="T209" s="94">
        <f t="shared" si="39"/>
        <v>341251.69846277998</v>
      </c>
      <c r="U209" s="94">
        <f t="shared" si="40"/>
        <v>360873.67112438986</v>
      </c>
      <c r="V209" s="94">
        <f t="shared" si="41"/>
        <v>375633.40427337738</v>
      </c>
      <c r="W209" s="97">
        <f t="shared" si="42"/>
        <v>387578.54652927082</v>
      </c>
      <c r="X209" s="97">
        <f t="shared" si="43"/>
        <v>402306.53129738313</v>
      </c>
      <c r="Y209" s="97">
        <f t="shared" si="47"/>
        <v>408783.66645127098</v>
      </c>
      <c r="Z209" s="97">
        <f t="shared" si="44"/>
        <v>431757.30850583245</v>
      </c>
      <c r="AA209" s="97">
        <f t="shared" si="45"/>
        <v>488403.86738179764</v>
      </c>
    </row>
    <row r="210" spans="1:27" x14ac:dyDescent="0.25">
      <c r="A210" s="102" t="s">
        <v>665</v>
      </c>
      <c r="B210" s="87" t="s">
        <v>666</v>
      </c>
      <c r="C210" s="88" t="s">
        <v>226</v>
      </c>
      <c r="D210" s="89" t="s">
        <v>262</v>
      </c>
      <c r="E210" s="90">
        <f t="shared" si="48"/>
        <v>416802</v>
      </c>
      <c r="F210" s="90">
        <f t="shared" si="46"/>
        <v>350253.85590108682</v>
      </c>
      <c r="G210" s="91">
        <v>0.19</v>
      </c>
      <c r="H210" s="91" t="s">
        <v>228</v>
      </c>
      <c r="I210" s="91"/>
      <c r="J210" s="91"/>
      <c r="K210" s="91" t="s">
        <v>228</v>
      </c>
      <c r="L210" s="92" t="s">
        <v>229</v>
      </c>
      <c r="M210" s="91" t="str">
        <f t="shared" si="37"/>
        <v>VER ARCHIVO ANEXO</v>
      </c>
      <c r="N210" s="93">
        <v>41608</v>
      </c>
      <c r="O210" s="94"/>
      <c r="P210" s="94"/>
      <c r="Q210" s="94">
        <v>201</v>
      </c>
      <c r="R210" s="95">
        <f t="shared" si="38"/>
        <v>350253.85590108682</v>
      </c>
      <c r="S210" s="94">
        <v>229207.80899999998</v>
      </c>
      <c r="T210" s="94">
        <f t="shared" si="39"/>
        <v>244725.1776693</v>
      </c>
      <c r="U210" s="94">
        <f t="shared" si="40"/>
        <v>258796.87538528477</v>
      </c>
      <c r="V210" s="94">
        <f t="shared" si="41"/>
        <v>269381.66758854291</v>
      </c>
      <c r="W210" s="97">
        <f t="shared" si="42"/>
        <v>277948.00461785862</v>
      </c>
      <c r="X210" s="97">
        <f t="shared" si="43"/>
        <v>288510.02879333723</v>
      </c>
      <c r="Y210" s="97">
        <f t="shared" si="47"/>
        <v>293155.04025690997</v>
      </c>
      <c r="Z210" s="97">
        <f t="shared" si="44"/>
        <v>309630.35351934831</v>
      </c>
      <c r="AA210" s="97">
        <f t="shared" si="45"/>
        <v>350253.85590108682</v>
      </c>
    </row>
    <row r="211" spans="1:27" x14ac:dyDescent="0.25">
      <c r="A211" s="102" t="s">
        <v>667</v>
      </c>
      <c r="B211" s="87" t="s">
        <v>668</v>
      </c>
      <c r="C211" s="88" t="s">
        <v>226</v>
      </c>
      <c r="D211" s="89" t="s">
        <v>262</v>
      </c>
      <c r="E211" s="90">
        <f t="shared" si="48"/>
        <v>472400</v>
      </c>
      <c r="F211" s="90">
        <f t="shared" si="46"/>
        <v>396974.96247369621</v>
      </c>
      <c r="G211" s="91">
        <v>0.19</v>
      </c>
      <c r="H211" s="91" t="s">
        <v>228</v>
      </c>
      <c r="I211" s="91"/>
      <c r="J211" s="91"/>
      <c r="K211" s="91" t="s">
        <v>228</v>
      </c>
      <c r="L211" s="92" t="s">
        <v>229</v>
      </c>
      <c r="M211" s="91" t="str">
        <f t="shared" si="37"/>
        <v>VER ARCHIVO ANEXO</v>
      </c>
      <c r="N211" s="93">
        <v>41608</v>
      </c>
      <c r="O211" s="94"/>
      <c r="P211" s="94"/>
      <c r="Q211" s="94">
        <v>202</v>
      </c>
      <c r="R211" s="95">
        <f t="shared" si="38"/>
        <v>396974.96247369621</v>
      </c>
      <c r="S211" s="94">
        <v>259782.326</v>
      </c>
      <c r="T211" s="94">
        <f t="shared" si="39"/>
        <v>277369.58947020001</v>
      </c>
      <c r="U211" s="94">
        <f t="shared" si="40"/>
        <v>293318.34086473653</v>
      </c>
      <c r="V211" s="94">
        <f t="shared" si="41"/>
        <v>305315.06100610422</v>
      </c>
      <c r="W211" s="97">
        <f t="shared" si="42"/>
        <v>315024.07994609833</v>
      </c>
      <c r="X211" s="97">
        <f t="shared" si="43"/>
        <v>326994.99498405005</v>
      </c>
      <c r="Y211" s="97">
        <f t="shared" si="47"/>
        <v>332259.61440329324</v>
      </c>
      <c r="Z211" s="97">
        <f t="shared" si="44"/>
        <v>350932.60473275831</v>
      </c>
      <c r="AA211" s="97">
        <f t="shared" si="45"/>
        <v>396974.96247369621</v>
      </c>
    </row>
    <row r="212" spans="1:27" x14ac:dyDescent="0.25">
      <c r="A212" s="102" t="s">
        <v>669</v>
      </c>
      <c r="B212" s="87" t="s">
        <v>670</v>
      </c>
      <c r="C212" s="88" t="s">
        <v>226</v>
      </c>
      <c r="D212" s="89" t="s">
        <v>262</v>
      </c>
      <c r="E212" s="90">
        <f t="shared" si="48"/>
        <v>591785</v>
      </c>
      <c r="F212" s="90">
        <f t="shared" si="46"/>
        <v>497298.22281170799</v>
      </c>
      <c r="G212" s="91">
        <v>0.19</v>
      </c>
      <c r="H212" s="91" t="s">
        <v>228</v>
      </c>
      <c r="I212" s="91"/>
      <c r="J212" s="91"/>
      <c r="K212" s="91" t="s">
        <v>228</v>
      </c>
      <c r="L212" s="92" t="s">
        <v>229</v>
      </c>
      <c r="M212" s="91" t="str">
        <f t="shared" si="37"/>
        <v>VER ARCHIVO ANEXO</v>
      </c>
      <c r="N212" s="93">
        <v>41608</v>
      </c>
      <c r="O212" s="94"/>
      <c r="P212" s="94"/>
      <c r="Q212" s="94">
        <v>203</v>
      </c>
      <c r="R212" s="95">
        <f t="shared" si="38"/>
        <v>497298.22281170799</v>
      </c>
      <c r="S212" s="94">
        <v>325434.3504</v>
      </c>
      <c r="T212" s="94">
        <f t="shared" si="39"/>
        <v>347466.25592208002</v>
      </c>
      <c r="U212" s="94">
        <f t="shared" si="40"/>
        <v>367445.56563759968</v>
      </c>
      <c r="V212" s="94">
        <f t="shared" si="41"/>
        <v>382474.08927217749</v>
      </c>
      <c r="W212" s="97">
        <f t="shared" si="42"/>
        <v>394636.76531103277</v>
      </c>
      <c r="X212" s="97">
        <f t="shared" si="43"/>
        <v>409632.962392852</v>
      </c>
      <c r="Y212" s="97">
        <f t="shared" si="47"/>
        <v>416228.05308737693</v>
      </c>
      <c r="Z212" s="97">
        <f t="shared" si="44"/>
        <v>439620.06967088755</v>
      </c>
      <c r="AA212" s="97">
        <f t="shared" si="45"/>
        <v>497298.22281170799</v>
      </c>
    </row>
    <row r="213" spans="1:27" x14ac:dyDescent="0.25">
      <c r="A213" s="102" t="s">
        <v>671</v>
      </c>
      <c r="B213" s="87" t="s">
        <v>672</v>
      </c>
      <c r="C213" s="88" t="s">
        <v>226</v>
      </c>
      <c r="D213" s="89" t="s">
        <v>262</v>
      </c>
      <c r="E213" s="90">
        <f t="shared" si="48"/>
        <v>771224</v>
      </c>
      <c r="F213" s="90">
        <f t="shared" si="46"/>
        <v>648087.24800127978</v>
      </c>
      <c r="G213" s="91">
        <v>0.19</v>
      </c>
      <c r="H213" s="91" t="s">
        <v>228</v>
      </c>
      <c r="I213" s="91"/>
      <c r="J213" s="91"/>
      <c r="K213" s="91" t="s">
        <v>228</v>
      </c>
      <c r="L213" s="92" t="s">
        <v>229</v>
      </c>
      <c r="M213" s="91" t="str">
        <f t="shared" si="37"/>
        <v>VER ARCHIVO ANEXO</v>
      </c>
      <c r="N213" s="93">
        <v>41608</v>
      </c>
      <c r="O213" s="94"/>
      <c r="P213" s="94"/>
      <c r="Q213" s="94">
        <v>204</v>
      </c>
      <c r="R213" s="95">
        <f t="shared" si="38"/>
        <v>648087.24800127978</v>
      </c>
      <c r="S213" s="94">
        <v>424111.4142</v>
      </c>
      <c r="T213" s="94">
        <f t="shared" si="39"/>
        <v>452823.75694134005</v>
      </c>
      <c r="U213" s="94">
        <f t="shared" si="40"/>
        <v>478861.12296546716</v>
      </c>
      <c r="V213" s="94">
        <f t="shared" si="41"/>
        <v>498446.54289475473</v>
      </c>
      <c r="W213" s="97">
        <f t="shared" si="42"/>
        <v>514297.14295880793</v>
      </c>
      <c r="X213" s="97">
        <f t="shared" si="43"/>
        <v>533840.43439124268</v>
      </c>
      <c r="Y213" s="97">
        <f t="shared" si="47"/>
        <v>542435.26538494171</v>
      </c>
      <c r="Z213" s="97">
        <f t="shared" si="44"/>
        <v>572920.12729957548</v>
      </c>
      <c r="AA213" s="97">
        <f t="shared" si="45"/>
        <v>648087.24800127978</v>
      </c>
    </row>
    <row r="214" spans="1:27" x14ac:dyDescent="0.25">
      <c r="A214" s="102" t="s">
        <v>673</v>
      </c>
      <c r="B214" s="87" t="s">
        <v>674</v>
      </c>
      <c r="C214" s="88" t="s">
        <v>226</v>
      </c>
      <c r="D214" s="89" t="s">
        <v>255</v>
      </c>
      <c r="E214" s="90">
        <f t="shared" si="48"/>
        <v>10624</v>
      </c>
      <c r="F214" s="90">
        <f t="shared" si="46"/>
        <v>8927.6201608146221</v>
      </c>
      <c r="G214" s="91">
        <v>0.19</v>
      </c>
      <c r="H214" s="91" t="s">
        <v>228</v>
      </c>
      <c r="I214" s="91"/>
      <c r="J214" s="91"/>
      <c r="K214" s="91" t="s">
        <v>228</v>
      </c>
      <c r="L214" s="92" t="s">
        <v>229</v>
      </c>
      <c r="M214" s="91" t="str">
        <f t="shared" si="37"/>
        <v>VER ARCHIVO ANEXO</v>
      </c>
      <c r="N214" s="93">
        <v>41608</v>
      </c>
      <c r="O214" s="94"/>
      <c r="P214" s="94"/>
      <c r="Q214" s="94">
        <v>205</v>
      </c>
      <c r="R214" s="95">
        <f t="shared" si="38"/>
        <v>8927.6201608146221</v>
      </c>
      <c r="S214" s="94">
        <v>5842.2775999999994</v>
      </c>
      <c r="T214" s="94">
        <f t="shared" si="39"/>
        <v>6237.7997935200001</v>
      </c>
      <c r="U214" s="94">
        <f t="shared" si="40"/>
        <v>6596.4732816474007</v>
      </c>
      <c r="V214" s="94">
        <f t="shared" si="41"/>
        <v>6866.2690388667788</v>
      </c>
      <c r="W214" s="97">
        <f t="shared" si="42"/>
        <v>7084.6163943027432</v>
      </c>
      <c r="X214" s="97">
        <f t="shared" si="43"/>
        <v>7353.8318172862473</v>
      </c>
      <c r="Y214" s="97">
        <f t="shared" si="47"/>
        <v>7472.2285095445559</v>
      </c>
      <c r="Z214" s="97">
        <f t="shared" si="44"/>
        <v>7892.1677517809603</v>
      </c>
      <c r="AA214" s="97">
        <f t="shared" si="45"/>
        <v>8927.6201608146221</v>
      </c>
    </row>
    <row r="215" spans="1:27" x14ac:dyDescent="0.25">
      <c r="A215" s="102" t="s">
        <v>675</v>
      </c>
      <c r="B215" s="87" t="s">
        <v>676</v>
      </c>
      <c r="C215" s="88" t="s">
        <v>226</v>
      </c>
      <c r="D215" s="89" t="s">
        <v>262</v>
      </c>
      <c r="E215" s="90">
        <f t="shared" si="48"/>
        <v>4283</v>
      </c>
      <c r="F215" s="90">
        <f t="shared" si="46"/>
        <v>3598.9270768933329</v>
      </c>
      <c r="G215" s="91">
        <v>0.19</v>
      </c>
      <c r="H215" s="91" t="s">
        <v>228</v>
      </c>
      <c r="I215" s="91"/>
      <c r="J215" s="91"/>
      <c r="K215" s="91" t="s">
        <v>228</v>
      </c>
      <c r="L215" s="92" t="s">
        <v>229</v>
      </c>
      <c r="M215" s="91" t="str">
        <f t="shared" si="37"/>
        <v>VER ARCHIVO ANEXO</v>
      </c>
      <c r="N215" s="93">
        <v>41608</v>
      </c>
      <c r="O215" s="94"/>
      <c r="P215" s="94"/>
      <c r="Q215" s="94">
        <v>206</v>
      </c>
      <c r="R215" s="95">
        <f t="shared" si="38"/>
        <v>3598.9270768933329</v>
      </c>
      <c r="S215" s="94">
        <v>2355.1552000000001</v>
      </c>
      <c r="T215" s="94">
        <f t="shared" si="39"/>
        <v>2514.5992070400002</v>
      </c>
      <c r="U215" s="94">
        <f t="shared" si="40"/>
        <v>2659.1886614448003</v>
      </c>
      <c r="V215" s="94">
        <f t="shared" si="41"/>
        <v>2767.9494776978927</v>
      </c>
      <c r="W215" s="97">
        <f t="shared" si="42"/>
        <v>2855.9702710886859</v>
      </c>
      <c r="X215" s="97">
        <f t="shared" si="43"/>
        <v>2964.4971413900562</v>
      </c>
      <c r="Y215" s="97">
        <f t="shared" si="47"/>
        <v>3012.2255453664361</v>
      </c>
      <c r="Z215" s="97">
        <f t="shared" si="44"/>
        <v>3181.5126210160297</v>
      </c>
      <c r="AA215" s="97">
        <f t="shared" si="45"/>
        <v>3598.9270768933329</v>
      </c>
    </row>
    <row r="216" spans="1:27" x14ac:dyDescent="0.25">
      <c r="A216" s="102" t="s">
        <v>677</v>
      </c>
      <c r="B216" s="87" t="s">
        <v>678</v>
      </c>
      <c r="C216" s="88" t="s">
        <v>226</v>
      </c>
      <c r="D216" s="89" t="s">
        <v>262</v>
      </c>
      <c r="E216" s="90">
        <f t="shared" si="48"/>
        <v>4283</v>
      </c>
      <c r="F216" s="90">
        <f t="shared" si="46"/>
        <v>3598.9270768933329</v>
      </c>
      <c r="G216" s="91">
        <v>0.19</v>
      </c>
      <c r="H216" s="91" t="s">
        <v>228</v>
      </c>
      <c r="I216" s="91"/>
      <c r="J216" s="91"/>
      <c r="K216" s="91" t="s">
        <v>228</v>
      </c>
      <c r="L216" s="92" t="s">
        <v>229</v>
      </c>
      <c r="M216" s="91" t="str">
        <f t="shared" si="37"/>
        <v>VER ARCHIVO ANEXO</v>
      </c>
      <c r="N216" s="93">
        <v>41608</v>
      </c>
      <c r="O216" s="94"/>
      <c r="P216" s="94"/>
      <c r="Q216" s="94">
        <v>207</v>
      </c>
      <c r="R216" s="95">
        <f t="shared" si="38"/>
        <v>3598.9270768933329</v>
      </c>
      <c r="S216" s="94">
        <v>2355.1552000000001</v>
      </c>
      <c r="T216" s="94">
        <f t="shared" si="39"/>
        <v>2514.5992070400002</v>
      </c>
      <c r="U216" s="94">
        <f t="shared" si="40"/>
        <v>2659.1886614448003</v>
      </c>
      <c r="V216" s="94">
        <f t="shared" si="41"/>
        <v>2767.9494776978927</v>
      </c>
      <c r="W216" s="97">
        <f t="shared" si="42"/>
        <v>2855.9702710886859</v>
      </c>
      <c r="X216" s="97">
        <f t="shared" si="43"/>
        <v>2964.4971413900562</v>
      </c>
      <c r="Y216" s="97">
        <f t="shared" si="47"/>
        <v>3012.2255453664361</v>
      </c>
      <c r="Z216" s="97">
        <f t="shared" si="44"/>
        <v>3181.5126210160297</v>
      </c>
      <c r="AA216" s="97">
        <f t="shared" si="45"/>
        <v>3598.9270768933329</v>
      </c>
    </row>
    <row r="217" spans="1:27" x14ac:dyDescent="0.25">
      <c r="A217" s="102" t="s">
        <v>679</v>
      </c>
      <c r="B217" s="98" t="s">
        <v>680</v>
      </c>
      <c r="C217" s="99" t="s">
        <v>226</v>
      </c>
      <c r="D217" s="100" t="s">
        <v>4</v>
      </c>
      <c r="E217" s="101">
        <f t="shared" si="48"/>
        <v>976885</v>
      </c>
      <c r="F217" s="90">
        <f t="shared" si="46"/>
        <v>820911.7813627983</v>
      </c>
      <c r="G217" s="91">
        <v>0.19</v>
      </c>
      <c r="H217" s="91" t="s">
        <v>228</v>
      </c>
      <c r="I217" s="91"/>
      <c r="J217" s="91"/>
      <c r="K217" s="91" t="s">
        <v>228</v>
      </c>
      <c r="L217" s="92" t="s">
        <v>229</v>
      </c>
      <c r="M217" s="91" t="str">
        <f t="shared" si="37"/>
        <v>VER ARCHIVO ANEXO</v>
      </c>
      <c r="N217" s="93">
        <v>41608</v>
      </c>
      <c r="O217" s="94"/>
      <c r="P217" s="94"/>
      <c r="Q217" s="94">
        <v>208</v>
      </c>
      <c r="R217" s="95">
        <f t="shared" si="38"/>
        <v>820911.7813627983</v>
      </c>
      <c r="S217" s="94">
        <v>537208.62060000002</v>
      </c>
      <c r="T217" s="94">
        <f t="shared" si="39"/>
        <v>573577.64421462012</v>
      </c>
      <c r="U217" s="94">
        <f t="shared" si="40"/>
        <v>606558.35875696084</v>
      </c>
      <c r="V217" s="94">
        <f t="shared" si="41"/>
        <v>631366.59563012049</v>
      </c>
      <c r="W217" s="97">
        <f t="shared" si="42"/>
        <v>651444.05337115831</v>
      </c>
      <c r="X217" s="97">
        <f t="shared" si="43"/>
        <v>676198.92739926232</v>
      </c>
      <c r="Y217" s="97">
        <f t="shared" si="47"/>
        <v>687085.7301303905</v>
      </c>
      <c r="Z217" s="97">
        <f t="shared" si="44"/>
        <v>725699.94816371845</v>
      </c>
      <c r="AA217" s="97">
        <f t="shared" si="45"/>
        <v>820911.7813627983</v>
      </c>
    </row>
    <row r="218" spans="1:27" x14ac:dyDescent="0.25">
      <c r="A218" s="102" t="s">
        <v>681</v>
      </c>
      <c r="B218" s="87" t="s">
        <v>682</v>
      </c>
      <c r="C218" s="88" t="s">
        <v>226</v>
      </c>
      <c r="D218" s="89" t="s">
        <v>4</v>
      </c>
      <c r="E218" s="90">
        <f t="shared" si="48"/>
        <v>942606</v>
      </c>
      <c r="F218" s="90">
        <f t="shared" si="46"/>
        <v>792106.10843440704</v>
      </c>
      <c r="G218" s="91">
        <v>0.19</v>
      </c>
      <c r="H218" s="91" t="s">
        <v>228</v>
      </c>
      <c r="I218" s="91"/>
      <c r="J218" s="91"/>
      <c r="K218" s="91" t="s">
        <v>228</v>
      </c>
      <c r="L218" s="92" t="s">
        <v>229</v>
      </c>
      <c r="M218" s="91" t="str">
        <f t="shared" si="37"/>
        <v>VER ARCHIVO ANEXO</v>
      </c>
      <c r="N218" s="93">
        <v>41608</v>
      </c>
      <c r="O218" s="94"/>
      <c r="P218" s="94"/>
      <c r="Q218" s="94">
        <v>209</v>
      </c>
      <c r="R218" s="95">
        <f t="shared" si="38"/>
        <v>792106.10843440704</v>
      </c>
      <c r="S218" s="94">
        <v>518358.04959999997</v>
      </c>
      <c r="T218" s="94">
        <f t="shared" si="39"/>
        <v>553450.88955792005</v>
      </c>
      <c r="U218" s="94">
        <f t="shared" si="40"/>
        <v>585274.31570750056</v>
      </c>
      <c r="V218" s="94">
        <f t="shared" si="41"/>
        <v>609212.03521993733</v>
      </c>
      <c r="W218" s="97">
        <f t="shared" si="42"/>
        <v>628584.97793993133</v>
      </c>
      <c r="X218" s="97">
        <f t="shared" si="43"/>
        <v>652471.20710164879</v>
      </c>
      <c r="Y218" s="97">
        <f t="shared" si="47"/>
        <v>662975.99353598536</v>
      </c>
      <c r="Z218" s="97">
        <f t="shared" si="44"/>
        <v>700235.24437270779</v>
      </c>
      <c r="AA218" s="97">
        <f t="shared" si="45"/>
        <v>792106.10843440704</v>
      </c>
    </row>
    <row r="219" spans="1:27" x14ac:dyDescent="0.25">
      <c r="A219" s="102" t="s">
        <v>683</v>
      </c>
      <c r="B219" s="98" t="s">
        <v>684</v>
      </c>
      <c r="C219" s="99" t="s">
        <v>226</v>
      </c>
      <c r="D219" s="100" t="s">
        <v>4</v>
      </c>
      <c r="E219" s="101">
        <f t="shared" si="48"/>
        <v>1045437</v>
      </c>
      <c r="F219" s="90">
        <f t="shared" si="46"/>
        <v>878518.37511516607</v>
      </c>
      <c r="G219" s="91">
        <v>0.19</v>
      </c>
      <c r="H219" s="91" t="s">
        <v>228</v>
      </c>
      <c r="I219" s="91"/>
      <c r="J219" s="91"/>
      <c r="K219" s="91" t="s">
        <v>228</v>
      </c>
      <c r="L219" s="92" t="s">
        <v>229</v>
      </c>
      <c r="M219" s="91" t="str">
        <f t="shared" si="37"/>
        <v>VER ARCHIVO ANEXO</v>
      </c>
      <c r="N219" s="93">
        <v>41608</v>
      </c>
      <c r="O219" s="94"/>
      <c r="P219" s="94"/>
      <c r="Q219" s="94">
        <v>210</v>
      </c>
      <c r="R219" s="95">
        <f t="shared" si="38"/>
        <v>878518.37511516607</v>
      </c>
      <c r="S219" s="94">
        <v>574906.65279999992</v>
      </c>
      <c r="T219" s="94">
        <f t="shared" si="39"/>
        <v>613827.83319456002</v>
      </c>
      <c r="U219" s="94">
        <f t="shared" si="40"/>
        <v>649122.93360324728</v>
      </c>
      <c r="V219" s="94">
        <f t="shared" si="41"/>
        <v>675672.06158762006</v>
      </c>
      <c r="W219" s="97">
        <f t="shared" si="42"/>
        <v>697158.43314610643</v>
      </c>
      <c r="X219" s="97">
        <f t="shared" si="43"/>
        <v>723650.45360565849</v>
      </c>
      <c r="Y219" s="97">
        <f t="shared" si="47"/>
        <v>735301.22590870957</v>
      </c>
      <c r="Z219" s="97">
        <f t="shared" si="44"/>
        <v>776625.1548047791</v>
      </c>
      <c r="AA219" s="97">
        <f t="shared" si="45"/>
        <v>878518.37511516607</v>
      </c>
    </row>
    <row r="220" spans="1:27" x14ac:dyDescent="0.25">
      <c r="A220" s="102" t="s">
        <v>685</v>
      </c>
      <c r="B220" s="87" t="s">
        <v>686</v>
      </c>
      <c r="C220" s="88" t="s">
        <v>226</v>
      </c>
      <c r="D220" s="89" t="s">
        <v>4</v>
      </c>
      <c r="E220" s="90">
        <f t="shared" si="48"/>
        <v>582701</v>
      </c>
      <c r="F220" s="90">
        <f t="shared" si="46"/>
        <v>489664.75908655435</v>
      </c>
      <c r="G220" s="91">
        <v>0.19</v>
      </c>
      <c r="H220" s="91" t="s">
        <v>228</v>
      </c>
      <c r="I220" s="91"/>
      <c r="J220" s="91"/>
      <c r="K220" s="91" t="s">
        <v>228</v>
      </c>
      <c r="L220" s="92" t="s">
        <v>229</v>
      </c>
      <c r="M220" s="91" t="str">
        <f t="shared" si="37"/>
        <v>VER ARCHIVO ANEXO</v>
      </c>
      <c r="N220" s="93">
        <v>41608</v>
      </c>
      <c r="O220" s="94"/>
      <c r="P220" s="94"/>
      <c r="Q220" s="94">
        <v>211</v>
      </c>
      <c r="R220" s="95">
        <f t="shared" si="38"/>
        <v>489664.75908655435</v>
      </c>
      <c r="S220" s="94">
        <v>320438.97499999998</v>
      </c>
      <c r="T220" s="94">
        <f t="shared" si="39"/>
        <v>342132.6936075</v>
      </c>
      <c r="U220" s="94">
        <f t="shared" si="40"/>
        <v>361805.3234899313</v>
      </c>
      <c r="V220" s="94">
        <f t="shared" si="41"/>
        <v>376603.16122066946</v>
      </c>
      <c r="W220" s="97">
        <f t="shared" si="42"/>
        <v>388579.14174748678</v>
      </c>
      <c r="X220" s="97">
        <f t="shared" si="43"/>
        <v>403345.14913389127</v>
      </c>
      <c r="Y220" s="97">
        <f t="shared" si="47"/>
        <v>409839.00603494694</v>
      </c>
      <c r="Z220" s="97">
        <f t="shared" si="44"/>
        <v>432871.95817411097</v>
      </c>
      <c r="AA220" s="97">
        <f t="shared" si="45"/>
        <v>489664.75908655435</v>
      </c>
    </row>
    <row r="221" spans="1:27" x14ac:dyDescent="0.25">
      <c r="A221" s="102" t="s">
        <v>687</v>
      </c>
      <c r="B221" s="87" t="s">
        <v>688</v>
      </c>
      <c r="C221" s="88" t="s">
        <v>226</v>
      </c>
      <c r="D221" s="89" t="s">
        <v>4</v>
      </c>
      <c r="E221" s="90">
        <f t="shared" si="48"/>
        <v>565565</v>
      </c>
      <c r="F221" s="90">
        <f t="shared" si="46"/>
        <v>475264.29867456609</v>
      </c>
      <c r="G221" s="91">
        <v>0.19</v>
      </c>
      <c r="H221" s="91" t="s">
        <v>228</v>
      </c>
      <c r="I221" s="91"/>
      <c r="J221" s="91"/>
      <c r="K221" s="91" t="s">
        <v>228</v>
      </c>
      <c r="L221" s="92" t="s">
        <v>229</v>
      </c>
      <c r="M221" s="91" t="str">
        <f t="shared" si="37"/>
        <v>VER ARCHIVO ANEXO</v>
      </c>
      <c r="N221" s="93">
        <v>41608</v>
      </c>
      <c r="O221" s="94"/>
      <c r="P221" s="94"/>
      <c r="Q221" s="94">
        <v>212</v>
      </c>
      <c r="R221" s="95">
        <f t="shared" si="38"/>
        <v>475264.29867456609</v>
      </c>
      <c r="S221" s="94">
        <v>311015.24439999997</v>
      </c>
      <c r="T221" s="94">
        <f t="shared" si="39"/>
        <v>332070.97644588002</v>
      </c>
      <c r="U221" s="94">
        <f t="shared" si="40"/>
        <v>351165.05759151815</v>
      </c>
      <c r="V221" s="94">
        <f t="shared" si="41"/>
        <v>365527.70844701125</v>
      </c>
      <c r="W221" s="97">
        <f t="shared" si="42"/>
        <v>377151.48957562621</v>
      </c>
      <c r="X221" s="97">
        <f t="shared" si="43"/>
        <v>391483.24617950001</v>
      </c>
      <c r="Y221" s="97">
        <f t="shared" si="47"/>
        <v>397786.12644298997</v>
      </c>
      <c r="Z221" s="97">
        <f t="shared" si="44"/>
        <v>420141.70674908604</v>
      </c>
      <c r="AA221" s="97">
        <f t="shared" si="45"/>
        <v>475264.29867456609</v>
      </c>
    </row>
    <row r="222" spans="1:27" x14ac:dyDescent="0.25">
      <c r="A222" s="102" t="s">
        <v>689</v>
      </c>
      <c r="B222" s="87" t="s">
        <v>690</v>
      </c>
      <c r="C222" s="88" t="s">
        <v>226</v>
      </c>
      <c r="D222" s="89" t="s">
        <v>4</v>
      </c>
      <c r="E222" s="90">
        <f t="shared" si="48"/>
        <v>494466</v>
      </c>
      <c r="F222" s="90">
        <f t="shared" si="46"/>
        <v>415517.67390068283</v>
      </c>
      <c r="G222" s="91">
        <v>0.19</v>
      </c>
      <c r="H222" s="91" t="s">
        <v>228</v>
      </c>
      <c r="I222" s="91"/>
      <c r="J222" s="91"/>
      <c r="K222" s="91" t="s">
        <v>228</v>
      </c>
      <c r="L222" s="92" t="s">
        <v>598</v>
      </c>
      <c r="M222" s="91" t="str">
        <f t="shared" si="37"/>
        <v>VER ARCHIVO ANEXO</v>
      </c>
      <c r="N222" s="93">
        <v>41608</v>
      </c>
      <c r="O222" s="94"/>
      <c r="P222" s="94"/>
      <c r="Q222" s="94">
        <v>213</v>
      </c>
      <c r="R222" s="95">
        <f t="shared" si="38"/>
        <v>415517.67390068283</v>
      </c>
      <c r="S222" s="94">
        <v>271916.76559999998</v>
      </c>
      <c r="T222" s="94">
        <f t="shared" si="39"/>
        <v>290325.53063112003</v>
      </c>
      <c r="U222" s="94">
        <f t="shared" si="40"/>
        <v>307019.24864240945</v>
      </c>
      <c r="V222" s="94">
        <f t="shared" si="41"/>
        <v>319576.33591188397</v>
      </c>
      <c r="W222" s="97">
        <f t="shared" si="42"/>
        <v>329738.86339388188</v>
      </c>
      <c r="X222" s="97">
        <f t="shared" si="43"/>
        <v>342268.94020284939</v>
      </c>
      <c r="Y222" s="97">
        <f t="shared" si="47"/>
        <v>347779.47014011524</v>
      </c>
      <c r="Z222" s="97">
        <f t="shared" si="44"/>
        <v>367324.67636198975</v>
      </c>
      <c r="AA222" s="97">
        <f t="shared" si="45"/>
        <v>415517.67390068283</v>
      </c>
    </row>
    <row r="223" spans="1:27" x14ac:dyDescent="0.25">
      <c r="A223" s="102" t="s">
        <v>691</v>
      </c>
      <c r="B223" s="87" t="s">
        <v>692</v>
      </c>
      <c r="C223" s="88" t="s">
        <v>226</v>
      </c>
      <c r="D223" s="89" t="s">
        <v>4</v>
      </c>
      <c r="E223" s="90">
        <f t="shared" si="48"/>
        <v>602599</v>
      </c>
      <c r="F223" s="90">
        <f t="shared" si="46"/>
        <v>506385.83048782457</v>
      </c>
      <c r="G223" s="91">
        <v>0.19</v>
      </c>
      <c r="H223" s="91" t="s">
        <v>228</v>
      </c>
      <c r="I223" s="91"/>
      <c r="J223" s="91"/>
      <c r="K223" s="91" t="s">
        <v>228</v>
      </c>
      <c r="L223" s="92" t="s">
        <v>302</v>
      </c>
      <c r="M223" s="91" t="str">
        <f t="shared" si="37"/>
        <v>no aplica</v>
      </c>
      <c r="N223" s="93">
        <v>41608</v>
      </c>
      <c r="O223" s="94"/>
      <c r="P223" s="94"/>
      <c r="Q223" s="94">
        <v>214</v>
      </c>
      <c r="R223" s="95">
        <f t="shared" si="38"/>
        <v>506385.83048782457</v>
      </c>
      <c r="S223" s="94">
        <v>331381.32459999999</v>
      </c>
      <c r="T223" s="94">
        <f t="shared" si="39"/>
        <v>353815.84027542005</v>
      </c>
      <c r="U223" s="94">
        <f t="shared" si="40"/>
        <v>374160.25109125674</v>
      </c>
      <c r="V223" s="94">
        <f t="shared" si="41"/>
        <v>389463.4053608891</v>
      </c>
      <c r="W223" s="97">
        <f t="shared" si="42"/>
        <v>401848.34165136539</v>
      </c>
      <c r="X223" s="97">
        <f t="shared" si="43"/>
        <v>417118.57863411726</v>
      </c>
      <c r="Y223" s="97">
        <f t="shared" si="47"/>
        <v>423834.18775012653</v>
      </c>
      <c r="Z223" s="97">
        <f t="shared" si="44"/>
        <v>447653.66910168366</v>
      </c>
      <c r="AA223" s="97">
        <f t="shared" si="45"/>
        <v>506385.83048782457</v>
      </c>
    </row>
    <row r="224" spans="1:27" x14ac:dyDescent="0.25">
      <c r="A224" s="102" t="s">
        <v>693</v>
      </c>
      <c r="B224" s="87" t="s">
        <v>694</v>
      </c>
      <c r="C224" s="88" t="s">
        <v>226</v>
      </c>
      <c r="D224" s="89" t="s">
        <v>4</v>
      </c>
      <c r="E224" s="90">
        <f t="shared" si="48"/>
        <v>593868</v>
      </c>
      <c r="F224" s="90">
        <f t="shared" si="46"/>
        <v>499048.58127120038</v>
      </c>
      <c r="G224" s="91">
        <v>0.19</v>
      </c>
      <c r="H224" s="91" t="s">
        <v>228</v>
      </c>
      <c r="I224" s="91"/>
      <c r="J224" s="91"/>
      <c r="K224" s="91" t="s">
        <v>228</v>
      </c>
      <c r="L224" s="92" t="s">
        <v>302</v>
      </c>
      <c r="M224" s="91" t="str">
        <f t="shared" si="37"/>
        <v>no aplica</v>
      </c>
      <c r="N224" s="93">
        <v>41608</v>
      </c>
      <c r="O224" s="94"/>
      <c r="P224" s="94"/>
      <c r="Q224" s="94">
        <v>215</v>
      </c>
      <c r="R224" s="95">
        <f t="shared" si="38"/>
        <v>499048.58127120038</v>
      </c>
      <c r="S224" s="94">
        <v>326579.79339999997</v>
      </c>
      <c r="T224" s="94">
        <f t="shared" si="39"/>
        <v>348689.24541317998</v>
      </c>
      <c r="U224" s="94">
        <f t="shared" si="40"/>
        <v>368738.87702443788</v>
      </c>
      <c r="V224" s="94">
        <f t="shared" si="41"/>
        <v>383820.29709473735</v>
      </c>
      <c r="W224" s="97">
        <f t="shared" si="42"/>
        <v>396025.78254235</v>
      </c>
      <c r="X224" s="97">
        <f t="shared" si="43"/>
        <v>411074.76227895933</v>
      </c>
      <c r="Y224" s="97">
        <f t="shared" si="47"/>
        <v>417693.06595165055</v>
      </c>
      <c r="Z224" s="97">
        <f t="shared" si="44"/>
        <v>441167.41625813331</v>
      </c>
      <c r="AA224" s="97">
        <f t="shared" si="45"/>
        <v>499048.58127120038</v>
      </c>
    </row>
    <row r="225" spans="1:27" x14ac:dyDescent="0.25">
      <c r="A225" s="102" t="s">
        <v>695</v>
      </c>
      <c r="B225" s="87" t="s">
        <v>696</v>
      </c>
      <c r="C225" s="88" t="s">
        <v>226</v>
      </c>
      <c r="D225" s="89" t="s">
        <v>4</v>
      </c>
      <c r="E225" s="90">
        <f t="shared" si="48"/>
        <v>563237</v>
      </c>
      <c r="F225" s="90">
        <f t="shared" si="46"/>
        <v>473308.01569042727</v>
      </c>
      <c r="G225" s="91">
        <v>0.19</v>
      </c>
      <c r="H225" s="91" t="s">
        <v>228</v>
      </c>
      <c r="I225" s="91"/>
      <c r="J225" s="91"/>
      <c r="K225" s="91" t="s">
        <v>228</v>
      </c>
      <c r="L225" s="92" t="s">
        <v>302</v>
      </c>
      <c r="M225" s="91" t="str">
        <f t="shared" si="37"/>
        <v>no aplica</v>
      </c>
      <c r="N225" s="93">
        <v>41608</v>
      </c>
      <c r="O225" s="94"/>
      <c r="P225" s="94"/>
      <c r="Q225" s="94">
        <v>216</v>
      </c>
      <c r="R225" s="95">
        <f t="shared" si="38"/>
        <v>473308.01569042727</v>
      </c>
      <c r="S225" s="94">
        <v>309735.04339999997</v>
      </c>
      <c r="T225" s="94">
        <f t="shared" si="39"/>
        <v>330704.10583818</v>
      </c>
      <c r="U225" s="94">
        <f t="shared" si="40"/>
        <v>349719.59192387538</v>
      </c>
      <c r="V225" s="94">
        <f t="shared" si="41"/>
        <v>364023.12323356187</v>
      </c>
      <c r="W225" s="97">
        <f t="shared" si="42"/>
        <v>375599.05855238915</v>
      </c>
      <c r="X225" s="97">
        <f t="shared" si="43"/>
        <v>389871.82277737994</v>
      </c>
      <c r="Y225" s="97">
        <f t="shared" si="47"/>
        <v>396148.75912409578</v>
      </c>
      <c r="Z225" s="97">
        <f t="shared" si="44"/>
        <v>418412.31938686996</v>
      </c>
      <c r="AA225" s="97">
        <f t="shared" si="45"/>
        <v>473308.01569042727</v>
      </c>
    </row>
    <row r="226" spans="1:27" x14ac:dyDescent="0.25">
      <c r="A226" s="102" t="s">
        <v>697</v>
      </c>
      <c r="B226" s="87" t="s">
        <v>698</v>
      </c>
      <c r="C226" s="88" t="s">
        <v>226</v>
      </c>
      <c r="D226" s="89" t="s">
        <v>4</v>
      </c>
      <c r="E226" s="90">
        <f t="shared" si="48"/>
        <v>554505</v>
      </c>
      <c r="F226" s="90">
        <f t="shared" si="46"/>
        <v>465970.76647380338</v>
      </c>
      <c r="G226" s="91">
        <v>0.19</v>
      </c>
      <c r="H226" s="91" t="s">
        <v>228</v>
      </c>
      <c r="I226" s="91"/>
      <c r="J226" s="91"/>
      <c r="K226" s="91" t="s">
        <v>228</v>
      </c>
      <c r="L226" s="92" t="s">
        <v>302</v>
      </c>
      <c r="M226" s="91" t="str">
        <f t="shared" si="37"/>
        <v>no aplica</v>
      </c>
      <c r="N226" s="93">
        <v>41608</v>
      </c>
      <c r="O226" s="94"/>
      <c r="P226" s="94"/>
      <c r="Q226" s="94">
        <v>217</v>
      </c>
      <c r="R226" s="95">
        <f t="shared" si="38"/>
        <v>465970.76647380338</v>
      </c>
      <c r="S226" s="94">
        <v>304933.5122</v>
      </c>
      <c r="T226" s="94">
        <f t="shared" si="39"/>
        <v>325577.51097594004</v>
      </c>
      <c r="U226" s="94">
        <f t="shared" si="40"/>
        <v>344298.21785705665</v>
      </c>
      <c r="V226" s="94">
        <f t="shared" si="41"/>
        <v>358380.01496741024</v>
      </c>
      <c r="W226" s="97">
        <f t="shared" si="42"/>
        <v>369776.49944337393</v>
      </c>
      <c r="X226" s="97">
        <f t="shared" si="43"/>
        <v>383828.00642222218</v>
      </c>
      <c r="Y226" s="97">
        <f t="shared" si="47"/>
        <v>390007.63732561999</v>
      </c>
      <c r="Z226" s="97">
        <f t="shared" si="44"/>
        <v>411926.06654331984</v>
      </c>
      <c r="AA226" s="97">
        <f t="shared" si="45"/>
        <v>465970.76647380338</v>
      </c>
    </row>
    <row r="227" spans="1:27" x14ac:dyDescent="0.25">
      <c r="A227" s="102" t="s">
        <v>699</v>
      </c>
      <c r="B227" s="87" t="s">
        <v>700</v>
      </c>
      <c r="C227" s="88" t="s">
        <v>226</v>
      </c>
      <c r="D227" s="89" t="s">
        <v>4</v>
      </c>
      <c r="E227" s="90">
        <f t="shared" si="48"/>
        <v>563237</v>
      </c>
      <c r="F227" s="90">
        <f t="shared" si="46"/>
        <v>473308.01569042727</v>
      </c>
      <c r="G227" s="91">
        <v>0.19</v>
      </c>
      <c r="H227" s="91" t="s">
        <v>228</v>
      </c>
      <c r="I227" s="91"/>
      <c r="J227" s="91"/>
      <c r="K227" s="91" t="s">
        <v>228</v>
      </c>
      <c r="L227" s="92" t="s">
        <v>302</v>
      </c>
      <c r="M227" s="91" t="str">
        <f t="shared" si="37"/>
        <v>no aplica</v>
      </c>
      <c r="N227" s="93">
        <v>41608</v>
      </c>
      <c r="O227" s="94"/>
      <c r="P227" s="94"/>
      <c r="Q227" s="94">
        <v>218</v>
      </c>
      <c r="R227" s="95">
        <f t="shared" si="38"/>
        <v>473308.01569042727</v>
      </c>
      <c r="S227" s="94">
        <v>309735.04339999997</v>
      </c>
      <c r="T227" s="94">
        <f t="shared" si="39"/>
        <v>330704.10583818</v>
      </c>
      <c r="U227" s="94">
        <f t="shared" si="40"/>
        <v>349719.59192387538</v>
      </c>
      <c r="V227" s="94">
        <f t="shared" si="41"/>
        <v>364023.12323356187</v>
      </c>
      <c r="W227" s="97">
        <f t="shared" si="42"/>
        <v>375599.05855238915</v>
      </c>
      <c r="X227" s="97">
        <f t="shared" si="43"/>
        <v>389871.82277737994</v>
      </c>
      <c r="Y227" s="97">
        <f t="shared" si="47"/>
        <v>396148.75912409578</v>
      </c>
      <c r="Z227" s="97">
        <f t="shared" si="44"/>
        <v>418412.31938686996</v>
      </c>
      <c r="AA227" s="97">
        <f t="shared" si="45"/>
        <v>473308.01569042727</v>
      </c>
    </row>
    <row r="228" spans="1:27" x14ac:dyDescent="0.25">
      <c r="A228" s="102" t="s">
        <v>701</v>
      </c>
      <c r="B228" s="87" t="s">
        <v>702</v>
      </c>
      <c r="C228" s="88" t="s">
        <v>226</v>
      </c>
      <c r="D228" s="89" t="s">
        <v>4</v>
      </c>
      <c r="E228" s="90">
        <f t="shared" si="48"/>
        <v>554505</v>
      </c>
      <c r="F228" s="90">
        <f t="shared" si="46"/>
        <v>465970.76647380338</v>
      </c>
      <c r="G228" s="91">
        <v>0.19</v>
      </c>
      <c r="H228" s="91" t="s">
        <v>228</v>
      </c>
      <c r="I228" s="91"/>
      <c r="J228" s="91"/>
      <c r="K228" s="91" t="s">
        <v>228</v>
      </c>
      <c r="L228" s="92" t="s">
        <v>302</v>
      </c>
      <c r="M228" s="91" t="str">
        <f t="shared" si="37"/>
        <v>no aplica</v>
      </c>
      <c r="N228" s="93">
        <v>41608</v>
      </c>
      <c r="O228" s="94"/>
      <c r="P228" s="94"/>
      <c r="Q228" s="94">
        <v>219</v>
      </c>
      <c r="R228" s="95">
        <f t="shared" si="38"/>
        <v>465970.76647380338</v>
      </c>
      <c r="S228" s="94">
        <v>304933.5122</v>
      </c>
      <c r="T228" s="94">
        <f t="shared" si="39"/>
        <v>325577.51097594004</v>
      </c>
      <c r="U228" s="94">
        <f t="shared" si="40"/>
        <v>344298.21785705665</v>
      </c>
      <c r="V228" s="94">
        <f t="shared" si="41"/>
        <v>358380.01496741024</v>
      </c>
      <c r="W228" s="97">
        <f t="shared" si="42"/>
        <v>369776.49944337393</v>
      </c>
      <c r="X228" s="97">
        <f t="shared" si="43"/>
        <v>383828.00642222218</v>
      </c>
      <c r="Y228" s="97">
        <f t="shared" si="47"/>
        <v>390007.63732561999</v>
      </c>
      <c r="Z228" s="97">
        <f t="shared" si="44"/>
        <v>411926.06654331984</v>
      </c>
      <c r="AA228" s="97">
        <f t="shared" si="45"/>
        <v>465970.76647380338</v>
      </c>
    </row>
    <row r="229" spans="1:27" x14ac:dyDescent="0.25">
      <c r="A229" s="102" t="s">
        <v>703</v>
      </c>
      <c r="B229" s="98" t="s">
        <v>704</v>
      </c>
      <c r="C229" s="88" t="s">
        <v>226</v>
      </c>
      <c r="D229" s="89" t="s">
        <v>4</v>
      </c>
      <c r="E229" s="90">
        <f t="shared" si="48"/>
        <v>642361</v>
      </c>
      <c r="F229" s="90">
        <f t="shared" si="46"/>
        <v>539799.46066387556</v>
      </c>
      <c r="G229" s="91">
        <v>0.19</v>
      </c>
      <c r="H229" s="91" t="s">
        <v>228</v>
      </c>
      <c r="I229" s="91"/>
      <c r="J229" s="91"/>
      <c r="K229" s="91" t="s">
        <v>228</v>
      </c>
      <c r="L229" s="92" t="s">
        <v>302</v>
      </c>
      <c r="M229" s="91" t="str">
        <f t="shared" si="37"/>
        <v>no aplica</v>
      </c>
      <c r="N229" s="93">
        <v>41608</v>
      </c>
      <c r="O229" s="94"/>
      <c r="P229" s="94"/>
      <c r="Q229" s="94">
        <v>220</v>
      </c>
      <c r="R229" s="95">
        <f t="shared" si="38"/>
        <v>539799.46066387556</v>
      </c>
      <c r="S229" s="94">
        <v>353247.36499999999</v>
      </c>
      <c r="T229" s="94">
        <f t="shared" si="39"/>
        <v>377162.2116105</v>
      </c>
      <c r="U229" s="94">
        <f t="shared" si="40"/>
        <v>398849.03877810377</v>
      </c>
      <c r="V229" s="94">
        <f t="shared" si="41"/>
        <v>415161.96446412819</v>
      </c>
      <c r="W229" s="97">
        <f t="shared" si="42"/>
        <v>428364.1149340875</v>
      </c>
      <c r="X229" s="97">
        <f t="shared" si="43"/>
        <v>444641.95130158286</v>
      </c>
      <c r="Y229" s="97">
        <f t="shared" si="47"/>
        <v>451800.68671753834</v>
      </c>
      <c r="Z229" s="97">
        <f t="shared" si="44"/>
        <v>477191.88531106402</v>
      </c>
      <c r="AA229" s="97">
        <f t="shared" si="45"/>
        <v>539799.46066387556</v>
      </c>
    </row>
    <row r="230" spans="1:27" x14ac:dyDescent="0.25">
      <c r="A230" s="102" t="s">
        <v>705</v>
      </c>
      <c r="B230" s="87" t="s">
        <v>706</v>
      </c>
      <c r="C230" s="88" t="s">
        <v>226</v>
      </c>
      <c r="D230" s="89" t="s">
        <v>4</v>
      </c>
      <c r="E230" s="90">
        <f t="shared" si="48"/>
        <v>633630</v>
      </c>
      <c r="F230" s="90">
        <f t="shared" si="46"/>
        <v>532462.21144725149</v>
      </c>
      <c r="G230" s="91">
        <v>0.19</v>
      </c>
      <c r="H230" s="91" t="s">
        <v>228</v>
      </c>
      <c r="I230" s="91"/>
      <c r="J230" s="91"/>
      <c r="K230" s="91" t="s">
        <v>228</v>
      </c>
      <c r="L230" s="92" t="s">
        <v>302</v>
      </c>
      <c r="M230" s="91" t="str">
        <f t="shared" si="37"/>
        <v>no aplica</v>
      </c>
      <c r="N230" s="93">
        <v>41608</v>
      </c>
      <c r="O230" s="94"/>
      <c r="P230" s="94"/>
      <c r="Q230" s="94">
        <v>221</v>
      </c>
      <c r="R230" s="95">
        <f t="shared" si="38"/>
        <v>532462.21144725149</v>
      </c>
      <c r="S230" s="94">
        <v>348445.83379999996</v>
      </c>
      <c r="T230" s="94">
        <f t="shared" si="39"/>
        <v>372035.61674825998</v>
      </c>
      <c r="U230" s="94">
        <f t="shared" si="40"/>
        <v>393427.66471128498</v>
      </c>
      <c r="V230" s="94">
        <f t="shared" si="41"/>
        <v>409518.85619797651</v>
      </c>
      <c r="W230" s="97">
        <f t="shared" si="42"/>
        <v>422541.55582507217</v>
      </c>
      <c r="X230" s="97">
        <f t="shared" si="43"/>
        <v>438598.13494642492</v>
      </c>
      <c r="Y230" s="97">
        <f t="shared" si="47"/>
        <v>445659.56491906237</v>
      </c>
      <c r="Z230" s="97">
        <f t="shared" si="44"/>
        <v>470705.63246751367</v>
      </c>
      <c r="AA230" s="97">
        <f t="shared" si="45"/>
        <v>532462.21144725149</v>
      </c>
    </row>
    <row r="231" spans="1:27" x14ac:dyDescent="0.25">
      <c r="A231" s="102" t="s">
        <v>707</v>
      </c>
      <c r="B231" s="87" t="s">
        <v>708</v>
      </c>
      <c r="C231" s="88" t="s">
        <v>226</v>
      </c>
      <c r="D231" s="89" t="s">
        <v>262</v>
      </c>
      <c r="E231" s="90">
        <f t="shared" si="48"/>
        <v>9024708</v>
      </c>
      <c r="F231" s="90">
        <f t="shared" si="46"/>
        <v>7583788.3936697161</v>
      </c>
      <c r="G231" s="91">
        <v>0.19</v>
      </c>
      <c r="H231" s="91" t="s">
        <v>228</v>
      </c>
      <c r="I231" s="91"/>
      <c r="J231" s="91"/>
      <c r="K231" s="91" t="s">
        <v>228</v>
      </c>
      <c r="L231" s="92" t="s">
        <v>302</v>
      </c>
      <c r="M231" s="91" t="str">
        <f t="shared" si="37"/>
        <v>no aplica</v>
      </c>
      <c r="N231" s="93">
        <v>41608</v>
      </c>
      <c r="O231" s="94"/>
      <c r="P231" s="94"/>
      <c r="Q231" s="94">
        <v>222</v>
      </c>
      <c r="R231" s="95">
        <f t="shared" si="38"/>
        <v>7583788.3936697161</v>
      </c>
      <c r="S231" s="94">
        <v>4962867.6239999998</v>
      </c>
      <c r="T231" s="94">
        <f t="shared" si="39"/>
        <v>5298853.7621448003</v>
      </c>
      <c r="U231" s="94">
        <f t="shared" si="40"/>
        <v>5603537.8534681266</v>
      </c>
      <c r="V231" s="94">
        <f t="shared" si="41"/>
        <v>5832722.5516749723</v>
      </c>
      <c r="W231" s="97">
        <f t="shared" si="42"/>
        <v>6018203.1288182363</v>
      </c>
      <c r="X231" s="97">
        <f t="shared" si="43"/>
        <v>6246894.8477133298</v>
      </c>
      <c r="Y231" s="97">
        <f t="shared" si="47"/>
        <v>6347469.8547615148</v>
      </c>
      <c r="Z231" s="97">
        <f t="shared" si="44"/>
        <v>6704197.6605991125</v>
      </c>
      <c r="AA231" s="97">
        <f t="shared" si="45"/>
        <v>7583788.3936697161</v>
      </c>
    </row>
    <row r="232" spans="1:27" x14ac:dyDescent="0.25">
      <c r="A232" s="102" t="s">
        <v>709</v>
      </c>
      <c r="B232" s="87" t="s">
        <v>710</v>
      </c>
      <c r="C232" s="88" t="s">
        <v>226</v>
      </c>
      <c r="D232" s="89" t="s">
        <v>4</v>
      </c>
      <c r="E232" s="90">
        <f t="shared" si="48"/>
        <v>792990</v>
      </c>
      <c r="F232" s="90">
        <f t="shared" si="46"/>
        <v>666378.09789427603</v>
      </c>
      <c r="G232" s="91">
        <v>0.19</v>
      </c>
      <c r="H232" s="91" t="s">
        <v>228</v>
      </c>
      <c r="I232" s="91"/>
      <c r="J232" s="91"/>
      <c r="K232" s="91" t="s">
        <v>228</v>
      </c>
      <c r="L232" s="92" t="s">
        <v>302</v>
      </c>
      <c r="M232" s="91" t="str">
        <f t="shared" si="37"/>
        <v>no aplica</v>
      </c>
      <c r="N232" s="93">
        <v>41608</v>
      </c>
      <c r="O232" s="94"/>
      <c r="P232" s="94"/>
      <c r="Q232" s="94">
        <v>223</v>
      </c>
      <c r="R232" s="95">
        <f t="shared" si="38"/>
        <v>666378.09789427603</v>
      </c>
      <c r="S232" s="94">
        <v>436081.0344</v>
      </c>
      <c r="T232" s="94">
        <f t="shared" si="39"/>
        <v>465603.72042888007</v>
      </c>
      <c r="U232" s="94">
        <f t="shared" si="40"/>
        <v>492375.93435354071</v>
      </c>
      <c r="V232" s="94">
        <f t="shared" si="41"/>
        <v>512514.11006860051</v>
      </c>
      <c r="W232" s="97">
        <f t="shared" si="42"/>
        <v>528812.05876878207</v>
      </c>
      <c r="X232" s="97">
        <f t="shared" si="43"/>
        <v>548906.91700199584</v>
      </c>
      <c r="Y232" s="97">
        <f t="shared" si="47"/>
        <v>557744.31836572802</v>
      </c>
      <c r="Z232" s="97">
        <f t="shared" si="44"/>
        <v>589089.54905788193</v>
      </c>
      <c r="AA232" s="97">
        <f t="shared" si="45"/>
        <v>666378.09789427603</v>
      </c>
    </row>
    <row r="233" spans="1:27" x14ac:dyDescent="0.25">
      <c r="A233" s="102" t="s">
        <v>711</v>
      </c>
      <c r="B233" s="87" t="s">
        <v>712</v>
      </c>
      <c r="C233" s="88" t="s">
        <v>226</v>
      </c>
      <c r="D233" s="89" t="s">
        <v>4</v>
      </c>
      <c r="E233" s="90">
        <f t="shared" si="48"/>
        <v>602999</v>
      </c>
      <c r="F233" s="90">
        <f t="shared" si="46"/>
        <v>506721.64586647827</v>
      </c>
      <c r="G233" s="91">
        <v>0.19</v>
      </c>
      <c r="H233" s="91" t="s">
        <v>228</v>
      </c>
      <c r="I233" s="91"/>
      <c r="J233" s="91"/>
      <c r="K233" s="91" t="s">
        <v>228</v>
      </c>
      <c r="L233" s="92" t="s">
        <v>302</v>
      </c>
      <c r="M233" s="91" t="str">
        <f t="shared" ref="M233:M264" si="49">+IF(L233="no aplica","no aplica","VER ARCHIVO ANEXO")</f>
        <v>no aplica</v>
      </c>
      <c r="N233" s="93">
        <v>41608</v>
      </c>
      <c r="O233" s="94"/>
      <c r="P233" s="94"/>
      <c r="Q233" s="94">
        <v>224</v>
      </c>
      <c r="R233" s="95">
        <f t="shared" si="38"/>
        <v>506721.64586647827</v>
      </c>
      <c r="S233" s="94">
        <v>331601.08379999996</v>
      </c>
      <c r="T233" s="94">
        <f t="shared" si="39"/>
        <v>354050.47717326001</v>
      </c>
      <c r="U233" s="94">
        <f t="shared" si="40"/>
        <v>374408.37961072248</v>
      </c>
      <c r="V233" s="94">
        <f t="shared" si="41"/>
        <v>389721.68233680102</v>
      </c>
      <c r="W233" s="97">
        <f t="shared" si="42"/>
        <v>402114.83183511131</v>
      </c>
      <c r="X233" s="97">
        <f t="shared" si="43"/>
        <v>417395.19544484554</v>
      </c>
      <c r="Y233" s="97">
        <f t="shared" si="47"/>
        <v>424115.25809150754</v>
      </c>
      <c r="Z233" s="97">
        <f t="shared" si="44"/>
        <v>447950.53559625027</v>
      </c>
      <c r="AA233" s="97">
        <f t="shared" si="45"/>
        <v>506721.64586647827</v>
      </c>
    </row>
    <row r="234" spans="1:27" x14ac:dyDescent="0.25">
      <c r="A234" s="102" t="s">
        <v>713</v>
      </c>
      <c r="B234" s="87" t="s">
        <v>714</v>
      </c>
      <c r="C234" s="88" t="s">
        <v>226</v>
      </c>
      <c r="D234" s="89" t="s">
        <v>4</v>
      </c>
      <c r="E234" s="90">
        <f t="shared" si="48"/>
        <v>594266</v>
      </c>
      <c r="F234" s="90">
        <f t="shared" si="46"/>
        <v>499382.81261504942</v>
      </c>
      <c r="G234" s="91">
        <v>0.19</v>
      </c>
      <c r="H234" s="91" t="s">
        <v>228</v>
      </c>
      <c r="I234" s="91"/>
      <c r="J234" s="91"/>
      <c r="K234" s="91" t="s">
        <v>228</v>
      </c>
      <c r="L234" s="92" t="s">
        <v>302</v>
      </c>
      <c r="M234" s="91" t="str">
        <f t="shared" si="49"/>
        <v>no aplica</v>
      </c>
      <c r="N234" s="93">
        <v>41608</v>
      </c>
      <c r="O234" s="94"/>
      <c r="P234" s="94"/>
      <c r="Q234" s="94">
        <v>225</v>
      </c>
      <c r="R234" s="95">
        <f t="shared" si="38"/>
        <v>499382.81261504942</v>
      </c>
      <c r="S234" s="94">
        <v>326798.516</v>
      </c>
      <c r="T234" s="94">
        <f t="shared" si="39"/>
        <v>348922.77553320001</v>
      </c>
      <c r="U234" s="94">
        <f t="shared" si="40"/>
        <v>368985.83512635907</v>
      </c>
      <c r="V234" s="94">
        <f t="shared" si="41"/>
        <v>384077.35578302713</v>
      </c>
      <c r="W234" s="97">
        <f t="shared" si="42"/>
        <v>396291.01569692744</v>
      </c>
      <c r="X234" s="97">
        <f t="shared" si="43"/>
        <v>411350.0742934107</v>
      </c>
      <c r="Y234" s="97">
        <f t="shared" si="47"/>
        <v>417972.81048953463</v>
      </c>
      <c r="Z234" s="97">
        <f t="shared" si="44"/>
        <v>441462.88243904652</v>
      </c>
      <c r="AA234" s="97">
        <f t="shared" si="45"/>
        <v>499382.81261504942</v>
      </c>
    </row>
    <row r="235" spans="1:27" x14ac:dyDescent="0.25">
      <c r="A235" s="102" t="s">
        <v>715</v>
      </c>
      <c r="B235" s="87" t="s">
        <v>716</v>
      </c>
      <c r="C235" s="88" t="s">
        <v>226</v>
      </c>
      <c r="D235" s="89" t="s">
        <v>4</v>
      </c>
      <c r="E235" s="90">
        <f t="shared" si="48"/>
        <v>602999</v>
      </c>
      <c r="F235" s="90">
        <f t="shared" si="46"/>
        <v>506721.64586647827</v>
      </c>
      <c r="G235" s="91">
        <v>0.19</v>
      </c>
      <c r="H235" s="91" t="s">
        <v>228</v>
      </c>
      <c r="I235" s="91"/>
      <c r="J235" s="91"/>
      <c r="K235" s="91" t="s">
        <v>228</v>
      </c>
      <c r="L235" s="92" t="s">
        <v>302</v>
      </c>
      <c r="M235" s="91" t="str">
        <f t="shared" si="49"/>
        <v>no aplica</v>
      </c>
      <c r="N235" s="93">
        <v>41608</v>
      </c>
      <c r="O235" s="94"/>
      <c r="P235" s="94"/>
      <c r="Q235" s="94">
        <v>226</v>
      </c>
      <c r="R235" s="95">
        <f t="shared" si="38"/>
        <v>506721.64586647827</v>
      </c>
      <c r="S235" s="94">
        <v>331601.08379999996</v>
      </c>
      <c r="T235" s="94">
        <f t="shared" si="39"/>
        <v>354050.47717326001</v>
      </c>
      <c r="U235" s="94">
        <f t="shared" si="40"/>
        <v>374408.37961072248</v>
      </c>
      <c r="V235" s="94">
        <f t="shared" si="41"/>
        <v>389721.68233680102</v>
      </c>
      <c r="W235" s="97">
        <f t="shared" si="42"/>
        <v>402114.83183511131</v>
      </c>
      <c r="X235" s="97">
        <f t="shared" si="43"/>
        <v>417395.19544484554</v>
      </c>
      <c r="Y235" s="97">
        <f t="shared" si="47"/>
        <v>424115.25809150754</v>
      </c>
      <c r="Z235" s="97">
        <f t="shared" si="44"/>
        <v>447950.53559625027</v>
      </c>
      <c r="AA235" s="97">
        <f t="shared" si="45"/>
        <v>506721.64586647827</v>
      </c>
    </row>
    <row r="236" spans="1:27" x14ac:dyDescent="0.25">
      <c r="A236" s="102" t="s">
        <v>717</v>
      </c>
      <c r="B236" s="87" t="s">
        <v>718</v>
      </c>
      <c r="C236" s="88" t="s">
        <v>226</v>
      </c>
      <c r="D236" s="89" t="s">
        <v>4</v>
      </c>
      <c r="E236" s="90">
        <f t="shared" si="48"/>
        <v>594266</v>
      </c>
      <c r="F236" s="90">
        <f t="shared" si="46"/>
        <v>499382.81261504942</v>
      </c>
      <c r="G236" s="91">
        <v>0.19</v>
      </c>
      <c r="H236" s="91" t="s">
        <v>228</v>
      </c>
      <c r="I236" s="91"/>
      <c r="J236" s="91"/>
      <c r="K236" s="91" t="s">
        <v>228</v>
      </c>
      <c r="L236" s="92" t="s">
        <v>302</v>
      </c>
      <c r="M236" s="91" t="str">
        <f t="shared" si="49"/>
        <v>no aplica</v>
      </c>
      <c r="N236" s="93">
        <v>41608</v>
      </c>
      <c r="O236" s="94"/>
      <c r="P236" s="94"/>
      <c r="Q236" s="94">
        <v>227</v>
      </c>
      <c r="R236" s="95">
        <f t="shared" si="38"/>
        <v>499382.81261504942</v>
      </c>
      <c r="S236" s="94">
        <v>326798.516</v>
      </c>
      <c r="T236" s="94">
        <f t="shared" si="39"/>
        <v>348922.77553320001</v>
      </c>
      <c r="U236" s="94">
        <f t="shared" si="40"/>
        <v>368985.83512635907</v>
      </c>
      <c r="V236" s="94">
        <f t="shared" si="41"/>
        <v>384077.35578302713</v>
      </c>
      <c r="W236" s="97">
        <f t="shared" si="42"/>
        <v>396291.01569692744</v>
      </c>
      <c r="X236" s="97">
        <f t="shared" si="43"/>
        <v>411350.0742934107</v>
      </c>
      <c r="Y236" s="97">
        <f t="shared" si="47"/>
        <v>417972.81048953463</v>
      </c>
      <c r="Z236" s="97">
        <f t="shared" si="44"/>
        <v>441462.88243904652</v>
      </c>
      <c r="AA236" s="97">
        <f t="shared" si="45"/>
        <v>499382.81261504942</v>
      </c>
    </row>
    <row r="237" spans="1:27" x14ac:dyDescent="0.25">
      <c r="A237" s="102" t="s">
        <v>719</v>
      </c>
      <c r="B237" s="87" t="s">
        <v>720</v>
      </c>
      <c r="C237" s="88" t="s">
        <v>226</v>
      </c>
      <c r="D237" s="89" t="s">
        <v>4</v>
      </c>
      <c r="E237" s="90">
        <f t="shared" si="48"/>
        <v>528422</v>
      </c>
      <c r="F237" s="90">
        <f t="shared" si="46"/>
        <v>444052.47687742428</v>
      </c>
      <c r="G237" s="91">
        <v>0.19</v>
      </c>
      <c r="H237" s="91" t="s">
        <v>228</v>
      </c>
      <c r="I237" s="91"/>
      <c r="J237" s="91"/>
      <c r="K237" s="91" t="s">
        <v>228</v>
      </c>
      <c r="L237" s="92" t="s">
        <v>302</v>
      </c>
      <c r="M237" s="91" t="str">
        <f t="shared" si="49"/>
        <v>no aplica</v>
      </c>
      <c r="N237" s="93">
        <v>41608</v>
      </c>
      <c r="O237" s="94"/>
      <c r="P237" s="94"/>
      <c r="Q237" s="94">
        <v>228</v>
      </c>
      <c r="R237" s="95">
        <f t="shared" si="38"/>
        <v>444052.47687742428</v>
      </c>
      <c r="S237" s="94">
        <v>290590.07799999998</v>
      </c>
      <c r="T237" s="94">
        <f t="shared" si="39"/>
        <v>310263.0262806</v>
      </c>
      <c r="U237" s="94">
        <f t="shared" si="40"/>
        <v>328103.15029173455</v>
      </c>
      <c r="V237" s="94">
        <f t="shared" si="41"/>
        <v>341522.5691386665</v>
      </c>
      <c r="W237" s="97">
        <f t="shared" si="42"/>
        <v>352382.98683727608</v>
      </c>
      <c r="X237" s="97">
        <f t="shared" si="43"/>
        <v>365773.54033709259</v>
      </c>
      <c r="Y237" s="97">
        <f t="shared" si="47"/>
        <v>371662.4943365198</v>
      </c>
      <c r="Z237" s="97">
        <f t="shared" si="44"/>
        <v>392549.92651823221</v>
      </c>
      <c r="AA237" s="97">
        <f t="shared" si="45"/>
        <v>444052.47687742428</v>
      </c>
    </row>
    <row r="238" spans="1:27" x14ac:dyDescent="0.25">
      <c r="A238" s="102" t="s">
        <v>721</v>
      </c>
      <c r="B238" s="87" t="s">
        <v>722</v>
      </c>
      <c r="C238" s="88" t="s">
        <v>226</v>
      </c>
      <c r="D238" s="89" t="s">
        <v>4</v>
      </c>
      <c r="E238" s="90">
        <f t="shared" si="48"/>
        <v>528422</v>
      </c>
      <c r="F238" s="90">
        <f t="shared" si="46"/>
        <v>444052.47687742428</v>
      </c>
      <c r="G238" s="91">
        <v>0.19</v>
      </c>
      <c r="H238" s="91" t="s">
        <v>228</v>
      </c>
      <c r="I238" s="91"/>
      <c r="J238" s="91"/>
      <c r="K238" s="91" t="s">
        <v>228</v>
      </c>
      <c r="L238" s="92" t="s">
        <v>302</v>
      </c>
      <c r="M238" s="91" t="str">
        <f t="shared" si="49"/>
        <v>no aplica</v>
      </c>
      <c r="N238" s="93">
        <v>41608</v>
      </c>
      <c r="O238" s="94"/>
      <c r="P238" s="94"/>
      <c r="Q238" s="94">
        <v>229</v>
      </c>
      <c r="R238" s="95">
        <f t="shared" si="38"/>
        <v>444052.47687742428</v>
      </c>
      <c r="S238" s="94">
        <v>290590.07799999998</v>
      </c>
      <c r="T238" s="94">
        <f t="shared" si="39"/>
        <v>310263.0262806</v>
      </c>
      <c r="U238" s="94">
        <f t="shared" si="40"/>
        <v>328103.15029173455</v>
      </c>
      <c r="V238" s="94">
        <f t="shared" si="41"/>
        <v>341522.5691386665</v>
      </c>
      <c r="W238" s="97">
        <f t="shared" si="42"/>
        <v>352382.98683727608</v>
      </c>
      <c r="X238" s="97">
        <f t="shared" si="43"/>
        <v>365773.54033709259</v>
      </c>
      <c r="Y238" s="97">
        <f t="shared" si="47"/>
        <v>371662.4943365198</v>
      </c>
      <c r="Z238" s="97">
        <f t="shared" si="44"/>
        <v>392549.92651823221</v>
      </c>
      <c r="AA238" s="97">
        <f t="shared" si="45"/>
        <v>444052.47687742428</v>
      </c>
    </row>
    <row r="239" spans="1:27" x14ac:dyDescent="0.25">
      <c r="A239" s="102" t="s">
        <v>723</v>
      </c>
      <c r="B239" s="87" t="s">
        <v>724</v>
      </c>
      <c r="C239" s="88" t="s">
        <v>226</v>
      </c>
      <c r="D239" s="89" t="s">
        <v>255</v>
      </c>
      <c r="E239" s="90">
        <f t="shared" si="48"/>
        <v>257075</v>
      </c>
      <c r="F239" s="90">
        <f t="shared" si="46"/>
        <v>216029.08266709326</v>
      </c>
      <c r="G239" s="91">
        <v>0.19</v>
      </c>
      <c r="H239" s="91" t="s">
        <v>228</v>
      </c>
      <c r="I239" s="91"/>
      <c r="J239" s="91"/>
      <c r="K239" s="91" t="s">
        <v>228</v>
      </c>
      <c r="L239" s="92" t="s">
        <v>302</v>
      </c>
      <c r="M239" s="91" t="str">
        <f t="shared" si="49"/>
        <v>no aplica</v>
      </c>
      <c r="N239" s="93">
        <v>41608</v>
      </c>
      <c r="O239" s="94"/>
      <c r="P239" s="94"/>
      <c r="Q239" s="94">
        <v>230</v>
      </c>
      <c r="R239" s="95">
        <f t="shared" si="38"/>
        <v>216029.08266709326</v>
      </c>
      <c r="S239" s="94">
        <v>141370.47140000001</v>
      </c>
      <c r="T239" s="94">
        <f t="shared" si="39"/>
        <v>150941.25231378002</v>
      </c>
      <c r="U239" s="94">
        <f t="shared" si="40"/>
        <v>159620.3743218224</v>
      </c>
      <c r="V239" s="94">
        <f t="shared" si="41"/>
        <v>166148.84763158491</v>
      </c>
      <c r="W239" s="97">
        <f t="shared" si="42"/>
        <v>171432.38098626933</v>
      </c>
      <c r="X239" s="97">
        <f t="shared" si="43"/>
        <v>177946.81146374758</v>
      </c>
      <c r="Y239" s="97">
        <f t="shared" si="47"/>
        <v>180811.7551283139</v>
      </c>
      <c r="Z239" s="97">
        <f t="shared" si="44"/>
        <v>190973.37576652516</v>
      </c>
      <c r="AA239" s="97">
        <f t="shared" si="45"/>
        <v>216029.08266709326</v>
      </c>
    </row>
    <row r="240" spans="1:27" x14ac:dyDescent="0.25">
      <c r="A240" s="102" t="s">
        <v>725</v>
      </c>
      <c r="B240" s="87" t="s">
        <v>726</v>
      </c>
      <c r="C240" s="88" t="s">
        <v>226</v>
      </c>
      <c r="D240" s="89" t="s">
        <v>262</v>
      </c>
      <c r="E240" s="90">
        <f t="shared" si="48"/>
        <v>68552</v>
      </c>
      <c r="F240" s="90">
        <f t="shared" si="46"/>
        <v>57606.593752367888</v>
      </c>
      <c r="G240" s="91">
        <v>0.19</v>
      </c>
      <c r="H240" s="91" t="s">
        <v>228</v>
      </c>
      <c r="I240" s="91"/>
      <c r="J240" s="91"/>
      <c r="K240" s="91" t="s">
        <v>228</v>
      </c>
      <c r="L240" s="92" t="s">
        <v>229</v>
      </c>
      <c r="M240" s="91" t="str">
        <f t="shared" si="49"/>
        <v>VER ARCHIVO ANEXO</v>
      </c>
      <c r="N240" s="93">
        <v>41608</v>
      </c>
      <c r="O240" s="94"/>
      <c r="P240" s="94"/>
      <c r="Q240" s="94">
        <v>231</v>
      </c>
      <c r="R240" s="95">
        <f t="shared" si="38"/>
        <v>57606.593752367888</v>
      </c>
      <c r="S240" s="94">
        <v>37698.032200000001</v>
      </c>
      <c r="T240" s="94">
        <f t="shared" si="39"/>
        <v>40250.188979940009</v>
      </c>
      <c r="U240" s="94">
        <f t="shared" si="40"/>
        <v>42564.574846286567</v>
      </c>
      <c r="V240" s="94">
        <f t="shared" si="41"/>
        <v>44305.465957499684</v>
      </c>
      <c r="W240" s="97">
        <f t="shared" si="42"/>
        <v>45714.379774948175</v>
      </c>
      <c r="X240" s="97">
        <f t="shared" si="43"/>
        <v>47451.526206396207</v>
      </c>
      <c r="Y240" s="97">
        <f t="shared" si="47"/>
        <v>48215.495778319186</v>
      </c>
      <c r="Z240" s="97">
        <f t="shared" si="44"/>
        <v>50925.206641060722</v>
      </c>
      <c r="AA240" s="97">
        <f t="shared" si="45"/>
        <v>57606.593752367888</v>
      </c>
    </row>
    <row r="241" spans="1:27" x14ac:dyDescent="0.25">
      <c r="A241" s="102" t="s">
        <v>727</v>
      </c>
      <c r="B241" s="87" t="s">
        <v>728</v>
      </c>
      <c r="C241" s="88" t="s">
        <v>226</v>
      </c>
      <c r="D241" s="89" t="s">
        <v>262</v>
      </c>
      <c r="E241" s="90">
        <f t="shared" si="48"/>
        <v>191948</v>
      </c>
      <c r="F241" s="90">
        <f t="shared" si="46"/>
        <v>161300.68015535697</v>
      </c>
      <c r="G241" s="91">
        <v>0.19</v>
      </c>
      <c r="H241" s="91" t="s">
        <v>228</v>
      </c>
      <c r="I241" s="91"/>
      <c r="J241" s="91"/>
      <c r="K241" s="91" t="s">
        <v>228</v>
      </c>
      <c r="L241" s="92" t="s">
        <v>606</v>
      </c>
      <c r="M241" s="91" t="str">
        <f t="shared" si="49"/>
        <v>VER ARCHIVO ANEXO</v>
      </c>
      <c r="N241" s="93">
        <v>41608</v>
      </c>
      <c r="O241" s="94"/>
      <c r="P241" s="94"/>
      <c r="Q241" s="94">
        <v>232</v>
      </c>
      <c r="R241" s="95">
        <f t="shared" si="38"/>
        <v>161300.68015535697</v>
      </c>
      <c r="S241" s="94">
        <v>105555.9414</v>
      </c>
      <c r="T241" s="94">
        <f t="shared" si="39"/>
        <v>112702.07863278</v>
      </c>
      <c r="U241" s="94">
        <f t="shared" si="40"/>
        <v>119182.44815416486</v>
      </c>
      <c r="V241" s="94">
        <f t="shared" si="41"/>
        <v>124057.01028367018</v>
      </c>
      <c r="W241" s="97">
        <f t="shared" si="42"/>
        <v>128002.02321069091</v>
      </c>
      <c r="X241" s="97">
        <f t="shared" si="43"/>
        <v>132866.10009269716</v>
      </c>
      <c r="Y241" s="97">
        <f t="shared" si="47"/>
        <v>135005.24430418957</v>
      </c>
      <c r="Z241" s="97">
        <f t="shared" si="44"/>
        <v>142592.53903408503</v>
      </c>
      <c r="AA241" s="97">
        <f t="shared" si="45"/>
        <v>161300.68015535697</v>
      </c>
    </row>
    <row r="242" spans="1:27" x14ac:dyDescent="0.25">
      <c r="A242" s="102" t="s">
        <v>729</v>
      </c>
      <c r="B242" s="87" t="s">
        <v>730</v>
      </c>
      <c r="C242" s="88" t="s">
        <v>226</v>
      </c>
      <c r="D242" s="89" t="s">
        <v>262</v>
      </c>
      <c r="E242" s="90">
        <f t="shared" si="48"/>
        <v>305284</v>
      </c>
      <c r="F242" s="90">
        <f t="shared" si="46"/>
        <v>256540.77280421779</v>
      </c>
      <c r="G242" s="91">
        <v>0.19</v>
      </c>
      <c r="H242" s="91" t="s">
        <v>228</v>
      </c>
      <c r="I242" s="91"/>
      <c r="J242" s="91"/>
      <c r="K242" s="91" t="s">
        <v>228</v>
      </c>
      <c r="L242" s="92" t="s">
        <v>731</v>
      </c>
      <c r="M242" s="91" t="str">
        <f t="shared" si="49"/>
        <v>VER ARCHIVO ANEXO</v>
      </c>
      <c r="N242" s="93">
        <v>41608</v>
      </c>
      <c r="O242" s="94"/>
      <c r="P242" s="94"/>
      <c r="Q242" s="94">
        <v>233</v>
      </c>
      <c r="R242" s="95">
        <f t="shared" si="38"/>
        <v>256540.77280421779</v>
      </c>
      <c r="S242" s="94">
        <v>167881.51639999999</v>
      </c>
      <c r="T242" s="94">
        <f t="shared" si="39"/>
        <v>179247.09506028</v>
      </c>
      <c r="U242" s="94">
        <f t="shared" si="40"/>
        <v>189553.80302624611</v>
      </c>
      <c r="V242" s="94">
        <f t="shared" si="41"/>
        <v>197306.55357001958</v>
      </c>
      <c r="W242" s="97">
        <f t="shared" si="42"/>
        <v>203580.90197354622</v>
      </c>
      <c r="X242" s="97">
        <f t="shared" si="43"/>
        <v>211316.97624854097</v>
      </c>
      <c r="Y242" s="97">
        <f t="shared" si="47"/>
        <v>214719.1795661425</v>
      </c>
      <c r="Z242" s="97">
        <f t="shared" si="44"/>
        <v>226786.39745775971</v>
      </c>
      <c r="AA242" s="97">
        <f t="shared" si="45"/>
        <v>256540.77280421779</v>
      </c>
    </row>
    <row r="243" spans="1:27" x14ac:dyDescent="0.25">
      <c r="A243" s="102" t="s">
        <v>732</v>
      </c>
      <c r="B243" s="87" t="s">
        <v>733</v>
      </c>
      <c r="C243" s="88" t="s">
        <v>226</v>
      </c>
      <c r="D243" s="89" t="s">
        <v>262</v>
      </c>
      <c r="E243" s="90">
        <f t="shared" si="48"/>
        <v>335483</v>
      </c>
      <c r="F243" s="90">
        <f t="shared" si="46"/>
        <v>281918.59441465267</v>
      </c>
      <c r="G243" s="91">
        <v>0.19</v>
      </c>
      <c r="H243" s="91" t="s">
        <v>228</v>
      </c>
      <c r="I243" s="91"/>
      <c r="J243" s="91"/>
      <c r="K243" s="91" t="s">
        <v>228</v>
      </c>
      <c r="L243" s="92" t="s">
        <v>731</v>
      </c>
      <c r="M243" s="91" t="str">
        <f t="shared" si="49"/>
        <v>VER ARCHIVO ANEXO</v>
      </c>
      <c r="N243" s="93">
        <v>41608</v>
      </c>
      <c r="O243" s="94"/>
      <c r="P243" s="94"/>
      <c r="Q243" s="94">
        <v>234</v>
      </c>
      <c r="R243" s="95">
        <f t="shared" si="38"/>
        <v>281918.59441465267</v>
      </c>
      <c r="S243" s="94">
        <v>184488.88499999998</v>
      </c>
      <c r="T243" s="94">
        <f t="shared" si="39"/>
        <v>196978.7825145</v>
      </c>
      <c r="U243" s="94">
        <f t="shared" si="40"/>
        <v>208305.06250908377</v>
      </c>
      <c r="V243" s="94">
        <f t="shared" si="41"/>
        <v>216824.7395657053</v>
      </c>
      <c r="W243" s="97">
        <f t="shared" si="42"/>
        <v>223719.76628389474</v>
      </c>
      <c r="X243" s="97">
        <f t="shared" si="43"/>
        <v>232221.11740268275</v>
      </c>
      <c r="Y243" s="97">
        <f t="shared" si="47"/>
        <v>235959.87739286595</v>
      </c>
      <c r="Z243" s="97">
        <f t="shared" si="44"/>
        <v>249220.82250234502</v>
      </c>
      <c r="AA243" s="97">
        <f t="shared" si="45"/>
        <v>281918.59441465267</v>
      </c>
    </row>
    <row r="244" spans="1:27" x14ac:dyDescent="0.25">
      <c r="A244" s="102" t="s">
        <v>734</v>
      </c>
      <c r="B244" s="87" t="s">
        <v>735</v>
      </c>
      <c r="C244" s="88" t="s">
        <v>226</v>
      </c>
      <c r="D244" s="89" t="s">
        <v>255</v>
      </c>
      <c r="E244" s="90">
        <f t="shared" si="48"/>
        <v>6083</v>
      </c>
      <c r="F244" s="90">
        <f t="shared" si="46"/>
        <v>5111.6803156403093</v>
      </c>
      <c r="G244" s="91">
        <v>0.19</v>
      </c>
      <c r="H244" s="91" t="s">
        <v>228</v>
      </c>
      <c r="I244" s="91"/>
      <c r="J244" s="91"/>
      <c r="K244" s="91" t="s">
        <v>228</v>
      </c>
      <c r="L244" s="92" t="s">
        <v>286</v>
      </c>
      <c r="M244" s="91" t="str">
        <f t="shared" si="49"/>
        <v>VER ARCHIVO ANEXO</v>
      </c>
      <c r="N244" s="93">
        <v>41608</v>
      </c>
      <c r="O244" s="94"/>
      <c r="P244" s="94"/>
      <c r="Q244" s="94">
        <v>235</v>
      </c>
      <c r="R244" s="95">
        <f t="shared" si="38"/>
        <v>5111.6803156403093</v>
      </c>
      <c r="S244" s="94">
        <v>3345.1081999999997</v>
      </c>
      <c r="T244" s="94">
        <f t="shared" si="39"/>
        <v>3571.5720251399998</v>
      </c>
      <c r="U244" s="94">
        <f t="shared" si="40"/>
        <v>3776.9374165855502</v>
      </c>
      <c r="V244" s="94">
        <f t="shared" si="41"/>
        <v>3931.4141569238991</v>
      </c>
      <c r="W244" s="97">
        <f t="shared" si="42"/>
        <v>4056.4331271140791</v>
      </c>
      <c r="X244" s="97">
        <f t="shared" si="43"/>
        <v>4210.5775859444138</v>
      </c>
      <c r="Y244" s="97">
        <f t="shared" si="47"/>
        <v>4278.3678850781189</v>
      </c>
      <c r="Z244" s="97">
        <f t="shared" si="44"/>
        <v>4518.8121602195097</v>
      </c>
      <c r="AA244" s="97">
        <f t="shared" si="45"/>
        <v>5111.6803156403093</v>
      </c>
    </row>
    <row r="245" spans="1:27" x14ac:dyDescent="0.25">
      <c r="A245" s="102" t="s">
        <v>736</v>
      </c>
      <c r="B245" s="87" t="s">
        <v>737</v>
      </c>
      <c r="C245" s="88" t="s">
        <v>226</v>
      </c>
      <c r="D245" s="89" t="s">
        <v>255</v>
      </c>
      <c r="E245" s="90">
        <f t="shared" si="48"/>
        <v>13913</v>
      </c>
      <c r="F245" s="90">
        <f t="shared" si="46"/>
        <v>11691.76089548842</v>
      </c>
      <c r="G245" s="91">
        <v>0.19</v>
      </c>
      <c r="H245" s="91" t="s">
        <v>228</v>
      </c>
      <c r="I245" s="91"/>
      <c r="J245" s="91"/>
      <c r="K245" s="91" t="s">
        <v>228</v>
      </c>
      <c r="L245" s="92" t="s">
        <v>286</v>
      </c>
      <c r="M245" s="91" t="str">
        <f t="shared" si="49"/>
        <v>VER ARCHIVO ANEXO</v>
      </c>
      <c r="N245" s="93">
        <v>41608</v>
      </c>
      <c r="O245" s="94"/>
      <c r="P245" s="94"/>
      <c r="Q245" s="94">
        <v>236</v>
      </c>
      <c r="R245" s="95">
        <f t="shared" si="38"/>
        <v>11691.76089548842</v>
      </c>
      <c r="S245" s="94">
        <v>7651.1445999999996</v>
      </c>
      <c r="T245" s="94">
        <f t="shared" si="39"/>
        <v>8169.1270894200006</v>
      </c>
      <c r="U245" s="94">
        <f t="shared" si="40"/>
        <v>8638.8518970616515</v>
      </c>
      <c r="V245" s="94">
        <f t="shared" si="41"/>
        <v>8992.1809396514727</v>
      </c>
      <c r="W245" s="97">
        <f t="shared" si="42"/>
        <v>9278.1322935323897</v>
      </c>
      <c r="X245" s="97">
        <f t="shared" si="43"/>
        <v>9630.7013206866213</v>
      </c>
      <c r="Y245" s="97">
        <f t="shared" si="47"/>
        <v>9785.7556119496767</v>
      </c>
      <c r="Z245" s="97">
        <f t="shared" si="44"/>
        <v>10335.715077341249</v>
      </c>
      <c r="AA245" s="97">
        <f t="shared" si="45"/>
        <v>11691.76089548842</v>
      </c>
    </row>
    <row r="246" spans="1:27" x14ac:dyDescent="0.25">
      <c r="A246" s="102" t="s">
        <v>738</v>
      </c>
      <c r="B246" s="87" t="s">
        <v>739</v>
      </c>
      <c r="C246" s="88" t="s">
        <v>226</v>
      </c>
      <c r="D246" s="89" t="s">
        <v>255</v>
      </c>
      <c r="E246" s="90">
        <f t="shared" si="48"/>
        <v>52780</v>
      </c>
      <c r="F246" s="90">
        <f t="shared" si="46"/>
        <v>44352.974539178402</v>
      </c>
      <c r="G246" s="91">
        <v>0.19</v>
      </c>
      <c r="H246" s="91" t="s">
        <v>228</v>
      </c>
      <c r="I246" s="91"/>
      <c r="J246" s="91"/>
      <c r="K246" s="91" t="s">
        <v>228</v>
      </c>
      <c r="L246" s="92" t="s">
        <v>286</v>
      </c>
      <c r="M246" s="91" t="str">
        <f t="shared" si="49"/>
        <v>VER ARCHIVO ANEXO</v>
      </c>
      <c r="N246" s="93">
        <v>41608</v>
      </c>
      <c r="O246" s="94"/>
      <c r="P246" s="94"/>
      <c r="Q246" s="94">
        <v>237</v>
      </c>
      <c r="R246" s="95">
        <f t="shared" si="38"/>
        <v>44352.974539178402</v>
      </c>
      <c r="S246" s="94">
        <v>29024.799999999999</v>
      </c>
      <c r="T246" s="94">
        <f t="shared" si="39"/>
        <v>30989.778960000003</v>
      </c>
      <c r="U246" s="94">
        <f t="shared" si="40"/>
        <v>32771.691250200005</v>
      </c>
      <c r="V246" s="94">
        <f t="shared" si="41"/>
        <v>34112.053422333185</v>
      </c>
      <c r="W246" s="97">
        <f t="shared" si="42"/>
        <v>35196.816721163384</v>
      </c>
      <c r="X246" s="97">
        <f t="shared" si="43"/>
        <v>36534.295756567597</v>
      </c>
      <c r="Y246" s="97">
        <f t="shared" si="47"/>
        <v>37122.497918248337</v>
      </c>
      <c r="Z246" s="97">
        <f t="shared" si="44"/>
        <v>39208.782301253894</v>
      </c>
      <c r="AA246" s="97">
        <f t="shared" si="45"/>
        <v>44352.974539178402</v>
      </c>
    </row>
    <row r="247" spans="1:27" x14ac:dyDescent="0.25">
      <c r="A247" s="102" t="s">
        <v>740</v>
      </c>
      <c r="B247" s="87" t="s">
        <v>741</v>
      </c>
      <c r="C247" s="88" t="s">
        <v>226</v>
      </c>
      <c r="D247" s="89" t="s">
        <v>255</v>
      </c>
      <c r="E247" s="90">
        <f t="shared" si="48"/>
        <v>81055</v>
      </c>
      <c r="F247" s="90">
        <f t="shared" si="46"/>
        <v>68113.496613738243</v>
      </c>
      <c r="G247" s="91">
        <v>0.19</v>
      </c>
      <c r="H247" s="91" t="s">
        <v>228</v>
      </c>
      <c r="I247" s="91"/>
      <c r="J247" s="91"/>
      <c r="K247" s="91" t="s">
        <v>228</v>
      </c>
      <c r="L247" s="92" t="s">
        <v>286</v>
      </c>
      <c r="M247" s="91" t="str">
        <f t="shared" si="49"/>
        <v>VER ARCHIVO ANEXO</v>
      </c>
      <c r="N247" s="93">
        <v>41608</v>
      </c>
      <c r="O247" s="94"/>
      <c r="P247" s="94"/>
      <c r="Q247" s="94">
        <v>238</v>
      </c>
      <c r="R247" s="95">
        <f t="shared" si="38"/>
        <v>68113.496613738243</v>
      </c>
      <c r="S247" s="94">
        <v>44573.799999999996</v>
      </c>
      <c r="T247" s="94">
        <f t="shared" si="39"/>
        <v>47591.446259999997</v>
      </c>
      <c r="U247" s="94">
        <f t="shared" si="40"/>
        <v>50327.954419950001</v>
      </c>
      <c r="V247" s="94">
        <f t="shared" si="41"/>
        <v>52386.367755725951</v>
      </c>
      <c r="W247" s="97">
        <f t="shared" si="42"/>
        <v>54052.254250358041</v>
      </c>
      <c r="X247" s="97">
        <f t="shared" si="43"/>
        <v>56106.239911871649</v>
      </c>
      <c r="Y247" s="97">
        <f t="shared" si="47"/>
        <v>57009.550374452781</v>
      </c>
      <c r="Z247" s="97">
        <f t="shared" si="44"/>
        <v>60213.487105497028</v>
      </c>
      <c r="AA247" s="97">
        <f t="shared" si="45"/>
        <v>68113.496613738243</v>
      </c>
    </row>
    <row r="248" spans="1:27" x14ac:dyDescent="0.25">
      <c r="A248" s="102" t="s">
        <v>742</v>
      </c>
      <c r="B248" s="87" t="s">
        <v>743</v>
      </c>
      <c r="C248" s="88" t="s">
        <v>226</v>
      </c>
      <c r="D248" s="89" t="s">
        <v>255</v>
      </c>
      <c r="E248" s="90">
        <f t="shared" si="48"/>
        <v>16400</v>
      </c>
      <c r="F248" s="90">
        <f t="shared" si="46"/>
        <v>13781.102803244718</v>
      </c>
      <c r="G248" s="91">
        <v>0.19</v>
      </c>
      <c r="H248" s="91" t="s">
        <v>228</v>
      </c>
      <c r="I248" s="91"/>
      <c r="J248" s="91"/>
      <c r="K248" s="91" t="s">
        <v>228</v>
      </c>
      <c r="L248" s="92" t="s">
        <v>229</v>
      </c>
      <c r="M248" s="91" t="str">
        <f t="shared" si="49"/>
        <v>VER ARCHIVO ANEXO</v>
      </c>
      <c r="N248" s="93">
        <v>41608</v>
      </c>
      <c r="O248" s="94"/>
      <c r="P248" s="94"/>
      <c r="Q248" s="94">
        <v>239</v>
      </c>
      <c r="R248" s="95">
        <f t="shared" si="38"/>
        <v>13781.102803244718</v>
      </c>
      <c r="S248" s="94">
        <v>9018.42</v>
      </c>
      <c r="T248" s="94">
        <f t="shared" si="39"/>
        <v>9628.9670340000011</v>
      </c>
      <c r="U248" s="94">
        <f t="shared" si="40"/>
        <v>10182.632638455003</v>
      </c>
      <c r="V248" s="94">
        <f t="shared" si="41"/>
        <v>10599.102313367812</v>
      </c>
      <c r="W248" s="97">
        <f t="shared" si="42"/>
        <v>10936.153766932908</v>
      </c>
      <c r="X248" s="97">
        <f t="shared" si="43"/>
        <v>11351.727610076359</v>
      </c>
      <c r="Y248" s="97">
        <f t="shared" si="47"/>
        <v>11534.490424598589</v>
      </c>
      <c r="Z248" s="97">
        <f t="shared" si="44"/>
        <v>12182.72878646103</v>
      </c>
      <c r="AA248" s="97">
        <f t="shared" si="45"/>
        <v>13781.102803244718</v>
      </c>
    </row>
    <row r="249" spans="1:27" x14ac:dyDescent="0.25">
      <c r="A249" s="102" t="s">
        <v>744</v>
      </c>
      <c r="B249" s="98" t="s">
        <v>745</v>
      </c>
      <c r="C249" s="99" t="s">
        <v>226</v>
      </c>
      <c r="D249" s="100" t="s">
        <v>255</v>
      </c>
      <c r="E249" s="101">
        <f t="shared" si="48"/>
        <v>16400</v>
      </c>
      <c r="F249" s="90">
        <f t="shared" si="46"/>
        <v>13781.102803244718</v>
      </c>
      <c r="G249" s="91">
        <v>0.19</v>
      </c>
      <c r="H249" s="91" t="s">
        <v>228</v>
      </c>
      <c r="I249" s="91"/>
      <c r="J249" s="91"/>
      <c r="K249" s="91" t="s">
        <v>228</v>
      </c>
      <c r="L249" s="92" t="s">
        <v>229</v>
      </c>
      <c r="M249" s="91" t="str">
        <f t="shared" si="49"/>
        <v>VER ARCHIVO ANEXO</v>
      </c>
      <c r="N249" s="93">
        <v>41608</v>
      </c>
      <c r="O249" s="94"/>
      <c r="P249" s="94"/>
      <c r="Q249" s="94">
        <v>240</v>
      </c>
      <c r="R249" s="95">
        <f t="shared" si="38"/>
        <v>13781.102803244718</v>
      </c>
      <c r="S249" s="94">
        <v>9018.42</v>
      </c>
      <c r="T249" s="94">
        <f t="shared" si="39"/>
        <v>9628.9670340000011</v>
      </c>
      <c r="U249" s="94">
        <f t="shared" si="40"/>
        <v>10182.632638455003</v>
      </c>
      <c r="V249" s="94">
        <f t="shared" si="41"/>
        <v>10599.102313367812</v>
      </c>
      <c r="W249" s="97">
        <f t="shared" si="42"/>
        <v>10936.153766932908</v>
      </c>
      <c r="X249" s="97">
        <f t="shared" si="43"/>
        <v>11351.727610076359</v>
      </c>
      <c r="Y249" s="97">
        <f t="shared" si="47"/>
        <v>11534.490424598589</v>
      </c>
      <c r="Z249" s="97">
        <f t="shared" si="44"/>
        <v>12182.72878646103</v>
      </c>
      <c r="AA249" s="97">
        <f t="shared" si="45"/>
        <v>13781.102803244718</v>
      </c>
    </row>
    <row r="250" spans="1:27" x14ac:dyDescent="0.25">
      <c r="A250" s="102" t="s">
        <v>746</v>
      </c>
      <c r="B250" s="87" t="s">
        <v>747</v>
      </c>
      <c r="C250" s="88" t="s">
        <v>226</v>
      </c>
      <c r="D250" s="89" t="s">
        <v>255</v>
      </c>
      <c r="E250" s="90">
        <f t="shared" si="48"/>
        <v>6032</v>
      </c>
      <c r="F250" s="90">
        <f t="shared" si="46"/>
        <v>5068.9113759061011</v>
      </c>
      <c r="G250" s="91">
        <v>0.19</v>
      </c>
      <c r="H250" s="91" t="s">
        <v>228</v>
      </c>
      <c r="I250" s="91"/>
      <c r="J250" s="91"/>
      <c r="K250" s="91" t="s">
        <v>228</v>
      </c>
      <c r="L250" s="92" t="s">
        <v>229</v>
      </c>
      <c r="M250" s="91" t="str">
        <f t="shared" si="49"/>
        <v>VER ARCHIVO ANEXO</v>
      </c>
      <c r="N250" s="93">
        <v>41608</v>
      </c>
      <c r="O250" s="94"/>
      <c r="P250" s="94"/>
      <c r="Q250" s="94">
        <v>241</v>
      </c>
      <c r="R250" s="95">
        <f t="shared" si="38"/>
        <v>5068.9113759061011</v>
      </c>
      <c r="S250" s="94">
        <v>3317.12</v>
      </c>
      <c r="T250" s="94">
        <f t="shared" si="39"/>
        <v>3541.6890240000002</v>
      </c>
      <c r="U250" s="94">
        <f t="shared" si="40"/>
        <v>3745.3361428800008</v>
      </c>
      <c r="V250" s="94">
        <f t="shared" si="41"/>
        <v>3898.5203911237927</v>
      </c>
      <c r="W250" s="97">
        <f t="shared" si="42"/>
        <v>4022.4933395615294</v>
      </c>
      <c r="X250" s="97">
        <f t="shared" si="43"/>
        <v>4175.3480864648673</v>
      </c>
      <c r="Y250" s="97">
        <f t="shared" si="47"/>
        <v>4242.5711906569513</v>
      </c>
      <c r="Z250" s="97">
        <f t="shared" si="44"/>
        <v>4481.003691571872</v>
      </c>
      <c r="AA250" s="97">
        <f t="shared" si="45"/>
        <v>5068.9113759061011</v>
      </c>
    </row>
    <row r="251" spans="1:27" x14ac:dyDescent="0.25">
      <c r="A251" s="86" t="s">
        <v>748</v>
      </c>
      <c r="B251" s="87" t="s">
        <v>749</v>
      </c>
      <c r="C251" s="88" t="s">
        <v>226</v>
      </c>
      <c r="D251" s="89" t="s">
        <v>4</v>
      </c>
      <c r="E251" s="90">
        <f t="shared" si="48"/>
        <v>24505</v>
      </c>
      <c r="F251" s="90">
        <f t="shared" si="46"/>
        <v>20592.452464618538</v>
      </c>
      <c r="G251" s="91">
        <v>0.19</v>
      </c>
      <c r="H251" s="91" t="s">
        <v>228</v>
      </c>
      <c r="I251" s="91"/>
      <c r="J251" s="91"/>
      <c r="K251" s="91" t="s">
        <v>228</v>
      </c>
      <c r="L251" s="92" t="s">
        <v>229</v>
      </c>
      <c r="M251" s="91" t="str">
        <f t="shared" si="49"/>
        <v>VER ARCHIVO ANEXO</v>
      </c>
      <c r="N251" s="93">
        <v>41608</v>
      </c>
      <c r="O251" s="94"/>
      <c r="P251" s="94"/>
      <c r="Q251" s="94">
        <v>242</v>
      </c>
      <c r="R251" s="95">
        <f t="shared" si="38"/>
        <v>20592.452464618538</v>
      </c>
      <c r="S251" s="94">
        <v>13475.8</v>
      </c>
      <c r="T251" s="94">
        <f t="shared" si="39"/>
        <v>14388.11166</v>
      </c>
      <c r="U251" s="94">
        <f t="shared" si="40"/>
        <v>15215.428080450001</v>
      </c>
      <c r="V251" s="94">
        <f t="shared" si="41"/>
        <v>15837.739088940405</v>
      </c>
      <c r="W251" s="97">
        <f t="shared" si="42"/>
        <v>16341.37919196871</v>
      </c>
      <c r="X251" s="97">
        <f t="shared" si="43"/>
        <v>16962.351601263523</v>
      </c>
      <c r="Y251" s="97">
        <f t="shared" si="47"/>
        <v>17235.445462043866</v>
      </c>
      <c r="Z251" s="97">
        <f t="shared" si="44"/>
        <v>18204.07749701073</v>
      </c>
      <c r="AA251" s="97">
        <f t="shared" si="45"/>
        <v>20592.452464618538</v>
      </c>
    </row>
    <row r="252" spans="1:27" x14ac:dyDescent="0.25">
      <c r="A252" s="102" t="s">
        <v>750</v>
      </c>
      <c r="B252" s="87" t="s">
        <v>751</v>
      </c>
      <c r="C252" s="88" t="s">
        <v>226</v>
      </c>
      <c r="D252" s="89" t="s">
        <v>227</v>
      </c>
      <c r="E252" s="90">
        <f t="shared" si="48"/>
        <v>5655</v>
      </c>
      <c r="F252" s="90">
        <f t="shared" si="46"/>
        <v>4752.1044149119698</v>
      </c>
      <c r="G252" s="91">
        <v>0.19</v>
      </c>
      <c r="H252" s="91" t="s">
        <v>228</v>
      </c>
      <c r="I252" s="91"/>
      <c r="J252" s="91"/>
      <c r="K252" s="91" t="s">
        <v>228</v>
      </c>
      <c r="L252" s="92" t="s">
        <v>752</v>
      </c>
      <c r="M252" s="91" t="str">
        <f t="shared" si="49"/>
        <v>VER ARCHIVO ANEXO</v>
      </c>
      <c r="N252" s="93">
        <v>41608</v>
      </c>
      <c r="O252" s="94"/>
      <c r="P252" s="94"/>
      <c r="Q252" s="94">
        <v>243</v>
      </c>
      <c r="R252" s="95">
        <f t="shared" si="38"/>
        <v>4752.1044149119698</v>
      </c>
      <c r="S252" s="94">
        <v>3109.7999999999997</v>
      </c>
      <c r="T252" s="94">
        <f t="shared" si="39"/>
        <v>3320.3334599999998</v>
      </c>
      <c r="U252" s="94">
        <f t="shared" si="40"/>
        <v>3511.25263395</v>
      </c>
      <c r="V252" s="94">
        <f t="shared" si="41"/>
        <v>3654.8628666785548</v>
      </c>
      <c r="W252" s="97">
        <f t="shared" si="42"/>
        <v>3771.0875058389329</v>
      </c>
      <c r="X252" s="97">
        <f t="shared" si="43"/>
        <v>3914.3888310608127</v>
      </c>
      <c r="Y252" s="97">
        <f t="shared" si="47"/>
        <v>3977.4104912408916</v>
      </c>
      <c r="Z252" s="97">
        <f t="shared" si="44"/>
        <v>4200.9409608486294</v>
      </c>
      <c r="AA252" s="97">
        <f t="shared" si="45"/>
        <v>4752.1044149119698</v>
      </c>
    </row>
    <row r="253" spans="1:27" x14ac:dyDescent="0.25">
      <c r="A253" s="102" t="s">
        <v>753</v>
      </c>
      <c r="B253" s="87" t="s">
        <v>754</v>
      </c>
      <c r="C253" s="88" t="s">
        <v>226</v>
      </c>
      <c r="D253" s="89" t="s">
        <v>262</v>
      </c>
      <c r="E253" s="90">
        <f t="shared" si="48"/>
        <v>56874</v>
      </c>
      <c r="F253" s="90">
        <f t="shared" si="46"/>
        <v>47793.498135574671</v>
      </c>
      <c r="G253" s="91">
        <v>0.19</v>
      </c>
      <c r="H253" s="91" t="s">
        <v>228</v>
      </c>
      <c r="I253" s="91"/>
      <c r="J253" s="91"/>
      <c r="K253" s="91" t="s">
        <v>228</v>
      </c>
      <c r="L253" s="92" t="s">
        <v>229</v>
      </c>
      <c r="M253" s="91" t="str">
        <f t="shared" si="49"/>
        <v>VER ARCHIVO ANEXO</v>
      </c>
      <c r="N253" s="93">
        <v>41608</v>
      </c>
      <c r="O253" s="94"/>
      <c r="P253" s="94"/>
      <c r="Q253" s="94">
        <v>244</v>
      </c>
      <c r="R253" s="95">
        <f t="shared" si="38"/>
        <v>47793.498135574671</v>
      </c>
      <c r="S253" s="94">
        <v>31276.2952</v>
      </c>
      <c r="T253" s="94">
        <f t="shared" si="39"/>
        <v>33393.700385040007</v>
      </c>
      <c r="U253" s="94">
        <f t="shared" si="40"/>
        <v>35313.838157179809</v>
      </c>
      <c r="V253" s="94">
        <f t="shared" si="41"/>
        <v>36758.174137808463</v>
      </c>
      <c r="W253" s="97">
        <f t="shared" si="42"/>
        <v>37927.084075390776</v>
      </c>
      <c r="X253" s="97">
        <f t="shared" si="43"/>
        <v>39368.313270255625</v>
      </c>
      <c r="Y253" s="97">
        <f t="shared" si="47"/>
        <v>40002.143113906743</v>
      </c>
      <c r="Z253" s="97">
        <f t="shared" si="44"/>
        <v>42250.2635569083</v>
      </c>
      <c r="AA253" s="97">
        <f t="shared" si="45"/>
        <v>47793.498135574671</v>
      </c>
    </row>
    <row r="254" spans="1:27" x14ac:dyDescent="0.25">
      <c r="A254" s="102" t="s">
        <v>755</v>
      </c>
      <c r="B254" s="87" t="s">
        <v>756</v>
      </c>
      <c r="C254" s="88" t="s">
        <v>226</v>
      </c>
      <c r="D254" s="89" t="s">
        <v>262</v>
      </c>
      <c r="E254" s="90">
        <f t="shared" si="48"/>
        <v>77999</v>
      </c>
      <c r="F254" s="90">
        <f t="shared" si="46"/>
        <v>65545.776194880818</v>
      </c>
      <c r="G254" s="91">
        <v>0.19</v>
      </c>
      <c r="H254" s="91" t="s">
        <v>228</v>
      </c>
      <c r="I254" s="91"/>
      <c r="J254" s="91"/>
      <c r="K254" s="91" t="s">
        <v>228</v>
      </c>
      <c r="L254" s="92" t="s">
        <v>229</v>
      </c>
      <c r="M254" s="91" t="str">
        <f t="shared" si="49"/>
        <v>VER ARCHIVO ANEXO</v>
      </c>
      <c r="N254" s="93">
        <v>41608</v>
      </c>
      <c r="O254" s="94"/>
      <c r="P254" s="94"/>
      <c r="Q254" s="94">
        <v>245</v>
      </c>
      <c r="R254" s="95">
        <f t="shared" si="38"/>
        <v>65545.776194880818</v>
      </c>
      <c r="S254" s="94">
        <v>42893.471400000002</v>
      </c>
      <c r="T254" s="94">
        <f t="shared" si="39"/>
        <v>45797.359413780003</v>
      </c>
      <c r="U254" s="94">
        <f t="shared" si="40"/>
        <v>48430.707580072361</v>
      </c>
      <c r="V254" s="94">
        <f t="shared" si="41"/>
        <v>50411.523520097318</v>
      </c>
      <c r="W254" s="97">
        <f t="shared" si="42"/>
        <v>52014.609968036413</v>
      </c>
      <c r="X254" s="97">
        <f t="shared" si="43"/>
        <v>53991.165146821797</v>
      </c>
      <c r="Y254" s="97">
        <f t="shared" si="47"/>
        <v>54860.422905685627</v>
      </c>
      <c r="Z254" s="97">
        <f t="shared" si="44"/>
        <v>57943.578672985161</v>
      </c>
      <c r="AA254" s="97">
        <f t="shared" si="45"/>
        <v>65545.776194880818</v>
      </c>
    </row>
    <row r="255" spans="1:27" x14ac:dyDescent="0.25">
      <c r="A255" s="102" t="s">
        <v>757</v>
      </c>
      <c r="B255" s="87" t="s">
        <v>758</v>
      </c>
      <c r="C255" s="88" t="s">
        <v>226</v>
      </c>
      <c r="D255" s="89" t="s">
        <v>255</v>
      </c>
      <c r="E255" s="90">
        <f t="shared" si="48"/>
        <v>26812</v>
      </c>
      <c r="F255" s="90">
        <f t="shared" si="46"/>
        <v>22531.311065902624</v>
      </c>
      <c r="G255" s="91">
        <v>0.19</v>
      </c>
      <c r="H255" s="91" t="s">
        <v>228</v>
      </c>
      <c r="I255" s="91"/>
      <c r="J255" s="91"/>
      <c r="K255" s="91" t="s">
        <v>228</v>
      </c>
      <c r="L255" s="92" t="s">
        <v>606</v>
      </c>
      <c r="M255" s="91" t="str">
        <f t="shared" si="49"/>
        <v>VER ARCHIVO ANEXO</v>
      </c>
      <c r="N255" s="93">
        <v>41608</v>
      </c>
      <c r="O255" s="94"/>
      <c r="P255" s="94"/>
      <c r="Q255" s="94">
        <v>246</v>
      </c>
      <c r="R255" s="95">
        <f t="shared" si="38"/>
        <v>22531.311065902624</v>
      </c>
      <c r="S255" s="94">
        <v>14744.598399999999</v>
      </c>
      <c r="T255" s="94">
        <f t="shared" si="39"/>
        <v>15742.80771168</v>
      </c>
      <c r="U255" s="94">
        <f t="shared" si="40"/>
        <v>16648.0191551016</v>
      </c>
      <c r="V255" s="94">
        <f t="shared" si="41"/>
        <v>17328.923138545255</v>
      </c>
      <c r="W255" s="97">
        <f t="shared" si="42"/>
        <v>17879.982894350997</v>
      </c>
      <c r="X255" s="97">
        <f t="shared" si="43"/>
        <v>18559.422244336336</v>
      </c>
      <c r="Y255" s="97">
        <f t="shared" si="47"/>
        <v>18858.228942470152</v>
      </c>
      <c r="Z255" s="97">
        <f t="shared" si="44"/>
        <v>19918.061409036975</v>
      </c>
      <c r="AA255" s="97">
        <f t="shared" si="45"/>
        <v>22531.311065902624</v>
      </c>
    </row>
    <row r="256" spans="1:27" x14ac:dyDescent="0.25">
      <c r="A256" s="102" t="s">
        <v>759</v>
      </c>
      <c r="B256" s="87" t="s">
        <v>760</v>
      </c>
      <c r="C256" s="88" t="s">
        <v>226</v>
      </c>
      <c r="D256" s="89" t="s">
        <v>255</v>
      </c>
      <c r="E256" s="90">
        <f t="shared" si="48"/>
        <v>19987</v>
      </c>
      <c r="F256" s="90">
        <f t="shared" si="46"/>
        <v>16795.521037103874</v>
      </c>
      <c r="G256" s="91">
        <v>0.19</v>
      </c>
      <c r="H256" s="91" t="s">
        <v>228</v>
      </c>
      <c r="I256" s="91"/>
      <c r="J256" s="91"/>
      <c r="K256" s="91" t="s">
        <v>228</v>
      </c>
      <c r="L256" s="92" t="s">
        <v>229</v>
      </c>
      <c r="M256" s="91" t="str">
        <f t="shared" si="49"/>
        <v>VER ARCHIVO ANEXO</v>
      </c>
      <c r="N256" s="93">
        <v>41608</v>
      </c>
      <c r="O256" s="94"/>
      <c r="P256" s="94"/>
      <c r="Q256" s="94">
        <v>247</v>
      </c>
      <c r="R256" s="95">
        <f t="shared" si="38"/>
        <v>16795.521037103874</v>
      </c>
      <c r="S256" s="94">
        <v>10991.069799999999</v>
      </c>
      <c r="T256" s="94">
        <f t="shared" si="39"/>
        <v>11735.165225459999</v>
      </c>
      <c r="U256" s="94">
        <f t="shared" si="40"/>
        <v>12409.93722592395</v>
      </c>
      <c r="V256" s="94">
        <f t="shared" si="41"/>
        <v>12917.503658464238</v>
      </c>
      <c r="W256" s="97">
        <f t="shared" si="42"/>
        <v>13328.280274803403</v>
      </c>
      <c r="X256" s="97">
        <f t="shared" si="43"/>
        <v>13834.754925245932</v>
      </c>
      <c r="Y256" s="97">
        <f t="shared" si="47"/>
        <v>14057.494479542391</v>
      </c>
      <c r="Z256" s="97">
        <f t="shared" si="44"/>
        <v>14847.525669292674</v>
      </c>
      <c r="AA256" s="97">
        <f t="shared" si="45"/>
        <v>16795.521037103874</v>
      </c>
    </row>
    <row r="257" spans="1:27" x14ac:dyDescent="0.25">
      <c r="A257" s="102" t="s">
        <v>761</v>
      </c>
      <c r="B257" s="87" t="s">
        <v>762</v>
      </c>
      <c r="C257" s="88" t="s">
        <v>226</v>
      </c>
      <c r="D257" s="89" t="s">
        <v>255</v>
      </c>
      <c r="E257" s="90">
        <f t="shared" si="48"/>
        <v>33365</v>
      </c>
      <c r="F257" s="90">
        <f t="shared" si="46"/>
        <v>28037.416047980631</v>
      </c>
      <c r="G257" s="91">
        <v>0.19</v>
      </c>
      <c r="H257" s="91" t="s">
        <v>228</v>
      </c>
      <c r="I257" s="91"/>
      <c r="J257" s="91"/>
      <c r="K257" s="91" t="s">
        <v>228</v>
      </c>
      <c r="L257" s="92" t="s">
        <v>229</v>
      </c>
      <c r="M257" s="91" t="str">
        <f t="shared" si="49"/>
        <v>VER ARCHIVO ANEXO</v>
      </c>
      <c r="N257" s="93">
        <v>41608</v>
      </c>
      <c r="O257" s="94"/>
      <c r="P257" s="94"/>
      <c r="Q257" s="94">
        <v>248</v>
      </c>
      <c r="R257" s="95">
        <f t="shared" si="38"/>
        <v>28037.416047980631</v>
      </c>
      <c r="S257" s="94">
        <v>18347.82</v>
      </c>
      <c r="T257" s="94">
        <f t="shared" si="39"/>
        <v>19589.967414000002</v>
      </c>
      <c r="U257" s="94">
        <f t="shared" si="40"/>
        <v>20716.390540305005</v>
      </c>
      <c r="V257" s="94">
        <f t="shared" si="41"/>
        <v>21563.690913403479</v>
      </c>
      <c r="W257" s="97">
        <f t="shared" si="42"/>
        <v>22249.416284449711</v>
      </c>
      <c r="X257" s="97">
        <f t="shared" si="43"/>
        <v>23094.894103258801</v>
      </c>
      <c r="Y257" s="97">
        <f t="shared" si="47"/>
        <v>23466.721898321266</v>
      </c>
      <c r="Z257" s="97">
        <f t="shared" si="44"/>
        <v>24785.551669006923</v>
      </c>
      <c r="AA257" s="97">
        <f t="shared" si="45"/>
        <v>28037.416047980631</v>
      </c>
    </row>
    <row r="258" spans="1:27" x14ac:dyDescent="0.25">
      <c r="A258" s="102" t="s">
        <v>763</v>
      </c>
      <c r="B258" s="87" t="s">
        <v>764</v>
      </c>
      <c r="C258" s="88" t="s">
        <v>226</v>
      </c>
      <c r="D258" s="89" t="s">
        <v>4</v>
      </c>
      <c r="E258" s="90">
        <f t="shared" si="48"/>
        <v>44103</v>
      </c>
      <c r="F258" s="90">
        <f t="shared" si="46"/>
        <v>37061.662331898464</v>
      </c>
      <c r="G258" s="91">
        <v>0.19</v>
      </c>
      <c r="H258" s="91" t="s">
        <v>228</v>
      </c>
      <c r="I258" s="91"/>
      <c r="J258" s="91"/>
      <c r="K258" s="91" t="s">
        <v>228</v>
      </c>
      <c r="L258" s="92" t="s">
        <v>606</v>
      </c>
      <c r="M258" s="91" t="str">
        <f t="shared" si="49"/>
        <v>VER ARCHIVO ANEXO</v>
      </c>
      <c r="N258" s="93">
        <v>41608</v>
      </c>
      <c r="O258" s="94"/>
      <c r="P258" s="94"/>
      <c r="Q258" s="94">
        <v>249</v>
      </c>
      <c r="R258" s="95">
        <f t="shared" si="38"/>
        <v>37061.662331898464</v>
      </c>
      <c r="S258" s="94">
        <v>24253.3302</v>
      </c>
      <c r="T258" s="94">
        <f t="shared" si="39"/>
        <v>25895.280654540002</v>
      </c>
      <c r="U258" s="94">
        <f t="shared" si="40"/>
        <v>27384.259292176055</v>
      </c>
      <c r="V258" s="94">
        <f t="shared" si="41"/>
        <v>28504.275497226055</v>
      </c>
      <c r="W258" s="97">
        <f t="shared" si="42"/>
        <v>29410.711458037844</v>
      </c>
      <c r="X258" s="97">
        <f t="shared" si="43"/>
        <v>30528.318493443283</v>
      </c>
      <c r="Y258" s="97">
        <f t="shared" si="47"/>
        <v>31019.824421187721</v>
      </c>
      <c r="Z258" s="97">
        <f t="shared" si="44"/>
        <v>32763.138553658471</v>
      </c>
      <c r="AA258" s="97">
        <f t="shared" si="45"/>
        <v>37061.662331898464</v>
      </c>
    </row>
    <row r="259" spans="1:27" x14ac:dyDescent="0.25">
      <c r="A259" s="102" t="s">
        <v>765</v>
      </c>
      <c r="B259" s="87" t="s">
        <v>766</v>
      </c>
      <c r="C259" s="88" t="s">
        <v>226</v>
      </c>
      <c r="D259" s="89" t="s">
        <v>4</v>
      </c>
      <c r="E259" s="90">
        <f t="shared" si="48"/>
        <v>58499</v>
      </c>
      <c r="F259" s="90">
        <f t="shared" si="46"/>
        <v>49158.936137459357</v>
      </c>
      <c r="G259" s="91">
        <v>0.19</v>
      </c>
      <c r="H259" s="91" t="s">
        <v>228</v>
      </c>
      <c r="I259" s="91"/>
      <c r="J259" s="91"/>
      <c r="K259" s="91" t="s">
        <v>228</v>
      </c>
      <c r="L259" s="92" t="s">
        <v>606</v>
      </c>
      <c r="M259" s="91" t="str">
        <f t="shared" si="49"/>
        <v>VER ARCHIVO ANEXO</v>
      </c>
      <c r="N259" s="93">
        <v>41608</v>
      </c>
      <c r="O259" s="94"/>
      <c r="P259" s="94"/>
      <c r="Q259" s="94">
        <v>250</v>
      </c>
      <c r="R259" s="95">
        <f t="shared" si="38"/>
        <v>49158.936137459357</v>
      </c>
      <c r="S259" s="94">
        <v>32169.844399999998</v>
      </c>
      <c r="T259" s="94">
        <f t="shared" si="39"/>
        <v>34347.742865879998</v>
      </c>
      <c r="U259" s="94">
        <f t="shared" si="40"/>
        <v>36322.738080668103</v>
      </c>
      <c r="V259" s="94">
        <f t="shared" si="41"/>
        <v>37808.338068167424</v>
      </c>
      <c r="W259" s="97">
        <f t="shared" si="42"/>
        <v>39010.643218735153</v>
      </c>
      <c r="X259" s="97">
        <f t="shared" si="43"/>
        <v>40493.047661047087</v>
      </c>
      <c r="Y259" s="97">
        <f t="shared" si="47"/>
        <v>41144.985728389947</v>
      </c>
      <c r="Z259" s="97">
        <f t="shared" si="44"/>
        <v>43457.33392632546</v>
      </c>
      <c r="AA259" s="97">
        <f t="shared" si="45"/>
        <v>49158.936137459357</v>
      </c>
    </row>
    <row r="260" spans="1:27" x14ac:dyDescent="0.25">
      <c r="A260" s="102" t="s">
        <v>767</v>
      </c>
      <c r="B260" s="87" t="s">
        <v>768</v>
      </c>
      <c r="C260" s="88" t="s">
        <v>226</v>
      </c>
      <c r="D260" s="89" t="s">
        <v>262</v>
      </c>
      <c r="E260" s="90">
        <f t="shared" si="48"/>
        <v>124945</v>
      </c>
      <c r="F260" s="90">
        <f t="shared" si="46"/>
        <v>104996.16301267504</v>
      </c>
      <c r="G260" s="91">
        <v>0.19</v>
      </c>
      <c r="H260" s="91" t="s">
        <v>228</v>
      </c>
      <c r="I260" s="91"/>
      <c r="J260" s="91"/>
      <c r="K260" s="91" t="s">
        <v>228</v>
      </c>
      <c r="L260" s="92" t="s">
        <v>769</v>
      </c>
      <c r="M260" s="91" t="str">
        <f t="shared" si="49"/>
        <v>VER ARCHIVO ANEXO</v>
      </c>
      <c r="N260" s="93">
        <v>41608</v>
      </c>
      <c r="O260" s="94"/>
      <c r="P260" s="94"/>
      <c r="Q260" s="94">
        <v>251</v>
      </c>
      <c r="R260" s="95">
        <f t="shared" si="38"/>
        <v>104996.16301267504</v>
      </c>
      <c r="S260" s="94">
        <v>68709.994399999996</v>
      </c>
      <c r="T260" s="94">
        <f t="shared" si="39"/>
        <v>73361.661020879998</v>
      </c>
      <c r="U260" s="94">
        <f t="shared" si="40"/>
        <v>77579.95652958061</v>
      </c>
      <c r="V260" s="94">
        <f t="shared" si="41"/>
        <v>80752.976751640454</v>
      </c>
      <c r="W260" s="97">
        <f t="shared" si="42"/>
        <v>83320.921412342621</v>
      </c>
      <c r="X260" s="97">
        <f t="shared" si="43"/>
        <v>86487.116426011649</v>
      </c>
      <c r="Y260" s="97">
        <f t="shared" si="47"/>
        <v>87879.559000470443</v>
      </c>
      <c r="Z260" s="97">
        <f t="shared" si="44"/>
        <v>92818.390216296888</v>
      </c>
      <c r="AA260" s="97">
        <f t="shared" si="45"/>
        <v>104996.16301267504</v>
      </c>
    </row>
    <row r="261" spans="1:27" x14ac:dyDescent="0.25">
      <c r="A261" s="102" t="s">
        <v>770</v>
      </c>
      <c r="B261" s="87" t="s">
        <v>771</v>
      </c>
      <c r="C261" s="88" t="s">
        <v>226</v>
      </c>
      <c r="D261" s="89" t="s">
        <v>262</v>
      </c>
      <c r="E261" s="90">
        <f t="shared" si="48"/>
        <v>21449</v>
      </c>
      <c r="F261" s="90">
        <f t="shared" si="46"/>
        <v>18024.732045761106</v>
      </c>
      <c r="G261" s="91">
        <v>0.19</v>
      </c>
      <c r="H261" s="91" t="s">
        <v>228</v>
      </c>
      <c r="I261" s="91"/>
      <c r="J261" s="91"/>
      <c r="K261" s="91" t="s">
        <v>228</v>
      </c>
      <c r="L261" s="92" t="s">
        <v>772</v>
      </c>
      <c r="M261" s="91" t="str">
        <f t="shared" si="49"/>
        <v>VER ARCHIVO ANEXO</v>
      </c>
      <c r="N261" s="93">
        <v>41608</v>
      </c>
      <c r="O261" s="94"/>
      <c r="P261" s="94"/>
      <c r="Q261" s="94">
        <v>252</v>
      </c>
      <c r="R261" s="95">
        <f t="shared" si="38"/>
        <v>18024.732045761106</v>
      </c>
      <c r="S261" s="94">
        <v>11795.4714</v>
      </c>
      <c r="T261" s="94">
        <f t="shared" si="39"/>
        <v>12594.024813780001</v>
      </c>
      <c r="U261" s="94">
        <f t="shared" si="40"/>
        <v>13318.181240572352</v>
      </c>
      <c r="V261" s="94">
        <f t="shared" si="41"/>
        <v>13862.89485331176</v>
      </c>
      <c r="W261" s="97">
        <f t="shared" si="42"/>
        <v>14303.734909647075</v>
      </c>
      <c r="X261" s="97">
        <f t="shared" si="43"/>
        <v>14847.276836213665</v>
      </c>
      <c r="Y261" s="97">
        <f t="shared" si="47"/>
        <v>15086.317993276705</v>
      </c>
      <c r="Z261" s="97">
        <f t="shared" si="44"/>
        <v>15934.169064498856</v>
      </c>
      <c r="AA261" s="97">
        <f t="shared" si="45"/>
        <v>18024.732045761106</v>
      </c>
    </row>
    <row r="262" spans="1:27" x14ac:dyDescent="0.25">
      <c r="A262" s="102" t="s">
        <v>773</v>
      </c>
      <c r="B262" s="87" t="s">
        <v>774</v>
      </c>
      <c r="C262" s="88" t="s">
        <v>226</v>
      </c>
      <c r="D262" s="89" t="s">
        <v>262</v>
      </c>
      <c r="E262" s="90">
        <f t="shared" si="48"/>
        <v>113100</v>
      </c>
      <c r="F262" s="90">
        <f t="shared" si="46"/>
        <v>95042.088298239425</v>
      </c>
      <c r="G262" s="91">
        <v>0.19</v>
      </c>
      <c r="H262" s="91" t="s">
        <v>228</v>
      </c>
      <c r="I262" s="91"/>
      <c r="J262" s="91"/>
      <c r="K262" s="91" t="s">
        <v>228</v>
      </c>
      <c r="L262" s="92" t="s">
        <v>229</v>
      </c>
      <c r="M262" s="91" t="str">
        <f t="shared" si="49"/>
        <v>VER ARCHIVO ANEXO</v>
      </c>
      <c r="N262" s="93">
        <v>41608</v>
      </c>
      <c r="O262" s="94"/>
      <c r="P262" s="94"/>
      <c r="Q262" s="94">
        <v>253</v>
      </c>
      <c r="R262" s="95">
        <f t="shared" si="38"/>
        <v>95042.088298239425</v>
      </c>
      <c r="S262" s="94">
        <v>62196</v>
      </c>
      <c r="T262" s="94">
        <f t="shared" si="39"/>
        <v>66406.669200000004</v>
      </c>
      <c r="U262" s="94">
        <f t="shared" si="40"/>
        <v>70225.052679000015</v>
      </c>
      <c r="V262" s="94">
        <f t="shared" si="41"/>
        <v>73097.257333571106</v>
      </c>
      <c r="W262" s="97">
        <f t="shared" si="42"/>
        <v>75421.750116778669</v>
      </c>
      <c r="X262" s="97">
        <f t="shared" si="43"/>
        <v>78287.776621216268</v>
      </c>
      <c r="Y262" s="97">
        <f t="shared" si="47"/>
        <v>79548.209824817852</v>
      </c>
      <c r="Z262" s="97">
        <f t="shared" si="44"/>
        <v>84018.819216972624</v>
      </c>
      <c r="AA262" s="97">
        <f t="shared" si="45"/>
        <v>95042.088298239425</v>
      </c>
    </row>
    <row r="263" spans="1:27" x14ac:dyDescent="0.25">
      <c r="A263" s="102" t="s">
        <v>775</v>
      </c>
      <c r="B263" s="87" t="s">
        <v>776</v>
      </c>
      <c r="C263" s="88" t="s">
        <v>226</v>
      </c>
      <c r="D263" s="89" t="s">
        <v>262</v>
      </c>
      <c r="E263" s="90">
        <f t="shared" si="48"/>
        <v>365624</v>
      </c>
      <c r="F263" s="90">
        <f t="shared" si="46"/>
        <v>307247.31094613345</v>
      </c>
      <c r="G263" s="91">
        <v>0.19</v>
      </c>
      <c r="H263" s="91" t="s">
        <v>228</v>
      </c>
      <c r="I263" s="91" t="s">
        <v>228</v>
      </c>
      <c r="J263" s="91" t="s">
        <v>228</v>
      </c>
      <c r="K263" s="91" t="s">
        <v>228</v>
      </c>
      <c r="L263" s="92" t="s">
        <v>302</v>
      </c>
      <c r="M263" s="91" t="str">
        <f t="shared" si="49"/>
        <v>no aplica</v>
      </c>
      <c r="N263" s="93">
        <v>41608</v>
      </c>
      <c r="O263" s="94"/>
      <c r="P263" s="94"/>
      <c r="Q263" s="94">
        <v>254</v>
      </c>
      <c r="R263" s="95">
        <f t="shared" ref="R263:R326" si="50">+AA263</f>
        <v>307247.31094613345</v>
      </c>
      <c r="S263" s="94">
        <v>201064.11900000001</v>
      </c>
      <c r="T263" s="94">
        <f t="shared" ref="T263:T326" si="51">+S263*1.0677</f>
        <v>214676.15985630002</v>
      </c>
      <c r="U263" s="94">
        <f t="shared" ref="U263:U326" si="52">+T263*(1+$U$4)</f>
        <v>227020.03904803729</v>
      </c>
      <c r="V263" s="94">
        <f t="shared" ref="V263:V326" si="53">+U263*(1+$V$4)</f>
        <v>236305.158645102</v>
      </c>
      <c r="W263" s="97">
        <f t="shared" ref="W263:W326" si="54">+V263*(1+$W$4)</f>
        <v>243819.66269001627</v>
      </c>
      <c r="X263" s="97">
        <f t="shared" ref="X263:X326" si="55">+W263*(1+$X$4)</f>
        <v>253084.80987223689</v>
      </c>
      <c r="Y263" s="97">
        <f t="shared" si="47"/>
        <v>257159.47531117991</v>
      </c>
      <c r="Z263" s="97">
        <f t="shared" ref="Z263:Z326" si="56">+Y263*(1+$Z$4)</f>
        <v>271611.8378236682</v>
      </c>
      <c r="AA263" s="97">
        <f t="shared" ref="AA263:AA326" si="57">+Z263*(1+$AA$4)</f>
        <v>307247.31094613345</v>
      </c>
    </row>
    <row r="264" spans="1:27" x14ac:dyDescent="0.25">
      <c r="A264" s="102" t="s">
        <v>777</v>
      </c>
      <c r="B264" s="87" t="s">
        <v>778</v>
      </c>
      <c r="C264" s="88" t="s">
        <v>226</v>
      </c>
      <c r="D264" s="89" t="s">
        <v>292</v>
      </c>
      <c r="E264" s="90">
        <f t="shared" si="48"/>
        <v>301600</v>
      </c>
      <c r="F264" s="90">
        <f t="shared" ref="F264:F327" si="58">R264</f>
        <v>253445.56879530509</v>
      </c>
      <c r="G264" s="91">
        <v>0.19</v>
      </c>
      <c r="H264" s="91" t="s">
        <v>228</v>
      </c>
      <c r="I264" s="91" t="s">
        <v>228</v>
      </c>
      <c r="J264" s="91" t="s">
        <v>228</v>
      </c>
      <c r="K264" s="91" t="s">
        <v>228</v>
      </c>
      <c r="L264" s="92" t="s">
        <v>302</v>
      </c>
      <c r="M264" s="91" t="str">
        <f t="shared" si="49"/>
        <v>no aplica</v>
      </c>
      <c r="N264" s="93">
        <v>41608</v>
      </c>
      <c r="O264" s="94"/>
      <c r="P264" s="94"/>
      <c r="Q264" s="94">
        <v>255</v>
      </c>
      <c r="R264" s="95">
        <f t="shared" si="50"/>
        <v>253445.56879530509</v>
      </c>
      <c r="S264" s="94">
        <v>165856</v>
      </c>
      <c r="T264" s="94">
        <f t="shared" si="51"/>
        <v>177084.45120000001</v>
      </c>
      <c r="U264" s="94">
        <f t="shared" si="52"/>
        <v>187266.80714400002</v>
      </c>
      <c r="V264" s="94">
        <f t="shared" si="53"/>
        <v>194926.0195561896</v>
      </c>
      <c r="W264" s="97">
        <f t="shared" si="54"/>
        <v>201124.66697807645</v>
      </c>
      <c r="X264" s="97">
        <f t="shared" si="55"/>
        <v>208767.40432324336</v>
      </c>
      <c r="Y264" s="97">
        <f t="shared" ref="Y264:Y327" si="59">+X264*(1+$Y$4)</f>
        <v>212128.55953284758</v>
      </c>
      <c r="Z264" s="97">
        <f t="shared" si="56"/>
        <v>224050.18457859362</v>
      </c>
      <c r="AA264" s="97">
        <f t="shared" si="57"/>
        <v>253445.56879530509</v>
      </c>
    </row>
    <row r="265" spans="1:27" x14ac:dyDescent="0.25">
      <c r="A265" s="102" t="s">
        <v>779</v>
      </c>
      <c r="B265" s="87" t="s">
        <v>780</v>
      </c>
      <c r="C265" s="88" t="s">
        <v>226</v>
      </c>
      <c r="D265" s="89" t="s">
        <v>262</v>
      </c>
      <c r="E265" s="90">
        <f t="shared" ref="E265:E328" si="60">+ROUND(F265*(1+G265),0)</f>
        <v>848251</v>
      </c>
      <c r="F265" s="90">
        <f t="shared" si="58"/>
        <v>712815.66223679588</v>
      </c>
      <c r="G265" s="91">
        <v>0.19</v>
      </c>
      <c r="H265" s="91" t="s">
        <v>228</v>
      </c>
      <c r="I265" s="91" t="s">
        <v>228</v>
      </c>
      <c r="J265" s="91" t="s">
        <v>228</v>
      </c>
      <c r="K265" s="91"/>
      <c r="L265" s="92" t="s">
        <v>229</v>
      </c>
      <c r="M265" s="91" t="str">
        <f>+IF(L265="no aplica","no aplica","VER ARCHIVO ANEXO")</f>
        <v>VER ARCHIVO ANEXO</v>
      </c>
      <c r="N265" s="93"/>
      <c r="O265" s="94"/>
      <c r="P265" s="94"/>
      <c r="Q265" s="94">
        <v>256</v>
      </c>
      <c r="R265" s="95">
        <f t="shared" si="50"/>
        <v>712815.66223679588</v>
      </c>
      <c r="S265" s="94">
        <v>466470</v>
      </c>
      <c r="T265" s="94">
        <f t="shared" si="51"/>
        <v>498050.01900000003</v>
      </c>
      <c r="U265" s="94">
        <f t="shared" si="52"/>
        <v>526687.89509250014</v>
      </c>
      <c r="V265" s="94">
        <f t="shared" si="53"/>
        <v>548229.43000178342</v>
      </c>
      <c r="W265" s="97">
        <f t="shared" si="54"/>
        <v>565663.1258758402</v>
      </c>
      <c r="X265" s="97">
        <f t="shared" si="55"/>
        <v>587158.32465912215</v>
      </c>
      <c r="Y265" s="97">
        <f t="shared" si="59"/>
        <v>596611.57368613407</v>
      </c>
      <c r="Z265" s="97">
        <f t="shared" si="56"/>
        <v>630141.14412729477</v>
      </c>
      <c r="AA265" s="97">
        <f t="shared" si="57"/>
        <v>712815.66223679588</v>
      </c>
    </row>
    <row r="266" spans="1:27" x14ac:dyDescent="0.25">
      <c r="A266" s="105" t="s">
        <v>781</v>
      </c>
      <c r="B266" s="106" t="s">
        <v>782</v>
      </c>
      <c r="C266" s="107"/>
      <c r="D266" s="108"/>
      <c r="E266" s="90">
        <f t="shared" si="60"/>
        <v>0</v>
      </c>
      <c r="F266" s="90">
        <f t="shared" si="58"/>
        <v>0</v>
      </c>
      <c r="G266" s="91"/>
      <c r="H266" s="91"/>
      <c r="I266" s="91"/>
      <c r="J266" s="91"/>
      <c r="K266" s="91"/>
      <c r="L266" s="92"/>
      <c r="M266" s="91"/>
      <c r="N266" s="93">
        <v>41608</v>
      </c>
      <c r="O266" s="109"/>
      <c r="P266" s="109"/>
      <c r="Q266" s="109">
        <v>0</v>
      </c>
      <c r="R266" s="95">
        <f t="shared" si="50"/>
        <v>0</v>
      </c>
      <c r="S266" s="109">
        <v>0</v>
      </c>
      <c r="T266" s="94">
        <f t="shared" si="51"/>
        <v>0</v>
      </c>
      <c r="U266" s="94">
        <f t="shared" si="52"/>
        <v>0</v>
      </c>
      <c r="V266" s="94">
        <f t="shared" si="53"/>
        <v>0</v>
      </c>
      <c r="W266" s="97">
        <f t="shared" si="54"/>
        <v>0</v>
      </c>
      <c r="X266" s="97">
        <f t="shared" si="55"/>
        <v>0</v>
      </c>
      <c r="Y266" s="97">
        <f t="shared" si="59"/>
        <v>0</v>
      </c>
      <c r="Z266" s="97">
        <f t="shared" si="56"/>
        <v>0</v>
      </c>
      <c r="AA266" s="97">
        <f t="shared" si="57"/>
        <v>0</v>
      </c>
    </row>
    <row r="267" spans="1:27" x14ac:dyDescent="0.25">
      <c r="A267" s="102" t="s">
        <v>783</v>
      </c>
      <c r="B267" s="87" t="s">
        <v>784</v>
      </c>
      <c r="C267" s="88" t="s">
        <v>226</v>
      </c>
      <c r="D267" s="89" t="s">
        <v>262</v>
      </c>
      <c r="E267" s="90">
        <f t="shared" si="60"/>
        <v>1286265</v>
      </c>
      <c r="F267" s="90">
        <f t="shared" si="58"/>
        <v>1080894.6617982171</v>
      </c>
      <c r="G267" s="91">
        <v>0.19</v>
      </c>
      <c r="H267" s="91" t="s">
        <v>228</v>
      </c>
      <c r="I267" s="91"/>
      <c r="J267" s="91"/>
      <c r="K267" s="91" t="s">
        <v>228</v>
      </c>
      <c r="L267" s="92" t="s">
        <v>785</v>
      </c>
      <c r="M267" s="91" t="str">
        <f t="shared" ref="M267:M279" si="61">+IF(L267="no aplica","no aplica","VER ARCHIVO ANEXO")</f>
        <v>VER ARCHIVO ANEXO</v>
      </c>
      <c r="N267" s="93">
        <v>41608</v>
      </c>
      <c r="O267" s="94"/>
      <c r="P267" s="94"/>
      <c r="Q267" s="94">
        <v>257</v>
      </c>
      <c r="R267" s="95">
        <f t="shared" si="50"/>
        <v>1080894.6617982171</v>
      </c>
      <c r="S267" s="94">
        <v>707342.66879999998</v>
      </c>
      <c r="T267" s="94">
        <f t="shared" si="51"/>
        <v>755229.76747776009</v>
      </c>
      <c r="U267" s="94">
        <f t="shared" si="52"/>
        <v>798655.47910773137</v>
      </c>
      <c r="V267" s="94">
        <f t="shared" si="53"/>
        <v>831320.48820323753</v>
      </c>
      <c r="W267" s="97">
        <f t="shared" si="54"/>
        <v>857756.47972810047</v>
      </c>
      <c r="X267" s="97">
        <f t="shared" si="55"/>
        <v>890351.22595776827</v>
      </c>
      <c r="Y267" s="97">
        <f t="shared" si="59"/>
        <v>904685.88069568831</v>
      </c>
      <c r="Z267" s="97">
        <f t="shared" si="56"/>
        <v>955529.22719078604</v>
      </c>
      <c r="AA267" s="97">
        <f t="shared" si="57"/>
        <v>1080894.6617982171</v>
      </c>
    </row>
    <row r="268" spans="1:27" x14ac:dyDescent="0.25">
      <c r="A268" s="102" t="s">
        <v>786</v>
      </c>
      <c r="B268" s="87" t="s">
        <v>787</v>
      </c>
      <c r="C268" s="88" t="s">
        <v>226</v>
      </c>
      <c r="D268" s="89" t="s">
        <v>262</v>
      </c>
      <c r="E268" s="90">
        <f t="shared" si="60"/>
        <v>47513</v>
      </c>
      <c r="F268" s="90">
        <f t="shared" si="58"/>
        <v>39927.181294090384</v>
      </c>
      <c r="G268" s="91">
        <v>0.19</v>
      </c>
      <c r="H268" s="91" t="s">
        <v>228</v>
      </c>
      <c r="I268" s="91"/>
      <c r="J268" s="91"/>
      <c r="K268" s="91" t="s">
        <v>228</v>
      </c>
      <c r="L268" s="92" t="s">
        <v>785</v>
      </c>
      <c r="M268" s="91" t="str">
        <f t="shared" si="61"/>
        <v>VER ARCHIVO ANEXO</v>
      </c>
      <c r="N268" s="93">
        <v>41608</v>
      </c>
      <c r="O268" s="94"/>
      <c r="P268" s="94"/>
      <c r="Q268" s="94">
        <v>258</v>
      </c>
      <c r="R268" s="95">
        <f t="shared" si="50"/>
        <v>39927.181294090384</v>
      </c>
      <c r="S268" s="94">
        <v>26128.5396</v>
      </c>
      <c r="T268" s="94">
        <f t="shared" si="51"/>
        <v>27897.441730920003</v>
      </c>
      <c r="U268" s="94">
        <f t="shared" si="52"/>
        <v>29501.544630447908</v>
      </c>
      <c r="V268" s="94">
        <f t="shared" si="53"/>
        <v>30708.157805833227</v>
      </c>
      <c r="W268" s="97">
        <f t="shared" si="54"/>
        <v>31684.677224058727</v>
      </c>
      <c r="X268" s="97">
        <f t="shared" si="55"/>
        <v>32888.69495857296</v>
      </c>
      <c r="Y268" s="97">
        <f t="shared" si="59"/>
        <v>33418.202947405982</v>
      </c>
      <c r="Z268" s="97">
        <f t="shared" si="56"/>
        <v>35296.3059530502</v>
      </c>
      <c r="AA268" s="97">
        <f t="shared" si="57"/>
        <v>39927.181294090384</v>
      </c>
    </row>
    <row r="269" spans="1:27" x14ac:dyDescent="0.25">
      <c r="A269" s="102" t="s">
        <v>788</v>
      </c>
      <c r="B269" s="87" t="s">
        <v>789</v>
      </c>
      <c r="C269" s="88" t="s">
        <v>226</v>
      </c>
      <c r="D269" s="89" t="s">
        <v>262</v>
      </c>
      <c r="E269" s="90">
        <f t="shared" si="60"/>
        <v>47513</v>
      </c>
      <c r="F269" s="90">
        <f t="shared" si="58"/>
        <v>39927.181294090384</v>
      </c>
      <c r="G269" s="91">
        <v>0.19</v>
      </c>
      <c r="H269" s="91" t="s">
        <v>228</v>
      </c>
      <c r="I269" s="91"/>
      <c r="J269" s="91"/>
      <c r="K269" s="91" t="s">
        <v>228</v>
      </c>
      <c r="L269" s="92" t="s">
        <v>785</v>
      </c>
      <c r="M269" s="91" t="str">
        <f t="shared" si="61"/>
        <v>VER ARCHIVO ANEXO</v>
      </c>
      <c r="N269" s="93">
        <v>41608</v>
      </c>
      <c r="O269" s="94"/>
      <c r="P269" s="94"/>
      <c r="Q269" s="94">
        <v>259</v>
      </c>
      <c r="R269" s="95">
        <f t="shared" si="50"/>
        <v>39927.181294090384</v>
      </c>
      <c r="S269" s="94">
        <v>26128.5396</v>
      </c>
      <c r="T269" s="94">
        <f t="shared" si="51"/>
        <v>27897.441730920003</v>
      </c>
      <c r="U269" s="94">
        <f t="shared" si="52"/>
        <v>29501.544630447908</v>
      </c>
      <c r="V269" s="94">
        <f t="shared" si="53"/>
        <v>30708.157805833227</v>
      </c>
      <c r="W269" s="97">
        <f t="shared" si="54"/>
        <v>31684.677224058727</v>
      </c>
      <c r="X269" s="97">
        <f t="shared" si="55"/>
        <v>32888.69495857296</v>
      </c>
      <c r="Y269" s="97">
        <f t="shared" si="59"/>
        <v>33418.202947405982</v>
      </c>
      <c r="Z269" s="97">
        <f t="shared" si="56"/>
        <v>35296.3059530502</v>
      </c>
      <c r="AA269" s="97">
        <f t="shared" si="57"/>
        <v>39927.181294090384</v>
      </c>
    </row>
    <row r="270" spans="1:27" x14ac:dyDescent="0.25">
      <c r="A270" s="102" t="s">
        <v>790</v>
      </c>
      <c r="B270" s="87" t="s">
        <v>791</v>
      </c>
      <c r="C270" s="88" t="s">
        <v>226</v>
      </c>
      <c r="D270" s="89" t="s">
        <v>262</v>
      </c>
      <c r="E270" s="90">
        <f t="shared" si="60"/>
        <v>73357</v>
      </c>
      <c r="F270" s="90">
        <f t="shared" si="58"/>
        <v>61644.298470238085</v>
      </c>
      <c r="G270" s="91">
        <v>0.19</v>
      </c>
      <c r="H270" s="91" t="s">
        <v>228</v>
      </c>
      <c r="I270" s="91"/>
      <c r="J270" s="91"/>
      <c r="K270" s="91" t="s">
        <v>228</v>
      </c>
      <c r="L270" s="92" t="s">
        <v>785</v>
      </c>
      <c r="M270" s="91" t="str">
        <f t="shared" si="61"/>
        <v>VER ARCHIVO ANEXO</v>
      </c>
      <c r="N270" s="93">
        <v>41608</v>
      </c>
      <c r="O270" s="94"/>
      <c r="P270" s="94"/>
      <c r="Q270" s="94">
        <v>260</v>
      </c>
      <c r="R270" s="95">
        <f t="shared" si="50"/>
        <v>61644.298470238085</v>
      </c>
      <c r="S270" s="94">
        <v>40340.325599999996</v>
      </c>
      <c r="T270" s="94">
        <f t="shared" si="51"/>
        <v>43071.36564312</v>
      </c>
      <c r="U270" s="94">
        <f t="shared" si="52"/>
        <v>45547.969167599404</v>
      </c>
      <c r="V270" s="94">
        <f t="shared" si="53"/>
        <v>47410.881106554218</v>
      </c>
      <c r="W270" s="97">
        <f t="shared" si="54"/>
        <v>48918.547125742647</v>
      </c>
      <c r="X270" s="97">
        <f t="shared" si="55"/>
        <v>50777.451916520869</v>
      </c>
      <c r="Y270" s="97">
        <f t="shared" si="59"/>
        <v>51594.968892376855</v>
      </c>
      <c r="Z270" s="97">
        <f t="shared" si="56"/>
        <v>54494.606144128433</v>
      </c>
      <c r="AA270" s="97">
        <f t="shared" si="57"/>
        <v>61644.298470238085</v>
      </c>
    </row>
    <row r="271" spans="1:27" x14ac:dyDescent="0.25">
      <c r="A271" s="102" t="s">
        <v>792</v>
      </c>
      <c r="B271" s="87" t="s">
        <v>793</v>
      </c>
      <c r="C271" s="88" t="s">
        <v>226</v>
      </c>
      <c r="D271" s="89" t="s">
        <v>262</v>
      </c>
      <c r="E271" s="90">
        <f t="shared" si="60"/>
        <v>125643</v>
      </c>
      <c r="F271" s="90">
        <f t="shared" si="58"/>
        <v>105582.25589051416</v>
      </c>
      <c r="G271" s="91">
        <v>0.19</v>
      </c>
      <c r="H271" s="91" t="s">
        <v>228</v>
      </c>
      <c r="I271" s="91"/>
      <c r="J271" s="91"/>
      <c r="K271" s="91" t="s">
        <v>228</v>
      </c>
      <c r="L271" s="92" t="s">
        <v>785</v>
      </c>
      <c r="M271" s="91" t="str">
        <f t="shared" si="61"/>
        <v>VER ARCHIVO ANEXO</v>
      </c>
      <c r="N271" s="93">
        <v>41608</v>
      </c>
      <c r="O271" s="94"/>
      <c r="P271" s="94"/>
      <c r="Q271" s="94">
        <v>261</v>
      </c>
      <c r="R271" s="95">
        <f t="shared" si="50"/>
        <v>105582.25589051416</v>
      </c>
      <c r="S271" s="94">
        <v>69093.536399999997</v>
      </c>
      <c r="T271" s="94">
        <f t="shared" si="51"/>
        <v>73771.168814279998</v>
      </c>
      <c r="U271" s="94">
        <f t="shared" si="52"/>
        <v>78013.011021101105</v>
      </c>
      <c r="V271" s="94">
        <f t="shared" si="53"/>
        <v>81203.743171864131</v>
      </c>
      <c r="W271" s="97">
        <f t="shared" si="54"/>
        <v>83786.022204729408</v>
      </c>
      <c r="X271" s="97">
        <f t="shared" si="55"/>
        <v>86969.891048509133</v>
      </c>
      <c r="Y271" s="97">
        <f t="shared" si="59"/>
        <v>88370.106294390134</v>
      </c>
      <c r="Z271" s="97">
        <f t="shared" si="56"/>
        <v>93336.506268134865</v>
      </c>
      <c r="AA271" s="97">
        <f t="shared" si="57"/>
        <v>105582.25589051416</v>
      </c>
    </row>
    <row r="272" spans="1:27" x14ac:dyDescent="0.25">
      <c r="A272" s="102" t="s">
        <v>794</v>
      </c>
      <c r="B272" s="87" t="s">
        <v>795</v>
      </c>
      <c r="C272" s="88" t="s">
        <v>226</v>
      </c>
      <c r="D272" s="89" t="s">
        <v>262</v>
      </c>
      <c r="E272" s="90">
        <f t="shared" si="60"/>
        <v>125643</v>
      </c>
      <c r="F272" s="90">
        <f t="shared" si="58"/>
        <v>105582.25589051416</v>
      </c>
      <c r="G272" s="91">
        <v>0.19</v>
      </c>
      <c r="H272" s="91" t="s">
        <v>228</v>
      </c>
      <c r="I272" s="91"/>
      <c r="J272" s="91"/>
      <c r="K272" s="91" t="s">
        <v>228</v>
      </c>
      <c r="L272" s="92" t="s">
        <v>785</v>
      </c>
      <c r="M272" s="91" t="str">
        <f t="shared" si="61"/>
        <v>VER ARCHIVO ANEXO</v>
      </c>
      <c r="N272" s="93">
        <v>41608</v>
      </c>
      <c r="O272" s="94"/>
      <c r="P272" s="94"/>
      <c r="Q272" s="94">
        <v>262</v>
      </c>
      <c r="R272" s="95">
        <f t="shared" si="50"/>
        <v>105582.25589051416</v>
      </c>
      <c r="S272" s="94">
        <v>69093.536399999997</v>
      </c>
      <c r="T272" s="94">
        <f t="shared" si="51"/>
        <v>73771.168814279998</v>
      </c>
      <c r="U272" s="94">
        <f t="shared" si="52"/>
        <v>78013.011021101105</v>
      </c>
      <c r="V272" s="94">
        <f t="shared" si="53"/>
        <v>81203.743171864131</v>
      </c>
      <c r="W272" s="97">
        <f t="shared" si="54"/>
        <v>83786.022204729408</v>
      </c>
      <c r="X272" s="97">
        <f t="shared" si="55"/>
        <v>86969.891048509133</v>
      </c>
      <c r="Y272" s="97">
        <f t="shared" si="59"/>
        <v>88370.106294390134</v>
      </c>
      <c r="Z272" s="97">
        <f t="shared" si="56"/>
        <v>93336.506268134865</v>
      </c>
      <c r="AA272" s="97">
        <f t="shared" si="57"/>
        <v>105582.25589051416</v>
      </c>
    </row>
    <row r="273" spans="1:27" x14ac:dyDescent="0.25">
      <c r="A273" s="102" t="s">
        <v>796</v>
      </c>
      <c r="B273" s="87" t="s">
        <v>797</v>
      </c>
      <c r="C273" s="88" t="s">
        <v>226</v>
      </c>
      <c r="D273" s="89" t="s">
        <v>262</v>
      </c>
      <c r="E273" s="90">
        <f t="shared" si="60"/>
        <v>137969</v>
      </c>
      <c r="F273" s="90">
        <f t="shared" si="58"/>
        <v>115940.2594802173</v>
      </c>
      <c r="G273" s="91">
        <v>0.19</v>
      </c>
      <c r="H273" s="91" t="s">
        <v>228</v>
      </c>
      <c r="I273" s="91"/>
      <c r="J273" s="91"/>
      <c r="K273" s="91" t="s">
        <v>228</v>
      </c>
      <c r="L273" s="92" t="s">
        <v>785</v>
      </c>
      <c r="M273" s="91" t="str">
        <f t="shared" si="61"/>
        <v>VER ARCHIVO ANEXO</v>
      </c>
      <c r="N273" s="93">
        <v>41608</v>
      </c>
      <c r="O273" s="94"/>
      <c r="P273" s="94"/>
      <c r="Q273" s="94">
        <v>263</v>
      </c>
      <c r="R273" s="95">
        <f t="shared" si="50"/>
        <v>115940.2594802173</v>
      </c>
      <c r="S273" s="94">
        <v>75871.863799999992</v>
      </c>
      <c r="T273" s="94">
        <f t="shared" si="51"/>
        <v>81008.388979259995</v>
      </c>
      <c r="U273" s="94">
        <f t="shared" si="52"/>
        <v>85666.371345567459</v>
      </c>
      <c r="V273" s="94">
        <f t="shared" si="53"/>
        <v>89170.125933601157</v>
      </c>
      <c r="W273" s="97">
        <f t="shared" si="54"/>
        <v>92005.735938289683</v>
      </c>
      <c r="X273" s="97">
        <f t="shared" si="55"/>
        <v>95501.953903944697</v>
      </c>
      <c r="Y273" s="97">
        <f t="shared" si="59"/>
        <v>97039.535361798204</v>
      </c>
      <c r="Z273" s="97">
        <f t="shared" si="56"/>
        <v>102493.15724913127</v>
      </c>
      <c r="AA273" s="97">
        <f t="shared" si="57"/>
        <v>115940.2594802173</v>
      </c>
    </row>
    <row r="274" spans="1:27" x14ac:dyDescent="0.25">
      <c r="A274" s="102" t="s">
        <v>798</v>
      </c>
      <c r="B274" s="87" t="s">
        <v>799</v>
      </c>
      <c r="C274" s="88" t="s">
        <v>226</v>
      </c>
      <c r="D274" s="89" t="s">
        <v>262</v>
      </c>
      <c r="E274" s="90">
        <f t="shared" si="60"/>
        <v>113913</v>
      </c>
      <c r="F274" s="90">
        <f t="shared" si="58"/>
        <v>95724.807299181761</v>
      </c>
      <c r="G274" s="91">
        <v>0.19</v>
      </c>
      <c r="H274" s="91" t="s">
        <v>228</v>
      </c>
      <c r="I274" s="91"/>
      <c r="J274" s="91"/>
      <c r="K274" s="91" t="s">
        <v>228</v>
      </c>
      <c r="L274" s="92" t="s">
        <v>785</v>
      </c>
      <c r="M274" s="91" t="str">
        <f t="shared" si="61"/>
        <v>VER ARCHIVO ANEXO</v>
      </c>
      <c r="N274" s="93">
        <v>41608</v>
      </c>
      <c r="O274" s="94"/>
      <c r="P274" s="94"/>
      <c r="Q274" s="94">
        <v>264</v>
      </c>
      <c r="R274" s="95">
        <f t="shared" si="50"/>
        <v>95724.807299181761</v>
      </c>
      <c r="S274" s="94">
        <v>62642.774599999997</v>
      </c>
      <c r="T274" s="94">
        <f t="shared" si="51"/>
        <v>66883.690440420003</v>
      </c>
      <c r="U274" s="94">
        <f t="shared" si="52"/>
        <v>70729.502640744162</v>
      </c>
      <c r="V274" s="94">
        <f t="shared" si="53"/>
        <v>73622.339298750594</v>
      </c>
      <c r="W274" s="97">
        <f t="shared" si="54"/>
        <v>75963.529688450872</v>
      </c>
      <c r="X274" s="97">
        <f t="shared" si="55"/>
        <v>78850.143816612006</v>
      </c>
      <c r="Y274" s="97">
        <f t="shared" si="59"/>
        <v>80119.631132059454</v>
      </c>
      <c r="Z274" s="97">
        <f t="shared" si="56"/>
        <v>84622.354401681194</v>
      </c>
      <c r="AA274" s="97">
        <f t="shared" si="57"/>
        <v>95724.807299181761</v>
      </c>
    </row>
    <row r="275" spans="1:27" x14ac:dyDescent="0.25">
      <c r="A275" s="102" t="s">
        <v>800</v>
      </c>
      <c r="B275" s="87" t="s">
        <v>801</v>
      </c>
      <c r="C275" s="88" t="s">
        <v>226</v>
      </c>
      <c r="D275" s="89" t="s">
        <v>262</v>
      </c>
      <c r="E275" s="90">
        <f t="shared" si="60"/>
        <v>132402</v>
      </c>
      <c r="F275" s="90">
        <f t="shared" si="58"/>
        <v>111262.60470113895</v>
      </c>
      <c r="G275" s="91">
        <v>0.19</v>
      </c>
      <c r="H275" s="91" t="s">
        <v>228</v>
      </c>
      <c r="I275" s="91"/>
      <c r="J275" s="91"/>
      <c r="K275" s="91" t="s">
        <v>228</v>
      </c>
      <c r="L275" s="92" t="s">
        <v>785</v>
      </c>
      <c r="M275" s="91" t="str">
        <f t="shared" si="61"/>
        <v>VER ARCHIVO ANEXO</v>
      </c>
      <c r="N275" s="93">
        <v>41608</v>
      </c>
      <c r="O275" s="94"/>
      <c r="P275" s="94"/>
      <c r="Q275" s="94">
        <v>265</v>
      </c>
      <c r="R275" s="95">
        <f t="shared" si="50"/>
        <v>111262.60470113895</v>
      </c>
      <c r="S275" s="94">
        <v>72810.784</v>
      </c>
      <c r="T275" s="94">
        <f t="shared" si="51"/>
        <v>77740.074076800011</v>
      </c>
      <c r="U275" s="94">
        <f t="shared" si="52"/>
        <v>82210.128336216017</v>
      </c>
      <c r="V275" s="94">
        <f t="shared" si="53"/>
        <v>85572.522585167244</v>
      </c>
      <c r="W275" s="97">
        <f t="shared" si="54"/>
        <v>88293.728803375561</v>
      </c>
      <c r="X275" s="97">
        <f t="shared" si="55"/>
        <v>91648.890497903834</v>
      </c>
      <c r="Y275" s="97">
        <f t="shared" si="59"/>
        <v>93124.43763492009</v>
      </c>
      <c r="Z275" s="97">
        <f t="shared" si="56"/>
        <v>98358.031030002603</v>
      </c>
      <c r="AA275" s="97">
        <f t="shared" si="57"/>
        <v>111262.60470113895</v>
      </c>
    </row>
    <row r="276" spans="1:27" x14ac:dyDescent="0.25">
      <c r="A276" s="102" t="s">
        <v>802</v>
      </c>
      <c r="B276" s="87" t="s">
        <v>803</v>
      </c>
      <c r="C276" s="88" t="s">
        <v>226</v>
      </c>
      <c r="D276" s="89" t="s">
        <v>262</v>
      </c>
      <c r="E276" s="90">
        <f t="shared" si="60"/>
        <v>256456</v>
      </c>
      <c r="F276" s="90">
        <f t="shared" si="58"/>
        <v>215509.5192510628</v>
      </c>
      <c r="G276" s="91">
        <v>0.19</v>
      </c>
      <c r="H276" s="91" t="s">
        <v>228</v>
      </c>
      <c r="I276" s="91"/>
      <c r="J276" s="91"/>
      <c r="K276" s="91" t="s">
        <v>228</v>
      </c>
      <c r="L276" s="92" t="s">
        <v>785</v>
      </c>
      <c r="M276" s="91" t="str">
        <f t="shared" si="61"/>
        <v>VER ARCHIVO ANEXO</v>
      </c>
      <c r="N276" s="93">
        <v>41608</v>
      </c>
      <c r="O276" s="94"/>
      <c r="P276" s="94"/>
      <c r="Q276" s="94">
        <v>266</v>
      </c>
      <c r="R276" s="95">
        <f t="shared" si="50"/>
        <v>215509.5192510628</v>
      </c>
      <c r="S276" s="94">
        <v>141030.46659999999</v>
      </c>
      <c r="T276" s="94">
        <f t="shared" si="51"/>
        <v>150578.22918882</v>
      </c>
      <c r="U276" s="94">
        <f t="shared" si="52"/>
        <v>159236.47736717717</v>
      </c>
      <c r="V276" s="94">
        <f t="shared" si="53"/>
        <v>165749.24929149469</v>
      </c>
      <c r="W276" s="97">
        <f t="shared" si="54"/>
        <v>171020.07541896423</v>
      </c>
      <c r="X276" s="97">
        <f t="shared" si="55"/>
        <v>177518.83828488487</v>
      </c>
      <c r="Y276" s="97">
        <f t="shared" si="59"/>
        <v>180376.89158127151</v>
      </c>
      <c r="Z276" s="97">
        <f t="shared" si="56"/>
        <v>190514.07288813897</v>
      </c>
      <c r="AA276" s="97">
        <f t="shared" si="57"/>
        <v>215509.5192510628</v>
      </c>
    </row>
    <row r="277" spans="1:27" x14ac:dyDescent="0.25">
      <c r="A277" s="102" t="s">
        <v>804</v>
      </c>
      <c r="B277" s="87" t="s">
        <v>805</v>
      </c>
      <c r="C277" s="88" t="s">
        <v>226</v>
      </c>
      <c r="D277" s="89" t="s">
        <v>262</v>
      </c>
      <c r="E277" s="90">
        <f t="shared" si="60"/>
        <v>332599</v>
      </c>
      <c r="F277" s="90">
        <f t="shared" si="58"/>
        <v>279495.02116304752</v>
      </c>
      <c r="G277" s="91">
        <v>0.19</v>
      </c>
      <c r="H277" s="91" t="s">
        <v>228</v>
      </c>
      <c r="I277" s="91"/>
      <c r="J277" s="91"/>
      <c r="K277" s="91" t="s">
        <v>228</v>
      </c>
      <c r="L277" s="92" t="s">
        <v>785</v>
      </c>
      <c r="M277" s="91" t="str">
        <f t="shared" si="61"/>
        <v>VER ARCHIVO ANEXO</v>
      </c>
      <c r="N277" s="93">
        <v>41608</v>
      </c>
      <c r="O277" s="94"/>
      <c r="P277" s="94"/>
      <c r="Q277" s="94">
        <v>267</v>
      </c>
      <c r="R277" s="95">
        <f t="shared" si="50"/>
        <v>279495.02116304752</v>
      </c>
      <c r="S277" s="94">
        <v>182902.88699999999</v>
      </c>
      <c r="T277" s="94">
        <f t="shared" si="51"/>
        <v>195285.4124499</v>
      </c>
      <c r="U277" s="94">
        <f t="shared" si="52"/>
        <v>206514.32366576928</v>
      </c>
      <c r="V277" s="94">
        <f t="shared" si="53"/>
        <v>214960.75950369923</v>
      </c>
      <c r="W277" s="97">
        <f t="shared" si="54"/>
        <v>221796.51165591687</v>
      </c>
      <c r="X277" s="97">
        <f t="shared" si="55"/>
        <v>230224.77909884171</v>
      </c>
      <c r="Y277" s="97">
        <f t="shared" si="59"/>
        <v>233931.39804233305</v>
      </c>
      <c r="Z277" s="97">
        <f t="shared" si="56"/>
        <v>247078.34261231218</v>
      </c>
      <c r="AA277" s="97">
        <f t="shared" si="57"/>
        <v>279495.02116304752</v>
      </c>
    </row>
    <row r="278" spans="1:27" x14ac:dyDescent="0.25">
      <c r="A278" s="102" t="s">
        <v>806</v>
      </c>
      <c r="B278" s="63" t="s">
        <v>807</v>
      </c>
      <c r="C278" s="88" t="s">
        <v>226</v>
      </c>
      <c r="D278" s="89" t="s">
        <v>262</v>
      </c>
      <c r="E278" s="90">
        <f t="shared" si="60"/>
        <v>427375</v>
      </c>
      <c r="F278" s="90">
        <f t="shared" si="58"/>
        <v>359138.70712216716</v>
      </c>
      <c r="G278" s="91">
        <v>0.19</v>
      </c>
      <c r="H278" s="91" t="s">
        <v>228</v>
      </c>
      <c r="I278" s="91"/>
      <c r="J278" s="91"/>
      <c r="K278" s="91" t="s">
        <v>228</v>
      </c>
      <c r="L278" s="92" t="s">
        <v>785</v>
      </c>
      <c r="M278" s="91" t="str">
        <f t="shared" si="61"/>
        <v>VER ARCHIVO ANEXO</v>
      </c>
      <c r="N278" s="93">
        <v>41608</v>
      </c>
      <c r="O278" s="94"/>
      <c r="P278" s="94"/>
      <c r="Q278" s="94">
        <v>268</v>
      </c>
      <c r="R278" s="95">
        <f t="shared" si="50"/>
        <v>359138.70712216716</v>
      </c>
      <c r="S278" s="94">
        <v>235022.09839999999</v>
      </c>
      <c r="T278" s="94">
        <f t="shared" si="51"/>
        <v>250933.09446168001</v>
      </c>
      <c r="U278" s="94">
        <f t="shared" si="52"/>
        <v>265361.74739322666</v>
      </c>
      <c r="V278" s="94">
        <f t="shared" si="53"/>
        <v>276215.0428616096</v>
      </c>
      <c r="W278" s="97">
        <f t="shared" si="54"/>
        <v>284998.68122460879</v>
      </c>
      <c r="X278" s="97">
        <f t="shared" si="55"/>
        <v>295828.63111114391</v>
      </c>
      <c r="Y278" s="97">
        <f t="shared" si="59"/>
        <v>300591.47207203333</v>
      </c>
      <c r="Z278" s="97">
        <f t="shared" si="56"/>
        <v>317484.7128024816</v>
      </c>
      <c r="AA278" s="97">
        <f t="shared" si="57"/>
        <v>359138.70712216716</v>
      </c>
    </row>
    <row r="279" spans="1:27" x14ac:dyDescent="0.25">
      <c r="A279" s="102" t="s">
        <v>808</v>
      </c>
      <c r="B279" s="63" t="s">
        <v>809</v>
      </c>
      <c r="C279" s="88" t="s">
        <v>226</v>
      </c>
      <c r="D279" s="89" t="s">
        <v>262</v>
      </c>
      <c r="E279" s="90">
        <f t="shared" si="60"/>
        <v>188500</v>
      </c>
      <c r="F279" s="90">
        <f t="shared" si="58"/>
        <v>158403.48049706573</v>
      </c>
      <c r="G279" s="91">
        <v>0.19</v>
      </c>
      <c r="H279" s="91" t="s">
        <v>228</v>
      </c>
      <c r="I279" s="91"/>
      <c r="J279" s="91"/>
      <c r="K279" s="91" t="s">
        <v>228</v>
      </c>
      <c r="L279" s="92" t="s">
        <v>785</v>
      </c>
      <c r="M279" s="91" t="str">
        <f t="shared" si="61"/>
        <v>VER ARCHIVO ANEXO</v>
      </c>
      <c r="N279" s="93">
        <v>41608</v>
      </c>
      <c r="O279" s="94"/>
      <c r="P279" s="94"/>
      <c r="Q279" s="94">
        <v>269</v>
      </c>
      <c r="R279" s="95">
        <f t="shared" si="50"/>
        <v>158403.48049706573</v>
      </c>
      <c r="S279" s="94">
        <v>103660</v>
      </c>
      <c r="T279" s="94">
        <f t="shared" si="51"/>
        <v>110677.78200000001</v>
      </c>
      <c r="U279" s="94">
        <f t="shared" si="52"/>
        <v>117041.75446500002</v>
      </c>
      <c r="V279" s="94">
        <f t="shared" si="53"/>
        <v>121828.76222261852</v>
      </c>
      <c r="W279" s="97">
        <f t="shared" si="54"/>
        <v>125702.9168612978</v>
      </c>
      <c r="X279" s="97">
        <f t="shared" si="55"/>
        <v>130479.62770202712</v>
      </c>
      <c r="Y279" s="97">
        <f t="shared" si="59"/>
        <v>132580.34970802977</v>
      </c>
      <c r="Z279" s="97">
        <f t="shared" si="56"/>
        <v>140031.36536162105</v>
      </c>
      <c r="AA279" s="97">
        <f t="shared" si="57"/>
        <v>158403.48049706573</v>
      </c>
    </row>
    <row r="280" spans="1:27" x14ac:dyDescent="0.25">
      <c r="A280" s="105" t="s">
        <v>810</v>
      </c>
      <c r="B280" s="106" t="s">
        <v>811</v>
      </c>
      <c r="C280" s="107"/>
      <c r="D280" s="108"/>
      <c r="E280" s="90">
        <f t="shared" si="60"/>
        <v>0</v>
      </c>
      <c r="F280" s="90">
        <f t="shared" si="58"/>
        <v>0</v>
      </c>
      <c r="G280" s="91"/>
      <c r="H280" s="91"/>
      <c r="I280" s="91"/>
      <c r="J280" s="91"/>
      <c r="K280" s="91"/>
      <c r="L280" s="92"/>
      <c r="M280" s="91"/>
      <c r="N280" s="93">
        <v>41608</v>
      </c>
      <c r="O280" s="109"/>
      <c r="P280" s="109"/>
      <c r="Q280" s="109">
        <v>0</v>
      </c>
      <c r="R280" s="95">
        <f t="shared" si="50"/>
        <v>0</v>
      </c>
      <c r="S280" s="109">
        <v>0</v>
      </c>
      <c r="T280" s="94">
        <f t="shared" si="51"/>
        <v>0</v>
      </c>
      <c r="U280" s="94">
        <f t="shared" si="52"/>
        <v>0</v>
      </c>
      <c r="V280" s="94">
        <f t="shared" si="53"/>
        <v>0</v>
      </c>
      <c r="W280" s="97">
        <f t="shared" si="54"/>
        <v>0</v>
      </c>
      <c r="X280" s="97">
        <f t="shared" si="55"/>
        <v>0</v>
      </c>
      <c r="Y280" s="97">
        <f t="shared" si="59"/>
        <v>0</v>
      </c>
      <c r="Z280" s="97">
        <f t="shared" si="56"/>
        <v>0</v>
      </c>
      <c r="AA280" s="97">
        <f t="shared" si="57"/>
        <v>0</v>
      </c>
    </row>
    <row r="281" spans="1:27" x14ac:dyDescent="0.25">
      <c r="A281" s="113" t="s">
        <v>812</v>
      </c>
      <c r="B281" s="87" t="s">
        <v>813</v>
      </c>
      <c r="C281" s="114" t="s">
        <v>226</v>
      </c>
      <c r="D281" s="115" t="s">
        <v>814</v>
      </c>
      <c r="E281" s="90">
        <f t="shared" si="60"/>
        <v>15270</v>
      </c>
      <c r="F281" s="90">
        <f t="shared" si="58"/>
        <v>15270.095519917131</v>
      </c>
      <c r="G281" s="91">
        <v>0</v>
      </c>
      <c r="H281" s="91" t="s">
        <v>228</v>
      </c>
      <c r="I281" s="91" t="s">
        <v>228</v>
      </c>
      <c r="J281" s="91" t="s">
        <v>228</v>
      </c>
      <c r="K281" s="91" t="s">
        <v>228</v>
      </c>
      <c r="L281" s="92" t="s">
        <v>302</v>
      </c>
      <c r="M281" s="91" t="str">
        <f>+IF(L281="no aplica","no aplica","VER ARCHIVO ANEXO")</f>
        <v>no aplica</v>
      </c>
      <c r="N281" s="93">
        <v>41608</v>
      </c>
      <c r="O281" s="94"/>
      <c r="P281" s="94"/>
      <c r="Q281" s="94">
        <v>270</v>
      </c>
      <c r="R281" s="95">
        <f t="shared" si="50"/>
        <v>15270.095519917131</v>
      </c>
      <c r="S281" s="94">
        <v>9992.8240000000005</v>
      </c>
      <c r="T281" s="94">
        <f t="shared" si="51"/>
        <v>10669.338184800001</v>
      </c>
      <c r="U281" s="94">
        <f t="shared" si="52"/>
        <v>11282.825130426001</v>
      </c>
      <c r="V281" s="94">
        <f t="shared" si="53"/>
        <v>11744.292678260425</v>
      </c>
      <c r="W281" s="97">
        <f t="shared" si="54"/>
        <v>12117.761185429106</v>
      </c>
      <c r="X281" s="97">
        <f t="shared" si="55"/>
        <v>12578.236110475413</v>
      </c>
      <c r="Y281" s="97">
        <f t="shared" si="59"/>
        <v>12780.745711854066</v>
      </c>
      <c r="Z281" s="97">
        <f t="shared" si="56"/>
        <v>13499.023620860266</v>
      </c>
      <c r="AA281" s="97">
        <f t="shared" si="57"/>
        <v>15270.095519917131</v>
      </c>
    </row>
    <row r="282" spans="1:27" x14ac:dyDescent="0.25">
      <c r="A282" s="113" t="s">
        <v>815</v>
      </c>
      <c r="B282" s="87" t="s">
        <v>816</v>
      </c>
      <c r="C282" s="114" t="s">
        <v>226</v>
      </c>
      <c r="D282" s="115" t="s">
        <v>814</v>
      </c>
      <c r="E282" s="90">
        <f t="shared" si="60"/>
        <v>13385</v>
      </c>
      <c r="F282" s="90">
        <f t="shared" si="58"/>
        <v>13385.094102002051</v>
      </c>
      <c r="G282" s="91">
        <v>0</v>
      </c>
      <c r="H282" s="91" t="s">
        <v>228</v>
      </c>
      <c r="I282" s="91" t="s">
        <v>228</v>
      </c>
      <c r="J282" s="91" t="s">
        <v>228</v>
      </c>
      <c r="K282" s="91" t="s">
        <v>228</v>
      </c>
      <c r="L282" s="92" t="s">
        <v>302</v>
      </c>
      <c r="M282" s="91" t="str">
        <f>+IF(L282="no aplica","no aplica","VER ARCHIVO ANEXO")</f>
        <v>no aplica</v>
      </c>
      <c r="N282" s="93">
        <v>41608</v>
      </c>
      <c r="O282" s="94"/>
      <c r="P282" s="94"/>
      <c r="Q282" s="94">
        <v>271</v>
      </c>
      <c r="R282" s="95">
        <f t="shared" si="50"/>
        <v>13385.094102002051</v>
      </c>
      <c r="S282" s="94">
        <v>8759.27</v>
      </c>
      <c r="T282" s="94">
        <f t="shared" si="51"/>
        <v>9352.2725790000004</v>
      </c>
      <c r="U282" s="94">
        <f t="shared" si="52"/>
        <v>9890.0282522925008</v>
      </c>
      <c r="V282" s="94">
        <f t="shared" si="53"/>
        <v>10294.530407811264</v>
      </c>
      <c r="W282" s="97">
        <f t="shared" si="54"/>
        <v>10621.896474779664</v>
      </c>
      <c r="X282" s="97">
        <f t="shared" si="55"/>
        <v>11025.528540821291</v>
      </c>
      <c r="Y282" s="97">
        <f t="shared" si="59"/>
        <v>11203.039550328514</v>
      </c>
      <c r="Z282" s="97">
        <f t="shared" si="56"/>
        <v>11832.650373056977</v>
      </c>
      <c r="AA282" s="97">
        <f t="shared" si="57"/>
        <v>13385.094102002051</v>
      </c>
    </row>
    <row r="283" spans="1:27" x14ac:dyDescent="0.25">
      <c r="A283" s="113" t="s">
        <v>817</v>
      </c>
      <c r="B283" s="87" t="s">
        <v>818</v>
      </c>
      <c r="C283" s="114" t="s">
        <v>226</v>
      </c>
      <c r="D283" s="115" t="s">
        <v>262</v>
      </c>
      <c r="E283" s="90">
        <f t="shared" si="60"/>
        <v>165750</v>
      </c>
      <c r="F283" s="90">
        <f t="shared" si="58"/>
        <v>139285.76443587482</v>
      </c>
      <c r="G283" s="91">
        <v>0.19</v>
      </c>
      <c r="H283" s="91" t="s">
        <v>228</v>
      </c>
      <c r="I283" s="91" t="s">
        <v>228</v>
      </c>
      <c r="J283" s="91" t="s">
        <v>228</v>
      </c>
      <c r="K283" s="91" t="s">
        <v>228</v>
      </c>
      <c r="L283" s="92" t="s">
        <v>819</v>
      </c>
      <c r="M283" s="91" t="str">
        <f>+IF(L283="no aplica","no aplica","VER ARCHIVO ANEXO")</f>
        <v>VER ARCHIVO ANEXO</v>
      </c>
      <c r="N283" s="93">
        <v>41608</v>
      </c>
      <c r="O283" s="94"/>
      <c r="P283" s="94"/>
      <c r="Q283" s="94">
        <v>272</v>
      </c>
      <c r="R283" s="95">
        <f t="shared" si="50"/>
        <v>139285.76443587482</v>
      </c>
      <c r="S283" s="94">
        <v>91149.27459999999</v>
      </c>
      <c r="T283" s="94">
        <f t="shared" si="51"/>
        <v>97320.08049041999</v>
      </c>
      <c r="U283" s="94">
        <f t="shared" si="52"/>
        <v>102915.98511861915</v>
      </c>
      <c r="V283" s="94">
        <f t="shared" si="53"/>
        <v>107125.24890997067</v>
      </c>
      <c r="W283" s="97">
        <f t="shared" si="54"/>
        <v>110531.83182530775</v>
      </c>
      <c r="X283" s="97">
        <f t="shared" si="55"/>
        <v>114732.04143466945</v>
      </c>
      <c r="Y283" s="97">
        <f t="shared" si="59"/>
        <v>116579.22730176762</v>
      </c>
      <c r="Z283" s="97">
        <f t="shared" si="56"/>
        <v>123130.97987612696</v>
      </c>
      <c r="AA283" s="97">
        <f t="shared" si="57"/>
        <v>139285.76443587482</v>
      </c>
    </row>
    <row r="284" spans="1:27" x14ac:dyDescent="0.25">
      <c r="A284" s="113" t="s">
        <v>820</v>
      </c>
      <c r="B284" s="87" t="s">
        <v>821</v>
      </c>
      <c r="C284" s="114" t="s">
        <v>226</v>
      </c>
      <c r="D284" s="115" t="s">
        <v>262</v>
      </c>
      <c r="E284" s="90">
        <f t="shared" si="60"/>
        <v>10273</v>
      </c>
      <c r="F284" s="90">
        <f t="shared" si="58"/>
        <v>8632.9896870900793</v>
      </c>
      <c r="G284" s="91">
        <v>0.19</v>
      </c>
      <c r="H284" s="91" t="s">
        <v>228</v>
      </c>
      <c r="I284" s="91" t="s">
        <v>228</v>
      </c>
      <c r="J284" s="91" t="s">
        <v>228</v>
      </c>
      <c r="K284" s="91" t="s">
        <v>228</v>
      </c>
      <c r="L284" s="92" t="s">
        <v>822</v>
      </c>
      <c r="M284" s="91" t="str">
        <f>+IF(L284="no aplica","no aplica","VER ARCHIVO ANEXO")</f>
        <v>VER ARCHIVO ANEXO</v>
      </c>
      <c r="N284" s="93">
        <v>41608</v>
      </c>
      <c r="O284" s="94"/>
      <c r="P284" s="94"/>
      <c r="Q284" s="94">
        <v>273</v>
      </c>
      <c r="R284" s="95">
        <f t="shared" si="50"/>
        <v>8632.9896870900793</v>
      </c>
      <c r="S284" s="94">
        <v>5649.47</v>
      </c>
      <c r="T284" s="94">
        <f t="shared" si="51"/>
        <v>6031.9391190000006</v>
      </c>
      <c r="U284" s="94">
        <f t="shared" si="52"/>
        <v>6378.7756183425008</v>
      </c>
      <c r="V284" s="94">
        <f t="shared" si="53"/>
        <v>6639.6675411327087</v>
      </c>
      <c r="W284" s="97">
        <f t="shared" si="54"/>
        <v>6850.8089689407288</v>
      </c>
      <c r="X284" s="97">
        <f t="shared" si="55"/>
        <v>7111.1397097604768</v>
      </c>
      <c r="Y284" s="97">
        <f t="shared" si="59"/>
        <v>7225.6290590876206</v>
      </c>
      <c r="Z284" s="97">
        <f t="shared" si="56"/>
        <v>7631.7094122083454</v>
      </c>
      <c r="AA284" s="97">
        <f t="shared" si="57"/>
        <v>8632.9896870900793</v>
      </c>
    </row>
    <row r="285" spans="1:27" x14ac:dyDescent="0.25">
      <c r="A285" s="105" t="s">
        <v>823</v>
      </c>
      <c r="B285" s="106" t="s">
        <v>824</v>
      </c>
      <c r="C285" s="107"/>
      <c r="D285" s="108"/>
      <c r="E285" s="90">
        <f t="shared" si="60"/>
        <v>0</v>
      </c>
      <c r="F285" s="90">
        <f t="shared" si="58"/>
        <v>0</v>
      </c>
      <c r="G285" s="81"/>
      <c r="H285" s="81"/>
      <c r="I285" s="81"/>
      <c r="J285" s="81"/>
      <c r="K285" s="81"/>
      <c r="L285" s="92"/>
      <c r="M285" s="91"/>
      <c r="N285" s="93">
        <v>41608</v>
      </c>
      <c r="O285" s="109"/>
      <c r="P285" s="109"/>
      <c r="Q285" s="109">
        <v>0</v>
      </c>
      <c r="R285" s="95">
        <f t="shared" si="50"/>
        <v>0</v>
      </c>
      <c r="S285" s="109">
        <v>0</v>
      </c>
      <c r="T285" s="94">
        <f t="shared" si="51"/>
        <v>0</v>
      </c>
      <c r="U285" s="94">
        <f t="shared" si="52"/>
        <v>0</v>
      </c>
      <c r="V285" s="94">
        <f t="shared" si="53"/>
        <v>0</v>
      </c>
      <c r="W285" s="97">
        <f t="shared" si="54"/>
        <v>0</v>
      </c>
      <c r="X285" s="97">
        <f t="shared" si="55"/>
        <v>0</v>
      </c>
      <c r="Y285" s="97">
        <f t="shared" si="59"/>
        <v>0</v>
      </c>
      <c r="Z285" s="97">
        <f t="shared" si="56"/>
        <v>0</v>
      </c>
      <c r="AA285" s="97">
        <f t="shared" si="57"/>
        <v>0</v>
      </c>
    </row>
    <row r="286" spans="1:27" x14ac:dyDescent="0.25">
      <c r="A286" s="86" t="s">
        <v>825</v>
      </c>
      <c r="B286" s="87" t="s">
        <v>826</v>
      </c>
      <c r="C286" s="88" t="s">
        <v>226</v>
      </c>
      <c r="D286" s="89" t="s">
        <v>227</v>
      </c>
      <c r="E286" s="90">
        <f t="shared" si="60"/>
        <v>856</v>
      </c>
      <c r="F286" s="90">
        <f t="shared" si="58"/>
        <v>719.15180145667841</v>
      </c>
      <c r="G286" s="91">
        <v>0.19</v>
      </c>
      <c r="H286" s="91" t="s">
        <v>228</v>
      </c>
      <c r="I286" s="91" t="s">
        <v>228</v>
      </c>
      <c r="J286" s="91" t="s">
        <v>228</v>
      </c>
      <c r="K286" s="91" t="s">
        <v>228</v>
      </c>
      <c r="L286" s="92" t="s">
        <v>827</v>
      </c>
      <c r="M286" s="91" t="str">
        <f t="shared" ref="M286:M299" si="62">+IF(L286="no aplica","no aplica","VER ARCHIVO ANEXO")</f>
        <v>VER ARCHIVO ANEXO</v>
      </c>
      <c r="N286" s="93">
        <v>41608</v>
      </c>
      <c r="O286" s="94">
        <f>35220/50</f>
        <v>704.4</v>
      </c>
      <c r="P286" s="94" t="s">
        <v>230</v>
      </c>
      <c r="Q286" s="94">
        <v>274</v>
      </c>
      <c r="R286" s="95">
        <f t="shared" si="50"/>
        <v>719.15180145667841</v>
      </c>
      <c r="S286" s="94">
        <v>470.6164</v>
      </c>
      <c r="T286" s="94">
        <f t="shared" si="51"/>
        <v>502.47713028000004</v>
      </c>
      <c r="U286" s="94">
        <f t="shared" si="52"/>
        <v>531.3695652711001</v>
      </c>
      <c r="V286" s="94">
        <f t="shared" si="53"/>
        <v>553.10258049068807</v>
      </c>
      <c r="W286" s="97">
        <f t="shared" si="54"/>
        <v>570.69124255029203</v>
      </c>
      <c r="X286" s="97">
        <f t="shared" si="55"/>
        <v>592.37750976720315</v>
      </c>
      <c r="Y286" s="97">
        <f t="shared" si="59"/>
        <v>601.91478767445517</v>
      </c>
      <c r="Z286" s="97">
        <f t="shared" si="56"/>
        <v>635.74239874175953</v>
      </c>
      <c r="AA286" s="97">
        <f t="shared" si="57"/>
        <v>719.15180145667841</v>
      </c>
    </row>
    <row r="287" spans="1:27" x14ac:dyDescent="0.25">
      <c r="A287" s="86" t="s">
        <v>828</v>
      </c>
      <c r="B287" s="87" t="s">
        <v>829</v>
      </c>
      <c r="C287" s="88" t="s">
        <v>226</v>
      </c>
      <c r="D287" s="89" t="s">
        <v>301</v>
      </c>
      <c r="E287" s="90">
        <f t="shared" si="60"/>
        <v>697451</v>
      </c>
      <c r="F287" s="90">
        <f t="shared" si="58"/>
        <v>586092.87783914304</v>
      </c>
      <c r="G287" s="91">
        <v>0.19</v>
      </c>
      <c r="H287" s="91" t="s">
        <v>228</v>
      </c>
      <c r="I287" s="91" t="s">
        <v>228</v>
      </c>
      <c r="J287" s="91" t="s">
        <v>228</v>
      </c>
      <c r="K287" s="91" t="s">
        <v>228</v>
      </c>
      <c r="L287" s="92" t="s">
        <v>830</v>
      </c>
      <c r="M287" s="91" t="str">
        <f t="shared" si="62"/>
        <v>VER ARCHIVO ANEXO</v>
      </c>
      <c r="N287" s="93">
        <v>41608</v>
      </c>
      <c r="O287" s="94"/>
      <c r="P287" s="94"/>
      <c r="Q287" s="94">
        <v>275</v>
      </c>
      <c r="R287" s="95">
        <f t="shared" si="50"/>
        <v>586092.87783914304</v>
      </c>
      <c r="S287" s="94">
        <v>383542</v>
      </c>
      <c r="T287" s="94">
        <f t="shared" si="51"/>
        <v>409507.79340000002</v>
      </c>
      <c r="U287" s="94">
        <f t="shared" si="52"/>
        <v>433054.49152050004</v>
      </c>
      <c r="V287" s="94">
        <f t="shared" si="53"/>
        <v>450766.42022368847</v>
      </c>
      <c r="W287" s="97">
        <f t="shared" si="54"/>
        <v>465100.7923868018</v>
      </c>
      <c r="X287" s="97">
        <f t="shared" si="55"/>
        <v>482774.62249750027</v>
      </c>
      <c r="Y287" s="97">
        <f t="shared" si="59"/>
        <v>490547.29391971003</v>
      </c>
      <c r="Z287" s="97">
        <f t="shared" si="56"/>
        <v>518116.05183799774</v>
      </c>
      <c r="AA287" s="97">
        <f t="shared" si="57"/>
        <v>586092.87783914304</v>
      </c>
    </row>
    <row r="288" spans="1:27" x14ac:dyDescent="0.25">
      <c r="A288" s="102" t="s">
        <v>831</v>
      </c>
      <c r="B288" s="87" t="s">
        <v>832</v>
      </c>
      <c r="C288" s="88" t="s">
        <v>226</v>
      </c>
      <c r="D288" s="89" t="s">
        <v>301</v>
      </c>
      <c r="E288" s="90">
        <f t="shared" si="60"/>
        <v>599594</v>
      </c>
      <c r="F288" s="90">
        <f t="shared" si="58"/>
        <v>503860.87900870148</v>
      </c>
      <c r="G288" s="91">
        <v>0.19</v>
      </c>
      <c r="H288" s="91" t="s">
        <v>228</v>
      </c>
      <c r="I288" s="91" t="s">
        <v>228</v>
      </c>
      <c r="J288" s="91" t="s">
        <v>228</v>
      </c>
      <c r="K288" s="91" t="s">
        <v>228</v>
      </c>
      <c r="L288" s="92" t="s">
        <v>289</v>
      </c>
      <c r="M288" s="91" t="str">
        <f t="shared" si="62"/>
        <v>VER ARCHIVO ANEXO</v>
      </c>
      <c r="N288" s="93">
        <v>41608</v>
      </c>
      <c r="O288" s="94"/>
      <c r="P288" s="94"/>
      <c r="Q288" s="94">
        <v>276</v>
      </c>
      <c r="R288" s="95">
        <f t="shared" si="50"/>
        <v>503860.87900870148</v>
      </c>
      <c r="S288" s="94">
        <v>329728.98420000001</v>
      </c>
      <c r="T288" s="94">
        <f t="shared" si="51"/>
        <v>352051.63643034006</v>
      </c>
      <c r="U288" s="94">
        <f t="shared" si="52"/>
        <v>372294.60552508465</v>
      </c>
      <c r="V288" s="94">
        <f t="shared" si="53"/>
        <v>387521.4548910606</v>
      </c>
      <c r="W288" s="97">
        <f t="shared" si="54"/>
        <v>399844.63715659635</v>
      </c>
      <c r="X288" s="97">
        <f t="shared" si="55"/>
        <v>415038.73336854705</v>
      </c>
      <c r="Y288" s="97">
        <f t="shared" si="59"/>
        <v>421720.85697578068</v>
      </c>
      <c r="Z288" s="97">
        <f t="shared" si="56"/>
        <v>445421.56913781958</v>
      </c>
      <c r="AA288" s="97">
        <f t="shared" si="57"/>
        <v>503860.87900870148</v>
      </c>
    </row>
    <row r="289" spans="1:27" x14ac:dyDescent="0.25">
      <c r="A289" s="102" t="s">
        <v>833</v>
      </c>
      <c r="B289" s="87" t="s">
        <v>834</v>
      </c>
      <c r="C289" s="88" t="s">
        <v>226</v>
      </c>
      <c r="D289" s="89" t="s">
        <v>227</v>
      </c>
      <c r="E289" s="90">
        <f t="shared" si="60"/>
        <v>1455</v>
      </c>
      <c r="F289" s="90">
        <f t="shared" si="58"/>
        <v>1222.8748694373471</v>
      </c>
      <c r="G289" s="91">
        <v>0.19</v>
      </c>
      <c r="H289" s="91" t="s">
        <v>228</v>
      </c>
      <c r="I289" s="91" t="s">
        <v>228</v>
      </c>
      <c r="J289" s="91" t="s">
        <v>228</v>
      </c>
      <c r="K289" s="91" t="s">
        <v>228</v>
      </c>
      <c r="L289" s="92" t="s">
        <v>835</v>
      </c>
      <c r="M289" s="91" t="str">
        <f t="shared" si="62"/>
        <v>VER ARCHIVO ANEXO</v>
      </c>
      <c r="N289" s="93">
        <v>41608</v>
      </c>
      <c r="O289" s="94"/>
      <c r="P289" s="94"/>
      <c r="Q289" s="94">
        <v>277</v>
      </c>
      <c r="R289" s="95">
        <f t="shared" si="50"/>
        <v>1222.8748694373471</v>
      </c>
      <c r="S289" s="94">
        <v>800.25519999999995</v>
      </c>
      <c r="T289" s="94">
        <f t="shared" si="51"/>
        <v>854.43247703999998</v>
      </c>
      <c r="U289" s="94">
        <f t="shared" si="52"/>
        <v>903.56234446980011</v>
      </c>
      <c r="V289" s="94">
        <f t="shared" si="53"/>
        <v>940.51804435861493</v>
      </c>
      <c r="W289" s="97">
        <f t="shared" si="54"/>
        <v>970.42651816921898</v>
      </c>
      <c r="X289" s="97">
        <f t="shared" si="55"/>
        <v>1007.3027258596493</v>
      </c>
      <c r="Y289" s="97">
        <f t="shared" si="59"/>
        <v>1023.5202997459896</v>
      </c>
      <c r="Z289" s="97">
        <f t="shared" si="56"/>
        <v>1081.0421405917143</v>
      </c>
      <c r="AA289" s="97">
        <f t="shared" si="57"/>
        <v>1222.8748694373471</v>
      </c>
    </row>
    <row r="290" spans="1:27" x14ac:dyDescent="0.25">
      <c r="A290" s="102" t="s">
        <v>836</v>
      </c>
      <c r="B290" s="87" t="s">
        <v>837</v>
      </c>
      <c r="C290" s="88" t="s">
        <v>226</v>
      </c>
      <c r="D290" s="89" t="s">
        <v>339</v>
      </c>
      <c r="E290" s="90">
        <f t="shared" si="60"/>
        <v>33913</v>
      </c>
      <c r="F290" s="90">
        <f t="shared" si="58"/>
        <v>28498.37017622709</v>
      </c>
      <c r="G290" s="91">
        <v>0.19</v>
      </c>
      <c r="H290" s="91" t="s">
        <v>228</v>
      </c>
      <c r="I290" s="91" t="s">
        <v>228</v>
      </c>
      <c r="J290" s="91" t="s">
        <v>228</v>
      </c>
      <c r="K290" s="91" t="s">
        <v>228</v>
      </c>
      <c r="L290" s="92" t="s">
        <v>289</v>
      </c>
      <c r="M290" s="91" t="str">
        <f t="shared" si="62"/>
        <v>VER ARCHIVO ANEXO</v>
      </c>
      <c r="N290" s="93">
        <v>41608</v>
      </c>
      <c r="O290" s="94"/>
      <c r="P290" s="94"/>
      <c r="Q290" s="94">
        <v>278</v>
      </c>
      <c r="R290" s="95">
        <f t="shared" si="50"/>
        <v>28498.37017622709</v>
      </c>
      <c r="S290" s="94">
        <v>18649.470600000001</v>
      </c>
      <c r="T290" s="94">
        <f t="shared" si="51"/>
        <v>19912.039759620002</v>
      </c>
      <c r="U290" s="94">
        <f t="shared" si="52"/>
        <v>21056.982045798155</v>
      </c>
      <c r="V290" s="94">
        <f t="shared" si="53"/>
        <v>21918.212611471299</v>
      </c>
      <c r="W290" s="97">
        <f t="shared" si="54"/>
        <v>22615.211772516086</v>
      </c>
      <c r="X290" s="97">
        <f t="shared" si="55"/>
        <v>23474.589819871697</v>
      </c>
      <c r="Y290" s="97">
        <f t="shared" si="59"/>
        <v>23852.530715971632</v>
      </c>
      <c r="Z290" s="97">
        <f t="shared" si="56"/>
        <v>25193.042942209238</v>
      </c>
      <c r="AA290" s="97">
        <f t="shared" si="57"/>
        <v>28498.37017622709</v>
      </c>
    </row>
    <row r="291" spans="1:27" x14ac:dyDescent="0.25">
      <c r="A291" s="86" t="s">
        <v>838</v>
      </c>
      <c r="B291" s="87" t="s">
        <v>839</v>
      </c>
      <c r="C291" s="88" t="s">
        <v>226</v>
      </c>
      <c r="D291" s="89" t="s">
        <v>262</v>
      </c>
      <c r="E291" s="90">
        <f t="shared" si="60"/>
        <v>1131</v>
      </c>
      <c r="F291" s="90">
        <f t="shared" si="58"/>
        <v>950.42088298239446</v>
      </c>
      <c r="G291" s="91">
        <v>0.19</v>
      </c>
      <c r="H291" s="91" t="s">
        <v>228</v>
      </c>
      <c r="I291" s="91" t="s">
        <v>228</v>
      </c>
      <c r="J291" s="91" t="s">
        <v>228</v>
      </c>
      <c r="K291" s="91" t="s">
        <v>228</v>
      </c>
      <c r="L291" s="92" t="s">
        <v>840</v>
      </c>
      <c r="M291" s="91" t="str">
        <f t="shared" si="62"/>
        <v>VER ARCHIVO ANEXO</v>
      </c>
      <c r="N291" s="93">
        <v>41608</v>
      </c>
      <c r="O291" s="94"/>
      <c r="P291" s="94"/>
      <c r="Q291" s="94">
        <v>279</v>
      </c>
      <c r="R291" s="95">
        <f t="shared" si="50"/>
        <v>950.42088298239446</v>
      </c>
      <c r="S291" s="94">
        <v>621.96</v>
      </c>
      <c r="T291" s="94">
        <f t="shared" si="51"/>
        <v>664.0666920000001</v>
      </c>
      <c r="U291" s="94">
        <f t="shared" si="52"/>
        <v>702.25052679000021</v>
      </c>
      <c r="V291" s="94">
        <f t="shared" si="53"/>
        <v>730.97257333571122</v>
      </c>
      <c r="W291" s="97">
        <f t="shared" si="54"/>
        <v>754.21750116778685</v>
      </c>
      <c r="X291" s="97">
        <f t="shared" si="55"/>
        <v>782.87776621216278</v>
      </c>
      <c r="Y291" s="97">
        <f t="shared" si="59"/>
        <v>795.48209824817866</v>
      </c>
      <c r="Z291" s="97">
        <f t="shared" si="56"/>
        <v>840.18819216972634</v>
      </c>
      <c r="AA291" s="97">
        <f t="shared" si="57"/>
        <v>950.42088298239446</v>
      </c>
    </row>
    <row r="292" spans="1:27" x14ac:dyDescent="0.25">
      <c r="A292" s="86" t="s">
        <v>841</v>
      </c>
      <c r="B292" s="87" t="s">
        <v>842</v>
      </c>
      <c r="C292" s="88" t="s">
        <v>226</v>
      </c>
      <c r="D292" s="89" t="s">
        <v>262</v>
      </c>
      <c r="E292" s="90">
        <f t="shared" si="60"/>
        <v>1508</v>
      </c>
      <c r="F292" s="90">
        <f t="shared" si="58"/>
        <v>1267.2278439765253</v>
      </c>
      <c r="G292" s="91">
        <v>0.19</v>
      </c>
      <c r="H292" s="91" t="s">
        <v>228</v>
      </c>
      <c r="I292" s="91" t="s">
        <v>228</v>
      </c>
      <c r="J292" s="91" t="s">
        <v>228</v>
      </c>
      <c r="K292" s="91" t="s">
        <v>228</v>
      </c>
      <c r="L292" s="92" t="s">
        <v>843</v>
      </c>
      <c r="M292" s="91" t="str">
        <f t="shared" si="62"/>
        <v>VER ARCHIVO ANEXO</v>
      </c>
      <c r="N292" s="93">
        <v>41608</v>
      </c>
      <c r="O292" s="94"/>
      <c r="P292" s="94"/>
      <c r="Q292" s="94">
        <v>280</v>
      </c>
      <c r="R292" s="95">
        <f t="shared" si="50"/>
        <v>1267.2278439765253</v>
      </c>
      <c r="S292" s="94">
        <v>829.28</v>
      </c>
      <c r="T292" s="94">
        <f t="shared" si="51"/>
        <v>885.42225600000006</v>
      </c>
      <c r="U292" s="94">
        <f t="shared" si="52"/>
        <v>936.3340357200002</v>
      </c>
      <c r="V292" s="94">
        <f t="shared" si="53"/>
        <v>974.63009778094818</v>
      </c>
      <c r="W292" s="97">
        <f t="shared" si="54"/>
        <v>1005.6233348903824</v>
      </c>
      <c r="X292" s="97">
        <f t="shared" si="55"/>
        <v>1043.8370216162168</v>
      </c>
      <c r="Y292" s="97">
        <f t="shared" si="59"/>
        <v>1060.6427976642378</v>
      </c>
      <c r="Z292" s="97">
        <f t="shared" si="56"/>
        <v>1120.250922892968</v>
      </c>
      <c r="AA292" s="97">
        <f t="shared" si="57"/>
        <v>1267.2278439765253</v>
      </c>
    </row>
    <row r="293" spans="1:27" x14ac:dyDescent="0.25">
      <c r="A293" s="86" t="s">
        <v>844</v>
      </c>
      <c r="B293" s="87" t="s">
        <v>845</v>
      </c>
      <c r="C293" s="88" t="s">
        <v>226</v>
      </c>
      <c r="D293" s="89" t="s">
        <v>227</v>
      </c>
      <c r="E293" s="90">
        <f t="shared" si="60"/>
        <v>1697</v>
      </c>
      <c r="F293" s="90">
        <f t="shared" si="58"/>
        <v>1425.6313244735913</v>
      </c>
      <c r="G293" s="91">
        <v>0.19</v>
      </c>
      <c r="H293" s="91" t="s">
        <v>228</v>
      </c>
      <c r="I293" s="91" t="s">
        <v>228</v>
      </c>
      <c r="J293" s="91" t="s">
        <v>228</v>
      </c>
      <c r="K293" s="91" t="s">
        <v>228</v>
      </c>
      <c r="L293" s="92" t="s">
        <v>835</v>
      </c>
      <c r="M293" s="91" t="str">
        <f t="shared" si="62"/>
        <v>VER ARCHIVO ANEXO</v>
      </c>
      <c r="N293" s="93">
        <v>41608</v>
      </c>
      <c r="O293" s="94"/>
      <c r="P293" s="94"/>
      <c r="Q293" s="94">
        <v>281</v>
      </c>
      <c r="R293" s="95">
        <f t="shared" si="50"/>
        <v>1425.6313244735913</v>
      </c>
      <c r="S293" s="94">
        <v>932.93999999999994</v>
      </c>
      <c r="T293" s="94">
        <f t="shared" si="51"/>
        <v>996.10003800000004</v>
      </c>
      <c r="U293" s="94">
        <f t="shared" si="52"/>
        <v>1053.3757901850001</v>
      </c>
      <c r="V293" s="94">
        <f t="shared" si="53"/>
        <v>1096.4588600035665</v>
      </c>
      <c r="W293" s="97">
        <f t="shared" si="54"/>
        <v>1131.32625175168</v>
      </c>
      <c r="X293" s="97">
        <f t="shared" si="55"/>
        <v>1174.3166493182439</v>
      </c>
      <c r="Y293" s="97">
        <f t="shared" si="59"/>
        <v>1193.2231473722677</v>
      </c>
      <c r="Z293" s="97">
        <f t="shared" si="56"/>
        <v>1260.2822882545893</v>
      </c>
      <c r="AA293" s="97">
        <f t="shared" si="57"/>
        <v>1425.6313244735913</v>
      </c>
    </row>
    <row r="294" spans="1:27" x14ac:dyDescent="0.25">
      <c r="A294" s="86" t="s">
        <v>846</v>
      </c>
      <c r="B294" s="87" t="s">
        <v>847</v>
      </c>
      <c r="C294" s="88" t="s">
        <v>226</v>
      </c>
      <c r="D294" s="89" t="s">
        <v>301</v>
      </c>
      <c r="E294" s="90">
        <f t="shared" si="60"/>
        <v>169650</v>
      </c>
      <c r="F294" s="90">
        <f t="shared" si="58"/>
        <v>142563.13244735912</v>
      </c>
      <c r="G294" s="91">
        <v>0.19</v>
      </c>
      <c r="H294" s="91" t="s">
        <v>228</v>
      </c>
      <c r="I294" s="91" t="s">
        <v>228</v>
      </c>
      <c r="J294" s="91" t="s">
        <v>228</v>
      </c>
      <c r="K294" s="91" t="s">
        <v>228</v>
      </c>
      <c r="L294" s="92" t="s">
        <v>302</v>
      </c>
      <c r="M294" s="91" t="str">
        <f t="shared" si="62"/>
        <v>no aplica</v>
      </c>
      <c r="N294" s="93">
        <v>41608</v>
      </c>
      <c r="O294" s="94"/>
      <c r="P294" s="94"/>
      <c r="Q294" s="94">
        <v>282</v>
      </c>
      <c r="R294" s="95">
        <f t="shared" si="50"/>
        <v>142563.13244735912</v>
      </c>
      <c r="S294" s="94">
        <v>93294</v>
      </c>
      <c r="T294" s="94">
        <f t="shared" si="51"/>
        <v>99610.003800000006</v>
      </c>
      <c r="U294" s="94">
        <f t="shared" si="52"/>
        <v>105337.57901850002</v>
      </c>
      <c r="V294" s="94">
        <f t="shared" si="53"/>
        <v>109645.88600035667</v>
      </c>
      <c r="W294" s="97">
        <f t="shared" si="54"/>
        <v>113132.62517516801</v>
      </c>
      <c r="X294" s="97">
        <f t="shared" si="55"/>
        <v>117431.6649318244</v>
      </c>
      <c r="Y294" s="97">
        <f t="shared" si="59"/>
        <v>119322.31473722677</v>
      </c>
      <c r="Z294" s="97">
        <f t="shared" si="56"/>
        <v>126028.22882545892</v>
      </c>
      <c r="AA294" s="97">
        <f t="shared" si="57"/>
        <v>142563.13244735912</v>
      </c>
    </row>
    <row r="295" spans="1:27" x14ac:dyDescent="0.25">
      <c r="A295" s="86" t="s">
        <v>848</v>
      </c>
      <c r="B295" s="87" t="s">
        <v>849</v>
      </c>
      <c r="C295" s="88" t="s">
        <v>226</v>
      </c>
      <c r="D295" s="89" t="s">
        <v>301</v>
      </c>
      <c r="E295" s="90">
        <f t="shared" si="60"/>
        <v>735151</v>
      </c>
      <c r="F295" s="90">
        <f t="shared" si="58"/>
        <v>617773.57393855625</v>
      </c>
      <c r="G295" s="91">
        <v>0.19</v>
      </c>
      <c r="H295" s="91" t="s">
        <v>228</v>
      </c>
      <c r="I295" s="91" t="s">
        <v>228</v>
      </c>
      <c r="J295" s="91" t="s">
        <v>228</v>
      </c>
      <c r="K295" s="91" t="s">
        <v>228</v>
      </c>
      <c r="L295" s="92" t="s">
        <v>830</v>
      </c>
      <c r="M295" s="91" t="str">
        <f t="shared" si="62"/>
        <v>VER ARCHIVO ANEXO</v>
      </c>
      <c r="N295" s="93">
        <v>41608</v>
      </c>
      <c r="O295" s="94"/>
      <c r="P295" s="94"/>
      <c r="Q295" s="94">
        <v>283</v>
      </c>
      <c r="R295" s="95">
        <f t="shared" si="50"/>
        <v>617773.57393855625</v>
      </c>
      <c r="S295" s="94">
        <v>404274</v>
      </c>
      <c r="T295" s="94">
        <f t="shared" si="51"/>
        <v>431643.34980000003</v>
      </c>
      <c r="U295" s="94">
        <f t="shared" si="52"/>
        <v>456462.84241350007</v>
      </c>
      <c r="V295" s="94">
        <f t="shared" si="53"/>
        <v>475132.17266821221</v>
      </c>
      <c r="W295" s="97">
        <f t="shared" si="54"/>
        <v>490241.37575906137</v>
      </c>
      <c r="X295" s="97">
        <f t="shared" si="55"/>
        <v>508870.54803790571</v>
      </c>
      <c r="Y295" s="97">
        <f t="shared" si="59"/>
        <v>517063.363861316</v>
      </c>
      <c r="Z295" s="97">
        <f t="shared" si="56"/>
        <v>546122.32491032197</v>
      </c>
      <c r="AA295" s="97">
        <f t="shared" si="57"/>
        <v>617773.57393855625</v>
      </c>
    </row>
    <row r="296" spans="1:27" x14ac:dyDescent="0.25">
      <c r="A296" s="86" t="s">
        <v>850</v>
      </c>
      <c r="B296" s="87" t="s">
        <v>851</v>
      </c>
      <c r="C296" s="88" t="s">
        <v>226</v>
      </c>
      <c r="D296" s="89" t="s">
        <v>262</v>
      </c>
      <c r="E296" s="90">
        <f t="shared" si="60"/>
        <v>103513</v>
      </c>
      <c r="F296" s="90">
        <f t="shared" si="58"/>
        <v>86985.687280158629</v>
      </c>
      <c r="G296" s="91">
        <v>0.19</v>
      </c>
      <c r="H296" s="91" t="s">
        <v>228</v>
      </c>
      <c r="I296" s="91" t="s">
        <v>228</v>
      </c>
      <c r="J296" s="91" t="s">
        <v>228</v>
      </c>
      <c r="K296" s="91" t="s">
        <v>228</v>
      </c>
      <c r="L296" s="92" t="s">
        <v>852</v>
      </c>
      <c r="M296" s="91" t="str">
        <f t="shared" si="62"/>
        <v>VER ARCHIVO ANEXO</v>
      </c>
      <c r="N296" s="93">
        <v>41608</v>
      </c>
      <c r="O296" s="94"/>
      <c r="P296" s="94"/>
      <c r="Q296" s="94">
        <v>284</v>
      </c>
      <c r="R296" s="95">
        <f t="shared" si="50"/>
        <v>86985.687280158629</v>
      </c>
      <c r="S296" s="94">
        <v>56923.852399999996</v>
      </c>
      <c r="T296" s="94">
        <f t="shared" si="51"/>
        <v>60777.597207480001</v>
      </c>
      <c r="U296" s="94">
        <f t="shared" si="52"/>
        <v>64272.309046910108</v>
      </c>
      <c r="V296" s="94">
        <f t="shared" si="53"/>
        <v>66901.046486928724</v>
      </c>
      <c r="W296" s="97">
        <f t="shared" si="54"/>
        <v>69028.499765213055</v>
      </c>
      <c r="X296" s="97">
        <f t="shared" si="55"/>
        <v>71651.582756291158</v>
      </c>
      <c r="Y296" s="97">
        <f t="shared" si="59"/>
        <v>72805.173238667441</v>
      </c>
      <c r="Z296" s="97">
        <f t="shared" si="56"/>
        <v>76896.823974680548</v>
      </c>
      <c r="AA296" s="97">
        <f t="shared" si="57"/>
        <v>86985.687280158629</v>
      </c>
    </row>
    <row r="297" spans="1:27" x14ac:dyDescent="0.25">
      <c r="A297" s="86" t="s">
        <v>853</v>
      </c>
      <c r="B297" s="87" t="s">
        <v>854</v>
      </c>
      <c r="C297" s="88" t="s">
        <v>226</v>
      </c>
      <c r="D297" s="89" t="s">
        <v>301</v>
      </c>
      <c r="E297" s="90">
        <f t="shared" si="60"/>
        <v>678601</v>
      </c>
      <c r="F297" s="90">
        <f t="shared" si="58"/>
        <v>570252.52978943649</v>
      </c>
      <c r="G297" s="91">
        <v>0.19</v>
      </c>
      <c r="H297" s="91" t="s">
        <v>228</v>
      </c>
      <c r="I297" s="91" t="s">
        <v>228</v>
      </c>
      <c r="J297" s="91" t="s">
        <v>228</v>
      </c>
      <c r="K297" s="91" t="s">
        <v>228</v>
      </c>
      <c r="L297" s="92" t="s">
        <v>830</v>
      </c>
      <c r="M297" s="91" t="str">
        <f t="shared" si="62"/>
        <v>VER ARCHIVO ANEXO</v>
      </c>
      <c r="N297" s="93">
        <v>41608</v>
      </c>
      <c r="O297" s="94"/>
      <c r="P297" s="94"/>
      <c r="Q297" s="94">
        <v>285</v>
      </c>
      <c r="R297" s="95">
        <f t="shared" si="50"/>
        <v>570252.52978943649</v>
      </c>
      <c r="S297" s="94">
        <v>373176</v>
      </c>
      <c r="T297" s="94">
        <f t="shared" si="51"/>
        <v>398440.01520000002</v>
      </c>
      <c r="U297" s="94">
        <f t="shared" si="52"/>
        <v>421350.31607400009</v>
      </c>
      <c r="V297" s="94">
        <f t="shared" si="53"/>
        <v>438583.54400142666</v>
      </c>
      <c r="W297" s="97">
        <f t="shared" si="54"/>
        <v>452530.50070067204</v>
      </c>
      <c r="X297" s="97">
        <f t="shared" si="55"/>
        <v>469726.65972729761</v>
      </c>
      <c r="Y297" s="97">
        <f t="shared" si="59"/>
        <v>477289.25894890708</v>
      </c>
      <c r="Z297" s="97">
        <f t="shared" si="56"/>
        <v>504112.91530183569</v>
      </c>
      <c r="AA297" s="97">
        <f t="shared" si="57"/>
        <v>570252.52978943649</v>
      </c>
    </row>
    <row r="298" spans="1:27" x14ac:dyDescent="0.25">
      <c r="A298" s="86" t="s">
        <v>855</v>
      </c>
      <c r="B298" s="87" t="s">
        <v>856</v>
      </c>
      <c r="C298" s="88" t="s">
        <v>226</v>
      </c>
      <c r="D298" s="89" t="s">
        <v>301</v>
      </c>
      <c r="E298" s="90">
        <f t="shared" si="60"/>
        <v>622050</v>
      </c>
      <c r="F298" s="90">
        <f t="shared" si="58"/>
        <v>522731.48564031674</v>
      </c>
      <c r="G298" s="91">
        <v>0.19</v>
      </c>
      <c r="H298" s="91" t="s">
        <v>228</v>
      </c>
      <c r="I298" s="91" t="s">
        <v>228</v>
      </c>
      <c r="J298" s="91" t="s">
        <v>228</v>
      </c>
      <c r="K298" s="91" t="s">
        <v>228</v>
      </c>
      <c r="L298" s="92" t="s">
        <v>830</v>
      </c>
      <c r="M298" s="91" t="str">
        <f t="shared" si="62"/>
        <v>VER ARCHIVO ANEXO</v>
      </c>
      <c r="N298" s="93">
        <v>41608</v>
      </c>
      <c r="O298" s="94"/>
      <c r="P298" s="94"/>
      <c r="Q298" s="94">
        <v>286</v>
      </c>
      <c r="R298" s="95">
        <f t="shared" si="50"/>
        <v>522731.48564031674</v>
      </c>
      <c r="S298" s="94">
        <v>342078</v>
      </c>
      <c r="T298" s="94">
        <f t="shared" si="51"/>
        <v>365236.68060000002</v>
      </c>
      <c r="U298" s="94">
        <f t="shared" si="52"/>
        <v>386237.78973450005</v>
      </c>
      <c r="V298" s="94">
        <f t="shared" si="53"/>
        <v>402034.91533464106</v>
      </c>
      <c r="W298" s="97">
        <f t="shared" si="54"/>
        <v>414819.62564228266</v>
      </c>
      <c r="X298" s="97">
        <f t="shared" si="55"/>
        <v>430582.77141668939</v>
      </c>
      <c r="Y298" s="97">
        <f t="shared" si="59"/>
        <v>437515.1540364981</v>
      </c>
      <c r="Z298" s="97">
        <f t="shared" si="56"/>
        <v>462103.50569334929</v>
      </c>
      <c r="AA298" s="97">
        <f t="shared" si="57"/>
        <v>522731.48564031674</v>
      </c>
    </row>
    <row r="299" spans="1:27" x14ac:dyDescent="0.25">
      <c r="A299" s="86" t="s">
        <v>857</v>
      </c>
      <c r="B299" s="87" t="s">
        <v>858</v>
      </c>
      <c r="C299" s="88" t="s">
        <v>226</v>
      </c>
      <c r="D299" s="89" t="s">
        <v>301</v>
      </c>
      <c r="E299" s="90">
        <f t="shared" si="60"/>
        <v>565500</v>
      </c>
      <c r="F299" s="90">
        <f t="shared" si="58"/>
        <v>475210.4414911971</v>
      </c>
      <c r="G299" s="91">
        <v>0.19</v>
      </c>
      <c r="H299" s="91" t="s">
        <v>228</v>
      </c>
      <c r="I299" s="91" t="s">
        <v>228</v>
      </c>
      <c r="J299" s="91" t="s">
        <v>228</v>
      </c>
      <c r="K299" s="91" t="s">
        <v>228</v>
      </c>
      <c r="L299" s="92" t="s">
        <v>830</v>
      </c>
      <c r="M299" s="91" t="str">
        <f t="shared" si="62"/>
        <v>VER ARCHIVO ANEXO</v>
      </c>
      <c r="N299" s="93">
        <v>41608</v>
      </c>
      <c r="O299" s="94"/>
      <c r="P299" s="94"/>
      <c r="Q299" s="94">
        <v>287</v>
      </c>
      <c r="R299" s="95">
        <f t="shared" si="50"/>
        <v>475210.4414911971</v>
      </c>
      <c r="S299" s="94">
        <v>310980</v>
      </c>
      <c r="T299" s="94">
        <f t="shared" si="51"/>
        <v>332033.34600000002</v>
      </c>
      <c r="U299" s="94">
        <f t="shared" si="52"/>
        <v>351125.26339500007</v>
      </c>
      <c r="V299" s="94">
        <f t="shared" si="53"/>
        <v>365486.28666785557</v>
      </c>
      <c r="W299" s="97">
        <f t="shared" si="54"/>
        <v>377108.75058389339</v>
      </c>
      <c r="X299" s="97">
        <f t="shared" si="55"/>
        <v>391438.88310608134</v>
      </c>
      <c r="Y299" s="97">
        <f t="shared" si="59"/>
        <v>397741.04912408924</v>
      </c>
      <c r="Z299" s="97">
        <f t="shared" si="56"/>
        <v>420094.09608486306</v>
      </c>
      <c r="AA299" s="97">
        <f t="shared" si="57"/>
        <v>475210.4414911971</v>
      </c>
    </row>
    <row r="300" spans="1:27" x14ac:dyDescent="0.25">
      <c r="A300" s="105" t="s">
        <v>859</v>
      </c>
      <c r="B300" s="106" t="s">
        <v>860</v>
      </c>
      <c r="C300" s="107"/>
      <c r="D300" s="108"/>
      <c r="E300" s="90">
        <f t="shared" si="60"/>
        <v>0</v>
      </c>
      <c r="F300" s="90">
        <f t="shared" si="58"/>
        <v>0</v>
      </c>
      <c r="G300" s="81"/>
      <c r="H300" s="81"/>
      <c r="I300" s="81"/>
      <c r="J300" s="81"/>
      <c r="K300" s="81"/>
      <c r="L300" s="92"/>
      <c r="M300" s="91"/>
      <c r="N300" s="93">
        <v>41608</v>
      </c>
      <c r="O300" s="109"/>
      <c r="P300" s="109"/>
      <c r="Q300" s="109">
        <v>0</v>
      </c>
      <c r="R300" s="95">
        <f t="shared" si="50"/>
        <v>0</v>
      </c>
      <c r="S300" s="109">
        <v>0</v>
      </c>
      <c r="T300" s="94">
        <f t="shared" si="51"/>
        <v>0</v>
      </c>
      <c r="U300" s="94">
        <f t="shared" si="52"/>
        <v>0</v>
      </c>
      <c r="V300" s="94">
        <f t="shared" si="53"/>
        <v>0</v>
      </c>
      <c r="W300" s="97">
        <f t="shared" si="54"/>
        <v>0</v>
      </c>
      <c r="X300" s="97">
        <f t="shared" si="55"/>
        <v>0</v>
      </c>
      <c r="Y300" s="97">
        <f t="shared" si="59"/>
        <v>0</v>
      </c>
      <c r="Z300" s="97">
        <f t="shared" si="56"/>
        <v>0</v>
      </c>
      <c r="AA300" s="97">
        <f t="shared" si="57"/>
        <v>0</v>
      </c>
    </row>
    <row r="301" spans="1:27" x14ac:dyDescent="0.25">
      <c r="A301" s="102" t="s">
        <v>861</v>
      </c>
      <c r="B301" s="87" t="s">
        <v>862</v>
      </c>
      <c r="C301" s="88" t="s">
        <v>226</v>
      </c>
      <c r="D301" s="89" t="s">
        <v>262</v>
      </c>
      <c r="E301" s="90">
        <f t="shared" si="60"/>
        <v>135187</v>
      </c>
      <c r="F301" s="90">
        <f t="shared" si="58"/>
        <v>113602.22410808061</v>
      </c>
      <c r="G301" s="91">
        <v>0.19</v>
      </c>
      <c r="H301" s="91" t="s">
        <v>228</v>
      </c>
      <c r="I301" s="91"/>
      <c r="J301" s="91"/>
      <c r="K301" s="91" t="s">
        <v>228</v>
      </c>
      <c r="L301" s="92" t="s">
        <v>863</v>
      </c>
      <c r="M301" s="91" t="str">
        <f t="shared" ref="M301:M338" si="63">+IF(L301="no aplica","no aplica","VER ARCHIVO ANEXO")</f>
        <v>VER ARCHIVO ANEXO</v>
      </c>
      <c r="N301" s="93">
        <v>41608</v>
      </c>
      <c r="O301" s="94"/>
      <c r="P301" s="94"/>
      <c r="Q301" s="94">
        <v>288</v>
      </c>
      <c r="R301" s="95">
        <f t="shared" si="50"/>
        <v>113602.22410808061</v>
      </c>
      <c r="S301" s="94">
        <v>74341.842199999999</v>
      </c>
      <c r="T301" s="94">
        <f t="shared" si="51"/>
        <v>79374.78491694</v>
      </c>
      <c r="U301" s="94">
        <f t="shared" si="52"/>
        <v>83938.835049664063</v>
      </c>
      <c r="V301" s="94">
        <f t="shared" si="53"/>
        <v>87371.933403195319</v>
      </c>
      <c r="W301" s="97">
        <f t="shared" si="54"/>
        <v>90150.360885416929</v>
      </c>
      <c r="X301" s="97">
        <f t="shared" si="55"/>
        <v>93576.074599062777</v>
      </c>
      <c r="Y301" s="97">
        <f t="shared" si="59"/>
        <v>95082.649400107694</v>
      </c>
      <c r="Z301" s="97">
        <f t="shared" si="56"/>
        <v>100426.29429639375</v>
      </c>
      <c r="AA301" s="97">
        <f t="shared" si="57"/>
        <v>113602.22410808061</v>
      </c>
    </row>
    <row r="302" spans="1:27" x14ac:dyDescent="0.25">
      <c r="A302" s="102" t="s">
        <v>864</v>
      </c>
      <c r="B302" s="116" t="s">
        <v>865</v>
      </c>
      <c r="C302" s="88" t="s">
        <v>226</v>
      </c>
      <c r="D302" s="89" t="s">
        <v>4</v>
      </c>
      <c r="E302" s="90">
        <f t="shared" si="60"/>
        <v>154072</v>
      </c>
      <c r="F302" s="90">
        <f t="shared" si="58"/>
        <v>129472.66881908162</v>
      </c>
      <c r="G302" s="91">
        <v>0.19</v>
      </c>
      <c r="H302" s="91" t="s">
        <v>228</v>
      </c>
      <c r="I302" s="91"/>
      <c r="J302" s="91"/>
      <c r="K302" s="91" t="s">
        <v>228</v>
      </c>
      <c r="L302" s="92" t="s">
        <v>229</v>
      </c>
      <c r="M302" s="91" t="str">
        <f t="shared" si="63"/>
        <v>VER ARCHIVO ANEXO</v>
      </c>
      <c r="N302" s="93">
        <v>41608</v>
      </c>
      <c r="O302" s="94"/>
      <c r="P302" s="94"/>
      <c r="Q302" s="94">
        <v>289</v>
      </c>
      <c r="R302" s="95">
        <f t="shared" si="50"/>
        <v>129472.66881908162</v>
      </c>
      <c r="S302" s="94">
        <v>84727.537599999996</v>
      </c>
      <c r="T302" s="94">
        <f t="shared" si="51"/>
        <v>90463.591895520003</v>
      </c>
      <c r="U302" s="94">
        <f t="shared" si="52"/>
        <v>95665.248429512416</v>
      </c>
      <c r="V302" s="94">
        <f t="shared" si="53"/>
        <v>99577.957090279466</v>
      </c>
      <c r="W302" s="97">
        <f t="shared" si="54"/>
        <v>102744.53612575035</v>
      </c>
      <c r="X302" s="97">
        <f t="shared" si="55"/>
        <v>106648.82849852888</v>
      </c>
      <c r="Y302" s="97">
        <f t="shared" si="59"/>
        <v>108365.8746373552</v>
      </c>
      <c r="Z302" s="97">
        <f t="shared" si="56"/>
        <v>114456.03679197456</v>
      </c>
      <c r="AA302" s="97">
        <f t="shared" si="57"/>
        <v>129472.66881908162</v>
      </c>
    </row>
    <row r="303" spans="1:27" x14ac:dyDescent="0.25">
      <c r="A303" s="102" t="s">
        <v>866</v>
      </c>
      <c r="B303" s="87" t="s">
        <v>867</v>
      </c>
      <c r="C303" s="88" t="s">
        <v>226</v>
      </c>
      <c r="D303" s="89" t="s">
        <v>262</v>
      </c>
      <c r="E303" s="90">
        <f t="shared" si="60"/>
        <v>142589</v>
      </c>
      <c r="F303" s="90">
        <f t="shared" si="58"/>
        <v>119822.72878720037</v>
      </c>
      <c r="G303" s="91">
        <v>0.19</v>
      </c>
      <c r="H303" s="91" t="s">
        <v>228</v>
      </c>
      <c r="I303" s="91"/>
      <c r="J303" s="91"/>
      <c r="K303" s="91" t="s">
        <v>228</v>
      </c>
      <c r="L303" s="92" t="s">
        <v>868</v>
      </c>
      <c r="M303" s="91" t="str">
        <f t="shared" si="63"/>
        <v>VER ARCHIVO ANEXO</v>
      </c>
      <c r="N303" s="93">
        <v>41608</v>
      </c>
      <c r="O303" s="94"/>
      <c r="P303" s="94"/>
      <c r="Q303" s="94">
        <v>290</v>
      </c>
      <c r="R303" s="95">
        <f t="shared" si="50"/>
        <v>119822.72878720037</v>
      </c>
      <c r="S303" s="94">
        <v>78412.570399999997</v>
      </c>
      <c r="T303" s="94">
        <f t="shared" si="51"/>
        <v>83721.101416079997</v>
      </c>
      <c r="U303" s="94">
        <f t="shared" si="52"/>
        <v>88535.064747504599</v>
      </c>
      <c r="V303" s="94">
        <f t="shared" si="53"/>
        <v>92156.148895677528</v>
      </c>
      <c r="W303" s="97">
        <f t="shared" si="54"/>
        <v>95086.714430560081</v>
      </c>
      <c r="X303" s="97">
        <f t="shared" si="55"/>
        <v>98700.009578921366</v>
      </c>
      <c r="Y303" s="97">
        <f t="shared" si="59"/>
        <v>100289.079733142</v>
      </c>
      <c r="Z303" s="97">
        <f t="shared" si="56"/>
        <v>105925.32601414459</v>
      </c>
      <c r="AA303" s="97">
        <f t="shared" si="57"/>
        <v>119822.72878720037</v>
      </c>
    </row>
    <row r="304" spans="1:27" x14ac:dyDescent="0.25">
      <c r="A304" s="102" t="s">
        <v>869</v>
      </c>
      <c r="B304" s="87" t="s">
        <v>870</v>
      </c>
      <c r="C304" s="88" t="s">
        <v>226</v>
      </c>
      <c r="D304" s="89" t="s">
        <v>227</v>
      </c>
      <c r="E304" s="90">
        <f t="shared" si="60"/>
        <v>4860</v>
      </c>
      <c r="F304" s="90">
        <f t="shared" si="58"/>
        <v>4083.6417272143544</v>
      </c>
      <c r="G304" s="91">
        <v>0.19</v>
      </c>
      <c r="H304" s="91" t="s">
        <v>228</v>
      </c>
      <c r="I304" s="91"/>
      <c r="J304" s="91"/>
      <c r="K304" s="91" t="s">
        <v>228</v>
      </c>
      <c r="L304" s="92" t="s">
        <v>229</v>
      </c>
      <c r="M304" s="91" t="str">
        <f t="shared" si="63"/>
        <v>VER ARCHIVO ANEXO</v>
      </c>
      <c r="N304" s="93">
        <v>41608</v>
      </c>
      <c r="O304" s="94"/>
      <c r="P304" s="94"/>
      <c r="Q304" s="94">
        <v>291</v>
      </c>
      <c r="R304" s="95">
        <f t="shared" si="50"/>
        <v>4083.6417272143544</v>
      </c>
      <c r="S304" s="94">
        <v>2672.3548000000001</v>
      </c>
      <c r="T304" s="94">
        <f t="shared" si="51"/>
        <v>2853.2732199600005</v>
      </c>
      <c r="U304" s="94">
        <f t="shared" si="52"/>
        <v>3017.3364301077008</v>
      </c>
      <c r="V304" s="94">
        <f t="shared" si="53"/>
        <v>3140.7454900991056</v>
      </c>
      <c r="W304" s="97">
        <f t="shared" si="54"/>
        <v>3240.6211966842575</v>
      </c>
      <c r="X304" s="97">
        <f t="shared" si="55"/>
        <v>3363.7648021582595</v>
      </c>
      <c r="Y304" s="97">
        <f t="shared" si="59"/>
        <v>3417.9214154730075</v>
      </c>
      <c r="Z304" s="97">
        <f t="shared" si="56"/>
        <v>3610.0085990225907</v>
      </c>
      <c r="AA304" s="97">
        <f t="shared" si="57"/>
        <v>4083.6417272143544</v>
      </c>
    </row>
    <row r="305" spans="1:27" x14ac:dyDescent="0.25">
      <c r="A305" s="102" t="s">
        <v>871</v>
      </c>
      <c r="B305" s="116" t="s">
        <v>872</v>
      </c>
      <c r="C305" s="88" t="s">
        <v>226</v>
      </c>
      <c r="D305" s="89" t="s">
        <v>227</v>
      </c>
      <c r="E305" s="90">
        <f t="shared" si="60"/>
        <v>4373</v>
      </c>
      <c r="F305" s="90">
        <f t="shared" si="58"/>
        <v>3674.9607475319244</v>
      </c>
      <c r="G305" s="91">
        <v>0.19</v>
      </c>
      <c r="H305" s="91" t="s">
        <v>228</v>
      </c>
      <c r="I305" s="91"/>
      <c r="J305" s="91"/>
      <c r="K305" s="91" t="s">
        <v>228</v>
      </c>
      <c r="L305" s="92" t="s">
        <v>229</v>
      </c>
      <c r="M305" s="91" t="str">
        <f t="shared" si="63"/>
        <v>VER ARCHIVO ANEXO</v>
      </c>
      <c r="N305" s="93">
        <v>41608</v>
      </c>
      <c r="O305" s="94"/>
      <c r="P305" s="94"/>
      <c r="Q305" s="94">
        <v>292</v>
      </c>
      <c r="R305" s="95">
        <f t="shared" si="50"/>
        <v>3674.9607475319244</v>
      </c>
      <c r="S305" s="94">
        <v>2404.9119999999998</v>
      </c>
      <c r="T305" s="94">
        <f t="shared" si="51"/>
        <v>2567.7245424000002</v>
      </c>
      <c r="U305" s="94">
        <f t="shared" si="52"/>
        <v>2715.3687035880007</v>
      </c>
      <c r="V305" s="94">
        <f t="shared" si="53"/>
        <v>2826.4272835647498</v>
      </c>
      <c r="W305" s="97">
        <f t="shared" si="54"/>
        <v>2916.3076711821091</v>
      </c>
      <c r="X305" s="97">
        <f t="shared" si="55"/>
        <v>3027.1273626870293</v>
      </c>
      <c r="Y305" s="97">
        <f t="shared" si="59"/>
        <v>3075.8641132262906</v>
      </c>
      <c r="Z305" s="97">
        <f t="shared" si="56"/>
        <v>3248.727676389608</v>
      </c>
      <c r="AA305" s="97">
        <f t="shared" si="57"/>
        <v>3674.9607475319244</v>
      </c>
    </row>
    <row r="306" spans="1:27" x14ac:dyDescent="0.25">
      <c r="A306" s="102" t="s">
        <v>873</v>
      </c>
      <c r="B306" s="116" t="s">
        <v>874</v>
      </c>
      <c r="C306" s="88" t="s">
        <v>226</v>
      </c>
      <c r="D306" s="89" t="s">
        <v>227</v>
      </c>
      <c r="E306" s="90">
        <f t="shared" si="60"/>
        <v>4373</v>
      </c>
      <c r="F306" s="90">
        <f t="shared" si="58"/>
        <v>3674.9607475319244</v>
      </c>
      <c r="G306" s="91">
        <v>0.19</v>
      </c>
      <c r="H306" s="91" t="s">
        <v>228</v>
      </c>
      <c r="I306" s="91"/>
      <c r="J306" s="91"/>
      <c r="K306" s="91" t="s">
        <v>228</v>
      </c>
      <c r="L306" s="92" t="s">
        <v>229</v>
      </c>
      <c r="M306" s="91" t="str">
        <f t="shared" si="63"/>
        <v>VER ARCHIVO ANEXO</v>
      </c>
      <c r="N306" s="93">
        <v>41608</v>
      </c>
      <c r="O306" s="94"/>
      <c r="P306" s="94"/>
      <c r="Q306" s="94">
        <v>293</v>
      </c>
      <c r="R306" s="95">
        <f t="shared" si="50"/>
        <v>3674.9607475319244</v>
      </c>
      <c r="S306" s="94">
        <v>2404.9119999999998</v>
      </c>
      <c r="T306" s="94">
        <f t="shared" si="51"/>
        <v>2567.7245424000002</v>
      </c>
      <c r="U306" s="94">
        <f t="shared" si="52"/>
        <v>2715.3687035880007</v>
      </c>
      <c r="V306" s="94">
        <f t="shared" si="53"/>
        <v>2826.4272835647498</v>
      </c>
      <c r="W306" s="97">
        <f t="shared" si="54"/>
        <v>2916.3076711821091</v>
      </c>
      <c r="X306" s="97">
        <f t="shared" si="55"/>
        <v>3027.1273626870293</v>
      </c>
      <c r="Y306" s="97">
        <f t="shared" si="59"/>
        <v>3075.8641132262906</v>
      </c>
      <c r="Z306" s="97">
        <f t="shared" si="56"/>
        <v>3248.727676389608</v>
      </c>
      <c r="AA306" s="97">
        <f t="shared" si="57"/>
        <v>3674.9607475319244</v>
      </c>
    </row>
    <row r="307" spans="1:27" x14ac:dyDescent="0.25">
      <c r="A307" s="102" t="s">
        <v>875</v>
      </c>
      <c r="B307" s="116" t="s">
        <v>876</v>
      </c>
      <c r="C307" s="88" t="s">
        <v>226</v>
      </c>
      <c r="D307" s="89" t="s">
        <v>227</v>
      </c>
      <c r="E307" s="90">
        <f t="shared" si="60"/>
        <v>6758</v>
      </c>
      <c r="F307" s="90">
        <f t="shared" si="58"/>
        <v>5678.7647758198045</v>
      </c>
      <c r="G307" s="91">
        <v>0.19</v>
      </c>
      <c r="H307" s="91" t="s">
        <v>228</v>
      </c>
      <c r="I307" s="91"/>
      <c r="J307" s="91"/>
      <c r="K307" s="91" t="s">
        <v>228</v>
      </c>
      <c r="L307" s="92" t="s">
        <v>229</v>
      </c>
      <c r="M307" s="91" t="str">
        <f t="shared" si="63"/>
        <v>VER ARCHIVO ANEXO</v>
      </c>
      <c r="N307" s="93">
        <v>41608</v>
      </c>
      <c r="O307" s="94"/>
      <c r="P307" s="94"/>
      <c r="Q307" s="94">
        <v>294</v>
      </c>
      <c r="R307" s="95">
        <f t="shared" si="50"/>
        <v>5678.7647758198045</v>
      </c>
      <c r="S307" s="94">
        <v>3716.2109999999998</v>
      </c>
      <c r="T307" s="94">
        <f t="shared" si="51"/>
        <v>3967.7984847000002</v>
      </c>
      <c r="U307" s="94">
        <f t="shared" si="52"/>
        <v>4195.9468975702503</v>
      </c>
      <c r="V307" s="94">
        <f t="shared" si="53"/>
        <v>4367.5611256808734</v>
      </c>
      <c r="W307" s="97">
        <f t="shared" si="54"/>
        <v>4506.4495694775251</v>
      </c>
      <c r="X307" s="97">
        <f t="shared" si="55"/>
        <v>4677.6946531176709</v>
      </c>
      <c r="Y307" s="97">
        <f t="shared" si="59"/>
        <v>4753.0055370328655</v>
      </c>
      <c r="Z307" s="97">
        <f t="shared" si="56"/>
        <v>5020.1244482141128</v>
      </c>
      <c r="AA307" s="97">
        <f t="shared" si="57"/>
        <v>5678.7647758198045</v>
      </c>
    </row>
    <row r="308" spans="1:27" x14ac:dyDescent="0.25">
      <c r="A308" s="102" t="s">
        <v>877</v>
      </c>
      <c r="B308" s="110" t="s">
        <v>878</v>
      </c>
      <c r="C308" s="88" t="s">
        <v>226</v>
      </c>
      <c r="D308" s="89" t="s">
        <v>227</v>
      </c>
      <c r="E308" s="90">
        <f t="shared" si="60"/>
        <v>8384</v>
      </c>
      <c r="F308" s="90">
        <f t="shared" si="58"/>
        <v>7045.1472508235292</v>
      </c>
      <c r="G308" s="91">
        <v>0.19</v>
      </c>
      <c r="H308" s="91" t="s">
        <v>228</v>
      </c>
      <c r="I308" s="91"/>
      <c r="J308" s="91"/>
      <c r="K308" s="91" t="s">
        <v>228</v>
      </c>
      <c r="L308" s="92" t="s">
        <v>229</v>
      </c>
      <c r="M308" s="91" t="str">
        <f t="shared" si="63"/>
        <v>VER ARCHIVO ANEXO</v>
      </c>
      <c r="N308" s="93">
        <v>41608</v>
      </c>
      <c r="O308" s="94"/>
      <c r="P308" s="94"/>
      <c r="Q308" s="94">
        <v>295</v>
      </c>
      <c r="R308" s="95">
        <f t="shared" si="50"/>
        <v>7045.1472508235292</v>
      </c>
      <c r="S308" s="94">
        <v>2404.9119999999998</v>
      </c>
      <c r="T308" s="94">
        <f t="shared" si="51"/>
        <v>2567.7245424000002</v>
      </c>
      <c r="U308" s="94">
        <f t="shared" si="52"/>
        <v>2715.3687035880007</v>
      </c>
      <c r="V308" s="94">
        <f t="shared" si="53"/>
        <v>2826.4272835647498</v>
      </c>
      <c r="W308" s="97">
        <f t="shared" si="54"/>
        <v>2916.3076711821091</v>
      </c>
      <c r="X308" s="97">
        <f t="shared" si="55"/>
        <v>3027.1273626870293</v>
      </c>
      <c r="Y308" s="97">
        <v>5896.6386554621849</v>
      </c>
      <c r="Z308" s="97">
        <f t="shared" si="56"/>
        <v>6228.0297478991597</v>
      </c>
      <c r="AA308" s="97">
        <f t="shared" si="57"/>
        <v>7045.1472508235292</v>
      </c>
    </row>
    <row r="309" spans="1:27" x14ac:dyDescent="0.25">
      <c r="A309" s="102" t="s">
        <v>879</v>
      </c>
      <c r="B309" s="98" t="s">
        <v>880</v>
      </c>
      <c r="C309" s="99" t="s">
        <v>226</v>
      </c>
      <c r="D309" s="100" t="s">
        <v>4</v>
      </c>
      <c r="E309" s="101">
        <f t="shared" si="60"/>
        <v>53523</v>
      </c>
      <c r="F309" s="90">
        <f t="shared" si="58"/>
        <v>44977.084252336834</v>
      </c>
      <c r="G309" s="91">
        <v>0.19</v>
      </c>
      <c r="H309" s="91" t="s">
        <v>228</v>
      </c>
      <c r="I309" s="91"/>
      <c r="J309" s="91"/>
      <c r="K309" s="91" t="s">
        <v>228</v>
      </c>
      <c r="L309" s="92" t="s">
        <v>868</v>
      </c>
      <c r="M309" s="91" t="str">
        <f t="shared" si="63"/>
        <v>VER ARCHIVO ANEXO</v>
      </c>
      <c r="N309" s="93">
        <v>41608</v>
      </c>
      <c r="O309" s="94"/>
      <c r="P309" s="94"/>
      <c r="Q309" s="94">
        <v>296</v>
      </c>
      <c r="R309" s="95">
        <f t="shared" si="50"/>
        <v>44977.084252336834</v>
      </c>
      <c r="S309" s="94">
        <v>29433.220399999998</v>
      </c>
      <c r="T309" s="94">
        <f t="shared" si="51"/>
        <v>31425.849421080002</v>
      </c>
      <c r="U309" s="94">
        <f t="shared" si="52"/>
        <v>33232.835762792107</v>
      </c>
      <c r="V309" s="94">
        <f t="shared" si="53"/>
        <v>34592.0587454903</v>
      </c>
      <c r="W309" s="97">
        <f t="shared" si="54"/>
        <v>35692.086213596893</v>
      </c>
      <c r="X309" s="97">
        <f t="shared" si="55"/>
        <v>37048.385489713575</v>
      </c>
      <c r="Y309" s="97">
        <f t="shared" si="59"/>
        <v>37644.864496097965</v>
      </c>
      <c r="Z309" s="97">
        <f t="shared" si="56"/>
        <v>39760.50588077867</v>
      </c>
      <c r="AA309" s="97">
        <f t="shared" si="57"/>
        <v>44977.084252336834</v>
      </c>
    </row>
    <row r="310" spans="1:27" x14ac:dyDescent="0.25">
      <c r="A310" s="102" t="s">
        <v>881</v>
      </c>
      <c r="B310" s="87" t="s">
        <v>882</v>
      </c>
      <c r="C310" s="88" t="s">
        <v>226</v>
      </c>
      <c r="D310" s="89" t="s">
        <v>4</v>
      </c>
      <c r="E310" s="90">
        <f t="shared" si="60"/>
        <v>149356</v>
      </c>
      <c r="F310" s="90">
        <f t="shared" si="58"/>
        <v>125509.41373704503</v>
      </c>
      <c r="G310" s="91">
        <v>0.19</v>
      </c>
      <c r="H310" s="91" t="s">
        <v>228</v>
      </c>
      <c r="I310" s="91"/>
      <c r="J310" s="91"/>
      <c r="K310" s="91" t="s">
        <v>228</v>
      </c>
      <c r="L310" s="92" t="s">
        <v>868</v>
      </c>
      <c r="M310" s="91" t="str">
        <f t="shared" si="63"/>
        <v>VER ARCHIVO ANEXO</v>
      </c>
      <c r="N310" s="93">
        <v>41608</v>
      </c>
      <c r="O310" s="94"/>
      <c r="P310" s="94"/>
      <c r="Q310" s="94">
        <v>297</v>
      </c>
      <c r="R310" s="95">
        <f t="shared" si="50"/>
        <v>125509.41373704503</v>
      </c>
      <c r="S310" s="94">
        <v>82133.964399999997</v>
      </c>
      <c r="T310" s="94">
        <f t="shared" si="51"/>
        <v>87694.43378988</v>
      </c>
      <c r="U310" s="94">
        <f t="shared" si="52"/>
        <v>92736.863732798112</v>
      </c>
      <c r="V310" s="94">
        <f t="shared" si="53"/>
        <v>96529.801459469556</v>
      </c>
      <c r="W310" s="97">
        <f t="shared" si="54"/>
        <v>99599.449145880688</v>
      </c>
      <c r="X310" s="97">
        <f t="shared" si="55"/>
        <v>103384.22821342415</v>
      </c>
      <c r="Y310" s="97">
        <f t="shared" si="59"/>
        <v>105048.71428766029</v>
      </c>
      <c r="Z310" s="97">
        <f t="shared" si="56"/>
        <v>110952.4520306268</v>
      </c>
      <c r="AA310" s="97">
        <f t="shared" si="57"/>
        <v>125509.41373704503</v>
      </c>
    </row>
    <row r="311" spans="1:27" x14ac:dyDescent="0.25">
      <c r="A311" s="102" t="s">
        <v>883</v>
      </c>
      <c r="B311" s="87" t="s">
        <v>884</v>
      </c>
      <c r="C311" s="88" t="s">
        <v>226</v>
      </c>
      <c r="D311" s="89" t="s">
        <v>4</v>
      </c>
      <c r="E311" s="90">
        <f t="shared" si="60"/>
        <v>45315</v>
      </c>
      <c r="F311" s="90">
        <f t="shared" si="58"/>
        <v>38080.196711494587</v>
      </c>
      <c r="G311" s="91">
        <v>0.19</v>
      </c>
      <c r="H311" s="91" t="s">
        <v>228</v>
      </c>
      <c r="I311" s="91"/>
      <c r="J311" s="91"/>
      <c r="K311" s="91" t="s">
        <v>228</v>
      </c>
      <c r="L311" s="92" t="s">
        <v>868</v>
      </c>
      <c r="M311" s="91" t="str">
        <f t="shared" si="63"/>
        <v>VER ARCHIVO ANEXO</v>
      </c>
      <c r="N311" s="93">
        <v>41608</v>
      </c>
      <c r="O311" s="94"/>
      <c r="P311" s="94"/>
      <c r="Q311" s="94">
        <v>298</v>
      </c>
      <c r="R311" s="95">
        <f t="shared" si="50"/>
        <v>38080.196711494587</v>
      </c>
      <c r="S311" s="94">
        <v>24919.863999999998</v>
      </c>
      <c r="T311" s="94">
        <f t="shared" si="51"/>
        <v>26606.9387928</v>
      </c>
      <c r="U311" s="94">
        <f t="shared" si="52"/>
        <v>28136.837773386003</v>
      </c>
      <c r="V311" s="94">
        <f t="shared" si="53"/>
        <v>29287.634438317487</v>
      </c>
      <c r="W311" s="97">
        <f t="shared" si="54"/>
        <v>30218.981213455983</v>
      </c>
      <c r="X311" s="97">
        <f t="shared" si="55"/>
        <v>31367.302499567311</v>
      </c>
      <c r="Y311" s="97">
        <f t="shared" si="59"/>
        <v>31872.316069810346</v>
      </c>
      <c r="Z311" s="97">
        <f t="shared" si="56"/>
        <v>33663.540232933687</v>
      </c>
      <c r="AA311" s="97">
        <f t="shared" si="57"/>
        <v>38080.196711494587</v>
      </c>
    </row>
    <row r="312" spans="1:27" x14ac:dyDescent="0.25">
      <c r="A312" s="102" t="s">
        <v>885</v>
      </c>
      <c r="B312" s="98" t="s">
        <v>886</v>
      </c>
      <c r="C312" s="99" t="s">
        <v>226</v>
      </c>
      <c r="D312" s="100" t="s">
        <v>262</v>
      </c>
      <c r="E312" s="101">
        <f t="shared" si="60"/>
        <v>516</v>
      </c>
      <c r="F312" s="90">
        <f t="shared" si="58"/>
        <v>434.02553656196</v>
      </c>
      <c r="G312" s="91">
        <v>0.19</v>
      </c>
      <c r="H312" s="91" t="s">
        <v>228</v>
      </c>
      <c r="I312" s="91"/>
      <c r="J312" s="91"/>
      <c r="K312" s="91" t="s">
        <v>228</v>
      </c>
      <c r="L312" s="92" t="s">
        <v>887</v>
      </c>
      <c r="M312" s="91" t="str">
        <f t="shared" si="63"/>
        <v>VER ARCHIVO ANEXO</v>
      </c>
      <c r="N312" s="93">
        <v>41608</v>
      </c>
      <c r="O312" s="94"/>
      <c r="P312" s="94"/>
      <c r="Q312" s="94">
        <v>299</v>
      </c>
      <c r="R312" s="95">
        <f t="shared" si="50"/>
        <v>434.02553656196</v>
      </c>
      <c r="S312" s="94">
        <v>284.02839999999998</v>
      </c>
      <c r="T312" s="94">
        <f t="shared" si="51"/>
        <v>303.25712268000001</v>
      </c>
      <c r="U312" s="94">
        <f t="shared" si="52"/>
        <v>320.69440723410003</v>
      </c>
      <c r="V312" s="94">
        <f t="shared" si="53"/>
        <v>333.8108084899747</v>
      </c>
      <c r="W312" s="97">
        <f t="shared" si="54"/>
        <v>344.42599219995594</v>
      </c>
      <c r="X312" s="97">
        <f t="shared" si="55"/>
        <v>357.51417990355429</v>
      </c>
      <c r="Y312" s="97">
        <f t="shared" si="59"/>
        <v>363.2701582000015</v>
      </c>
      <c r="Z312" s="97">
        <f t="shared" si="56"/>
        <v>383.6859410908416</v>
      </c>
      <c r="AA312" s="97">
        <f t="shared" si="57"/>
        <v>434.02553656196</v>
      </c>
    </row>
    <row r="313" spans="1:27" x14ac:dyDescent="0.25">
      <c r="A313" s="102" t="s">
        <v>888</v>
      </c>
      <c r="B313" s="87" t="s">
        <v>889</v>
      </c>
      <c r="C313" s="88" t="s">
        <v>226</v>
      </c>
      <c r="D313" s="89" t="s">
        <v>262</v>
      </c>
      <c r="E313" s="90">
        <f t="shared" si="60"/>
        <v>356</v>
      </c>
      <c r="F313" s="90">
        <f t="shared" si="58"/>
        <v>299.3825781394541</v>
      </c>
      <c r="G313" s="91">
        <v>0.19</v>
      </c>
      <c r="H313" s="91" t="s">
        <v>228</v>
      </c>
      <c r="I313" s="91"/>
      <c r="J313" s="91"/>
      <c r="K313" s="91" t="s">
        <v>228</v>
      </c>
      <c r="L313" s="92" t="s">
        <v>887</v>
      </c>
      <c r="M313" s="91" t="str">
        <f t="shared" si="63"/>
        <v>VER ARCHIVO ANEXO</v>
      </c>
      <c r="N313" s="93">
        <v>41608</v>
      </c>
      <c r="O313" s="94"/>
      <c r="P313" s="94"/>
      <c r="Q313" s="94">
        <v>300</v>
      </c>
      <c r="R313" s="95">
        <f t="shared" si="50"/>
        <v>299.3825781394541</v>
      </c>
      <c r="S313" s="94">
        <v>195.91739999999999</v>
      </c>
      <c r="T313" s="94">
        <f t="shared" si="51"/>
        <v>209.18100798</v>
      </c>
      <c r="U313" s="94">
        <f t="shared" si="52"/>
        <v>221.20891593885003</v>
      </c>
      <c r="V313" s="94">
        <f t="shared" si="53"/>
        <v>230.25636060074899</v>
      </c>
      <c r="W313" s="97">
        <f t="shared" si="54"/>
        <v>237.57851286785282</v>
      </c>
      <c r="X313" s="97">
        <f t="shared" si="55"/>
        <v>246.60649635683123</v>
      </c>
      <c r="Y313" s="97">
        <f t="shared" si="59"/>
        <v>250.5768609481762</v>
      </c>
      <c r="Z313" s="97">
        <f t="shared" si="56"/>
        <v>264.65928053346369</v>
      </c>
      <c r="AA313" s="97">
        <f t="shared" si="57"/>
        <v>299.3825781394541</v>
      </c>
    </row>
    <row r="314" spans="1:27" x14ac:dyDescent="0.25">
      <c r="A314" s="102" t="s">
        <v>890</v>
      </c>
      <c r="B314" s="116" t="s">
        <v>891</v>
      </c>
      <c r="C314" s="88" t="s">
        <v>226</v>
      </c>
      <c r="D314" s="89" t="s">
        <v>227</v>
      </c>
      <c r="E314" s="90">
        <f t="shared" si="60"/>
        <v>6160</v>
      </c>
      <c r="F314" s="90">
        <f t="shared" si="58"/>
        <v>5176.625742644107</v>
      </c>
      <c r="G314" s="91">
        <v>0.19</v>
      </c>
      <c r="H314" s="91" t="s">
        <v>228</v>
      </c>
      <c r="I314" s="91"/>
      <c r="J314" s="91"/>
      <c r="K314" s="91" t="s">
        <v>228</v>
      </c>
      <c r="L314" s="92" t="s">
        <v>229</v>
      </c>
      <c r="M314" s="91" t="str">
        <f t="shared" si="63"/>
        <v>VER ARCHIVO ANEXO</v>
      </c>
      <c r="N314" s="93">
        <v>41608</v>
      </c>
      <c r="O314" s="94"/>
      <c r="P314" s="94"/>
      <c r="Q314" s="94">
        <v>301</v>
      </c>
      <c r="R314" s="95">
        <f t="shared" si="50"/>
        <v>5176.625742644107</v>
      </c>
      <c r="S314" s="94">
        <v>3387.6088</v>
      </c>
      <c r="T314" s="94">
        <f t="shared" si="51"/>
        <v>3616.9499157600003</v>
      </c>
      <c r="U314" s="94">
        <f t="shared" si="52"/>
        <v>3824.9245359162005</v>
      </c>
      <c r="V314" s="94">
        <f t="shared" si="53"/>
        <v>3981.3639494351728</v>
      </c>
      <c r="W314" s="97">
        <f t="shared" si="54"/>
        <v>4107.9713230272118</v>
      </c>
      <c r="X314" s="97">
        <f t="shared" si="55"/>
        <v>4264.0742333022463</v>
      </c>
      <c r="Y314" s="97">
        <f t="shared" si="59"/>
        <v>4332.7258284584123</v>
      </c>
      <c r="Z314" s="97">
        <f t="shared" si="56"/>
        <v>4576.225020017775</v>
      </c>
      <c r="AA314" s="97">
        <f t="shared" si="57"/>
        <v>5176.625742644107</v>
      </c>
    </row>
    <row r="315" spans="1:27" x14ac:dyDescent="0.25">
      <c r="A315" s="102" t="s">
        <v>892</v>
      </c>
      <c r="B315" s="87" t="s">
        <v>893</v>
      </c>
      <c r="C315" s="88" t="s">
        <v>226</v>
      </c>
      <c r="D315" s="89" t="s">
        <v>262</v>
      </c>
      <c r="E315" s="90">
        <f t="shared" si="60"/>
        <v>35990</v>
      </c>
      <c r="F315" s="90">
        <f t="shared" si="58"/>
        <v>30243.976531304754</v>
      </c>
      <c r="G315" s="91">
        <v>0.19</v>
      </c>
      <c r="H315" s="91" t="s">
        <v>228</v>
      </c>
      <c r="I315" s="91"/>
      <c r="J315" s="91"/>
      <c r="K315" s="91" t="s">
        <v>228</v>
      </c>
      <c r="L315" s="92" t="s">
        <v>894</v>
      </c>
      <c r="M315" s="91" t="str">
        <f t="shared" si="63"/>
        <v>VER ARCHIVO ANEXO</v>
      </c>
      <c r="N315" s="93">
        <v>41608</v>
      </c>
      <c r="O315" s="94"/>
      <c r="P315" s="94"/>
      <c r="Q315" s="94">
        <v>302</v>
      </c>
      <c r="R315" s="95">
        <f t="shared" si="50"/>
        <v>30243.976531304754</v>
      </c>
      <c r="S315" s="94">
        <v>19791.803799999998</v>
      </c>
      <c r="T315" s="94">
        <f t="shared" si="51"/>
        <v>21131.708917259999</v>
      </c>
      <c r="U315" s="94">
        <f t="shared" si="52"/>
        <v>22346.78218000245</v>
      </c>
      <c r="V315" s="94">
        <f t="shared" si="53"/>
        <v>23260.765571164549</v>
      </c>
      <c r="W315" s="97">
        <f t="shared" si="54"/>
        <v>24000.457916327585</v>
      </c>
      <c r="X315" s="97">
        <f t="shared" si="55"/>
        <v>24912.475317148033</v>
      </c>
      <c r="Y315" s="97">
        <f t="shared" si="59"/>
        <v>25313.566169754118</v>
      </c>
      <c r="Z315" s="97">
        <f t="shared" si="56"/>
        <v>26736.1885884943</v>
      </c>
      <c r="AA315" s="97">
        <f t="shared" si="57"/>
        <v>30243.976531304754</v>
      </c>
    </row>
    <row r="316" spans="1:27" x14ac:dyDescent="0.25">
      <c r="A316" s="102" t="s">
        <v>895</v>
      </c>
      <c r="B316" s="104" t="s">
        <v>896</v>
      </c>
      <c r="C316" s="88" t="s">
        <v>226</v>
      </c>
      <c r="D316" s="89" t="s">
        <v>262</v>
      </c>
      <c r="E316" s="90">
        <f t="shared" si="60"/>
        <v>689415</v>
      </c>
      <c r="F316" s="90">
        <f t="shared" si="58"/>
        <v>579340.13746555313</v>
      </c>
      <c r="G316" s="91">
        <v>0.19</v>
      </c>
      <c r="H316" s="91" t="s">
        <v>228</v>
      </c>
      <c r="I316" s="91"/>
      <c r="J316" s="91"/>
      <c r="K316" s="91" t="s">
        <v>228</v>
      </c>
      <c r="L316" s="92" t="s">
        <v>868</v>
      </c>
      <c r="M316" s="91" t="str">
        <f t="shared" si="63"/>
        <v>VER ARCHIVO ANEXO</v>
      </c>
      <c r="N316" s="93">
        <v>41608</v>
      </c>
      <c r="O316" s="94"/>
      <c r="P316" s="94"/>
      <c r="Q316" s="94">
        <v>303</v>
      </c>
      <c r="R316" s="95">
        <f t="shared" si="50"/>
        <v>579340.13746555313</v>
      </c>
      <c r="S316" s="94">
        <v>379122.9742</v>
      </c>
      <c r="T316" s="94">
        <f t="shared" si="51"/>
        <v>404789.59955334006</v>
      </c>
      <c r="U316" s="94">
        <f t="shared" si="52"/>
        <v>428065.00152765715</v>
      </c>
      <c r="V316" s="94">
        <f t="shared" si="53"/>
        <v>445572.86009013827</v>
      </c>
      <c r="W316" s="97">
        <f t="shared" si="54"/>
        <v>459742.07704100467</v>
      </c>
      <c r="X316" s="97">
        <f t="shared" si="55"/>
        <v>477212.27596856287</v>
      </c>
      <c r="Y316" s="97">
        <f t="shared" si="59"/>
        <v>484895.39361165673</v>
      </c>
      <c r="Z316" s="97">
        <f t="shared" si="56"/>
        <v>512146.51473263185</v>
      </c>
      <c r="AA316" s="97">
        <f t="shared" si="57"/>
        <v>579340.13746555313</v>
      </c>
    </row>
    <row r="317" spans="1:27" x14ac:dyDescent="0.25">
      <c r="A317" s="102" t="s">
        <v>897</v>
      </c>
      <c r="B317" s="63" t="s">
        <v>898</v>
      </c>
      <c r="C317" s="88" t="s">
        <v>226</v>
      </c>
      <c r="D317" s="89" t="s">
        <v>227</v>
      </c>
      <c r="E317" s="90">
        <f t="shared" si="60"/>
        <v>14403</v>
      </c>
      <c r="F317" s="90">
        <f t="shared" si="58"/>
        <v>12103.60994478079</v>
      </c>
      <c r="G317" s="91">
        <v>0.19</v>
      </c>
      <c r="H317" s="91" t="s">
        <v>228</v>
      </c>
      <c r="I317" s="91"/>
      <c r="J317" s="91"/>
      <c r="K317" s="91" t="s">
        <v>228</v>
      </c>
      <c r="L317" s="92" t="s">
        <v>229</v>
      </c>
      <c r="M317" s="91" t="str">
        <f t="shared" si="63"/>
        <v>VER ARCHIVO ANEXO</v>
      </c>
      <c r="N317" s="93">
        <v>41608</v>
      </c>
      <c r="O317" s="94"/>
      <c r="P317" s="94"/>
      <c r="Q317" s="94">
        <v>304</v>
      </c>
      <c r="R317" s="95">
        <f t="shared" si="50"/>
        <v>12103.60994478079</v>
      </c>
      <c r="S317" s="94">
        <v>7920.6606000000002</v>
      </c>
      <c r="T317" s="94">
        <f t="shared" si="51"/>
        <v>8456.8893226200016</v>
      </c>
      <c r="U317" s="94">
        <f t="shared" si="52"/>
        <v>8943.1604586706526</v>
      </c>
      <c r="V317" s="94">
        <f t="shared" si="53"/>
        <v>9308.9357214302818</v>
      </c>
      <c r="W317" s="97">
        <f t="shared" si="54"/>
        <v>9604.9598773717644</v>
      </c>
      <c r="X317" s="97">
        <f t="shared" si="55"/>
        <v>9969.9483527118919</v>
      </c>
      <c r="Y317" s="97">
        <f t="shared" si="59"/>
        <v>10130.464521190554</v>
      </c>
      <c r="Z317" s="97">
        <f t="shared" si="56"/>
        <v>10699.796627281463</v>
      </c>
      <c r="AA317" s="97">
        <f t="shared" si="57"/>
        <v>12103.60994478079</v>
      </c>
    </row>
    <row r="318" spans="1:27" x14ac:dyDescent="0.25">
      <c r="A318" s="102" t="s">
        <v>899</v>
      </c>
      <c r="B318" s="63" t="s">
        <v>900</v>
      </c>
      <c r="C318" s="88" t="s">
        <v>226</v>
      </c>
      <c r="D318" s="89" t="s">
        <v>255</v>
      </c>
      <c r="E318" s="90">
        <f t="shared" si="60"/>
        <v>34190</v>
      </c>
      <c r="F318" s="90">
        <f t="shared" si="58"/>
        <v>28731.223292557781</v>
      </c>
      <c r="G318" s="91">
        <v>0.19</v>
      </c>
      <c r="H318" s="91" t="s">
        <v>228</v>
      </c>
      <c r="I318" s="91"/>
      <c r="J318" s="91"/>
      <c r="K318" s="91" t="s">
        <v>228</v>
      </c>
      <c r="L318" s="92" t="s">
        <v>302</v>
      </c>
      <c r="M318" s="91" t="str">
        <f t="shared" si="63"/>
        <v>no aplica</v>
      </c>
      <c r="N318" s="93">
        <v>41608</v>
      </c>
      <c r="O318" s="94"/>
      <c r="P318" s="94"/>
      <c r="Q318" s="94">
        <v>305</v>
      </c>
      <c r="R318" s="95">
        <f t="shared" si="50"/>
        <v>28731.223292557781</v>
      </c>
      <c r="S318" s="94">
        <v>18801.8508</v>
      </c>
      <c r="T318" s="94">
        <f t="shared" si="51"/>
        <v>20074.736099160004</v>
      </c>
      <c r="U318" s="94">
        <f t="shared" si="52"/>
        <v>21229.033424861707</v>
      </c>
      <c r="V318" s="94">
        <f t="shared" si="53"/>
        <v>22097.30089193855</v>
      </c>
      <c r="W318" s="97">
        <f t="shared" si="54"/>
        <v>22799.995060302197</v>
      </c>
      <c r="X318" s="97">
        <f t="shared" si="55"/>
        <v>23666.394872593683</v>
      </c>
      <c r="Y318" s="97">
        <f t="shared" si="59"/>
        <v>24047.42383004244</v>
      </c>
      <c r="Z318" s="97">
        <f t="shared" si="56"/>
        <v>25398.889049290825</v>
      </c>
      <c r="AA318" s="97">
        <f t="shared" si="57"/>
        <v>28731.223292557781</v>
      </c>
    </row>
    <row r="319" spans="1:27" x14ac:dyDescent="0.25">
      <c r="A319" s="102" t="s">
        <v>901</v>
      </c>
      <c r="B319" s="63" t="s">
        <v>902</v>
      </c>
      <c r="C319" s="88" t="s">
        <v>226</v>
      </c>
      <c r="D319" s="89" t="s">
        <v>262</v>
      </c>
      <c r="E319" s="90">
        <f t="shared" si="60"/>
        <v>7312505</v>
      </c>
      <c r="F319" s="90">
        <f t="shared" si="58"/>
        <v>6144962.0592707191</v>
      </c>
      <c r="G319" s="91">
        <v>0.19</v>
      </c>
      <c r="H319" s="91" t="s">
        <v>228</v>
      </c>
      <c r="I319" s="91"/>
      <c r="J319" s="91"/>
      <c r="K319" s="91" t="s">
        <v>228</v>
      </c>
      <c r="L319" s="92" t="s">
        <v>302</v>
      </c>
      <c r="M319" s="91" t="str">
        <f t="shared" si="63"/>
        <v>no aplica</v>
      </c>
      <c r="N319" s="93">
        <v>41608</v>
      </c>
      <c r="O319" s="94"/>
      <c r="P319" s="94"/>
      <c r="Q319" s="94">
        <v>306</v>
      </c>
      <c r="R319" s="95">
        <f t="shared" si="50"/>
        <v>6144962.0592707191</v>
      </c>
      <c r="S319" s="94">
        <v>4021292.7459999998</v>
      </c>
      <c r="T319" s="94">
        <f t="shared" si="51"/>
        <v>4293534.2649042001</v>
      </c>
      <c r="U319" s="94">
        <f t="shared" si="52"/>
        <v>4540412.4851361923</v>
      </c>
      <c r="V319" s="94">
        <f t="shared" si="53"/>
        <v>4726115.355778262</v>
      </c>
      <c r="W319" s="97">
        <f t="shared" si="54"/>
        <v>4876405.824092011</v>
      </c>
      <c r="X319" s="97">
        <f t="shared" si="55"/>
        <v>5061709.2454075078</v>
      </c>
      <c r="Y319" s="97">
        <f t="shared" si="59"/>
        <v>5143202.7642585691</v>
      </c>
      <c r="Z319" s="97">
        <f t="shared" si="56"/>
        <v>5432250.7596099004</v>
      </c>
      <c r="AA319" s="97">
        <f t="shared" si="57"/>
        <v>6144962.0592707191</v>
      </c>
    </row>
    <row r="320" spans="1:27" x14ac:dyDescent="0.25">
      <c r="A320" s="102" t="s">
        <v>903</v>
      </c>
      <c r="B320" s="63" t="s">
        <v>904</v>
      </c>
      <c r="C320" s="88" t="s">
        <v>226</v>
      </c>
      <c r="D320" s="89" t="s">
        <v>262</v>
      </c>
      <c r="E320" s="90">
        <f t="shared" si="60"/>
        <v>26390</v>
      </c>
      <c r="F320" s="90">
        <f t="shared" si="58"/>
        <v>22176.487269589201</v>
      </c>
      <c r="G320" s="91">
        <v>0.19</v>
      </c>
      <c r="H320" s="91" t="s">
        <v>228</v>
      </c>
      <c r="I320" s="91"/>
      <c r="J320" s="91"/>
      <c r="K320" s="91" t="s">
        <v>228</v>
      </c>
      <c r="L320" s="92" t="s">
        <v>302</v>
      </c>
      <c r="M320" s="91" t="str">
        <f t="shared" si="63"/>
        <v>no aplica</v>
      </c>
      <c r="N320" s="93">
        <v>41608</v>
      </c>
      <c r="O320" s="94"/>
      <c r="P320" s="94"/>
      <c r="Q320" s="94">
        <v>307</v>
      </c>
      <c r="R320" s="95">
        <f t="shared" si="50"/>
        <v>22176.487269589201</v>
      </c>
      <c r="S320" s="94">
        <v>14512.4</v>
      </c>
      <c r="T320" s="94">
        <f t="shared" si="51"/>
        <v>15494.889480000002</v>
      </c>
      <c r="U320" s="94">
        <f t="shared" si="52"/>
        <v>16385.845625100003</v>
      </c>
      <c r="V320" s="94">
        <f t="shared" si="53"/>
        <v>17056.026711166593</v>
      </c>
      <c r="W320" s="97">
        <f t="shared" si="54"/>
        <v>17598.408360581692</v>
      </c>
      <c r="X320" s="97">
        <f t="shared" si="55"/>
        <v>18267.147878283798</v>
      </c>
      <c r="Y320" s="97">
        <f t="shared" si="59"/>
        <v>18561.248959124168</v>
      </c>
      <c r="Z320" s="97">
        <f t="shared" si="56"/>
        <v>19604.391150626947</v>
      </c>
      <c r="AA320" s="97">
        <f t="shared" si="57"/>
        <v>22176.487269589201</v>
      </c>
    </row>
    <row r="321" spans="1:27" x14ac:dyDescent="0.25">
      <c r="A321" s="102" t="s">
        <v>905</v>
      </c>
      <c r="B321" s="63" t="s">
        <v>906</v>
      </c>
      <c r="C321" s="88" t="s">
        <v>226</v>
      </c>
      <c r="D321" s="89" t="s">
        <v>262</v>
      </c>
      <c r="E321" s="90">
        <f t="shared" si="60"/>
        <v>28275</v>
      </c>
      <c r="F321" s="90">
        <f t="shared" si="58"/>
        <v>23760.522074559856</v>
      </c>
      <c r="G321" s="91">
        <v>0.19</v>
      </c>
      <c r="H321" s="91" t="s">
        <v>228</v>
      </c>
      <c r="I321" s="91"/>
      <c r="J321" s="91"/>
      <c r="K321" s="91" t="s">
        <v>228</v>
      </c>
      <c r="L321" s="92" t="s">
        <v>302</v>
      </c>
      <c r="M321" s="91" t="str">
        <f t="shared" si="63"/>
        <v>no aplica</v>
      </c>
      <c r="N321" s="93">
        <v>41608</v>
      </c>
      <c r="O321" s="94"/>
      <c r="P321" s="94"/>
      <c r="Q321" s="94">
        <v>308</v>
      </c>
      <c r="R321" s="95">
        <f t="shared" si="50"/>
        <v>23760.522074559856</v>
      </c>
      <c r="S321" s="94">
        <v>15549</v>
      </c>
      <c r="T321" s="94">
        <f t="shared" si="51"/>
        <v>16601.667300000001</v>
      </c>
      <c r="U321" s="94">
        <f t="shared" si="52"/>
        <v>17556.263169750004</v>
      </c>
      <c r="V321" s="94">
        <f t="shared" si="53"/>
        <v>18274.314333392776</v>
      </c>
      <c r="W321" s="97">
        <f t="shared" si="54"/>
        <v>18855.437529194667</v>
      </c>
      <c r="X321" s="97">
        <f t="shared" si="55"/>
        <v>19571.944155304067</v>
      </c>
      <c r="Y321" s="97">
        <f t="shared" si="59"/>
        <v>19887.052456204463</v>
      </c>
      <c r="Z321" s="97">
        <f t="shared" si="56"/>
        <v>21004.704804243156</v>
      </c>
      <c r="AA321" s="97">
        <f t="shared" si="57"/>
        <v>23760.522074559856</v>
      </c>
    </row>
    <row r="322" spans="1:27" x14ac:dyDescent="0.25">
      <c r="A322" s="102" t="s">
        <v>907</v>
      </c>
      <c r="B322" s="63" t="s">
        <v>908</v>
      </c>
      <c r="C322" s="88" t="s">
        <v>226</v>
      </c>
      <c r="D322" s="89" t="s">
        <v>262</v>
      </c>
      <c r="E322" s="90">
        <f t="shared" si="60"/>
        <v>32988</v>
      </c>
      <c r="F322" s="90">
        <f t="shared" si="58"/>
        <v>27720.609086986497</v>
      </c>
      <c r="G322" s="91">
        <v>0.19</v>
      </c>
      <c r="H322" s="91" t="s">
        <v>228</v>
      </c>
      <c r="I322" s="91"/>
      <c r="J322" s="91"/>
      <c r="K322" s="91" t="s">
        <v>228</v>
      </c>
      <c r="L322" s="92" t="s">
        <v>302</v>
      </c>
      <c r="M322" s="91" t="str">
        <f t="shared" si="63"/>
        <v>no aplica</v>
      </c>
      <c r="N322" s="93">
        <v>41608</v>
      </c>
      <c r="O322" s="94"/>
      <c r="P322" s="94"/>
      <c r="Q322" s="94">
        <v>309</v>
      </c>
      <c r="R322" s="95">
        <f t="shared" si="50"/>
        <v>27720.609086986497</v>
      </c>
      <c r="S322" s="94">
        <v>18140.5</v>
      </c>
      <c r="T322" s="94">
        <f t="shared" si="51"/>
        <v>19368.611850000001</v>
      </c>
      <c r="U322" s="94">
        <f t="shared" si="52"/>
        <v>20482.307031375003</v>
      </c>
      <c r="V322" s="94">
        <f t="shared" si="53"/>
        <v>21320.03338895824</v>
      </c>
      <c r="W322" s="97">
        <f t="shared" si="54"/>
        <v>21998.010450727113</v>
      </c>
      <c r="X322" s="97">
        <f t="shared" si="55"/>
        <v>22833.934847854744</v>
      </c>
      <c r="Y322" s="97">
        <f t="shared" si="59"/>
        <v>23201.561198905205</v>
      </c>
      <c r="Z322" s="97">
        <f t="shared" si="56"/>
        <v>24505.488938283677</v>
      </c>
      <c r="AA322" s="97">
        <f t="shared" si="57"/>
        <v>27720.609086986497</v>
      </c>
    </row>
    <row r="323" spans="1:27" x14ac:dyDescent="0.25">
      <c r="A323" s="102" t="s">
        <v>909</v>
      </c>
      <c r="B323" s="63" t="s">
        <v>910</v>
      </c>
      <c r="C323" s="88" t="s">
        <v>226</v>
      </c>
      <c r="D323" s="89" t="s">
        <v>262</v>
      </c>
      <c r="E323" s="90">
        <f t="shared" si="60"/>
        <v>32988</v>
      </c>
      <c r="F323" s="90">
        <f t="shared" si="58"/>
        <v>27720.609086986497</v>
      </c>
      <c r="G323" s="91">
        <v>0.19</v>
      </c>
      <c r="H323" s="91" t="s">
        <v>228</v>
      </c>
      <c r="I323" s="91"/>
      <c r="J323" s="91"/>
      <c r="K323" s="91" t="s">
        <v>228</v>
      </c>
      <c r="L323" s="92" t="s">
        <v>302</v>
      </c>
      <c r="M323" s="91" t="str">
        <f t="shared" si="63"/>
        <v>no aplica</v>
      </c>
      <c r="N323" s="93">
        <v>41608</v>
      </c>
      <c r="O323" s="94"/>
      <c r="P323" s="94"/>
      <c r="Q323" s="94">
        <v>310</v>
      </c>
      <c r="R323" s="95">
        <f t="shared" si="50"/>
        <v>27720.609086986497</v>
      </c>
      <c r="S323" s="94">
        <v>18140.5</v>
      </c>
      <c r="T323" s="94">
        <f t="shared" si="51"/>
        <v>19368.611850000001</v>
      </c>
      <c r="U323" s="94">
        <f t="shared" si="52"/>
        <v>20482.307031375003</v>
      </c>
      <c r="V323" s="94">
        <f t="shared" si="53"/>
        <v>21320.03338895824</v>
      </c>
      <c r="W323" s="97">
        <f t="shared" si="54"/>
        <v>21998.010450727113</v>
      </c>
      <c r="X323" s="97">
        <f t="shared" si="55"/>
        <v>22833.934847854744</v>
      </c>
      <c r="Y323" s="97">
        <f t="shared" si="59"/>
        <v>23201.561198905205</v>
      </c>
      <c r="Z323" s="97">
        <f t="shared" si="56"/>
        <v>24505.488938283677</v>
      </c>
      <c r="AA323" s="97">
        <f t="shared" si="57"/>
        <v>27720.609086986497</v>
      </c>
    </row>
    <row r="324" spans="1:27" x14ac:dyDescent="0.25">
      <c r="A324" s="102" t="s">
        <v>911</v>
      </c>
      <c r="B324" s="63" t="s">
        <v>912</v>
      </c>
      <c r="C324" s="88" t="s">
        <v>226</v>
      </c>
      <c r="D324" s="89" t="s">
        <v>262</v>
      </c>
      <c r="E324" s="90">
        <f t="shared" si="60"/>
        <v>50895</v>
      </c>
      <c r="F324" s="90">
        <f t="shared" si="58"/>
        <v>42768.939734207743</v>
      </c>
      <c r="G324" s="91">
        <v>0.19</v>
      </c>
      <c r="H324" s="91" t="s">
        <v>228</v>
      </c>
      <c r="I324" s="91"/>
      <c r="J324" s="91"/>
      <c r="K324" s="91" t="s">
        <v>228</v>
      </c>
      <c r="L324" s="92" t="s">
        <v>302</v>
      </c>
      <c r="M324" s="91" t="str">
        <f t="shared" si="63"/>
        <v>no aplica</v>
      </c>
      <c r="N324" s="93">
        <v>41608</v>
      </c>
      <c r="O324" s="94"/>
      <c r="P324" s="94"/>
      <c r="Q324" s="94">
        <v>311</v>
      </c>
      <c r="R324" s="95">
        <f t="shared" si="50"/>
        <v>42768.939734207743</v>
      </c>
      <c r="S324" s="94">
        <v>27988.2</v>
      </c>
      <c r="T324" s="94">
        <f t="shared" si="51"/>
        <v>29883.001140000004</v>
      </c>
      <c r="U324" s="94">
        <f t="shared" si="52"/>
        <v>31601.273705550007</v>
      </c>
      <c r="V324" s="94">
        <f t="shared" si="53"/>
        <v>32893.765800107001</v>
      </c>
      <c r="W324" s="97">
        <f t="shared" si="54"/>
        <v>33939.787552550406</v>
      </c>
      <c r="X324" s="97">
        <f t="shared" si="55"/>
        <v>35229.499479547325</v>
      </c>
      <c r="Y324" s="97">
        <f t="shared" si="59"/>
        <v>35796.694421168038</v>
      </c>
      <c r="Z324" s="97">
        <f t="shared" si="56"/>
        <v>37808.468647637681</v>
      </c>
      <c r="AA324" s="97">
        <f t="shared" si="57"/>
        <v>42768.939734207743</v>
      </c>
    </row>
    <row r="325" spans="1:27" x14ac:dyDescent="0.25">
      <c r="A325" s="102" t="s">
        <v>913</v>
      </c>
      <c r="B325" s="63" t="s">
        <v>914</v>
      </c>
      <c r="C325" s="88" t="s">
        <v>226</v>
      </c>
      <c r="D325" s="89" t="s">
        <v>262</v>
      </c>
      <c r="E325" s="90">
        <f t="shared" si="60"/>
        <v>58435</v>
      </c>
      <c r="F325" s="90">
        <f t="shared" si="58"/>
        <v>49105.078954090364</v>
      </c>
      <c r="G325" s="91">
        <v>0.19</v>
      </c>
      <c r="H325" s="91" t="s">
        <v>228</v>
      </c>
      <c r="I325" s="91"/>
      <c r="J325" s="91"/>
      <c r="K325" s="91" t="s">
        <v>228</v>
      </c>
      <c r="L325" s="92" t="s">
        <v>302</v>
      </c>
      <c r="M325" s="91" t="str">
        <f t="shared" si="63"/>
        <v>no aplica</v>
      </c>
      <c r="N325" s="93">
        <v>41608</v>
      </c>
      <c r="O325" s="94"/>
      <c r="P325" s="94"/>
      <c r="Q325" s="94">
        <v>312</v>
      </c>
      <c r="R325" s="95">
        <f t="shared" si="50"/>
        <v>49105.078954090364</v>
      </c>
      <c r="S325" s="94">
        <v>32134.6</v>
      </c>
      <c r="T325" s="94">
        <f t="shared" si="51"/>
        <v>34310.112420000005</v>
      </c>
      <c r="U325" s="94">
        <f t="shared" si="52"/>
        <v>36282.943884150009</v>
      </c>
      <c r="V325" s="94">
        <f t="shared" si="53"/>
        <v>37766.916289011744</v>
      </c>
      <c r="W325" s="97">
        <f t="shared" si="54"/>
        <v>38967.90422700232</v>
      </c>
      <c r="X325" s="97">
        <f t="shared" si="55"/>
        <v>40448.684587628406</v>
      </c>
      <c r="Y325" s="97">
        <f t="shared" si="59"/>
        <v>41099.908409489224</v>
      </c>
      <c r="Z325" s="97">
        <f t="shared" si="56"/>
        <v>43409.723262102518</v>
      </c>
      <c r="AA325" s="97">
        <f t="shared" si="57"/>
        <v>49105.078954090364</v>
      </c>
    </row>
    <row r="326" spans="1:27" x14ac:dyDescent="0.25">
      <c r="A326" s="102" t="s">
        <v>915</v>
      </c>
      <c r="B326" s="63" t="s">
        <v>916</v>
      </c>
      <c r="C326" s="88" t="s">
        <v>226</v>
      </c>
      <c r="D326" s="89" t="s">
        <v>4</v>
      </c>
      <c r="E326" s="90">
        <f t="shared" si="60"/>
        <v>28275</v>
      </c>
      <c r="F326" s="90">
        <f t="shared" si="58"/>
        <v>23760.522074559856</v>
      </c>
      <c r="G326" s="91">
        <v>0.19</v>
      </c>
      <c r="H326" s="91" t="s">
        <v>228</v>
      </c>
      <c r="I326" s="91"/>
      <c r="J326" s="91"/>
      <c r="K326" s="91" t="s">
        <v>228</v>
      </c>
      <c r="L326" s="92" t="s">
        <v>302</v>
      </c>
      <c r="M326" s="91" t="str">
        <f t="shared" si="63"/>
        <v>no aplica</v>
      </c>
      <c r="N326" s="93">
        <v>41608</v>
      </c>
      <c r="O326" s="94"/>
      <c r="P326" s="94"/>
      <c r="Q326" s="94">
        <v>313</v>
      </c>
      <c r="R326" s="95">
        <f t="shared" si="50"/>
        <v>23760.522074559856</v>
      </c>
      <c r="S326" s="94">
        <v>15549</v>
      </c>
      <c r="T326" s="94">
        <f t="shared" si="51"/>
        <v>16601.667300000001</v>
      </c>
      <c r="U326" s="94">
        <f t="shared" si="52"/>
        <v>17556.263169750004</v>
      </c>
      <c r="V326" s="94">
        <f t="shared" si="53"/>
        <v>18274.314333392776</v>
      </c>
      <c r="W326" s="97">
        <f t="shared" si="54"/>
        <v>18855.437529194667</v>
      </c>
      <c r="X326" s="97">
        <f t="shared" si="55"/>
        <v>19571.944155304067</v>
      </c>
      <c r="Y326" s="97">
        <f t="shared" si="59"/>
        <v>19887.052456204463</v>
      </c>
      <c r="Z326" s="97">
        <f t="shared" si="56"/>
        <v>21004.704804243156</v>
      </c>
      <c r="AA326" s="97">
        <f t="shared" si="57"/>
        <v>23760.522074559856</v>
      </c>
    </row>
    <row r="327" spans="1:27" x14ac:dyDescent="0.25">
      <c r="A327" s="102" t="s">
        <v>917</v>
      </c>
      <c r="B327" s="87" t="s">
        <v>918</v>
      </c>
      <c r="C327" s="88" t="s">
        <v>226</v>
      </c>
      <c r="D327" s="89" t="s">
        <v>262</v>
      </c>
      <c r="E327" s="90">
        <f t="shared" si="60"/>
        <v>25448</v>
      </c>
      <c r="F327" s="90">
        <f t="shared" si="58"/>
        <v>21384.469867103871</v>
      </c>
      <c r="G327" s="91">
        <v>0.19</v>
      </c>
      <c r="H327" s="91" t="s">
        <v>228</v>
      </c>
      <c r="I327" s="91"/>
      <c r="J327" s="91"/>
      <c r="K327" s="91" t="s">
        <v>228</v>
      </c>
      <c r="L327" s="92" t="s">
        <v>868</v>
      </c>
      <c r="M327" s="91" t="str">
        <f t="shared" si="63"/>
        <v>VER ARCHIVO ANEXO</v>
      </c>
      <c r="N327" s="93">
        <v>41608</v>
      </c>
      <c r="O327" s="94"/>
      <c r="P327" s="94"/>
      <c r="Q327" s="94">
        <v>314</v>
      </c>
      <c r="R327" s="95">
        <f t="shared" ref="R327:R390" si="64">+AA327</f>
        <v>21384.469867103871</v>
      </c>
      <c r="S327" s="94">
        <v>13994.1</v>
      </c>
      <c r="T327" s="94">
        <f t="shared" ref="T327:T390" si="65">+S327*1.0677</f>
        <v>14941.500570000002</v>
      </c>
      <c r="U327" s="94">
        <f t="shared" ref="U327:U390" si="66">+T327*(1+$U$4)</f>
        <v>15800.636852775004</v>
      </c>
      <c r="V327" s="94">
        <f t="shared" ref="V327:V390" si="67">+U327*(1+$V$4)</f>
        <v>16446.882900053501</v>
      </c>
      <c r="W327" s="97">
        <f t="shared" ref="W327:W390" si="68">+V327*(1+$W$4)</f>
        <v>16969.893776275203</v>
      </c>
      <c r="X327" s="97">
        <f t="shared" ref="X327:X390" si="69">+W327*(1+$X$4)</f>
        <v>17614.749739773662</v>
      </c>
      <c r="Y327" s="97">
        <f t="shared" si="59"/>
        <v>17898.347210584019</v>
      </c>
      <c r="Z327" s="97">
        <f t="shared" ref="Z327:Z390" si="70">+Y327*(1+$Z$4)</f>
        <v>18904.23432381884</v>
      </c>
      <c r="AA327" s="97">
        <f t="shared" ref="AA327:AA390" si="71">+Z327*(1+$AA$4)</f>
        <v>21384.469867103871</v>
      </c>
    </row>
    <row r="328" spans="1:27" x14ac:dyDescent="0.25">
      <c r="A328" s="102" t="s">
        <v>919</v>
      </c>
      <c r="B328" s="87" t="s">
        <v>920</v>
      </c>
      <c r="C328" s="88" t="s">
        <v>226</v>
      </c>
      <c r="D328" s="89" t="s">
        <v>4</v>
      </c>
      <c r="E328" s="90">
        <f t="shared" si="60"/>
        <v>94250</v>
      </c>
      <c r="F328" s="90">
        <f t="shared" ref="F328:F391" si="72">R328</f>
        <v>79201.740248532864</v>
      </c>
      <c r="G328" s="91">
        <v>0.19</v>
      </c>
      <c r="H328" s="91" t="s">
        <v>228</v>
      </c>
      <c r="I328" s="91"/>
      <c r="J328" s="91"/>
      <c r="K328" s="91" t="s">
        <v>228</v>
      </c>
      <c r="L328" s="92" t="s">
        <v>868</v>
      </c>
      <c r="M328" s="91" t="str">
        <f t="shared" si="63"/>
        <v>VER ARCHIVO ANEXO</v>
      </c>
      <c r="N328" s="93">
        <v>41608</v>
      </c>
      <c r="O328" s="94"/>
      <c r="P328" s="94"/>
      <c r="Q328" s="94">
        <v>315</v>
      </c>
      <c r="R328" s="95">
        <f t="shared" si="64"/>
        <v>79201.740248532864</v>
      </c>
      <c r="S328" s="94">
        <v>51830</v>
      </c>
      <c r="T328" s="94">
        <f t="shared" si="65"/>
        <v>55338.891000000003</v>
      </c>
      <c r="U328" s="94">
        <f t="shared" si="66"/>
        <v>58520.87723250001</v>
      </c>
      <c r="V328" s="94">
        <f t="shared" si="67"/>
        <v>60914.38111130926</v>
      </c>
      <c r="W328" s="97">
        <f t="shared" si="68"/>
        <v>62851.458430648898</v>
      </c>
      <c r="X328" s="97">
        <f t="shared" si="69"/>
        <v>65239.813851013561</v>
      </c>
      <c r="Y328" s="97">
        <f t="shared" ref="Y328:Y391" si="73">+X328*(1+$Y$4)</f>
        <v>66290.174854014884</v>
      </c>
      <c r="Z328" s="97">
        <f t="shared" si="70"/>
        <v>70015.682680810525</v>
      </c>
      <c r="AA328" s="97">
        <f t="shared" si="71"/>
        <v>79201.740248532864</v>
      </c>
    </row>
    <row r="329" spans="1:27" x14ac:dyDescent="0.25">
      <c r="A329" s="102" t="s">
        <v>921</v>
      </c>
      <c r="B329" s="87" t="s">
        <v>922</v>
      </c>
      <c r="C329" s="88" t="s">
        <v>226</v>
      </c>
      <c r="D329" s="89" t="s">
        <v>4</v>
      </c>
      <c r="E329" s="90">
        <f t="shared" ref="E329:E392" si="74">+ROUND(F329*(1+G329),0)</f>
        <v>64090</v>
      </c>
      <c r="F329" s="90">
        <f t="shared" si="72"/>
        <v>53857.183369002349</v>
      </c>
      <c r="G329" s="91">
        <v>0.19</v>
      </c>
      <c r="H329" s="91" t="s">
        <v>228</v>
      </c>
      <c r="I329" s="91"/>
      <c r="J329" s="91"/>
      <c r="K329" s="91" t="s">
        <v>228</v>
      </c>
      <c r="L329" s="92" t="s">
        <v>868</v>
      </c>
      <c r="M329" s="91" t="str">
        <f t="shared" si="63"/>
        <v>VER ARCHIVO ANEXO</v>
      </c>
      <c r="N329" s="93">
        <v>41608</v>
      </c>
      <c r="O329" s="94"/>
      <c r="P329" s="94"/>
      <c r="Q329" s="94">
        <v>316</v>
      </c>
      <c r="R329" s="95">
        <f t="shared" si="64"/>
        <v>53857.183369002349</v>
      </c>
      <c r="S329" s="94">
        <v>35244.400000000001</v>
      </c>
      <c r="T329" s="94">
        <f t="shared" si="65"/>
        <v>37630.445880000007</v>
      </c>
      <c r="U329" s="94">
        <f t="shared" si="66"/>
        <v>39794.196518100012</v>
      </c>
      <c r="V329" s="94">
        <f t="shared" si="67"/>
        <v>41421.779155690303</v>
      </c>
      <c r="W329" s="97">
        <f t="shared" si="68"/>
        <v>42738.991732841256</v>
      </c>
      <c r="X329" s="97">
        <f t="shared" si="69"/>
        <v>44363.073418689222</v>
      </c>
      <c r="Y329" s="97">
        <f t="shared" si="73"/>
        <v>45077.318900730119</v>
      </c>
      <c r="Z329" s="97">
        <f t="shared" si="70"/>
        <v>47610.664222951156</v>
      </c>
      <c r="AA329" s="97">
        <f t="shared" si="71"/>
        <v>53857.183369002349</v>
      </c>
    </row>
    <row r="330" spans="1:27" x14ac:dyDescent="0.25">
      <c r="A330" s="102" t="s">
        <v>923</v>
      </c>
      <c r="B330" s="87" t="s">
        <v>924</v>
      </c>
      <c r="C330" s="88" t="s">
        <v>226</v>
      </c>
      <c r="D330" s="89" t="s">
        <v>262</v>
      </c>
      <c r="E330" s="90">
        <f t="shared" si="74"/>
        <v>584</v>
      </c>
      <c r="F330" s="90">
        <f t="shared" si="72"/>
        <v>491.05078954090362</v>
      </c>
      <c r="G330" s="91">
        <v>0.19</v>
      </c>
      <c r="H330" s="91" t="s">
        <v>228</v>
      </c>
      <c r="I330" s="91"/>
      <c r="J330" s="91"/>
      <c r="K330" s="91" t="s">
        <v>228</v>
      </c>
      <c r="L330" s="92" t="s">
        <v>868</v>
      </c>
      <c r="M330" s="91" t="str">
        <f t="shared" si="63"/>
        <v>VER ARCHIVO ANEXO</v>
      </c>
      <c r="N330" s="93">
        <v>41608</v>
      </c>
      <c r="O330" s="94"/>
      <c r="P330" s="94"/>
      <c r="Q330" s="94">
        <v>317</v>
      </c>
      <c r="R330" s="95">
        <f t="shared" si="64"/>
        <v>491.05078954090362</v>
      </c>
      <c r="S330" s="94">
        <v>321.346</v>
      </c>
      <c r="T330" s="94">
        <f t="shared" si="65"/>
        <v>343.10112420000002</v>
      </c>
      <c r="U330" s="94">
        <f t="shared" si="66"/>
        <v>362.82943884150006</v>
      </c>
      <c r="V330" s="94">
        <f t="shared" si="67"/>
        <v>377.66916289011738</v>
      </c>
      <c r="W330" s="97">
        <f t="shared" si="68"/>
        <v>389.6790422700231</v>
      </c>
      <c r="X330" s="97">
        <f t="shared" si="69"/>
        <v>404.48684587628401</v>
      </c>
      <c r="Y330" s="97">
        <f t="shared" si="73"/>
        <v>410.99908409489217</v>
      </c>
      <c r="Z330" s="97">
        <f t="shared" si="70"/>
        <v>434.09723262102511</v>
      </c>
      <c r="AA330" s="97">
        <f t="shared" si="71"/>
        <v>491.05078954090362</v>
      </c>
    </row>
    <row r="331" spans="1:27" x14ac:dyDescent="0.25">
      <c r="A331" s="102" t="s">
        <v>925</v>
      </c>
      <c r="B331" s="87" t="s">
        <v>926</v>
      </c>
      <c r="C331" s="88" t="s">
        <v>226</v>
      </c>
      <c r="D331" s="89" t="s">
        <v>262</v>
      </c>
      <c r="E331" s="90">
        <f t="shared" si="74"/>
        <v>980201</v>
      </c>
      <c r="F331" s="90">
        <f t="shared" si="72"/>
        <v>823698.09858474135</v>
      </c>
      <c r="G331" s="91">
        <v>0.19</v>
      </c>
      <c r="H331" s="91" t="s">
        <v>228</v>
      </c>
      <c r="I331" s="91"/>
      <c r="J331" s="91"/>
      <c r="K331" s="91" t="s">
        <v>228</v>
      </c>
      <c r="L331" s="92" t="s">
        <v>868</v>
      </c>
      <c r="M331" s="91" t="str">
        <f t="shared" si="63"/>
        <v>VER ARCHIVO ANEXO</v>
      </c>
      <c r="N331" s="93">
        <v>41608</v>
      </c>
      <c r="O331" s="94"/>
      <c r="P331" s="94"/>
      <c r="Q331" s="94">
        <v>318</v>
      </c>
      <c r="R331" s="95">
        <f t="shared" si="64"/>
        <v>823698.09858474135</v>
      </c>
      <c r="S331" s="94">
        <v>539032</v>
      </c>
      <c r="T331" s="94">
        <f t="shared" si="65"/>
        <v>575524.46640000003</v>
      </c>
      <c r="U331" s="94">
        <f t="shared" si="66"/>
        <v>608617.12321800005</v>
      </c>
      <c r="V331" s="94">
        <f t="shared" si="67"/>
        <v>633509.5635576162</v>
      </c>
      <c r="W331" s="97">
        <f t="shared" si="68"/>
        <v>653655.16767874837</v>
      </c>
      <c r="X331" s="97">
        <f t="shared" si="69"/>
        <v>678494.06405054079</v>
      </c>
      <c r="Y331" s="97">
        <f t="shared" si="73"/>
        <v>689417.81848175451</v>
      </c>
      <c r="Z331" s="97">
        <f t="shared" si="70"/>
        <v>728163.0998804291</v>
      </c>
      <c r="AA331" s="97">
        <f t="shared" si="71"/>
        <v>823698.09858474135</v>
      </c>
    </row>
    <row r="332" spans="1:27" x14ac:dyDescent="0.25">
      <c r="A332" s="102" t="s">
        <v>927</v>
      </c>
      <c r="B332" s="87" t="s">
        <v>928</v>
      </c>
      <c r="C332" s="88" t="s">
        <v>226</v>
      </c>
      <c r="D332" s="89" t="s">
        <v>262</v>
      </c>
      <c r="E332" s="90">
        <f t="shared" si="74"/>
        <v>16965</v>
      </c>
      <c r="F332" s="90">
        <f t="shared" si="72"/>
        <v>14256.313244735913</v>
      </c>
      <c r="G332" s="91">
        <v>0.19</v>
      </c>
      <c r="H332" s="91" t="s">
        <v>228</v>
      </c>
      <c r="I332" s="91"/>
      <c r="J332" s="91"/>
      <c r="K332" s="91" t="s">
        <v>228</v>
      </c>
      <c r="L332" s="92" t="s">
        <v>868</v>
      </c>
      <c r="M332" s="91" t="str">
        <f t="shared" si="63"/>
        <v>VER ARCHIVO ANEXO</v>
      </c>
      <c r="N332" s="93">
        <v>41608</v>
      </c>
      <c r="O332" s="94"/>
      <c r="P332" s="94"/>
      <c r="Q332" s="94">
        <v>319</v>
      </c>
      <c r="R332" s="95">
        <f t="shared" si="64"/>
        <v>14256.313244735913</v>
      </c>
      <c r="S332" s="94">
        <v>9329.4</v>
      </c>
      <c r="T332" s="94">
        <f t="shared" si="65"/>
        <v>9961.0003800000013</v>
      </c>
      <c r="U332" s="94">
        <f t="shared" si="66"/>
        <v>10533.757901850002</v>
      </c>
      <c r="V332" s="94">
        <f t="shared" si="67"/>
        <v>10964.588600035666</v>
      </c>
      <c r="W332" s="97">
        <f t="shared" si="68"/>
        <v>11313.262517516801</v>
      </c>
      <c r="X332" s="97">
        <f t="shared" si="69"/>
        <v>11743.16649318244</v>
      </c>
      <c r="Y332" s="97">
        <f t="shared" si="73"/>
        <v>11932.231473722677</v>
      </c>
      <c r="Z332" s="97">
        <f t="shared" si="70"/>
        <v>12602.822882545892</v>
      </c>
      <c r="AA332" s="97">
        <f t="shared" si="71"/>
        <v>14256.313244735913</v>
      </c>
    </row>
    <row r="333" spans="1:27" x14ac:dyDescent="0.25">
      <c r="A333" s="102" t="s">
        <v>929</v>
      </c>
      <c r="B333" s="87" t="s">
        <v>930</v>
      </c>
      <c r="C333" s="88" t="s">
        <v>226</v>
      </c>
      <c r="D333" s="89" t="s">
        <v>262</v>
      </c>
      <c r="E333" s="90">
        <f t="shared" si="74"/>
        <v>113100</v>
      </c>
      <c r="F333" s="90">
        <f t="shared" si="72"/>
        <v>95042.088298239425</v>
      </c>
      <c r="G333" s="91">
        <v>0.19</v>
      </c>
      <c r="H333" s="91" t="s">
        <v>228</v>
      </c>
      <c r="I333" s="91"/>
      <c r="J333" s="91"/>
      <c r="K333" s="91" t="s">
        <v>228</v>
      </c>
      <c r="L333" s="92" t="s">
        <v>868</v>
      </c>
      <c r="M333" s="91" t="str">
        <f t="shared" si="63"/>
        <v>VER ARCHIVO ANEXO</v>
      </c>
      <c r="N333" s="93">
        <v>41608</v>
      </c>
      <c r="O333" s="94"/>
      <c r="P333" s="94"/>
      <c r="Q333" s="94">
        <v>320</v>
      </c>
      <c r="R333" s="95">
        <f t="shared" si="64"/>
        <v>95042.088298239425</v>
      </c>
      <c r="S333" s="94">
        <v>62196</v>
      </c>
      <c r="T333" s="94">
        <f t="shared" si="65"/>
        <v>66406.669200000004</v>
      </c>
      <c r="U333" s="94">
        <f t="shared" si="66"/>
        <v>70225.052679000015</v>
      </c>
      <c r="V333" s="94">
        <f t="shared" si="67"/>
        <v>73097.257333571106</v>
      </c>
      <c r="W333" s="97">
        <f t="shared" si="68"/>
        <v>75421.750116778669</v>
      </c>
      <c r="X333" s="97">
        <f t="shared" si="69"/>
        <v>78287.776621216268</v>
      </c>
      <c r="Y333" s="97">
        <f t="shared" si="73"/>
        <v>79548.209824817852</v>
      </c>
      <c r="Z333" s="97">
        <f t="shared" si="70"/>
        <v>84018.819216972624</v>
      </c>
      <c r="AA333" s="97">
        <f t="shared" si="71"/>
        <v>95042.088298239425</v>
      </c>
    </row>
    <row r="334" spans="1:27" x14ac:dyDescent="0.25">
      <c r="A334" s="102" t="s">
        <v>931</v>
      </c>
      <c r="B334" s="87" t="s">
        <v>932</v>
      </c>
      <c r="C334" s="88" t="s">
        <v>226</v>
      </c>
      <c r="D334" s="89" t="s">
        <v>4</v>
      </c>
      <c r="E334" s="90">
        <f t="shared" si="74"/>
        <v>28275</v>
      </c>
      <c r="F334" s="90">
        <f t="shared" si="72"/>
        <v>23760.522074559856</v>
      </c>
      <c r="G334" s="91">
        <v>0.19</v>
      </c>
      <c r="H334" s="91" t="s">
        <v>228</v>
      </c>
      <c r="I334" s="91"/>
      <c r="J334" s="91"/>
      <c r="K334" s="91" t="s">
        <v>228</v>
      </c>
      <c r="L334" s="92" t="s">
        <v>868</v>
      </c>
      <c r="M334" s="91" t="str">
        <f t="shared" si="63"/>
        <v>VER ARCHIVO ANEXO</v>
      </c>
      <c r="N334" s="93">
        <v>41608</v>
      </c>
      <c r="O334" s="94"/>
      <c r="P334" s="94"/>
      <c r="Q334" s="94">
        <v>321</v>
      </c>
      <c r="R334" s="95">
        <f t="shared" si="64"/>
        <v>23760.522074559856</v>
      </c>
      <c r="S334" s="94">
        <v>15549</v>
      </c>
      <c r="T334" s="94">
        <f t="shared" si="65"/>
        <v>16601.667300000001</v>
      </c>
      <c r="U334" s="94">
        <f t="shared" si="66"/>
        <v>17556.263169750004</v>
      </c>
      <c r="V334" s="94">
        <f t="shared" si="67"/>
        <v>18274.314333392776</v>
      </c>
      <c r="W334" s="97">
        <f t="shared" si="68"/>
        <v>18855.437529194667</v>
      </c>
      <c r="X334" s="97">
        <f t="shared" si="69"/>
        <v>19571.944155304067</v>
      </c>
      <c r="Y334" s="97">
        <f t="shared" si="73"/>
        <v>19887.052456204463</v>
      </c>
      <c r="Z334" s="97">
        <f t="shared" si="70"/>
        <v>21004.704804243156</v>
      </c>
      <c r="AA334" s="97">
        <f t="shared" si="71"/>
        <v>23760.522074559856</v>
      </c>
    </row>
    <row r="335" spans="1:27" x14ac:dyDescent="0.25">
      <c r="A335" s="102" t="s">
        <v>933</v>
      </c>
      <c r="B335" s="87" t="s">
        <v>934</v>
      </c>
      <c r="C335" s="88" t="s">
        <v>226</v>
      </c>
      <c r="D335" s="89" t="s">
        <v>262</v>
      </c>
      <c r="E335" s="90">
        <f t="shared" si="74"/>
        <v>5655</v>
      </c>
      <c r="F335" s="90">
        <f t="shared" si="72"/>
        <v>4752.1044149119698</v>
      </c>
      <c r="G335" s="91">
        <v>0.19</v>
      </c>
      <c r="H335" s="91" t="s">
        <v>228</v>
      </c>
      <c r="I335" s="91"/>
      <c r="J335" s="91"/>
      <c r="K335" s="91" t="s">
        <v>228</v>
      </c>
      <c r="L335" s="92" t="s">
        <v>868</v>
      </c>
      <c r="M335" s="91" t="str">
        <f t="shared" si="63"/>
        <v>VER ARCHIVO ANEXO</v>
      </c>
      <c r="N335" s="93">
        <v>41608</v>
      </c>
      <c r="O335" s="94"/>
      <c r="P335" s="94"/>
      <c r="Q335" s="94">
        <v>322</v>
      </c>
      <c r="R335" s="95">
        <f t="shared" si="64"/>
        <v>4752.1044149119698</v>
      </c>
      <c r="S335" s="94">
        <v>3109.7999999999997</v>
      </c>
      <c r="T335" s="94">
        <f t="shared" si="65"/>
        <v>3320.3334599999998</v>
      </c>
      <c r="U335" s="94">
        <f t="shared" si="66"/>
        <v>3511.25263395</v>
      </c>
      <c r="V335" s="94">
        <f t="shared" si="67"/>
        <v>3654.8628666785548</v>
      </c>
      <c r="W335" s="97">
        <f t="shared" si="68"/>
        <v>3771.0875058389329</v>
      </c>
      <c r="X335" s="97">
        <f t="shared" si="69"/>
        <v>3914.3888310608127</v>
      </c>
      <c r="Y335" s="97">
        <f t="shared" si="73"/>
        <v>3977.4104912408916</v>
      </c>
      <c r="Z335" s="97">
        <f t="shared" si="70"/>
        <v>4200.9409608486294</v>
      </c>
      <c r="AA335" s="97">
        <f t="shared" si="71"/>
        <v>4752.1044149119698</v>
      </c>
    </row>
    <row r="336" spans="1:27" x14ac:dyDescent="0.25">
      <c r="A336" s="102" t="s">
        <v>935</v>
      </c>
      <c r="B336" s="63" t="s">
        <v>936</v>
      </c>
      <c r="C336" s="88" t="s">
        <v>226</v>
      </c>
      <c r="D336" s="89" t="s">
        <v>4</v>
      </c>
      <c r="E336" s="90">
        <f t="shared" si="74"/>
        <v>28275</v>
      </c>
      <c r="F336" s="90">
        <f t="shared" si="72"/>
        <v>23760.522074559856</v>
      </c>
      <c r="G336" s="91">
        <v>0.19</v>
      </c>
      <c r="H336" s="91" t="s">
        <v>228</v>
      </c>
      <c r="I336" s="91"/>
      <c r="J336" s="91"/>
      <c r="K336" s="91" t="s">
        <v>228</v>
      </c>
      <c r="L336" s="92" t="s">
        <v>302</v>
      </c>
      <c r="M336" s="91" t="str">
        <f t="shared" si="63"/>
        <v>no aplica</v>
      </c>
      <c r="N336" s="93">
        <v>41608</v>
      </c>
      <c r="O336" s="94"/>
      <c r="P336" s="94"/>
      <c r="Q336" s="94">
        <v>323</v>
      </c>
      <c r="R336" s="95">
        <f t="shared" si="64"/>
        <v>23760.522074559856</v>
      </c>
      <c r="S336" s="94">
        <v>15549</v>
      </c>
      <c r="T336" s="94">
        <f t="shared" si="65"/>
        <v>16601.667300000001</v>
      </c>
      <c r="U336" s="94">
        <f t="shared" si="66"/>
        <v>17556.263169750004</v>
      </c>
      <c r="V336" s="94">
        <f t="shared" si="67"/>
        <v>18274.314333392776</v>
      </c>
      <c r="W336" s="97">
        <f t="shared" si="68"/>
        <v>18855.437529194667</v>
      </c>
      <c r="X336" s="97">
        <f t="shared" si="69"/>
        <v>19571.944155304067</v>
      </c>
      <c r="Y336" s="97">
        <f t="shared" si="73"/>
        <v>19887.052456204463</v>
      </c>
      <c r="Z336" s="97">
        <f t="shared" si="70"/>
        <v>21004.704804243156</v>
      </c>
      <c r="AA336" s="97">
        <f t="shared" si="71"/>
        <v>23760.522074559856</v>
      </c>
    </row>
    <row r="337" spans="1:27" x14ac:dyDescent="0.25">
      <c r="A337" s="102" t="s">
        <v>937</v>
      </c>
      <c r="B337" s="117" t="s">
        <v>938</v>
      </c>
      <c r="C337" s="99" t="s">
        <v>226</v>
      </c>
      <c r="D337" s="100" t="s">
        <v>4</v>
      </c>
      <c r="E337" s="101">
        <f t="shared" si="74"/>
        <v>39585</v>
      </c>
      <c r="F337" s="90">
        <f t="shared" si="72"/>
        <v>33264.730904383796</v>
      </c>
      <c r="G337" s="91">
        <v>0.19</v>
      </c>
      <c r="H337" s="91" t="s">
        <v>228</v>
      </c>
      <c r="I337" s="91"/>
      <c r="J337" s="91"/>
      <c r="K337" s="91" t="s">
        <v>228</v>
      </c>
      <c r="L337" s="92" t="s">
        <v>302</v>
      </c>
      <c r="M337" s="91" t="str">
        <f t="shared" si="63"/>
        <v>no aplica</v>
      </c>
      <c r="N337" s="93">
        <v>41608</v>
      </c>
      <c r="O337" s="94"/>
      <c r="P337" s="94"/>
      <c r="Q337" s="94">
        <v>324</v>
      </c>
      <c r="R337" s="95">
        <f t="shared" si="64"/>
        <v>33264.730904383796</v>
      </c>
      <c r="S337" s="94">
        <v>21768.6</v>
      </c>
      <c r="T337" s="94">
        <f t="shared" si="65"/>
        <v>23242.334220000001</v>
      </c>
      <c r="U337" s="94">
        <f t="shared" si="66"/>
        <v>24578.768437650004</v>
      </c>
      <c r="V337" s="94">
        <f t="shared" si="67"/>
        <v>25584.040066749887</v>
      </c>
      <c r="W337" s="97">
        <f t="shared" si="68"/>
        <v>26397.612540872535</v>
      </c>
      <c r="X337" s="97">
        <f t="shared" si="69"/>
        <v>27400.721817425692</v>
      </c>
      <c r="Y337" s="97">
        <f t="shared" si="73"/>
        <v>27841.873438686245</v>
      </c>
      <c r="Z337" s="97">
        <f t="shared" si="70"/>
        <v>29406.586725940411</v>
      </c>
      <c r="AA337" s="97">
        <f t="shared" si="71"/>
        <v>33264.730904383796</v>
      </c>
    </row>
    <row r="338" spans="1:27" x14ac:dyDescent="0.25">
      <c r="A338" s="102" t="s">
        <v>939</v>
      </c>
      <c r="B338" s="63" t="s">
        <v>940</v>
      </c>
      <c r="C338" s="88" t="s">
        <v>226</v>
      </c>
      <c r="D338" s="89" t="s">
        <v>4</v>
      </c>
      <c r="E338" s="90">
        <f t="shared" si="74"/>
        <v>62205</v>
      </c>
      <c r="F338" s="90">
        <f t="shared" si="72"/>
        <v>52273.14856403166</v>
      </c>
      <c r="G338" s="91">
        <v>0.19</v>
      </c>
      <c r="H338" s="91" t="s">
        <v>228</v>
      </c>
      <c r="I338" s="91"/>
      <c r="J338" s="91"/>
      <c r="K338" s="91" t="s">
        <v>228</v>
      </c>
      <c r="L338" s="92" t="s">
        <v>302</v>
      </c>
      <c r="M338" s="91" t="str">
        <f t="shared" si="63"/>
        <v>no aplica</v>
      </c>
      <c r="N338" s="93">
        <v>41608</v>
      </c>
      <c r="O338" s="94"/>
      <c r="P338" s="94"/>
      <c r="Q338" s="94">
        <v>325</v>
      </c>
      <c r="R338" s="95">
        <f t="shared" si="64"/>
        <v>52273.14856403166</v>
      </c>
      <c r="S338" s="94">
        <v>34207.799999999996</v>
      </c>
      <c r="T338" s="94">
        <f t="shared" si="65"/>
        <v>36523.668059999996</v>
      </c>
      <c r="U338" s="94">
        <f t="shared" si="66"/>
        <v>38623.778973449997</v>
      </c>
      <c r="V338" s="94">
        <f t="shared" si="67"/>
        <v>40203.491533464097</v>
      </c>
      <c r="W338" s="97">
        <f t="shared" si="68"/>
        <v>41481.962564228255</v>
      </c>
      <c r="X338" s="97">
        <f t="shared" si="69"/>
        <v>43058.277141668928</v>
      </c>
      <c r="Y338" s="97">
        <f t="shared" si="73"/>
        <v>43751.515403649799</v>
      </c>
      <c r="Z338" s="97">
        <f t="shared" si="70"/>
        <v>46210.350569334922</v>
      </c>
      <c r="AA338" s="97">
        <f t="shared" si="71"/>
        <v>52273.14856403166</v>
      </c>
    </row>
    <row r="339" spans="1:27" x14ac:dyDescent="0.25">
      <c r="A339" s="105" t="s">
        <v>941</v>
      </c>
      <c r="B339" s="106" t="s">
        <v>942</v>
      </c>
      <c r="C339" s="107"/>
      <c r="D339" s="108"/>
      <c r="E339" s="90">
        <f t="shared" si="74"/>
        <v>0</v>
      </c>
      <c r="F339" s="90">
        <f t="shared" si="72"/>
        <v>0</v>
      </c>
      <c r="G339" s="81"/>
      <c r="H339" s="81"/>
      <c r="I339" s="81"/>
      <c r="J339" s="81"/>
      <c r="K339" s="81"/>
      <c r="L339" s="92"/>
      <c r="M339" s="91"/>
      <c r="N339" s="93">
        <v>41608</v>
      </c>
      <c r="O339" s="109"/>
      <c r="P339" s="109"/>
      <c r="Q339" s="109">
        <v>0</v>
      </c>
      <c r="R339" s="95">
        <f t="shared" si="64"/>
        <v>0</v>
      </c>
      <c r="S339" s="109">
        <v>0</v>
      </c>
      <c r="T339" s="94">
        <f t="shared" si="65"/>
        <v>0</v>
      </c>
      <c r="U339" s="94">
        <f t="shared" si="66"/>
        <v>0</v>
      </c>
      <c r="V339" s="94">
        <f t="shared" si="67"/>
        <v>0</v>
      </c>
      <c r="W339" s="97">
        <f t="shared" si="68"/>
        <v>0</v>
      </c>
      <c r="X339" s="97">
        <f t="shared" si="69"/>
        <v>0</v>
      </c>
      <c r="Y339" s="97">
        <f t="shared" si="73"/>
        <v>0</v>
      </c>
      <c r="Z339" s="97">
        <f t="shared" si="70"/>
        <v>0</v>
      </c>
      <c r="AA339" s="97">
        <f t="shared" si="71"/>
        <v>0</v>
      </c>
    </row>
    <row r="340" spans="1:27" x14ac:dyDescent="0.25">
      <c r="A340" s="102" t="s">
        <v>943</v>
      </c>
      <c r="B340" s="98" t="s">
        <v>944</v>
      </c>
      <c r="C340" s="99" t="s">
        <v>226</v>
      </c>
      <c r="D340" s="100" t="s">
        <v>296</v>
      </c>
      <c r="E340" s="101">
        <f t="shared" si="74"/>
        <v>16281</v>
      </c>
      <c r="F340" s="90">
        <f t="shared" si="72"/>
        <v>13681.308610531569</v>
      </c>
      <c r="G340" s="91">
        <v>0.19</v>
      </c>
      <c r="H340" s="91" t="s">
        <v>228</v>
      </c>
      <c r="I340" s="91"/>
      <c r="J340" s="91"/>
      <c r="K340" s="91" t="s">
        <v>228</v>
      </c>
      <c r="L340" s="92" t="s">
        <v>945</v>
      </c>
      <c r="M340" s="91" t="str">
        <f t="shared" ref="M340:M360" si="75">+IF(L340="no aplica","no aplica","VER ARCHIVO ANEXO")</f>
        <v>VER ARCHIVO ANEXO</v>
      </c>
      <c r="N340" s="93">
        <v>41608</v>
      </c>
      <c r="O340" s="94"/>
      <c r="P340" s="94"/>
      <c r="Q340" s="94">
        <v>326</v>
      </c>
      <c r="R340" s="95">
        <f t="shared" si="64"/>
        <v>13681.308610531569</v>
      </c>
      <c r="S340" s="94">
        <v>8953.1142</v>
      </c>
      <c r="T340" s="94">
        <f t="shared" si="65"/>
        <v>9559.2400313400012</v>
      </c>
      <c r="U340" s="94">
        <f t="shared" si="66"/>
        <v>10108.896333142053</v>
      </c>
      <c r="V340" s="94">
        <f t="shared" si="67"/>
        <v>10522.350193167562</v>
      </c>
      <c r="W340" s="97">
        <f t="shared" si="68"/>
        <v>10856.960929310291</v>
      </c>
      <c r="X340" s="97">
        <f t="shared" si="69"/>
        <v>11269.525444624083</v>
      </c>
      <c r="Y340" s="97">
        <f t="shared" si="73"/>
        <v>11450.964804282532</v>
      </c>
      <c r="Z340" s="97">
        <f t="shared" si="70"/>
        <v>12094.509026283211</v>
      </c>
      <c r="AA340" s="97">
        <f t="shared" si="71"/>
        <v>13681.308610531569</v>
      </c>
    </row>
    <row r="341" spans="1:27" x14ac:dyDescent="0.25">
      <c r="A341" s="102" t="s">
        <v>946</v>
      </c>
      <c r="B341" s="118" t="s">
        <v>947</v>
      </c>
      <c r="C341" s="99" t="s">
        <v>226</v>
      </c>
      <c r="D341" s="100" t="s">
        <v>296</v>
      </c>
      <c r="E341" s="101">
        <f t="shared" si="74"/>
        <v>13710</v>
      </c>
      <c r="F341" s="90">
        <f t="shared" si="72"/>
        <v>11520.685136551589</v>
      </c>
      <c r="G341" s="91">
        <v>0.19</v>
      </c>
      <c r="H341" s="91" t="s">
        <v>228</v>
      </c>
      <c r="I341" s="91"/>
      <c r="J341" s="91"/>
      <c r="K341" s="91" t="s">
        <v>228</v>
      </c>
      <c r="L341" s="92" t="s">
        <v>945</v>
      </c>
      <c r="M341" s="91" t="str">
        <f t="shared" si="75"/>
        <v>VER ARCHIVO ANEXO</v>
      </c>
      <c r="N341" s="93">
        <v>41608</v>
      </c>
      <c r="O341" s="94"/>
      <c r="P341" s="94"/>
      <c r="Q341" s="94">
        <v>327</v>
      </c>
      <c r="R341" s="95">
        <f t="shared" si="64"/>
        <v>11520.685136551589</v>
      </c>
      <c r="S341" s="94">
        <v>7539.1917999999996</v>
      </c>
      <c r="T341" s="94">
        <f t="shared" si="65"/>
        <v>8049.5950848600005</v>
      </c>
      <c r="U341" s="94">
        <f t="shared" si="66"/>
        <v>8512.4468022394522</v>
      </c>
      <c r="V341" s="94">
        <f t="shared" si="67"/>
        <v>8860.6058764510453</v>
      </c>
      <c r="W341" s="97">
        <f t="shared" si="68"/>
        <v>9142.3731433221892</v>
      </c>
      <c r="X341" s="97">
        <f t="shared" si="69"/>
        <v>9489.7833227684332</v>
      </c>
      <c r="Y341" s="97">
        <f t="shared" si="73"/>
        <v>9642.5688342650046</v>
      </c>
      <c r="Z341" s="97">
        <f t="shared" si="70"/>
        <v>10184.481202750698</v>
      </c>
      <c r="AA341" s="97">
        <f t="shared" si="71"/>
        <v>11520.685136551589</v>
      </c>
    </row>
    <row r="342" spans="1:27" x14ac:dyDescent="0.25">
      <c r="A342" s="102" t="s">
        <v>948</v>
      </c>
      <c r="B342" s="119" t="s">
        <v>949</v>
      </c>
      <c r="C342" s="88" t="s">
        <v>226</v>
      </c>
      <c r="D342" s="89" t="s">
        <v>4</v>
      </c>
      <c r="E342" s="90">
        <f t="shared" si="74"/>
        <v>10283</v>
      </c>
      <c r="F342" s="90">
        <f t="shared" si="72"/>
        <v>8640.9098611149348</v>
      </c>
      <c r="G342" s="91">
        <v>0.19</v>
      </c>
      <c r="H342" s="91" t="s">
        <v>228</v>
      </c>
      <c r="I342" s="91"/>
      <c r="J342" s="91"/>
      <c r="K342" s="91" t="s">
        <v>228</v>
      </c>
      <c r="L342" s="92" t="s">
        <v>945</v>
      </c>
      <c r="M342" s="91" t="str">
        <f t="shared" si="75"/>
        <v>VER ARCHIVO ANEXO</v>
      </c>
      <c r="N342" s="93">
        <v>41608</v>
      </c>
      <c r="O342" s="94"/>
      <c r="P342" s="94"/>
      <c r="Q342" s="94">
        <v>328</v>
      </c>
      <c r="R342" s="95">
        <f t="shared" si="64"/>
        <v>8640.9098611149348</v>
      </c>
      <c r="S342" s="94">
        <v>5654.6530000000002</v>
      </c>
      <c r="T342" s="94">
        <f t="shared" si="65"/>
        <v>6037.4730081000007</v>
      </c>
      <c r="U342" s="94">
        <f t="shared" si="66"/>
        <v>6384.6277060657512</v>
      </c>
      <c r="V342" s="94">
        <f t="shared" si="67"/>
        <v>6645.7589792438403</v>
      </c>
      <c r="W342" s="97">
        <f t="shared" si="68"/>
        <v>6857.0941147837948</v>
      </c>
      <c r="X342" s="97">
        <f t="shared" si="69"/>
        <v>7117.6636911455789</v>
      </c>
      <c r="Y342" s="97">
        <f t="shared" si="73"/>
        <v>7232.2580765730227</v>
      </c>
      <c r="Z342" s="97">
        <f t="shared" si="70"/>
        <v>7638.7109804764268</v>
      </c>
      <c r="AA342" s="97">
        <f t="shared" si="71"/>
        <v>8640.9098611149348</v>
      </c>
    </row>
    <row r="343" spans="1:27" x14ac:dyDescent="0.25">
      <c r="A343" s="102" t="s">
        <v>950</v>
      </c>
      <c r="B343" s="119" t="s">
        <v>951</v>
      </c>
      <c r="C343" s="88" t="s">
        <v>226</v>
      </c>
      <c r="D343" s="89" t="s">
        <v>4</v>
      </c>
      <c r="E343" s="90">
        <f t="shared" si="74"/>
        <v>12852</v>
      </c>
      <c r="F343" s="90">
        <f t="shared" si="72"/>
        <v>10799.949300289938</v>
      </c>
      <c r="G343" s="91">
        <v>0.19</v>
      </c>
      <c r="H343" s="91" t="s">
        <v>228</v>
      </c>
      <c r="I343" s="91"/>
      <c r="J343" s="91"/>
      <c r="K343" s="91" t="s">
        <v>228</v>
      </c>
      <c r="L343" s="92" t="s">
        <v>945</v>
      </c>
      <c r="M343" s="91" t="str">
        <f t="shared" si="75"/>
        <v>VER ARCHIVO ANEXO</v>
      </c>
      <c r="N343" s="93">
        <v>41608</v>
      </c>
      <c r="O343" s="94"/>
      <c r="P343" s="94"/>
      <c r="Q343" s="94">
        <v>329</v>
      </c>
      <c r="R343" s="95">
        <f t="shared" si="64"/>
        <v>10799.949300289938</v>
      </c>
      <c r="S343" s="94">
        <v>7067.5387999999994</v>
      </c>
      <c r="T343" s="94">
        <f t="shared" si="65"/>
        <v>7546.0111767600001</v>
      </c>
      <c r="U343" s="94">
        <f t="shared" si="66"/>
        <v>7979.9068194237007</v>
      </c>
      <c r="V343" s="94">
        <f t="shared" si="67"/>
        <v>8306.285008338129</v>
      </c>
      <c r="W343" s="97">
        <f t="shared" si="68"/>
        <v>8570.4248716032816</v>
      </c>
      <c r="X343" s="97">
        <f t="shared" si="69"/>
        <v>8896.1010167242075</v>
      </c>
      <c r="Y343" s="97">
        <f t="shared" si="73"/>
        <v>9039.3282430934669</v>
      </c>
      <c r="Z343" s="97">
        <f t="shared" si="70"/>
        <v>9547.3384903553197</v>
      </c>
      <c r="AA343" s="97">
        <f t="shared" si="71"/>
        <v>10799.949300289938</v>
      </c>
    </row>
    <row r="344" spans="1:27" x14ac:dyDescent="0.25">
      <c r="A344" s="102" t="s">
        <v>952</v>
      </c>
      <c r="B344" s="98" t="s">
        <v>953</v>
      </c>
      <c r="C344" s="99" t="s">
        <v>226</v>
      </c>
      <c r="D344" s="100" t="s">
        <v>954</v>
      </c>
      <c r="E344" s="101">
        <f t="shared" si="74"/>
        <v>58269</v>
      </c>
      <c r="F344" s="90">
        <f t="shared" si="72"/>
        <v>48965.683891252949</v>
      </c>
      <c r="G344" s="91">
        <v>0.19</v>
      </c>
      <c r="H344" s="91" t="s">
        <v>228</v>
      </c>
      <c r="I344" s="91"/>
      <c r="J344" s="91"/>
      <c r="K344" s="91" t="s">
        <v>228</v>
      </c>
      <c r="L344" s="92" t="s">
        <v>945</v>
      </c>
      <c r="M344" s="91" t="str">
        <f t="shared" si="75"/>
        <v>VER ARCHIVO ANEXO</v>
      </c>
      <c r="N344" s="93">
        <v>41608</v>
      </c>
      <c r="O344" s="94"/>
      <c r="P344" s="94"/>
      <c r="Q344" s="94">
        <v>330</v>
      </c>
      <c r="R344" s="95">
        <f t="shared" si="64"/>
        <v>48965.683891252949</v>
      </c>
      <c r="S344" s="94">
        <v>32043.379199999999</v>
      </c>
      <c r="T344" s="94">
        <f t="shared" si="65"/>
        <v>34212.71597184</v>
      </c>
      <c r="U344" s="94">
        <f t="shared" si="66"/>
        <v>36179.9471402208</v>
      </c>
      <c r="V344" s="94">
        <f t="shared" si="67"/>
        <v>37659.706978255832</v>
      </c>
      <c r="W344" s="97">
        <f t="shared" si="68"/>
        <v>38857.285660164373</v>
      </c>
      <c r="X344" s="97">
        <f t="shared" si="69"/>
        <v>40333.862515250621</v>
      </c>
      <c r="Y344" s="97">
        <f t="shared" si="73"/>
        <v>40983.237701746155</v>
      </c>
      <c r="Z344" s="97">
        <f t="shared" si="70"/>
        <v>43286.495660584289</v>
      </c>
      <c r="AA344" s="97">
        <f t="shared" si="71"/>
        <v>48965.683891252949</v>
      </c>
    </row>
    <row r="345" spans="1:27" x14ac:dyDescent="0.25">
      <c r="A345" s="102" t="s">
        <v>955</v>
      </c>
      <c r="B345" s="98" t="s">
        <v>956</v>
      </c>
      <c r="C345" s="99" t="s">
        <v>226</v>
      </c>
      <c r="D345" s="100" t="s">
        <v>262</v>
      </c>
      <c r="E345" s="101">
        <f t="shared" si="74"/>
        <v>9597</v>
      </c>
      <c r="F345" s="90">
        <f t="shared" si="72"/>
        <v>8064.3211921056163</v>
      </c>
      <c r="G345" s="91">
        <v>0.19</v>
      </c>
      <c r="H345" s="91" t="s">
        <v>228</v>
      </c>
      <c r="I345" s="91"/>
      <c r="J345" s="91"/>
      <c r="K345" s="91" t="s">
        <v>228</v>
      </c>
      <c r="L345" s="92" t="s">
        <v>945</v>
      </c>
      <c r="M345" s="91" t="str">
        <f t="shared" si="75"/>
        <v>VER ARCHIVO ANEXO</v>
      </c>
      <c r="N345" s="93">
        <v>41608</v>
      </c>
      <c r="O345" s="94"/>
      <c r="P345" s="94"/>
      <c r="Q345" s="94">
        <v>331</v>
      </c>
      <c r="R345" s="95">
        <f t="shared" si="64"/>
        <v>8064.3211921056163</v>
      </c>
      <c r="S345" s="94">
        <v>5277.3306000000002</v>
      </c>
      <c r="T345" s="94">
        <f t="shared" si="65"/>
        <v>5634.6058816200011</v>
      </c>
      <c r="U345" s="94">
        <f t="shared" si="66"/>
        <v>5958.5957198131518</v>
      </c>
      <c r="V345" s="94">
        <f t="shared" si="67"/>
        <v>6202.3022847535094</v>
      </c>
      <c r="W345" s="97">
        <f t="shared" si="68"/>
        <v>6399.5354974086713</v>
      </c>
      <c r="X345" s="97">
        <f t="shared" si="69"/>
        <v>6642.7178463102009</v>
      </c>
      <c r="Y345" s="97">
        <f t="shared" si="73"/>
        <v>6749.6656036357954</v>
      </c>
      <c r="Z345" s="97">
        <f t="shared" si="70"/>
        <v>7128.9968105601274</v>
      </c>
      <c r="AA345" s="97">
        <f t="shared" si="71"/>
        <v>8064.3211921056163</v>
      </c>
    </row>
    <row r="346" spans="1:27" x14ac:dyDescent="0.25">
      <c r="A346" s="102" t="s">
        <v>957</v>
      </c>
      <c r="B346" s="87" t="s">
        <v>958</v>
      </c>
      <c r="C346" s="88" t="s">
        <v>226</v>
      </c>
      <c r="D346" s="89" t="s">
        <v>262</v>
      </c>
      <c r="E346" s="90">
        <f t="shared" si="74"/>
        <v>13023</v>
      </c>
      <c r="F346" s="90">
        <f t="shared" si="72"/>
        <v>10944.096467542271</v>
      </c>
      <c r="G346" s="91">
        <v>0.19</v>
      </c>
      <c r="H346" s="91" t="s">
        <v>228</v>
      </c>
      <c r="I346" s="91"/>
      <c r="J346" s="91"/>
      <c r="K346" s="91" t="s">
        <v>228</v>
      </c>
      <c r="L346" s="92" t="s">
        <v>945</v>
      </c>
      <c r="M346" s="91" t="str">
        <f t="shared" si="75"/>
        <v>VER ARCHIVO ANEXO</v>
      </c>
      <c r="N346" s="93">
        <v>41608</v>
      </c>
      <c r="O346" s="94"/>
      <c r="P346" s="94"/>
      <c r="Q346" s="94">
        <v>332</v>
      </c>
      <c r="R346" s="95">
        <f t="shared" si="64"/>
        <v>10944.096467542271</v>
      </c>
      <c r="S346" s="94">
        <v>7161.8693999999996</v>
      </c>
      <c r="T346" s="94">
        <f t="shared" si="65"/>
        <v>7646.72795838</v>
      </c>
      <c r="U346" s="94">
        <f t="shared" si="66"/>
        <v>8086.414815986851</v>
      </c>
      <c r="V346" s="94">
        <f t="shared" si="67"/>
        <v>8417.1491819607127</v>
      </c>
      <c r="W346" s="97">
        <f t="shared" si="68"/>
        <v>8684.8145259470639</v>
      </c>
      <c r="X346" s="97">
        <f t="shared" si="69"/>
        <v>9014.8374779330534</v>
      </c>
      <c r="Y346" s="97">
        <f t="shared" si="73"/>
        <v>9159.9763613277755</v>
      </c>
      <c r="Z346" s="97">
        <f t="shared" si="70"/>
        <v>9674.7670328343975</v>
      </c>
      <c r="AA346" s="97">
        <f t="shared" si="71"/>
        <v>10944.096467542271</v>
      </c>
    </row>
    <row r="347" spans="1:27" x14ac:dyDescent="0.25">
      <c r="A347" s="102" t="s">
        <v>959</v>
      </c>
      <c r="B347" s="87" t="s">
        <v>960</v>
      </c>
      <c r="C347" s="88" t="s">
        <v>226</v>
      </c>
      <c r="D347" s="89" t="s">
        <v>262</v>
      </c>
      <c r="E347" s="90">
        <f t="shared" si="74"/>
        <v>18507</v>
      </c>
      <c r="F347" s="90">
        <f t="shared" si="72"/>
        <v>15552.053715201911</v>
      </c>
      <c r="G347" s="91">
        <v>0.19</v>
      </c>
      <c r="H347" s="91" t="s">
        <v>228</v>
      </c>
      <c r="I347" s="91"/>
      <c r="J347" s="91"/>
      <c r="K347" s="91" t="s">
        <v>228</v>
      </c>
      <c r="L347" s="92" t="s">
        <v>945</v>
      </c>
      <c r="M347" s="91" t="str">
        <f t="shared" si="75"/>
        <v>VER ARCHIVO ANEXO</v>
      </c>
      <c r="N347" s="93">
        <v>41608</v>
      </c>
      <c r="O347" s="94"/>
      <c r="P347" s="94"/>
      <c r="Q347" s="94">
        <v>333</v>
      </c>
      <c r="R347" s="95">
        <f t="shared" si="64"/>
        <v>15552.053715201911</v>
      </c>
      <c r="S347" s="94">
        <v>10177.3388</v>
      </c>
      <c r="T347" s="94">
        <f t="shared" si="65"/>
        <v>10866.344636760001</v>
      </c>
      <c r="U347" s="94">
        <f t="shared" si="66"/>
        <v>11491.159453373702</v>
      </c>
      <c r="V347" s="94">
        <f t="shared" si="67"/>
        <v>11961.147875016686</v>
      </c>
      <c r="W347" s="97">
        <f t="shared" si="68"/>
        <v>12341.512377442217</v>
      </c>
      <c r="X347" s="97">
        <f t="shared" si="69"/>
        <v>12810.489847785022</v>
      </c>
      <c r="Y347" s="97">
        <f t="shared" si="73"/>
        <v>13016.738734334362</v>
      </c>
      <c r="Z347" s="97">
        <f t="shared" si="70"/>
        <v>13748.279451203953</v>
      </c>
      <c r="AA347" s="97">
        <f t="shared" si="71"/>
        <v>15552.053715201911</v>
      </c>
    </row>
    <row r="348" spans="1:27" x14ac:dyDescent="0.25">
      <c r="A348" s="102" t="s">
        <v>961</v>
      </c>
      <c r="B348" s="87" t="s">
        <v>962</v>
      </c>
      <c r="C348" s="88" t="s">
        <v>226</v>
      </c>
      <c r="D348" s="89" t="s">
        <v>262</v>
      </c>
      <c r="E348" s="90">
        <f t="shared" si="74"/>
        <v>6168</v>
      </c>
      <c r="F348" s="90">
        <f t="shared" si="72"/>
        <v>5182.961881863991</v>
      </c>
      <c r="G348" s="91">
        <v>0.19</v>
      </c>
      <c r="H348" s="91" t="s">
        <v>228</v>
      </c>
      <c r="I348" s="91"/>
      <c r="J348" s="91"/>
      <c r="K348" s="91" t="s">
        <v>228</v>
      </c>
      <c r="L348" s="92" t="s">
        <v>945</v>
      </c>
      <c r="M348" s="91" t="str">
        <f t="shared" si="75"/>
        <v>VER ARCHIVO ANEXO</v>
      </c>
      <c r="N348" s="93">
        <v>41608</v>
      </c>
      <c r="O348" s="94"/>
      <c r="P348" s="94"/>
      <c r="Q348" s="94">
        <v>334</v>
      </c>
      <c r="R348" s="95">
        <f t="shared" si="64"/>
        <v>5182.961881863991</v>
      </c>
      <c r="S348" s="94">
        <v>3391.7552000000001</v>
      </c>
      <c r="T348" s="94">
        <f t="shared" si="65"/>
        <v>3621.3770270400005</v>
      </c>
      <c r="U348" s="94">
        <f t="shared" si="66"/>
        <v>3829.6062060948011</v>
      </c>
      <c r="V348" s="94">
        <f t="shared" si="67"/>
        <v>3986.2370999240784</v>
      </c>
      <c r="W348" s="97">
        <f t="shared" si="68"/>
        <v>4112.9994397016644</v>
      </c>
      <c r="X348" s="97">
        <f t="shared" si="69"/>
        <v>4269.2934184103278</v>
      </c>
      <c r="Y348" s="97">
        <f t="shared" si="73"/>
        <v>4338.0290424467339</v>
      </c>
      <c r="Z348" s="97">
        <f t="shared" si="70"/>
        <v>4581.8262746322407</v>
      </c>
      <c r="AA348" s="97">
        <f t="shared" si="71"/>
        <v>5182.961881863991</v>
      </c>
    </row>
    <row r="349" spans="1:27" x14ac:dyDescent="0.25">
      <c r="A349" s="102" t="s">
        <v>963</v>
      </c>
      <c r="B349" s="87" t="s">
        <v>964</v>
      </c>
      <c r="C349" s="88" t="s">
        <v>226</v>
      </c>
      <c r="D349" s="89" t="s">
        <v>262</v>
      </c>
      <c r="E349" s="90">
        <f t="shared" si="74"/>
        <v>13536</v>
      </c>
      <c r="F349" s="90">
        <f t="shared" si="72"/>
        <v>11374.953934494286</v>
      </c>
      <c r="G349" s="91">
        <v>0.19</v>
      </c>
      <c r="H349" s="91" t="s">
        <v>228</v>
      </c>
      <c r="I349" s="91"/>
      <c r="J349" s="91"/>
      <c r="K349" s="91" t="s">
        <v>228</v>
      </c>
      <c r="L349" s="92" t="s">
        <v>945</v>
      </c>
      <c r="M349" s="91" t="str">
        <f t="shared" si="75"/>
        <v>VER ARCHIVO ANEXO</v>
      </c>
      <c r="N349" s="93">
        <v>41608</v>
      </c>
      <c r="O349" s="94"/>
      <c r="P349" s="94"/>
      <c r="Q349" s="94">
        <v>335</v>
      </c>
      <c r="R349" s="95">
        <f t="shared" si="64"/>
        <v>11374.953934494286</v>
      </c>
      <c r="S349" s="94">
        <v>7443.8245999999999</v>
      </c>
      <c r="T349" s="94">
        <f t="shared" si="65"/>
        <v>7947.7715254200002</v>
      </c>
      <c r="U349" s="94">
        <f t="shared" si="66"/>
        <v>8404.7683881316516</v>
      </c>
      <c r="V349" s="94">
        <f t="shared" si="67"/>
        <v>8748.5234152062349</v>
      </c>
      <c r="W349" s="97">
        <f t="shared" si="68"/>
        <v>9026.7264598097936</v>
      </c>
      <c r="X349" s="97">
        <f t="shared" si="69"/>
        <v>9369.7420652825658</v>
      </c>
      <c r="Y349" s="97">
        <f t="shared" si="73"/>
        <v>9520.5949125336156</v>
      </c>
      <c r="Z349" s="97">
        <f t="shared" si="70"/>
        <v>10055.652346618004</v>
      </c>
      <c r="AA349" s="97">
        <f t="shared" si="71"/>
        <v>11374.953934494286</v>
      </c>
    </row>
    <row r="350" spans="1:27" x14ac:dyDescent="0.25">
      <c r="A350" s="102" t="s">
        <v>965</v>
      </c>
      <c r="B350" s="98" t="s">
        <v>966</v>
      </c>
      <c r="C350" s="99" t="s">
        <v>226</v>
      </c>
      <c r="D350" s="100" t="s">
        <v>262</v>
      </c>
      <c r="E350" s="101">
        <f t="shared" si="74"/>
        <v>10109</v>
      </c>
      <c r="F350" s="90">
        <f t="shared" si="72"/>
        <v>8495.1786590576321</v>
      </c>
      <c r="G350" s="91">
        <v>0.19</v>
      </c>
      <c r="H350" s="91" t="s">
        <v>228</v>
      </c>
      <c r="I350" s="91"/>
      <c r="J350" s="91"/>
      <c r="K350" s="91" t="s">
        <v>228</v>
      </c>
      <c r="L350" s="92" t="s">
        <v>945</v>
      </c>
      <c r="M350" s="91" t="str">
        <f t="shared" si="75"/>
        <v>VER ARCHIVO ANEXO</v>
      </c>
      <c r="N350" s="93">
        <v>41608</v>
      </c>
      <c r="O350" s="94"/>
      <c r="P350" s="94"/>
      <c r="Q350" s="94">
        <v>336</v>
      </c>
      <c r="R350" s="95">
        <f t="shared" si="64"/>
        <v>8495.1786590576321</v>
      </c>
      <c r="S350" s="94">
        <v>5559.2857999999997</v>
      </c>
      <c r="T350" s="94">
        <f t="shared" si="65"/>
        <v>5935.6494486600004</v>
      </c>
      <c r="U350" s="94">
        <f t="shared" si="66"/>
        <v>6276.9492919579507</v>
      </c>
      <c r="V350" s="94">
        <f t="shared" si="67"/>
        <v>6533.6765179990307</v>
      </c>
      <c r="W350" s="97">
        <f t="shared" si="68"/>
        <v>6741.4474312714001</v>
      </c>
      <c r="X350" s="97">
        <f t="shared" si="69"/>
        <v>6997.6224336597134</v>
      </c>
      <c r="Y350" s="97">
        <f t="shared" si="73"/>
        <v>7110.2841548416345</v>
      </c>
      <c r="Z350" s="97">
        <f t="shared" si="70"/>
        <v>7509.8821243437342</v>
      </c>
      <c r="AA350" s="97">
        <f t="shared" si="71"/>
        <v>8495.1786590576321</v>
      </c>
    </row>
    <row r="351" spans="1:27" x14ac:dyDescent="0.25">
      <c r="A351" s="102" t="s">
        <v>967</v>
      </c>
      <c r="B351" s="116" t="s">
        <v>968</v>
      </c>
      <c r="C351" s="88" t="s">
        <v>226</v>
      </c>
      <c r="D351" s="89" t="s">
        <v>4</v>
      </c>
      <c r="E351" s="90">
        <f t="shared" si="74"/>
        <v>32390</v>
      </c>
      <c r="F351" s="90">
        <f t="shared" si="72"/>
        <v>27218.470053810801</v>
      </c>
      <c r="G351" s="91">
        <v>0.19</v>
      </c>
      <c r="H351" s="91" t="s">
        <v>228</v>
      </c>
      <c r="I351" s="91"/>
      <c r="J351" s="91"/>
      <c r="K351" s="91" t="s">
        <v>228</v>
      </c>
      <c r="L351" s="92" t="s">
        <v>945</v>
      </c>
      <c r="M351" s="91" t="str">
        <f t="shared" si="75"/>
        <v>VER ARCHIVO ANEXO</v>
      </c>
      <c r="N351" s="93">
        <v>41608</v>
      </c>
      <c r="O351" s="94"/>
      <c r="P351" s="94"/>
      <c r="Q351" s="94">
        <v>337</v>
      </c>
      <c r="R351" s="95">
        <f t="shared" si="64"/>
        <v>27218.470053810801</v>
      </c>
      <c r="S351" s="94">
        <v>17811.897799999999</v>
      </c>
      <c r="T351" s="94">
        <f t="shared" si="65"/>
        <v>19017.763281060001</v>
      </c>
      <c r="U351" s="94">
        <f t="shared" si="66"/>
        <v>20111.284669720953</v>
      </c>
      <c r="V351" s="94">
        <f t="shared" si="67"/>
        <v>20933.83621271254</v>
      </c>
      <c r="W351" s="97">
        <f t="shared" si="68"/>
        <v>21599.532204276798</v>
      </c>
      <c r="X351" s="97">
        <f t="shared" si="69"/>
        <v>22420.314428039317</v>
      </c>
      <c r="Y351" s="97">
        <f t="shared" si="73"/>
        <v>22781.281490330752</v>
      </c>
      <c r="Z351" s="97">
        <f t="shared" si="70"/>
        <v>24061.589510087342</v>
      </c>
      <c r="AA351" s="97">
        <f t="shared" si="71"/>
        <v>27218.470053810801</v>
      </c>
    </row>
    <row r="352" spans="1:27" x14ac:dyDescent="0.25">
      <c r="A352" s="102" t="s">
        <v>969</v>
      </c>
      <c r="B352" s="116" t="s">
        <v>970</v>
      </c>
      <c r="C352" s="88" t="s">
        <v>226</v>
      </c>
      <c r="D352" s="89" t="s">
        <v>4</v>
      </c>
      <c r="E352" s="90">
        <f t="shared" si="74"/>
        <v>36503</v>
      </c>
      <c r="F352" s="90">
        <f t="shared" si="72"/>
        <v>30674.833998256774</v>
      </c>
      <c r="G352" s="91">
        <v>0.19</v>
      </c>
      <c r="H352" s="91" t="s">
        <v>228</v>
      </c>
      <c r="I352" s="91"/>
      <c r="J352" s="91"/>
      <c r="K352" s="91" t="s">
        <v>228</v>
      </c>
      <c r="L352" s="92" t="s">
        <v>945</v>
      </c>
      <c r="M352" s="91" t="str">
        <f t="shared" si="75"/>
        <v>VER ARCHIVO ANEXO</v>
      </c>
      <c r="N352" s="93">
        <v>41608</v>
      </c>
      <c r="O352" s="94"/>
      <c r="P352" s="94"/>
      <c r="Q352" s="94">
        <v>338</v>
      </c>
      <c r="R352" s="95">
        <f t="shared" si="64"/>
        <v>30674.833998256774</v>
      </c>
      <c r="S352" s="94">
        <v>20073.758999999998</v>
      </c>
      <c r="T352" s="94">
        <f t="shared" si="65"/>
        <v>21432.752484299999</v>
      </c>
      <c r="U352" s="94">
        <f t="shared" si="66"/>
        <v>22665.135752147253</v>
      </c>
      <c r="V352" s="94">
        <f t="shared" si="67"/>
        <v>23592.139804410075</v>
      </c>
      <c r="W352" s="97">
        <f t="shared" si="68"/>
        <v>24342.369850190316</v>
      </c>
      <c r="X352" s="97">
        <f t="shared" si="69"/>
        <v>25267.379904497549</v>
      </c>
      <c r="Y352" s="97">
        <f t="shared" si="73"/>
        <v>25674.184720959962</v>
      </c>
      <c r="Z352" s="97">
        <f t="shared" si="70"/>
        <v>27117.073902277913</v>
      </c>
      <c r="AA352" s="97">
        <f t="shared" si="71"/>
        <v>30674.833998256774</v>
      </c>
    </row>
    <row r="353" spans="1:27" x14ac:dyDescent="0.25">
      <c r="A353" s="102" t="s">
        <v>971</v>
      </c>
      <c r="B353" s="87" t="s">
        <v>972</v>
      </c>
      <c r="C353" s="88" t="s">
        <v>226</v>
      </c>
      <c r="D353" s="89" t="s">
        <v>4</v>
      </c>
      <c r="E353" s="90">
        <f t="shared" si="74"/>
        <v>41010</v>
      </c>
      <c r="F353" s="90">
        <f t="shared" si="72"/>
        <v>34462.261216941617</v>
      </c>
      <c r="G353" s="91">
        <v>0.19</v>
      </c>
      <c r="H353" s="91" t="s">
        <v>228</v>
      </c>
      <c r="I353" s="91"/>
      <c r="J353" s="91"/>
      <c r="K353" s="91" t="s">
        <v>228</v>
      </c>
      <c r="L353" s="92" t="s">
        <v>945</v>
      </c>
      <c r="M353" s="91" t="str">
        <f t="shared" si="75"/>
        <v>VER ARCHIVO ANEXO</v>
      </c>
      <c r="N353" s="93">
        <v>41608</v>
      </c>
      <c r="O353" s="94"/>
      <c r="P353" s="94"/>
      <c r="Q353" s="94">
        <v>339</v>
      </c>
      <c r="R353" s="95">
        <f t="shared" si="64"/>
        <v>34462.261216941617</v>
      </c>
      <c r="S353" s="94">
        <v>22552.2696</v>
      </c>
      <c r="T353" s="94">
        <f t="shared" si="65"/>
        <v>24079.058251920003</v>
      </c>
      <c r="U353" s="94">
        <f t="shared" si="66"/>
        <v>25463.604101405406</v>
      </c>
      <c r="V353" s="94">
        <f t="shared" si="67"/>
        <v>26505.065509152886</v>
      </c>
      <c r="W353" s="97">
        <f t="shared" si="68"/>
        <v>27347.926592343949</v>
      </c>
      <c r="X353" s="97">
        <f t="shared" si="69"/>
        <v>28387.147802853018</v>
      </c>
      <c r="Y353" s="97">
        <f t="shared" si="73"/>
        <v>28844.180882478951</v>
      </c>
      <c r="Z353" s="97">
        <f t="shared" si="70"/>
        <v>30465.223848074271</v>
      </c>
      <c r="AA353" s="97">
        <f t="shared" si="71"/>
        <v>34462.261216941617</v>
      </c>
    </row>
    <row r="354" spans="1:27" x14ac:dyDescent="0.25">
      <c r="A354" s="102" t="s">
        <v>973</v>
      </c>
      <c r="B354" s="87" t="s">
        <v>974</v>
      </c>
      <c r="C354" s="88" t="s">
        <v>226</v>
      </c>
      <c r="D354" s="89" t="s">
        <v>4</v>
      </c>
      <c r="E354" s="90">
        <f t="shared" si="74"/>
        <v>41131</v>
      </c>
      <c r="F354" s="90">
        <f t="shared" si="72"/>
        <v>34563.639444459739</v>
      </c>
      <c r="G354" s="91">
        <v>0.19</v>
      </c>
      <c r="H354" s="91" t="s">
        <v>228</v>
      </c>
      <c r="I354" s="91"/>
      <c r="J354" s="91"/>
      <c r="K354" s="91" t="s">
        <v>228</v>
      </c>
      <c r="L354" s="92" t="s">
        <v>945</v>
      </c>
      <c r="M354" s="91" t="str">
        <f t="shared" si="75"/>
        <v>VER ARCHIVO ANEXO</v>
      </c>
      <c r="N354" s="93">
        <v>41608</v>
      </c>
      <c r="O354" s="94"/>
      <c r="P354" s="94"/>
      <c r="Q354" s="94">
        <v>340</v>
      </c>
      <c r="R354" s="95">
        <f t="shared" si="64"/>
        <v>34563.639444459739</v>
      </c>
      <c r="S354" s="94">
        <v>22618.612000000001</v>
      </c>
      <c r="T354" s="94">
        <f t="shared" si="65"/>
        <v>24149.892032400003</v>
      </c>
      <c r="U354" s="94">
        <f t="shared" si="66"/>
        <v>25538.510824263005</v>
      </c>
      <c r="V354" s="94">
        <f t="shared" si="67"/>
        <v>26583.035916975361</v>
      </c>
      <c r="W354" s="97">
        <f t="shared" si="68"/>
        <v>27428.376459135179</v>
      </c>
      <c r="X354" s="97">
        <f t="shared" si="69"/>
        <v>28470.654764582316</v>
      </c>
      <c r="Y354" s="97">
        <f t="shared" si="73"/>
        <v>28929.032306292091</v>
      </c>
      <c r="Z354" s="97">
        <f t="shared" si="70"/>
        <v>30554.843921905707</v>
      </c>
      <c r="AA354" s="97">
        <f t="shared" si="71"/>
        <v>34563.639444459739</v>
      </c>
    </row>
    <row r="355" spans="1:27" x14ac:dyDescent="0.25">
      <c r="A355" s="102" t="s">
        <v>975</v>
      </c>
      <c r="B355" s="98" t="s">
        <v>976</v>
      </c>
      <c r="C355" s="99" t="s">
        <v>226</v>
      </c>
      <c r="D355" s="100" t="s">
        <v>4</v>
      </c>
      <c r="E355" s="101">
        <f t="shared" si="74"/>
        <v>58269</v>
      </c>
      <c r="F355" s="90">
        <f t="shared" si="72"/>
        <v>48965.683891252949</v>
      </c>
      <c r="G355" s="91">
        <v>0.19</v>
      </c>
      <c r="H355" s="91" t="s">
        <v>228</v>
      </c>
      <c r="I355" s="91"/>
      <c r="J355" s="91"/>
      <c r="K355" s="91" t="s">
        <v>228</v>
      </c>
      <c r="L355" s="92" t="s">
        <v>945</v>
      </c>
      <c r="M355" s="91" t="str">
        <f t="shared" si="75"/>
        <v>VER ARCHIVO ANEXO</v>
      </c>
      <c r="N355" s="93">
        <v>41608</v>
      </c>
      <c r="O355" s="94"/>
      <c r="P355" s="94"/>
      <c r="Q355" s="94">
        <v>341</v>
      </c>
      <c r="R355" s="95">
        <f t="shared" si="64"/>
        <v>48965.683891252949</v>
      </c>
      <c r="S355" s="94">
        <v>32043.379199999999</v>
      </c>
      <c r="T355" s="94">
        <f t="shared" si="65"/>
        <v>34212.71597184</v>
      </c>
      <c r="U355" s="94">
        <f t="shared" si="66"/>
        <v>36179.9471402208</v>
      </c>
      <c r="V355" s="94">
        <f t="shared" si="67"/>
        <v>37659.706978255832</v>
      </c>
      <c r="W355" s="97">
        <f t="shared" si="68"/>
        <v>38857.285660164373</v>
      </c>
      <c r="X355" s="97">
        <f t="shared" si="69"/>
        <v>40333.862515250621</v>
      </c>
      <c r="Y355" s="97">
        <f t="shared" si="73"/>
        <v>40983.237701746155</v>
      </c>
      <c r="Z355" s="97">
        <f t="shared" si="70"/>
        <v>43286.495660584289</v>
      </c>
      <c r="AA355" s="97">
        <f t="shared" si="71"/>
        <v>48965.683891252949</v>
      </c>
    </row>
    <row r="356" spans="1:27" x14ac:dyDescent="0.25">
      <c r="A356" s="102" t="s">
        <v>977</v>
      </c>
      <c r="B356" s="98" t="s">
        <v>978</v>
      </c>
      <c r="C356" s="99" t="s">
        <v>226</v>
      </c>
      <c r="D356" s="100" t="s">
        <v>262</v>
      </c>
      <c r="E356" s="101">
        <f t="shared" si="74"/>
        <v>23</v>
      </c>
      <c r="F356" s="90">
        <f t="shared" si="72"/>
        <v>19.008417659647883</v>
      </c>
      <c r="G356" s="91">
        <v>0.19</v>
      </c>
      <c r="H356" s="91" t="s">
        <v>228</v>
      </c>
      <c r="I356" s="91"/>
      <c r="J356" s="91"/>
      <c r="K356" s="91" t="s">
        <v>228</v>
      </c>
      <c r="L356" s="92" t="s">
        <v>945</v>
      </c>
      <c r="M356" s="91" t="str">
        <f t="shared" si="75"/>
        <v>VER ARCHIVO ANEXO</v>
      </c>
      <c r="N356" s="93">
        <v>41608</v>
      </c>
      <c r="O356" s="94"/>
      <c r="P356" s="94"/>
      <c r="Q356" s="94">
        <v>342</v>
      </c>
      <c r="R356" s="95">
        <f t="shared" si="64"/>
        <v>19.008417659647883</v>
      </c>
      <c r="S356" s="94">
        <v>12.4392</v>
      </c>
      <c r="T356" s="94">
        <f t="shared" si="65"/>
        <v>13.28133384</v>
      </c>
      <c r="U356" s="94">
        <f t="shared" si="66"/>
        <v>14.045010535800001</v>
      </c>
      <c r="V356" s="94">
        <f t="shared" si="67"/>
        <v>14.619451466714221</v>
      </c>
      <c r="W356" s="97">
        <f t="shared" si="68"/>
        <v>15.084350023355734</v>
      </c>
      <c r="X356" s="97">
        <f t="shared" si="69"/>
        <v>15.657555324243253</v>
      </c>
      <c r="Y356" s="97">
        <f t="shared" si="73"/>
        <v>15.909641964963569</v>
      </c>
      <c r="Z356" s="97">
        <f t="shared" si="70"/>
        <v>16.80376384339452</v>
      </c>
      <c r="AA356" s="97">
        <f t="shared" si="71"/>
        <v>19.008417659647883</v>
      </c>
    </row>
    <row r="357" spans="1:27" x14ac:dyDescent="0.25">
      <c r="A357" s="102" t="s">
        <v>979</v>
      </c>
      <c r="B357" s="98" t="s">
        <v>980</v>
      </c>
      <c r="C357" s="99" t="s">
        <v>226</v>
      </c>
      <c r="D357" s="100" t="s">
        <v>262</v>
      </c>
      <c r="E357" s="101">
        <f t="shared" si="74"/>
        <v>23</v>
      </c>
      <c r="F357" s="90">
        <f t="shared" si="72"/>
        <v>19.008417659647883</v>
      </c>
      <c r="G357" s="91">
        <v>0.19</v>
      </c>
      <c r="H357" s="91" t="s">
        <v>228</v>
      </c>
      <c r="I357" s="91"/>
      <c r="J357" s="91"/>
      <c r="K357" s="91" t="s">
        <v>228</v>
      </c>
      <c r="L357" s="92" t="s">
        <v>945</v>
      </c>
      <c r="M357" s="91" t="str">
        <f t="shared" si="75"/>
        <v>VER ARCHIVO ANEXO</v>
      </c>
      <c r="N357" s="93">
        <v>41608</v>
      </c>
      <c r="O357" s="94"/>
      <c r="P357" s="94"/>
      <c r="Q357" s="94">
        <v>343</v>
      </c>
      <c r="R357" s="95">
        <f t="shared" si="64"/>
        <v>19.008417659647883</v>
      </c>
      <c r="S357" s="94">
        <v>12.4392</v>
      </c>
      <c r="T357" s="94">
        <f t="shared" si="65"/>
        <v>13.28133384</v>
      </c>
      <c r="U357" s="94">
        <f t="shared" si="66"/>
        <v>14.045010535800001</v>
      </c>
      <c r="V357" s="94">
        <f t="shared" si="67"/>
        <v>14.619451466714221</v>
      </c>
      <c r="W357" s="97">
        <f t="shared" si="68"/>
        <v>15.084350023355734</v>
      </c>
      <c r="X357" s="97">
        <f t="shared" si="69"/>
        <v>15.657555324243253</v>
      </c>
      <c r="Y357" s="97">
        <f t="shared" si="73"/>
        <v>15.909641964963569</v>
      </c>
      <c r="Z357" s="97">
        <f t="shared" si="70"/>
        <v>16.80376384339452</v>
      </c>
      <c r="AA357" s="97">
        <f t="shared" si="71"/>
        <v>19.008417659647883</v>
      </c>
    </row>
    <row r="358" spans="1:27" x14ac:dyDescent="0.25">
      <c r="A358" s="102" t="s">
        <v>981</v>
      </c>
      <c r="B358" s="87" t="s">
        <v>982</v>
      </c>
      <c r="C358" s="88" t="s">
        <v>226</v>
      </c>
      <c r="D358" s="89" t="s">
        <v>262</v>
      </c>
      <c r="E358" s="90">
        <f t="shared" si="74"/>
        <v>68</v>
      </c>
      <c r="F358" s="90">
        <f t="shared" si="72"/>
        <v>57.025252978943641</v>
      </c>
      <c r="G358" s="91">
        <v>0.19</v>
      </c>
      <c r="H358" s="91" t="s">
        <v>228</v>
      </c>
      <c r="I358" s="91"/>
      <c r="J358" s="91"/>
      <c r="K358" s="91" t="s">
        <v>228</v>
      </c>
      <c r="L358" s="92" t="s">
        <v>945</v>
      </c>
      <c r="M358" s="91" t="str">
        <f t="shared" si="75"/>
        <v>VER ARCHIVO ANEXO</v>
      </c>
      <c r="N358" s="93">
        <v>41608</v>
      </c>
      <c r="O358" s="94"/>
      <c r="P358" s="94"/>
      <c r="Q358" s="94">
        <v>344</v>
      </c>
      <c r="R358" s="95">
        <f t="shared" si="64"/>
        <v>57.025252978943641</v>
      </c>
      <c r="S358" s="94">
        <v>37.317599999999999</v>
      </c>
      <c r="T358" s="94">
        <f t="shared" si="65"/>
        <v>39.844001519999999</v>
      </c>
      <c r="U358" s="94">
        <f t="shared" si="66"/>
        <v>42.135031607400002</v>
      </c>
      <c r="V358" s="94">
        <f t="shared" si="67"/>
        <v>43.858354400142659</v>
      </c>
      <c r="W358" s="97">
        <f t="shared" si="68"/>
        <v>45.253050070067196</v>
      </c>
      <c r="X358" s="97">
        <f t="shared" si="69"/>
        <v>46.97266597272975</v>
      </c>
      <c r="Y358" s="97">
        <f t="shared" si="73"/>
        <v>47.7289258948907</v>
      </c>
      <c r="Z358" s="97">
        <f t="shared" si="70"/>
        <v>50.411291530183561</v>
      </c>
      <c r="AA358" s="97">
        <f t="shared" si="71"/>
        <v>57.025252978943641</v>
      </c>
    </row>
    <row r="359" spans="1:27" x14ac:dyDescent="0.25">
      <c r="A359" s="102" t="s">
        <v>983</v>
      </c>
      <c r="B359" s="87" t="s">
        <v>984</v>
      </c>
      <c r="C359" s="88" t="s">
        <v>226</v>
      </c>
      <c r="D359" s="89" t="s">
        <v>262</v>
      </c>
      <c r="E359" s="90">
        <f t="shared" si="74"/>
        <v>61698</v>
      </c>
      <c r="F359" s="90">
        <f t="shared" si="72"/>
        <v>51847.043201494576</v>
      </c>
      <c r="G359" s="91">
        <v>0.19</v>
      </c>
      <c r="H359" s="91" t="s">
        <v>228</v>
      </c>
      <c r="I359" s="91"/>
      <c r="J359" s="91"/>
      <c r="K359" s="91" t="s">
        <v>228</v>
      </c>
      <c r="L359" s="92" t="s">
        <v>945</v>
      </c>
      <c r="M359" s="91" t="str">
        <f t="shared" si="75"/>
        <v>VER ARCHIVO ANEXO</v>
      </c>
      <c r="N359" s="93">
        <v>41608</v>
      </c>
      <c r="O359" s="94"/>
      <c r="P359" s="94"/>
      <c r="Q359" s="94">
        <v>345</v>
      </c>
      <c r="R359" s="95">
        <f t="shared" si="64"/>
        <v>51847.043201494576</v>
      </c>
      <c r="S359" s="94">
        <v>33928.954599999997</v>
      </c>
      <c r="T359" s="94">
        <f t="shared" si="65"/>
        <v>36225.944826420004</v>
      </c>
      <c r="U359" s="94">
        <f t="shared" si="66"/>
        <v>38308.936653939156</v>
      </c>
      <c r="V359" s="94">
        <f t="shared" si="67"/>
        <v>39875.772163085268</v>
      </c>
      <c r="W359" s="97">
        <f t="shared" si="68"/>
        <v>41143.821717871382</v>
      </c>
      <c r="X359" s="97">
        <f t="shared" si="69"/>
        <v>42707.286943150495</v>
      </c>
      <c r="Y359" s="97">
        <f t="shared" si="73"/>
        <v>43394.87426293522</v>
      </c>
      <c r="Z359" s="97">
        <f t="shared" si="70"/>
        <v>45833.666196512182</v>
      </c>
      <c r="AA359" s="97">
        <f t="shared" si="71"/>
        <v>51847.043201494576</v>
      </c>
    </row>
    <row r="360" spans="1:27" x14ac:dyDescent="0.25">
      <c r="A360" s="102" t="s">
        <v>985</v>
      </c>
      <c r="B360" s="87" t="s">
        <v>986</v>
      </c>
      <c r="C360" s="88" t="s">
        <v>226</v>
      </c>
      <c r="D360" s="89" t="s">
        <v>227</v>
      </c>
      <c r="E360" s="90">
        <f t="shared" si="74"/>
        <v>37700</v>
      </c>
      <c r="F360" s="90">
        <f t="shared" si="72"/>
        <v>31680.696099413137</v>
      </c>
      <c r="G360" s="91">
        <v>0.19</v>
      </c>
      <c r="H360" s="91" t="s">
        <v>228</v>
      </c>
      <c r="I360" s="91"/>
      <c r="J360" s="91"/>
      <c r="K360" s="91" t="s">
        <v>228</v>
      </c>
      <c r="L360" s="92" t="s">
        <v>945</v>
      </c>
      <c r="M360" s="91" t="str">
        <f t="shared" si="75"/>
        <v>VER ARCHIVO ANEXO</v>
      </c>
      <c r="N360" s="93">
        <v>41608</v>
      </c>
      <c r="O360" s="94"/>
      <c r="P360" s="94"/>
      <c r="Q360" s="94">
        <v>346</v>
      </c>
      <c r="R360" s="95">
        <f t="shared" si="64"/>
        <v>31680.696099413137</v>
      </c>
      <c r="S360" s="94">
        <v>20732</v>
      </c>
      <c r="T360" s="94">
        <f t="shared" si="65"/>
        <v>22135.556400000001</v>
      </c>
      <c r="U360" s="94">
        <f t="shared" si="66"/>
        <v>23408.350893000003</v>
      </c>
      <c r="V360" s="94">
        <f t="shared" si="67"/>
        <v>24365.7524445237</v>
      </c>
      <c r="W360" s="97">
        <f t="shared" si="68"/>
        <v>25140.583372259556</v>
      </c>
      <c r="X360" s="97">
        <f t="shared" si="69"/>
        <v>26095.92554040542</v>
      </c>
      <c r="Y360" s="97">
        <f t="shared" si="73"/>
        <v>26516.069941605947</v>
      </c>
      <c r="Z360" s="97">
        <f t="shared" si="70"/>
        <v>28006.273072324202</v>
      </c>
      <c r="AA360" s="97">
        <f t="shared" si="71"/>
        <v>31680.696099413137</v>
      </c>
    </row>
    <row r="361" spans="1:27" x14ac:dyDescent="0.25">
      <c r="A361" s="105" t="s">
        <v>987</v>
      </c>
      <c r="B361" s="106" t="s">
        <v>988</v>
      </c>
      <c r="C361" s="107"/>
      <c r="D361" s="108"/>
      <c r="E361" s="90">
        <f t="shared" si="74"/>
        <v>0</v>
      </c>
      <c r="F361" s="90">
        <f t="shared" si="72"/>
        <v>0</v>
      </c>
      <c r="G361" s="81"/>
      <c r="H361" s="81"/>
      <c r="I361" s="81"/>
      <c r="J361" s="81"/>
      <c r="K361" s="81"/>
      <c r="L361" s="92"/>
      <c r="M361" s="91"/>
      <c r="N361" s="93">
        <v>41608</v>
      </c>
      <c r="O361" s="109"/>
      <c r="P361" s="109"/>
      <c r="Q361" s="109">
        <v>0</v>
      </c>
      <c r="R361" s="95">
        <f t="shared" si="64"/>
        <v>0</v>
      </c>
      <c r="S361" s="109">
        <v>0</v>
      </c>
      <c r="T361" s="94">
        <f t="shared" si="65"/>
        <v>0</v>
      </c>
      <c r="U361" s="94">
        <f t="shared" si="66"/>
        <v>0</v>
      </c>
      <c r="V361" s="94">
        <f t="shared" si="67"/>
        <v>0</v>
      </c>
      <c r="W361" s="97">
        <f t="shared" si="68"/>
        <v>0</v>
      </c>
      <c r="X361" s="97">
        <f t="shared" si="69"/>
        <v>0</v>
      </c>
      <c r="Y361" s="97">
        <f t="shared" si="73"/>
        <v>0</v>
      </c>
      <c r="Z361" s="97">
        <f t="shared" si="70"/>
        <v>0</v>
      </c>
      <c r="AA361" s="97">
        <f t="shared" si="71"/>
        <v>0</v>
      </c>
    </row>
    <row r="362" spans="1:27" x14ac:dyDescent="0.25">
      <c r="A362" s="102" t="s">
        <v>989</v>
      </c>
      <c r="B362" s="87" t="s">
        <v>990</v>
      </c>
      <c r="C362" s="88" t="s">
        <v>226</v>
      </c>
      <c r="D362" s="89" t="s">
        <v>262</v>
      </c>
      <c r="E362" s="90">
        <f>+ROUND(F362*(1+G362),0)</f>
        <v>2385658</v>
      </c>
      <c r="F362" s="90">
        <f t="shared" si="72"/>
        <v>2004754.449170863</v>
      </c>
      <c r="G362" s="91">
        <v>0.19</v>
      </c>
      <c r="H362" s="91" t="s">
        <v>228</v>
      </c>
      <c r="I362" s="91"/>
      <c r="J362" s="91"/>
      <c r="K362" s="91"/>
      <c r="L362" s="92" t="s">
        <v>302</v>
      </c>
      <c r="M362" s="91" t="str">
        <f t="shared" ref="M362:M380" si="76">+IF(L362="no aplica","no aplica","VER ARCHIVO ANEXO")</f>
        <v>no aplica</v>
      </c>
      <c r="N362" s="93">
        <v>41608</v>
      </c>
      <c r="O362" s="94"/>
      <c r="P362" s="94"/>
      <c r="Q362" s="94">
        <v>347</v>
      </c>
      <c r="R362" s="95">
        <f t="shared" si="64"/>
        <v>2004754.449170863</v>
      </c>
      <c r="S362" s="94">
        <v>1311920.96</v>
      </c>
      <c r="T362" s="94">
        <f t="shared" si="65"/>
        <v>1400738.008992</v>
      </c>
      <c r="U362" s="94">
        <f t="shared" si="66"/>
        <v>1481280.4445090401</v>
      </c>
      <c r="V362" s="94">
        <f t="shared" si="67"/>
        <v>1541864.8146894597</v>
      </c>
      <c r="W362" s="97">
        <f t="shared" si="68"/>
        <v>1590896.1157965846</v>
      </c>
      <c r="X362" s="97">
        <f t="shared" si="69"/>
        <v>1651350.1681968549</v>
      </c>
      <c r="Y362" s="97">
        <f t="shared" si="73"/>
        <v>1677936.9059048241</v>
      </c>
      <c r="Z362" s="97">
        <f t="shared" si="70"/>
        <v>1772236.9600166753</v>
      </c>
      <c r="AA362" s="97">
        <f t="shared" si="71"/>
        <v>2004754.449170863</v>
      </c>
    </row>
    <row r="363" spans="1:27" x14ac:dyDescent="0.25">
      <c r="A363" s="102" t="s">
        <v>991</v>
      </c>
      <c r="B363" s="87" t="s">
        <v>992</v>
      </c>
      <c r="C363" s="88" t="s">
        <v>226</v>
      </c>
      <c r="D363" s="89" t="s">
        <v>262</v>
      </c>
      <c r="E363" s="90">
        <f t="shared" si="74"/>
        <v>14328359</v>
      </c>
      <c r="F363" s="90">
        <f t="shared" si="72"/>
        <v>12040638.22514399</v>
      </c>
      <c r="G363" s="91">
        <v>0.19</v>
      </c>
      <c r="H363" s="91" t="s">
        <v>228</v>
      </c>
      <c r="I363" s="91"/>
      <c r="J363" s="91"/>
      <c r="K363" s="91"/>
      <c r="L363" s="92" t="s">
        <v>302</v>
      </c>
      <c r="M363" s="91" t="str">
        <f t="shared" si="76"/>
        <v>no aplica</v>
      </c>
      <c r="N363" s="93">
        <v>41608</v>
      </c>
      <c r="O363" s="94"/>
      <c r="P363" s="94"/>
      <c r="Q363" s="94">
        <v>348</v>
      </c>
      <c r="R363" s="95">
        <f t="shared" si="64"/>
        <v>12040638.22514399</v>
      </c>
      <c r="S363" s="94">
        <v>7879451.6036</v>
      </c>
      <c r="T363" s="94">
        <f t="shared" si="65"/>
        <v>8412890.4771637209</v>
      </c>
      <c r="U363" s="94">
        <f t="shared" si="66"/>
        <v>8896631.6796006355</v>
      </c>
      <c r="V363" s="94">
        <f t="shared" si="67"/>
        <v>9260503.9152963012</v>
      </c>
      <c r="W363" s="97">
        <f t="shared" si="68"/>
        <v>9554987.9398027249</v>
      </c>
      <c r="X363" s="97">
        <f t="shared" si="69"/>
        <v>9918077.4815152287</v>
      </c>
      <c r="Y363" s="97">
        <f t="shared" si="73"/>
        <v>10077758.528967625</v>
      </c>
      <c r="Z363" s="97">
        <f t="shared" si="70"/>
        <v>10644128.558295606</v>
      </c>
      <c r="AA363" s="97">
        <f t="shared" si="71"/>
        <v>12040638.22514399</v>
      </c>
    </row>
    <row r="364" spans="1:27" x14ac:dyDescent="0.25">
      <c r="A364" s="102" t="s">
        <v>993</v>
      </c>
      <c r="B364" s="87" t="s">
        <v>994</v>
      </c>
      <c r="C364" s="88" t="s">
        <v>226</v>
      </c>
      <c r="D364" s="89" t="s">
        <v>262</v>
      </c>
      <c r="E364" s="90">
        <f t="shared" si="74"/>
        <v>14328359</v>
      </c>
      <c r="F364" s="90">
        <f t="shared" si="72"/>
        <v>12040638.22514399</v>
      </c>
      <c r="G364" s="91">
        <v>0.19</v>
      </c>
      <c r="H364" s="91" t="s">
        <v>228</v>
      </c>
      <c r="I364" s="91"/>
      <c r="J364" s="91"/>
      <c r="K364" s="91"/>
      <c r="L364" s="92" t="s">
        <v>302</v>
      </c>
      <c r="M364" s="91" t="str">
        <f t="shared" si="76"/>
        <v>no aplica</v>
      </c>
      <c r="N364" s="93">
        <v>41608</v>
      </c>
      <c r="O364" s="94"/>
      <c r="P364" s="94"/>
      <c r="Q364" s="94">
        <v>349</v>
      </c>
      <c r="R364" s="95">
        <f t="shared" si="64"/>
        <v>12040638.22514399</v>
      </c>
      <c r="S364" s="94">
        <v>7879451.6036</v>
      </c>
      <c r="T364" s="94">
        <f t="shared" si="65"/>
        <v>8412890.4771637209</v>
      </c>
      <c r="U364" s="94">
        <f t="shared" si="66"/>
        <v>8896631.6796006355</v>
      </c>
      <c r="V364" s="94">
        <f t="shared" si="67"/>
        <v>9260503.9152963012</v>
      </c>
      <c r="W364" s="97">
        <f t="shared" si="68"/>
        <v>9554987.9398027249</v>
      </c>
      <c r="X364" s="97">
        <f t="shared" si="69"/>
        <v>9918077.4815152287</v>
      </c>
      <c r="Y364" s="97">
        <f t="shared" si="73"/>
        <v>10077758.528967625</v>
      </c>
      <c r="Z364" s="97">
        <f t="shared" si="70"/>
        <v>10644128.558295606</v>
      </c>
      <c r="AA364" s="97">
        <f t="shared" si="71"/>
        <v>12040638.22514399</v>
      </c>
    </row>
    <row r="365" spans="1:27" x14ac:dyDescent="0.25">
      <c r="A365" s="102" t="s">
        <v>995</v>
      </c>
      <c r="B365" s="87" t="s">
        <v>996</v>
      </c>
      <c r="C365" s="88" t="s">
        <v>226</v>
      </c>
      <c r="D365" s="89" t="s">
        <v>262</v>
      </c>
      <c r="E365" s="90">
        <f t="shared" si="74"/>
        <v>22906786</v>
      </c>
      <c r="F365" s="90">
        <f t="shared" si="72"/>
        <v>19249400.042597678</v>
      </c>
      <c r="G365" s="91">
        <v>0.19</v>
      </c>
      <c r="H365" s="91" t="s">
        <v>228</v>
      </c>
      <c r="I365" s="91"/>
      <c r="J365" s="91"/>
      <c r="K365" s="91"/>
      <c r="L365" s="92" t="s">
        <v>302</v>
      </c>
      <c r="M365" s="91" t="str">
        <f t="shared" si="76"/>
        <v>no aplica</v>
      </c>
      <c r="N365" s="93">
        <v>41608</v>
      </c>
      <c r="O365" s="94"/>
      <c r="P365" s="94"/>
      <c r="Q365" s="94">
        <v>350</v>
      </c>
      <c r="R365" s="95">
        <f t="shared" si="64"/>
        <v>19249400.042597678</v>
      </c>
      <c r="S365" s="94">
        <v>12596900.031199999</v>
      </c>
      <c r="T365" s="94">
        <f t="shared" si="65"/>
        <v>13449710.16331224</v>
      </c>
      <c r="U365" s="94">
        <f t="shared" si="66"/>
        <v>14223068.497702695</v>
      </c>
      <c r="V365" s="94">
        <f t="shared" si="67"/>
        <v>14804791.999258734</v>
      </c>
      <c r="W365" s="97">
        <f t="shared" si="68"/>
        <v>15275584.384835163</v>
      </c>
      <c r="X365" s="97">
        <f t="shared" si="69"/>
        <v>15856056.5914589</v>
      </c>
      <c r="Y365" s="97">
        <f t="shared" si="73"/>
        <v>16111339.102581387</v>
      </c>
      <c r="Z365" s="97">
        <f t="shared" si="70"/>
        <v>17016796.360146463</v>
      </c>
      <c r="AA365" s="97">
        <f t="shared" si="71"/>
        <v>19249400.042597678</v>
      </c>
    </row>
    <row r="366" spans="1:27" x14ac:dyDescent="0.25">
      <c r="A366" s="102" t="s">
        <v>997</v>
      </c>
      <c r="B366" s="87" t="s">
        <v>998</v>
      </c>
      <c r="C366" s="88" t="s">
        <v>226</v>
      </c>
      <c r="D366" s="89" t="s">
        <v>262</v>
      </c>
      <c r="E366" s="90">
        <f t="shared" si="74"/>
        <v>14501320</v>
      </c>
      <c r="F366" s="90">
        <f t="shared" si="72"/>
        <v>12185982.922708873</v>
      </c>
      <c r="G366" s="91">
        <v>0.19</v>
      </c>
      <c r="H366" s="91" t="s">
        <v>228</v>
      </c>
      <c r="I366" s="91"/>
      <c r="J366" s="91"/>
      <c r="K366" s="91"/>
      <c r="L366" s="92" t="s">
        <v>302</v>
      </c>
      <c r="M366" s="91" t="str">
        <f t="shared" si="76"/>
        <v>no aplica</v>
      </c>
      <c r="N366" s="93">
        <v>41608</v>
      </c>
      <c r="O366" s="94"/>
      <c r="P366" s="94"/>
      <c r="Q366" s="94">
        <v>351</v>
      </c>
      <c r="R366" s="95">
        <f t="shared" si="64"/>
        <v>12185982.922708873</v>
      </c>
      <c r="S366" s="94">
        <v>7974565.8731999993</v>
      </c>
      <c r="T366" s="94">
        <f t="shared" si="65"/>
        <v>8514443.98281564</v>
      </c>
      <c r="U366" s="94">
        <f t="shared" si="66"/>
        <v>9004024.5118275397</v>
      </c>
      <c r="V366" s="94">
        <f t="shared" si="67"/>
        <v>9372289.1143612862</v>
      </c>
      <c r="W366" s="97">
        <f t="shared" si="68"/>
        <v>9670327.9081979748</v>
      </c>
      <c r="X366" s="97">
        <f t="shared" si="69"/>
        <v>10037800.368709499</v>
      </c>
      <c r="Y366" s="97">
        <f t="shared" si="73"/>
        <v>10199408.954645721</v>
      </c>
      <c r="Z366" s="97">
        <f t="shared" si="70"/>
        <v>10772615.737896811</v>
      </c>
      <c r="AA366" s="97">
        <f t="shared" si="71"/>
        <v>12185982.922708873</v>
      </c>
    </row>
    <row r="367" spans="1:27" x14ac:dyDescent="0.25">
      <c r="A367" s="102" t="s">
        <v>999</v>
      </c>
      <c r="B367" s="87" t="s">
        <v>1000</v>
      </c>
      <c r="C367" s="88" t="s">
        <v>226</v>
      </c>
      <c r="D367" s="89" t="s">
        <v>262</v>
      </c>
      <c r="E367" s="90">
        <f t="shared" si="74"/>
        <v>15026164</v>
      </c>
      <c r="F367" s="90">
        <f t="shared" si="72"/>
        <v>12627028.901526464</v>
      </c>
      <c r="G367" s="91">
        <v>0.19</v>
      </c>
      <c r="H367" s="91" t="s">
        <v>228</v>
      </c>
      <c r="I367" s="91"/>
      <c r="J367" s="91"/>
      <c r="K367" s="91"/>
      <c r="L367" s="92" t="s">
        <v>302</v>
      </c>
      <c r="M367" s="91" t="str">
        <f t="shared" si="76"/>
        <v>no aplica</v>
      </c>
      <c r="N367" s="93">
        <v>41608</v>
      </c>
      <c r="O367" s="94"/>
      <c r="P367" s="94"/>
      <c r="Q367" s="94">
        <v>352</v>
      </c>
      <c r="R367" s="95">
        <f t="shared" si="64"/>
        <v>12627028.901526464</v>
      </c>
      <c r="S367" s="94">
        <v>8263188.4843999995</v>
      </c>
      <c r="T367" s="94">
        <f t="shared" si="65"/>
        <v>8822606.3447938804</v>
      </c>
      <c r="U367" s="94">
        <f t="shared" si="66"/>
        <v>9329906.2096195295</v>
      </c>
      <c r="V367" s="94">
        <f t="shared" si="67"/>
        <v>9711499.3735929672</v>
      </c>
      <c r="W367" s="97">
        <f t="shared" si="68"/>
        <v>10020325.053673225</v>
      </c>
      <c r="X367" s="97">
        <f t="shared" si="69"/>
        <v>10401097.405712808</v>
      </c>
      <c r="Y367" s="97">
        <f t="shared" si="73"/>
        <v>10568555.073944785</v>
      </c>
      <c r="Z367" s="97">
        <f t="shared" si="70"/>
        <v>11162507.869100481</v>
      </c>
      <c r="AA367" s="97">
        <f t="shared" si="71"/>
        <v>12627028.901526464</v>
      </c>
    </row>
    <row r="368" spans="1:27" x14ac:dyDescent="0.25">
      <c r="A368" s="102" t="s">
        <v>1001</v>
      </c>
      <c r="B368" s="87" t="s">
        <v>1002</v>
      </c>
      <c r="C368" s="88" t="s">
        <v>226</v>
      </c>
      <c r="D368" s="89" t="s">
        <v>262</v>
      </c>
      <c r="E368" s="90">
        <f t="shared" si="74"/>
        <v>15026164</v>
      </c>
      <c r="F368" s="90">
        <f t="shared" si="72"/>
        <v>12627028.901526464</v>
      </c>
      <c r="G368" s="91">
        <v>0.19</v>
      </c>
      <c r="H368" s="91" t="s">
        <v>228</v>
      </c>
      <c r="I368" s="91"/>
      <c r="J368" s="91"/>
      <c r="K368" s="91"/>
      <c r="L368" s="92" t="s">
        <v>302</v>
      </c>
      <c r="M368" s="91" t="str">
        <f t="shared" si="76"/>
        <v>no aplica</v>
      </c>
      <c r="N368" s="93">
        <v>41608</v>
      </c>
      <c r="O368" s="94"/>
      <c r="P368" s="94"/>
      <c r="Q368" s="94">
        <v>353</v>
      </c>
      <c r="R368" s="95">
        <f t="shared" si="64"/>
        <v>12627028.901526464</v>
      </c>
      <c r="S368" s="94">
        <v>8263188.4843999995</v>
      </c>
      <c r="T368" s="94">
        <f t="shared" si="65"/>
        <v>8822606.3447938804</v>
      </c>
      <c r="U368" s="94">
        <f t="shared" si="66"/>
        <v>9329906.2096195295</v>
      </c>
      <c r="V368" s="94">
        <f t="shared" si="67"/>
        <v>9711499.3735929672</v>
      </c>
      <c r="W368" s="97">
        <f t="shared" si="68"/>
        <v>10020325.053673225</v>
      </c>
      <c r="X368" s="97">
        <f t="shared" si="69"/>
        <v>10401097.405712808</v>
      </c>
      <c r="Y368" s="97">
        <f t="shared" si="73"/>
        <v>10568555.073944785</v>
      </c>
      <c r="Z368" s="97">
        <f t="shared" si="70"/>
        <v>11162507.869100481</v>
      </c>
      <c r="AA368" s="97">
        <f t="shared" si="71"/>
        <v>12627028.901526464</v>
      </c>
    </row>
    <row r="369" spans="1:27" x14ac:dyDescent="0.25">
      <c r="A369" s="102" t="s">
        <v>1003</v>
      </c>
      <c r="B369" s="87" t="s">
        <v>1004</v>
      </c>
      <c r="C369" s="88" t="s">
        <v>226</v>
      </c>
      <c r="D369" s="89" t="s">
        <v>262</v>
      </c>
      <c r="E369" s="90">
        <f t="shared" si="74"/>
        <v>15026164</v>
      </c>
      <c r="F369" s="90">
        <f t="shared" si="72"/>
        <v>12627028.901526464</v>
      </c>
      <c r="G369" s="91">
        <v>0.19</v>
      </c>
      <c r="H369" s="91" t="s">
        <v>228</v>
      </c>
      <c r="I369" s="91"/>
      <c r="J369" s="91"/>
      <c r="K369" s="91"/>
      <c r="L369" s="92" t="s">
        <v>302</v>
      </c>
      <c r="M369" s="91" t="str">
        <f t="shared" si="76"/>
        <v>no aplica</v>
      </c>
      <c r="N369" s="93">
        <v>41608</v>
      </c>
      <c r="O369" s="94"/>
      <c r="P369" s="94"/>
      <c r="Q369" s="94">
        <v>354</v>
      </c>
      <c r="R369" s="95">
        <f t="shared" si="64"/>
        <v>12627028.901526464</v>
      </c>
      <c r="S369" s="94">
        <v>8263188.4843999995</v>
      </c>
      <c r="T369" s="94">
        <f t="shared" si="65"/>
        <v>8822606.3447938804</v>
      </c>
      <c r="U369" s="94">
        <f t="shared" si="66"/>
        <v>9329906.2096195295</v>
      </c>
      <c r="V369" s="94">
        <f t="shared" si="67"/>
        <v>9711499.3735929672</v>
      </c>
      <c r="W369" s="97">
        <f t="shared" si="68"/>
        <v>10020325.053673225</v>
      </c>
      <c r="X369" s="97">
        <f t="shared" si="69"/>
        <v>10401097.405712808</v>
      </c>
      <c r="Y369" s="97">
        <f t="shared" si="73"/>
        <v>10568555.073944785</v>
      </c>
      <c r="Z369" s="97">
        <f t="shared" si="70"/>
        <v>11162507.869100481</v>
      </c>
      <c r="AA369" s="97">
        <f t="shared" si="71"/>
        <v>12627028.901526464</v>
      </c>
    </row>
    <row r="370" spans="1:27" x14ac:dyDescent="0.25">
      <c r="A370" s="102" t="s">
        <v>1005</v>
      </c>
      <c r="B370" s="87" t="s">
        <v>1006</v>
      </c>
      <c r="C370" s="88" t="s">
        <v>226</v>
      </c>
      <c r="D370" s="89" t="s">
        <v>262</v>
      </c>
      <c r="E370" s="90">
        <f t="shared" si="74"/>
        <v>15026164</v>
      </c>
      <c r="F370" s="90">
        <f t="shared" si="72"/>
        <v>12627028.901526464</v>
      </c>
      <c r="G370" s="91">
        <v>0.19</v>
      </c>
      <c r="H370" s="91" t="s">
        <v>228</v>
      </c>
      <c r="I370" s="91"/>
      <c r="J370" s="91"/>
      <c r="K370" s="91"/>
      <c r="L370" s="92" t="s">
        <v>302</v>
      </c>
      <c r="M370" s="91" t="str">
        <f t="shared" si="76"/>
        <v>no aplica</v>
      </c>
      <c r="N370" s="93">
        <v>41608</v>
      </c>
      <c r="O370" s="94"/>
      <c r="P370" s="94"/>
      <c r="Q370" s="94">
        <v>355</v>
      </c>
      <c r="R370" s="95">
        <f t="shared" si="64"/>
        <v>12627028.901526464</v>
      </c>
      <c r="S370" s="94">
        <v>8263188.4843999995</v>
      </c>
      <c r="T370" s="94">
        <f t="shared" si="65"/>
        <v>8822606.3447938804</v>
      </c>
      <c r="U370" s="94">
        <f t="shared" si="66"/>
        <v>9329906.2096195295</v>
      </c>
      <c r="V370" s="94">
        <f t="shared" si="67"/>
        <v>9711499.3735929672</v>
      </c>
      <c r="W370" s="97">
        <f t="shared" si="68"/>
        <v>10020325.053673225</v>
      </c>
      <c r="X370" s="97">
        <f t="shared" si="69"/>
        <v>10401097.405712808</v>
      </c>
      <c r="Y370" s="97">
        <f t="shared" si="73"/>
        <v>10568555.073944785</v>
      </c>
      <c r="Z370" s="97">
        <f t="shared" si="70"/>
        <v>11162507.869100481</v>
      </c>
      <c r="AA370" s="97">
        <f t="shared" si="71"/>
        <v>12627028.901526464</v>
      </c>
    </row>
    <row r="371" spans="1:27" x14ac:dyDescent="0.25">
      <c r="A371" s="102" t="s">
        <v>1007</v>
      </c>
      <c r="B371" s="87" t="s">
        <v>1008</v>
      </c>
      <c r="C371" s="88" t="s">
        <v>226</v>
      </c>
      <c r="D371" s="89" t="s">
        <v>262</v>
      </c>
      <c r="E371" s="90">
        <f t="shared" si="74"/>
        <v>16411835</v>
      </c>
      <c r="F371" s="90">
        <f t="shared" si="72"/>
        <v>13791457.63876481</v>
      </c>
      <c r="G371" s="91">
        <v>0.19</v>
      </c>
      <c r="H371" s="91" t="s">
        <v>228</v>
      </c>
      <c r="I371" s="91"/>
      <c r="J371" s="91"/>
      <c r="K371" s="91"/>
      <c r="L371" s="92" t="s">
        <v>302</v>
      </c>
      <c r="M371" s="91" t="str">
        <f t="shared" si="76"/>
        <v>no aplica</v>
      </c>
      <c r="N371" s="93">
        <v>41608</v>
      </c>
      <c r="O371" s="94"/>
      <c r="P371" s="94"/>
      <c r="Q371" s="94">
        <v>356</v>
      </c>
      <c r="R371" s="95">
        <f t="shared" si="64"/>
        <v>13791457.63876481</v>
      </c>
      <c r="S371" s="94">
        <v>9025196.2542000003</v>
      </c>
      <c r="T371" s="94">
        <f t="shared" si="65"/>
        <v>9636202.0406093411</v>
      </c>
      <c r="U371" s="94">
        <f t="shared" si="66"/>
        <v>10190283.657944379</v>
      </c>
      <c r="V371" s="94">
        <f t="shared" si="67"/>
        <v>10607066.259554304</v>
      </c>
      <c r="W371" s="97">
        <f t="shared" si="68"/>
        <v>10944370.966608131</v>
      </c>
      <c r="X371" s="97">
        <f t="shared" si="69"/>
        <v>11360257.063339241</v>
      </c>
      <c r="Y371" s="97">
        <f t="shared" si="73"/>
        <v>11543157.202059003</v>
      </c>
      <c r="Z371" s="97">
        <f t="shared" si="70"/>
        <v>12191882.636814719</v>
      </c>
      <c r="AA371" s="97">
        <f t="shared" si="71"/>
        <v>13791457.63876481</v>
      </c>
    </row>
    <row r="372" spans="1:27" x14ac:dyDescent="0.25">
      <c r="A372" s="102" t="s">
        <v>1009</v>
      </c>
      <c r="B372" s="87" t="s">
        <v>1010</v>
      </c>
      <c r="C372" s="88" t="s">
        <v>226</v>
      </c>
      <c r="D372" s="89" t="s">
        <v>262</v>
      </c>
      <c r="E372" s="90">
        <f t="shared" si="74"/>
        <v>16974451</v>
      </c>
      <c r="F372" s="90">
        <f t="shared" si="72"/>
        <v>14264244.507004397</v>
      </c>
      <c r="G372" s="91">
        <v>0.19</v>
      </c>
      <c r="H372" s="91" t="s">
        <v>228</v>
      </c>
      <c r="I372" s="91"/>
      <c r="J372" s="91"/>
      <c r="K372" s="91"/>
      <c r="L372" s="92" t="s">
        <v>302</v>
      </c>
      <c r="M372" s="91" t="str">
        <f t="shared" si="76"/>
        <v>no aplica</v>
      </c>
      <c r="N372" s="93">
        <v>41608</v>
      </c>
      <c r="O372" s="94"/>
      <c r="P372" s="94"/>
      <c r="Q372" s="94">
        <v>357</v>
      </c>
      <c r="R372" s="95">
        <f t="shared" si="64"/>
        <v>14264244.507004397</v>
      </c>
      <c r="S372" s="94">
        <v>9334590.2561999988</v>
      </c>
      <c r="T372" s="94">
        <f t="shared" si="65"/>
        <v>9966542.0165447388</v>
      </c>
      <c r="U372" s="94">
        <f t="shared" si="66"/>
        <v>10539618.182496062</v>
      </c>
      <c r="V372" s="94">
        <f t="shared" si="67"/>
        <v>10970688.56616015</v>
      </c>
      <c r="W372" s="97">
        <f t="shared" si="68"/>
        <v>11319556.462564044</v>
      </c>
      <c r="X372" s="97">
        <f t="shared" si="69"/>
        <v>11749699.608141478</v>
      </c>
      <c r="Y372" s="97">
        <f t="shared" si="73"/>
        <v>11938869.771832556</v>
      </c>
      <c r="Z372" s="97">
        <f t="shared" si="70"/>
        <v>12609834.253009545</v>
      </c>
      <c r="AA372" s="97">
        <f t="shared" si="71"/>
        <v>14264244.507004397</v>
      </c>
    </row>
    <row r="373" spans="1:27" x14ac:dyDescent="0.25">
      <c r="A373" s="102" t="s">
        <v>1011</v>
      </c>
      <c r="B373" s="87" t="s">
        <v>1012</v>
      </c>
      <c r="C373" s="88" t="s">
        <v>226</v>
      </c>
      <c r="D373" s="89" t="s">
        <v>262</v>
      </c>
      <c r="E373" s="90">
        <f t="shared" si="74"/>
        <v>20205029</v>
      </c>
      <c r="F373" s="90">
        <f t="shared" si="72"/>
        <v>16979015.628911681</v>
      </c>
      <c r="G373" s="91">
        <v>0.19</v>
      </c>
      <c r="H373" s="91" t="s">
        <v>228</v>
      </c>
      <c r="I373" s="91"/>
      <c r="J373" s="91"/>
      <c r="K373" s="91"/>
      <c r="L373" s="92" t="s">
        <v>302</v>
      </c>
      <c r="M373" s="91" t="str">
        <f t="shared" si="76"/>
        <v>no aplica</v>
      </c>
      <c r="N373" s="93">
        <v>41608</v>
      </c>
      <c r="O373" s="94"/>
      <c r="P373" s="94"/>
      <c r="Q373" s="94">
        <v>358</v>
      </c>
      <c r="R373" s="95">
        <f t="shared" si="64"/>
        <v>16979015.628911681</v>
      </c>
      <c r="S373" s="94">
        <v>11111149.544</v>
      </c>
      <c r="T373" s="94">
        <f t="shared" si="65"/>
        <v>11863374.368128801</v>
      </c>
      <c r="U373" s="94">
        <f t="shared" si="66"/>
        <v>12545518.394296208</v>
      </c>
      <c r="V373" s="94">
        <f t="shared" si="67"/>
        <v>13058630.096622923</v>
      </c>
      <c r="W373" s="97">
        <f t="shared" si="68"/>
        <v>13473894.533695534</v>
      </c>
      <c r="X373" s="97">
        <f t="shared" si="69"/>
        <v>13985902.525975965</v>
      </c>
      <c r="Y373" s="97">
        <f t="shared" si="73"/>
        <v>14211075.556644179</v>
      </c>
      <c r="Z373" s="97">
        <f t="shared" si="70"/>
        <v>15009738.002927583</v>
      </c>
      <c r="AA373" s="97">
        <f t="shared" si="71"/>
        <v>16979015.628911681</v>
      </c>
    </row>
    <row r="374" spans="1:27" x14ac:dyDescent="0.25">
      <c r="A374" s="102" t="s">
        <v>1013</v>
      </c>
      <c r="B374" s="87" t="s">
        <v>1014</v>
      </c>
      <c r="C374" s="88" t="s">
        <v>226</v>
      </c>
      <c r="D374" s="89" t="s">
        <v>262</v>
      </c>
      <c r="E374" s="90">
        <f t="shared" si="74"/>
        <v>2707720</v>
      </c>
      <c r="F374" s="90">
        <f t="shared" si="72"/>
        <v>2275394.7157741254</v>
      </c>
      <c r="G374" s="91">
        <v>0.19</v>
      </c>
      <c r="H374" s="91" t="s">
        <v>228</v>
      </c>
      <c r="I374" s="91"/>
      <c r="J374" s="91"/>
      <c r="K374" s="91"/>
      <c r="L374" s="92" t="s">
        <v>302</v>
      </c>
      <c r="M374" s="91" t="str">
        <f t="shared" si="76"/>
        <v>no aplica</v>
      </c>
      <c r="N374" s="93">
        <v>41608</v>
      </c>
      <c r="O374" s="94"/>
      <c r="P374" s="94"/>
      <c r="Q374" s="94">
        <v>359</v>
      </c>
      <c r="R374" s="95">
        <f t="shared" si="64"/>
        <v>2275394.7157741254</v>
      </c>
      <c r="S374" s="94">
        <v>1489029.253</v>
      </c>
      <c r="T374" s="94">
        <f t="shared" si="65"/>
        <v>1589836.5334281002</v>
      </c>
      <c r="U374" s="94">
        <f t="shared" si="66"/>
        <v>1681252.1341002162</v>
      </c>
      <c r="V374" s="94">
        <f t="shared" si="67"/>
        <v>1750015.3463849151</v>
      </c>
      <c r="W374" s="97">
        <f t="shared" si="68"/>
        <v>1805665.8343999553</v>
      </c>
      <c r="X374" s="97">
        <f t="shared" si="69"/>
        <v>1874281.1361071537</v>
      </c>
      <c r="Y374" s="97">
        <f t="shared" si="73"/>
        <v>1904457.0623984789</v>
      </c>
      <c r="Z374" s="97">
        <f t="shared" si="70"/>
        <v>2011487.5493052735</v>
      </c>
      <c r="AA374" s="97">
        <f t="shared" si="71"/>
        <v>2275394.7157741254</v>
      </c>
    </row>
    <row r="375" spans="1:27" x14ac:dyDescent="0.25">
      <c r="A375" s="102" t="s">
        <v>1015</v>
      </c>
      <c r="B375" s="87" t="s">
        <v>1016</v>
      </c>
      <c r="C375" s="88" t="s">
        <v>226</v>
      </c>
      <c r="D375" s="89" t="s">
        <v>262</v>
      </c>
      <c r="E375" s="90">
        <f t="shared" si="74"/>
        <v>3242506</v>
      </c>
      <c r="F375" s="90">
        <f t="shared" si="72"/>
        <v>2724794.8941531302</v>
      </c>
      <c r="G375" s="91">
        <v>0.19</v>
      </c>
      <c r="H375" s="91" t="s">
        <v>228</v>
      </c>
      <c r="I375" s="91"/>
      <c r="J375" s="91"/>
      <c r="K375" s="91"/>
      <c r="L375" s="92" t="s">
        <v>302</v>
      </c>
      <c r="M375" s="91" t="str">
        <f t="shared" si="76"/>
        <v>no aplica</v>
      </c>
      <c r="N375" s="93">
        <v>41608</v>
      </c>
      <c r="O375" s="94"/>
      <c r="P375" s="94"/>
      <c r="Q375" s="94">
        <v>360</v>
      </c>
      <c r="R375" s="95">
        <f t="shared" si="64"/>
        <v>2724794.8941531302</v>
      </c>
      <c r="S375" s="94">
        <v>1783118.8925999999</v>
      </c>
      <c r="T375" s="94">
        <f t="shared" si="65"/>
        <v>1903836.0416290201</v>
      </c>
      <c r="U375" s="94">
        <f t="shared" si="66"/>
        <v>2013306.6140226889</v>
      </c>
      <c r="V375" s="94">
        <f t="shared" si="67"/>
        <v>2095650.8545362167</v>
      </c>
      <c r="W375" s="97">
        <f t="shared" si="68"/>
        <v>2162292.5517104687</v>
      </c>
      <c r="X375" s="97">
        <f t="shared" si="69"/>
        <v>2244459.6686754664</v>
      </c>
      <c r="Y375" s="97">
        <f t="shared" si="73"/>
        <v>2280595.4693411416</v>
      </c>
      <c r="Z375" s="97">
        <f t="shared" si="70"/>
        <v>2408764.9347181139</v>
      </c>
      <c r="AA375" s="97">
        <f t="shared" si="71"/>
        <v>2724794.8941531302</v>
      </c>
    </row>
    <row r="376" spans="1:27" x14ac:dyDescent="0.25">
      <c r="A376" s="102" t="s">
        <v>1017</v>
      </c>
      <c r="B376" s="87" t="s">
        <v>1018</v>
      </c>
      <c r="C376" s="88" t="s">
        <v>226</v>
      </c>
      <c r="D376" s="89" t="s">
        <v>262</v>
      </c>
      <c r="E376" s="90">
        <f t="shared" si="74"/>
        <v>4713045</v>
      </c>
      <c r="F376" s="90">
        <f t="shared" si="72"/>
        <v>3960541.6304156696</v>
      </c>
      <c r="G376" s="91">
        <v>0.19</v>
      </c>
      <c r="H376" s="91" t="s">
        <v>228</v>
      </c>
      <c r="I376" s="91"/>
      <c r="J376" s="91"/>
      <c r="K376" s="91"/>
      <c r="L376" s="92" t="s">
        <v>302</v>
      </c>
      <c r="M376" s="91" t="str">
        <f t="shared" si="76"/>
        <v>no aplica</v>
      </c>
      <c r="N376" s="93">
        <v>41608</v>
      </c>
      <c r="O376" s="94"/>
      <c r="P376" s="94"/>
      <c r="Q376" s="94">
        <v>361</v>
      </c>
      <c r="R376" s="95">
        <f t="shared" si="64"/>
        <v>3960541.6304156696</v>
      </c>
      <c r="S376" s="94">
        <v>2591797.5041999999</v>
      </c>
      <c r="T376" s="94">
        <f t="shared" si="65"/>
        <v>2767262.1952343401</v>
      </c>
      <c r="U376" s="94">
        <f t="shared" si="66"/>
        <v>2926379.7714603152</v>
      </c>
      <c r="V376" s="94">
        <f t="shared" si="67"/>
        <v>3046068.704113042</v>
      </c>
      <c r="W376" s="97">
        <f t="shared" si="68"/>
        <v>3142933.688903837</v>
      </c>
      <c r="X376" s="97">
        <f t="shared" si="69"/>
        <v>3262365.1690821829</v>
      </c>
      <c r="Y376" s="97">
        <f t="shared" si="73"/>
        <v>3314889.2483044062</v>
      </c>
      <c r="Z376" s="97">
        <f t="shared" si="70"/>
        <v>3501186.024059114</v>
      </c>
      <c r="AA376" s="97">
        <f t="shared" si="71"/>
        <v>3960541.6304156696</v>
      </c>
    </row>
    <row r="377" spans="1:27" x14ac:dyDescent="0.25">
      <c r="A377" s="102" t="s">
        <v>1019</v>
      </c>
      <c r="B377" s="87" t="s">
        <v>1020</v>
      </c>
      <c r="C377" s="88" t="s">
        <v>226</v>
      </c>
      <c r="D377" s="89" t="s">
        <v>262</v>
      </c>
      <c r="E377" s="90">
        <f t="shared" si="74"/>
        <v>8963353</v>
      </c>
      <c r="F377" s="90">
        <f t="shared" si="72"/>
        <v>7532229.6448027259</v>
      </c>
      <c r="G377" s="91">
        <v>0.19</v>
      </c>
      <c r="H377" s="91" t="s">
        <v>228</v>
      </c>
      <c r="I377" s="91"/>
      <c r="J377" s="91"/>
      <c r="K377" s="91"/>
      <c r="L377" s="92" t="s">
        <v>302</v>
      </c>
      <c r="M377" s="91" t="str">
        <f t="shared" si="76"/>
        <v>no aplica</v>
      </c>
      <c r="N377" s="93">
        <v>41608</v>
      </c>
      <c r="O377" s="94"/>
      <c r="P377" s="94"/>
      <c r="Q377" s="94">
        <v>362</v>
      </c>
      <c r="R377" s="95">
        <f t="shared" si="64"/>
        <v>7532229.6448027259</v>
      </c>
      <c r="S377" s="94">
        <v>4929127.3306</v>
      </c>
      <c r="T377" s="94">
        <f t="shared" si="65"/>
        <v>5262829.2508816207</v>
      </c>
      <c r="U377" s="94">
        <f t="shared" si="66"/>
        <v>5565441.9328073142</v>
      </c>
      <c r="V377" s="94">
        <f t="shared" si="67"/>
        <v>5793068.5078591332</v>
      </c>
      <c r="W377" s="97">
        <f t="shared" si="68"/>
        <v>5977288.0864090538</v>
      </c>
      <c r="X377" s="97">
        <f t="shared" si="69"/>
        <v>6204425.0336925983</v>
      </c>
      <c r="Y377" s="97">
        <f t="shared" si="73"/>
        <v>6304316.2767350487</v>
      </c>
      <c r="Z377" s="97">
        <f t="shared" si="70"/>
        <v>6658618.8514875583</v>
      </c>
      <c r="AA377" s="97">
        <f t="shared" si="71"/>
        <v>7532229.6448027259</v>
      </c>
    </row>
    <row r="378" spans="1:27" x14ac:dyDescent="0.25">
      <c r="A378" s="102" t="s">
        <v>1021</v>
      </c>
      <c r="B378" s="87" t="s">
        <v>1022</v>
      </c>
      <c r="C378" s="88" t="s">
        <v>226</v>
      </c>
      <c r="D378" s="89" t="s">
        <v>262</v>
      </c>
      <c r="E378" s="90">
        <f t="shared" si="74"/>
        <v>135720102</v>
      </c>
      <c r="F378" s="90">
        <f t="shared" si="72"/>
        <v>114050505.95788729</v>
      </c>
      <c r="G378" s="91">
        <v>0.19</v>
      </c>
      <c r="H378" s="91" t="s">
        <v>228</v>
      </c>
      <c r="I378" s="91"/>
      <c r="J378" s="91"/>
      <c r="K378" s="91"/>
      <c r="L378" s="92" t="s">
        <v>302</v>
      </c>
      <c r="M378" s="91" t="str">
        <f t="shared" si="76"/>
        <v>no aplica</v>
      </c>
      <c r="N378" s="93">
        <v>41608</v>
      </c>
      <c r="O378" s="94"/>
      <c r="P378" s="94"/>
      <c r="Q378" s="94">
        <v>363</v>
      </c>
      <c r="R378" s="95">
        <f t="shared" si="64"/>
        <v>114050505.95788729</v>
      </c>
      <c r="S378" s="94">
        <v>74635200</v>
      </c>
      <c r="T378" s="94">
        <f t="shared" si="65"/>
        <v>79688003.040000007</v>
      </c>
      <c r="U378" s="94">
        <f t="shared" si="66"/>
        <v>84270063.214800015</v>
      </c>
      <c r="V378" s="94">
        <f t="shared" si="67"/>
        <v>87716708.800285324</v>
      </c>
      <c r="W378" s="97">
        <f t="shared" si="68"/>
        <v>90506100.140134409</v>
      </c>
      <c r="X378" s="97">
        <f t="shared" si="69"/>
        <v>93945331.945459515</v>
      </c>
      <c r="Y378" s="97">
        <f t="shared" si="73"/>
        <v>95457851.789781407</v>
      </c>
      <c r="Z378" s="97">
        <f t="shared" si="70"/>
        <v>100822583.06036712</v>
      </c>
      <c r="AA378" s="97">
        <f t="shared" si="71"/>
        <v>114050505.95788729</v>
      </c>
    </row>
    <row r="379" spans="1:27" x14ac:dyDescent="0.25">
      <c r="A379" s="102" t="s">
        <v>1023</v>
      </c>
      <c r="B379" s="87" t="s">
        <v>1024</v>
      </c>
      <c r="C379" s="88" t="s">
        <v>226</v>
      </c>
      <c r="D379" s="89" t="s">
        <v>262</v>
      </c>
      <c r="E379" s="90">
        <f t="shared" si="74"/>
        <v>20358015</v>
      </c>
      <c r="F379" s="90">
        <f t="shared" si="72"/>
        <v>17107575.893683091</v>
      </c>
      <c r="G379" s="91">
        <v>0.19</v>
      </c>
      <c r="H379" s="91" t="s">
        <v>228</v>
      </c>
      <c r="I379" s="91"/>
      <c r="J379" s="91"/>
      <c r="K379" s="91"/>
      <c r="L379" s="92" t="s">
        <v>302</v>
      </c>
      <c r="M379" s="91" t="str">
        <f t="shared" si="76"/>
        <v>no aplica</v>
      </c>
      <c r="N379" s="93">
        <v>41608</v>
      </c>
      <c r="O379" s="94"/>
      <c r="P379" s="94"/>
      <c r="Q379" s="94">
        <v>364</v>
      </c>
      <c r="R379" s="95">
        <f t="shared" si="64"/>
        <v>17107575.893683091</v>
      </c>
      <c r="S379" s="94">
        <v>11195280</v>
      </c>
      <c r="T379" s="94">
        <f t="shared" si="65"/>
        <v>11953200.456</v>
      </c>
      <c r="U379" s="94">
        <f t="shared" si="66"/>
        <v>12640509.482220002</v>
      </c>
      <c r="V379" s="94">
        <f t="shared" si="67"/>
        <v>13157506.320042798</v>
      </c>
      <c r="W379" s="97">
        <f t="shared" si="68"/>
        <v>13575915.021020159</v>
      </c>
      <c r="X379" s="97">
        <f t="shared" si="69"/>
        <v>14091799.791818926</v>
      </c>
      <c r="Y379" s="97">
        <f t="shared" si="73"/>
        <v>14318677.76846721</v>
      </c>
      <c r="Z379" s="97">
        <f t="shared" si="70"/>
        <v>15123387.459055068</v>
      </c>
      <c r="AA379" s="97">
        <f t="shared" si="71"/>
        <v>17107575.893683091</v>
      </c>
    </row>
    <row r="380" spans="1:27" x14ac:dyDescent="0.25">
      <c r="A380" s="102" t="s">
        <v>1025</v>
      </c>
      <c r="B380" s="87" t="s">
        <v>1026</v>
      </c>
      <c r="C380" s="88" t="s">
        <v>226</v>
      </c>
      <c r="D380" s="89" t="s">
        <v>262</v>
      </c>
      <c r="E380" s="90">
        <f t="shared" si="74"/>
        <v>20735016</v>
      </c>
      <c r="F380" s="90">
        <f t="shared" si="72"/>
        <v>17424382.85467723</v>
      </c>
      <c r="G380" s="91">
        <v>0.19</v>
      </c>
      <c r="H380" s="91" t="s">
        <v>228</v>
      </c>
      <c r="I380" s="91"/>
      <c r="J380" s="91"/>
      <c r="K380" s="91"/>
      <c r="L380" s="92" t="s">
        <v>302</v>
      </c>
      <c r="M380" s="91" t="str">
        <f t="shared" si="76"/>
        <v>no aplica</v>
      </c>
      <c r="N380" s="93">
        <v>41608</v>
      </c>
      <c r="O380" s="94"/>
      <c r="P380" s="94"/>
      <c r="Q380" s="94">
        <v>365</v>
      </c>
      <c r="R380" s="95">
        <f t="shared" si="64"/>
        <v>17424382.85467723</v>
      </c>
      <c r="S380" s="94">
        <v>11402600</v>
      </c>
      <c r="T380" s="94">
        <f t="shared" si="65"/>
        <v>12174556.020000001</v>
      </c>
      <c r="U380" s="94">
        <f t="shared" si="66"/>
        <v>12874592.991150003</v>
      </c>
      <c r="V380" s="94">
        <f t="shared" si="67"/>
        <v>13401163.844488038</v>
      </c>
      <c r="W380" s="97">
        <f t="shared" si="68"/>
        <v>13827320.854742758</v>
      </c>
      <c r="X380" s="97">
        <f t="shared" si="69"/>
        <v>14352759.047222983</v>
      </c>
      <c r="Y380" s="97">
        <f t="shared" si="73"/>
        <v>14583838.467883274</v>
      </c>
      <c r="Z380" s="97">
        <f t="shared" si="70"/>
        <v>15403450.189778315</v>
      </c>
      <c r="AA380" s="97">
        <f t="shared" si="71"/>
        <v>17424382.85467723</v>
      </c>
    </row>
    <row r="381" spans="1:27" x14ac:dyDescent="0.25">
      <c r="A381" s="105" t="s">
        <v>1027</v>
      </c>
      <c r="B381" s="106" t="s">
        <v>1028</v>
      </c>
      <c r="C381" s="107"/>
      <c r="D381" s="108"/>
      <c r="E381" s="90">
        <f t="shared" si="74"/>
        <v>0</v>
      </c>
      <c r="F381" s="90">
        <f t="shared" si="72"/>
        <v>0</v>
      </c>
      <c r="G381" s="81"/>
      <c r="H381" s="81"/>
      <c r="I381" s="81"/>
      <c r="J381" s="81"/>
      <c r="K381" s="81"/>
      <c r="L381" s="92"/>
      <c r="M381" s="91"/>
      <c r="N381" s="93">
        <v>41608</v>
      </c>
      <c r="O381" s="109"/>
      <c r="P381" s="109"/>
      <c r="Q381" s="109">
        <v>0</v>
      </c>
      <c r="R381" s="95">
        <f t="shared" si="64"/>
        <v>0</v>
      </c>
      <c r="S381" s="109">
        <v>0</v>
      </c>
      <c r="T381" s="94">
        <f t="shared" si="65"/>
        <v>0</v>
      </c>
      <c r="U381" s="94">
        <f t="shared" si="66"/>
        <v>0</v>
      </c>
      <c r="V381" s="94">
        <f t="shared" si="67"/>
        <v>0</v>
      </c>
      <c r="W381" s="97">
        <f t="shared" si="68"/>
        <v>0</v>
      </c>
      <c r="X381" s="97">
        <f t="shared" si="69"/>
        <v>0</v>
      </c>
      <c r="Y381" s="97">
        <f t="shared" si="73"/>
        <v>0</v>
      </c>
      <c r="Z381" s="97">
        <f t="shared" si="70"/>
        <v>0</v>
      </c>
      <c r="AA381" s="97">
        <f t="shared" si="71"/>
        <v>0</v>
      </c>
    </row>
    <row r="382" spans="1:27" x14ac:dyDescent="0.25">
      <c r="A382" s="86" t="s">
        <v>1029</v>
      </c>
      <c r="B382" s="87" t="s">
        <v>1030</v>
      </c>
      <c r="C382" s="88" t="s">
        <v>1031</v>
      </c>
      <c r="D382" s="89" t="s">
        <v>4099</v>
      </c>
      <c r="E382" s="90">
        <f t="shared" si="74"/>
        <v>8669</v>
      </c>
      <c r="F382" s="90">
        <f t="shared" si="72"/>
        <v>7284.4818785405378</v>
      </c>
      <c r="G382" s="91">
        <v>0.19</v>
      </c>
      <c r="H382" s="91" t="s">
        <v>228</v>
      </c>
      <c r="I382" s="91" t="s">
        <v>228</v>
      </c>
      <c r="J382" s="91" t="s">
        <v>228</v>
      </c>
      <c r="K382" s="91" t="s">
        <v>228</v>
      </c>
      <c r="L382" s="92" t="s">
        <v>302</v>
      </c>
      <c r="M382" s="91" t="str">
        <f t="shared" ref="M382:M445" si="77">+IF(L382="no aplica","no aplica","VER ARCHIVO ANEXO")</f>
        <v>no aplica</v>
      </c>
      <c r="N382" s="93">
        <v>41608</v>
      </c>
      <c r="O382" s="94"/>
      <c r="P382" s="94"/>
      <c r="Q382" s="94">
        <v>1</v>
      </c>
      <c r="R382" s="95">
        <f t="shared" si="64"/>
        <v>7284.4818785405378</v>
      </c>
      <c r="S382" s="94">
        <v>4767</v>
      </c>
      <c r="T382" s="94">
        <f t="shared" si="65"/>
        <v>5089.7259000000004</v>
      </c>
      <c r="U382" s="94">
        <f t="shared" si="66"/>
        <v>5382.385139250001</v>
      </c>
      <c r="V382" s="94">
        <f t="shared" si="67"/>
        <v>5602.5246914453255</v>
      </c>
      <c r="W382" s="97">
        <f t="shared" si="68"/>
        <v>5780.6849766332871</v>
      </c>
      <c r="X382" s="97">
        <f t="shared" si="69"/>
        <v>6000.3510057453523</v>
      </c>
      <c r="Y382" s="97">
        <f t="shared" si="73"/>
        <v>6096.9566569378521</v>
      </c>
      <c r="Z382" s="97">
        <f t="shared" si="70"/>
        <v>6439.6056210577599</v>
      </c>
      <c r="AA382" s="97">
        <f t="shared" si="71"/>
        <v>7284.4818785405378</v>
      </c>
    </row>
    <row r="383" spans="1:27" x14ac:dyDescent="0.25">
      <c r="A383" s="102" t="s">
        <v>1033</v>
      </c>
      <c r="B383" s="87" t="s">
        <v>1034</v>
      </c>
      <c r="C383" s="88" t="s">
        <v>1031</v>
      </c>
      <c r="D383" s="89" t="s">
        <v>89</v>
      </c>
      <c r="E383" s="90">
        <f t="shared" si="74"/>
        <v>165329</v>
      </c>
      <c r="F383" s="90">
        <f t="shared" si="72"/>
        <v>138932.35230399595</v>
      </c>
      <c r="G383" s="91">
        <v>0.19</v>
      </c>
      <c r="H383" s="91" t="s">
        <v>228</v>
      </c>
      <c r="I383" s="91" t="s">
        <v>228</v>
      </c>
      <c r="J383" s="91" t="s">
        <v>228</v>
      </c>
      <c r="K383" s="91"/>
      <c r="L383" s="92" t="s">
        <v>302</v>
      </c>
      <c r="M383" s="91" t="str">
        <f t="shared" si="77"/>
        <v>no aplica</v>
      </c>
      <c r="N383" s="93">
        <v>41608</v>
      </c>
      <c r="O383" s="94"/>
      <c r="P383" s="94"/>
      <c r="Q383" s="94">
        <v>2</v>
      </c>
      <c r="R383" s="95">
        <f t="shared" si="64"/>
        <v>138932.35230399595</v>
      </c>
      <c r="S383" s="94">
        <v>90918</v>
      </c>
      <c r="T383" s="94">
        <f t="shared" si="65"/>
        <v>97073.148600000015</v>
      </c>
      <c r="U383" s="94">
        <f t="shared" si="66"/>
        <v>102654.85464450002</v>
      </c>
      <c r="V383" s="94">
        <f t="shared" si="67"/>
        <v>106853.43819946007</v>
      </c>
      <c r="W383" s="97">
        <f t="shared" si="68"/>
        <v>110251.37753420291</v>
      </c>
      <c r="X383" s="97">
        <f t="shared" si="69"/>
        <v>114440.92988050262</v>
      </c>
      <c r="Y383" s="97">
        <f t="shared" si="73"/>
        <v>116283.4288515787</v>
      </c>
      <c r="Z383" s="97">
        <f t="shared" si="70"/>
        <v>122818.55755303743</v>
      </c>
      <c r="AA383" s="97">
        <f t="shared" si="71"/>
        <v>138932.35230399595</v>
      </c>
    </row>
    <row r="384" spans="1:27" x14ac:dyDescent="0.25">
      <c r="A384" s="102" t="s">
        <v>1035</v>
      </c>
      <c r="B384" s="119" t="s">
        <v>1036</v>
      </c>
      <c r="C384" s="88" t="s">
        <v>1031</v>
      </c>
      <c r="D384" s="89" t="s">
        <v>89</v>
      </c>
      <c r="E384" s="90">
        <f t="shared" si="74"/>
        <v>74398</v>
      </c>
      <c r="F384" s="90">
        <f t="shared" si="72"/>
        <v>62519.405726186087</v>
      </c>
      <c r="G384" s="91">
        <v>0.19</v>
      </c>
      <c r="H384" s="91" t="s">
        <v>228</v>
      </c>
      <c r="I384" s="91" t="s">
        <v>228</v>
      </c>
      <c r="J384" s="91" t="s">
        <v>228</v>
      </c>
      <c r="K384" s="91"/>
      <c r="L384" s="92" t="s">
        <v>302</v>
      </c>
      <c r="M384" s="91" t="str">
        <f t="shared" si="77"/>
        <v>no aplica</v>
      </c>
      <c r="N384" s="93">
        <v>41608</v>
      </c>
      <c r="O384" s="94"/>
      <c r="P384" s="94"/>
      <c r="Q384" s="94">
        <v>3</v>
      </c>
      <c r="R384" s="95">
        <f t="shared" si="64"/>
        <v>62519.405726186087</v>
      </c>
      <c r="S384" s="94">
        <v>40913</v>
      </c>
      <c r="T384" s="94">
        <f t="shared" si="65"/>
        <v>43682.810100000002</v>
      </c>
      <c r="U384" s="94">
        <f t="shared" si="66"/>
        <v>46194.571680750007</v>
      </c>
      <c r="V384" s="94">
        <f t="shared" si="67"/>
        <v>48083.929662492679</v>
      </c>
      <c r="W384" s="97">
        <f t="shared" si="68"/>
        <v>49612.998625759952</v>
      </c>
      <c r="X384" s="97">
        <f t="shared" si="69"/>
        <v>51498.292573538834</v>
      </c>
      <c r="Y384" s="97">
        <f t="shared" si="73"/>
        <v>52327.41508397281</v>
      </c>
      <c r="Z384" s="97">
        <f t="shared" si="70"/>
        <v>55268.215811692084</v>
      </c>
      <c r="AA384" s="97">
        <f t="shared" si="71"/>
        <v>62519.405726186087</v>
      </c>
    </row>
    <row r="385" spans="1:27" x14ac:dyDescent="0.25">
      <c r="A385" s="102" t="s">
        <v>1037</v>
      </c>
      <c r="B385" s="119" t="s">
        <v>1038</v>
      </c>
      <c r="C385" s="88" t="s">
        <v>1031</v>
      </c>
      <c r="D385" s="89" t="s">
        <v>89</v>
      </c>
      <c r="E385" s="90">
        <f t="shared" si="74"/>
        <v>85971</v>
      </c>
      <c r="F385" s="90">
        <f t="shared" si="72"/>
        <v>72244.273079874343</v>
      </c>
      <c r="G385" s="91">
        <v>0.19</v>
      </c>
      <c r="H385" s="91" t="s">
        <v>228</v>
      </c>
      <c r="I385" s="91" t="s">
        <v>228</v>
      </c>
      <c r="J385" s="91" t="s">
        <v>228</v>
      </c>
      <c r="K385" s="91"/>
      <c r="L385" s="92" t="s">
        <v>302</v>
      </c>
      <c r="M385" s="91" t="str">
        <f t="shared" si="77"/>
        <v>no aplica</v>
      </c>
      <c r="N385" s="93">
        <v>41608</v>
      </c>
      <c r="O385" s="94"/>
      <c r="P385" s="94"/>
      <c r="Q385" s="94">
        <v>4</v>
      </c>
      <c r="R385" s="95">
        <f t="shared" si="64"/>
        <v>72244.273079874343</v>
      </c>
      <c r="S385" s="94">
        <v>47277</v>
      </c>
      <c r="T385" s="94">
        <f t="shared" si="65"/>
        <v>50477.652900000001</v>
      </c>
      <c r="U385" s="94">
        <f t="shared" si="66"/>
        <v>53380.11794175001</v>
      </c>
      <c r="V385" s="94">
        <f t="shared" si="67"/>
        <v>55563.364765567581</v>
      </c>
      <c r="W385" s="97">
        <f t="shared" si="68"/>
        <v>57330.279765112631</v>
      </c>
      <c r="X385" s="97">
        <f t="shared" si="69"/>
        <v>59508.83039618691</v>
      </c>
      <c r="Y385" s="97">
        <f t="shared" si="73"/>
        <v>60466.922565565517</v>
      </c>
      <c r="Z385" s="97">
        <f t="shared" si="70"/>
        <v>63865.163613750301</v>
      </c>
      <c r="AA385" s="97">
        <f t="shared" si="71"/>
        <v>72244.273079874343</v>
      </c>
    </row>
    <row r="386" spans="1:27" x14ac:dyDescent="0.25">
      <c r="A386" s="102" t="s">
        <v>1039</v>
      </c>
      <c r="B386" s="119" t="s">
        <v>1040</v>
      </c>
      <c r="C386" s="88" t="s">
        <v>1031</v>
      </c>
      <c r="D386" s="89" t="s">
        <v>89</v>
      </c>
      <c r="E386" s="90">
        <f t="shared" si="74"/>
        <v>132265</v>
      </c>
      <c r="F386" s="90">
        <f t="shared" si="72"/>
        <v>111146.7987068693</v>
      </c>
      <c r="G386" s="91">
        <v>0.19</v>
      </c>
      <c r="H386" s="91" t="s">
        <v>228</v>
      </c>
      <c r="I386" s="91" t="s">
        <v>228</v>
      </c>
      <c r="J386" s="91" t="s">
        <v>228</v>
      </c>
      <c r="K386" s="91"/>
      <c r="L386" s="92" t="s">
        <v>302</v>
      </c>
      <c r="M386" s="91" t="str">
        <f t="shared" si="77"/>
        <v>no aplica</v>
      </c>
      <c r="N386" s="93">
        <v>41608</v>
      </c>
      <c r="O386" s="94"/>
      <c r="P386" s="94"/>
      <c r="Q386" s="94">
        <v>5</v>
      </c>
      <c r="R386" s="95">
        <f t="shared" si="64"/>
        <v>111146.7987068693</v>
      </c>
      <c r="S386" s="94">
        <v>72735</v>
      </c>
      <c r="T386" s="94">
        <f t="shared" si="65"/>
        <v>77659.159500000009</v>
      </c>
      <c r="U386" s="94">
        <f t="shared" si="66"/>
        <v>82124.56117125001</v>
      </c>
      <c r="V386" s="94">
        <f t="shared" si="67"/>
        <v>85483.455723154126</v>
      </c>
      <c r="W386" s="97">
        <f t="shared" si="68"/>
        <v>88201.829615150433</v>
      </c>
      <c r="X386" s="97">
        <f t="shared" si="69"/>
        <v>91553.499140526153</v>
      </c>
      <c r="Y386" s="97">
        <f t="shared" si="73"/>
        <v>93027.510476688622</v>
      </c>
      <c r="Z386" s="97">
        <f t="shared" si="70"/>
        <v>98255.656565478523</v>
      </c>
      <c r="AA386" s="97">
        <f t="shared" si="71"/>
        <v>111146.7987068693</v>
      </c>
    </row>
    <row r="387" spans="1:27" x14ac:dyDescent="0.25">
      <c r="A387" s="86" t="s">
        <v>1041</v>
      </c>
      <c r="B387" s="110" t="s">
        <v>1042</v>
      </c>
      <c r="C387" s="88" t="s">
        <v>1031</v>
      </c>
      <c r="D387" s="89" t="s">
        <v>89</v>
      </c>
      <c r="E387" s="90">
        <f t="shared" si="74"/>
        <v>89278</v>
      </c>
      <c r="F387" s="90">
        <f t="shared" si="72"/>
        <v>75023.898113871677</v>
      </c>
      <c r="G387" s="91">
        <v>0.19</v>
      </c>
      <c r="H387" s="91" t="s">
        <v>228</v>
      </c>
      <c r="I387" s="91" t="s">
        <v>228</v>
      </c>
      <c r="J387" s="91" t="s">
        <v>228</v>
      </c>
      <c r="K387" s="91" t="s">
        <v>228</v>
      </c>
      <c r="L387" s="92" t="s">
        <v>302</v>
      </c>
      <c r="M387" s="91" t="str">
        <f t="shared" si="77"/>
        <v>no aplica</v>
      </c>
      <c r="N387" s="93">
        <v>41608</v>
      </c>
      <c r="O387" s="94"/>
      <c r="P387" s="94"/>
      <c r="Q387" s="94">
        <v>6</v>
      </c>
      <c r="R387" s="95">
        <f t="shared" si="64"/>
        <v>75023.898113871677</v>
      </c>
      <c r="S387" s="94">
        <v>49096</v>
      </c>
      <c r="T387" s="94">
        <f t="shared" si="65"/>
        <v>52419.799200000001</v>
      </c>
      <c r="U387" s="94">
        <f t="shared" si="66"/>
        <v>55433.937654000008</v>
      </c>
      <c r="V387" s="94">
        <f t="shared" si="67"/>
        <v>57701.185704048607</v>
      </c>
      <c r="W387" s="97">
        <f t="shared" si="68"/>
        <v>59536.083409437357</v>
      </c>
      <c r="X387" s="97">
        <f t="shared" si="69"/>
        <v>61798.454578995981</v>
      </c>
      <c r="Y387" s="97">
        <f t="shared" si="73"/>
        <v>62793.40969771782</v>
      </c>
      <c r="Z387" s="97">
        <f t="shared" si="70"/>
        <v>66322.399322729558</v>
      </c>
      <c r="AA387" s="97">
        <f t="shared" si="71"/>
        <v>75023.898113871677</v>
      </c>
    </row>
    <row r="388" spans="1:27" x14ac:dyDescent="0.25">
      <c r="A388" s="86" t="s">
        <v>1043</v>
      </c>
      <c r="B388" s="119" t="s">
        <v>1044</v>
      </c>
      <c r="C388" s="88" t="s">
        <v>1031</v>
      </c>
      <c r="D388" s="89" t="s">
        <v>89</v>
      </c>
      <c r="E388" s="90">
        <f t="shared" si="74"/>
        <v>90931</v>
      </c>
      <c r="F388" s="90">
        <f t="shared" si="72"/>
        <v>76412.946577809867</v>
      </c>
      <c r="G388" s="91">
        <v>0.19</v>
      </c>
      <c r="H388" s="91" t="s">
        <v>228</v>
      </c>
      <c r="I388" s="91" t="s">
        <v>228</v>
      </c>
      <c r="J388" s="91" t="s">
        <v>228</v>
      </c>
      <c r="K388" s="91" t="s">
        <v>228</v>
      </c>
      <c r="L388" s="92" t="s">
        <v>302</v>
      </c>
      <c r="M388" s="91" t="str">
        <f t="shared" si="77"/>
        <v>no aplica</v>
      </c>
      <c r="N388" s="93">
        <v>41608</v>
      </c>
      <c r="O388" s="94"/>
      <c r="P388" s="94"/>
      <c r="Q388" s="94">
        <v>7</v>
      </c>
      <c r="R388" s="95">
        <f t="shared" si="64"/>
        <v>76412.946577809867</v>
      </c>
      <c r="S388" s="94">
        <v>50005</v>
      </c>
      <c r="T388" s="94">
        <f t="shared" si="65"/>
        <v>53390.338500000005</v>
      </c>
      <c r="U388" s="94">
        <f t="shared" si="66"/>
        <v>56460.282963750011</v>
      </c>
      <c r="V388" s="94">
        <f t="shared" si="67"/>
        <v>58769.508536967383</v>
      </c>
      <c r="W388" s="97">
        <f t="shared" si="68"/>
        <v>60638.378908442952</v>
      </c>
      <c r="X388" s="97">
        <f t="shared" si="69"/>
        <v>62942.637306963785</v>
      </c>
      <c r="Y388" s="97">
        <f t="shared" si="73"/>
        <v>63956.013767605902</v>
      </c>
      <c r="Z388" s="97">
        <f t="shared" si="70"/>
        <v>67550.341741345357</v>
      </c>
      <c r="AA388" s="97">
        <f t="shared" si="71"/>
        <v>76412.946577809867</v>
      </c>
    </row>
    <row r="389" spans="1:27" x14ac:dyDescent="0.25">
      <c r="A389" s="86" t="s">
        <v>1045</v>
      </c>
      <c r="B389" s="110" t="s">
        <v>1046</v>
      </c>
      <c r="C389" s="88" t="s">
        <v>1031</v>
      </c>
      <c r="D389" s="89" t="s">
        <v>1032</v>
      </c>
      <c r="E389" s="90">
        <f t="shared" si="74"/>
        <v>57865</v>
      </c>
      <c r="F389" s="90">
        <f t="shared" si="72"/>
        <v>48625.864874562285</v>
      </c>
      <c r="G389" s="91">
        <v>0.19</v>
      </c>
      <c r="H389" s="91" t="s">
        <v>228</v>
      </c>
      <c r="I389" s="91" t="s">
        <v>228</v>
      </c>
      <c r="J389" s="91" t="s">
        <v>228</v>
      </c>
      <c r="K389" s="91" t="s">
        <v>228</v>
      </c>
      <c r="L389" s="92" t="s">
        <v>302</v>
      </c>
      <c r="M389" s="91" t="str">
        <f t="shared" si="77"/>
        <v>no aplica</v>
      </c>
      <c r="N389" s="93">
        <v>41608</v>
      </c>
      <c r="O389" s="94"/>
      <c r="P389" s="94"/>
      <c r="Q389" s="94">
        <v>8</v>
      </c>
      <c r="R389" s="95">
        <f t="shared" si="64"/>
        <v>48625.864874562285</v>
      </c>
      <c r="S389" s="94">
        <v>31821</v>
      </c>
      <c r="T389" s="94">
        <f t="shared" si="65"/>
        <v>33975.2817</v>
      </c>
      <c r="U389" s="94">
        <f t="shared" si="66"/>
        <v>35928.860397750002</v>
      </c>
      <c r="V389" s="94">
        <f t="shared" si="67"/>
        <v>37398.350788017975</v>
      </c>
      <c r="W389" s="97">
        <f t="shared" si="68"/>
        <v>38587.618343076945</v>
      </c>
      <c r="X389" s="97">
        <f t="shared" si="69"/>
        <v>40053.947840113869</v>
      </c>
      <c r="Y389" s="97">
        <f t="shared" si="73"/>
        <v>40698.816400339703</v>
      </c>
      <c r="Z389" s="97">
        <f t="shared" si="70"/>
        <v>42986.089882038796</v>
      </c>
      <c r="AA389" s="97">
        <f t="shared" si="71"/>
        <v>48625.864874562285</v>
      </c>
    </row>
    <row r="390" spans="1:27" x14ac:dyDescent="0.25">
      <c r="A390" s="102" t="s">
        <v>1047</v>
      </c>
      <c r="B390" s="119" t="s">
        <v>1048</v>
      </c>
      <c r="C390" s="88" t="s">
        <v>1031</v>
      </c>
      <c r="D390" s="89" t="s">
        <v>1032</v>
      </c>
      <c r="E390" s="90">
        <f t="shared" si="74"/>
        <v>36369</v>
      </c>
      <c r="F390" s="90">
        <f t="shared" si="72"/>
        <v>30562.122418882056</v>
      </c>
      <c r="G390" s="91">
        <v>0.19</v>
      </c>
      <c r="H390" s="91" t="s">
        <v>228</v>
      </c>
      <c r="I390" s="91" t="s">
        <v>228</v>
      </c>
      <c r="J390" s="91" t="s">
        <v>228</v>
      </c>
      <c r="K390" s="91" t="s">
        <v>228</v>
      </c>
      <c r="L390" s="92" t="s">
        <v>302</v>
      </c>
      <c r="M390" s="91" t="str">
        <f t="shared" si="77"/>
        <v>no aplica</v>
      </c>
      <c r="N390" s="93">
        <v>41608</v>
      </c>
      <c r="O390" s="94"/>
      <c r="P390" s="94"/>
      <c r="Q390" s="94">
        <v>9</v>
      </c>
      <c r="R390" s="95">
        <f t="shared" si="64"/>
        <v>30562.122418882056</v>
      </c>
      <c r="S390" s="94">
        <v>20000</v>
      </c>
      <c r="T390" s="94">
        <f t="shared" si="65"/>
        <v>21354.000000000004</v>
      </c>
      <c r="U390" s="94">
        <f t="shared" si="66"/>
        <v>22581.855000000007</v>
      </c>
      <c r="V390" s="94">
        <f t="shared" si="67"/>
        <v>23505.452869500004</v>
      </c>
      <c r="W390" s="97">
        <f t="shared" si="68"/>
        <v>24252.926270750108</v>
      </c>
      <c r="X390" s="97">
        <f t="shared" si="69"/>
        <v>25174.537469038612</v>
      </c>
      <c r="Y390" s="97">
        <f t="shared" si="73"/>
        <v>25579.847522290132</v>
      </c>
      <c r="Z390" s="97">
        <f t="shared" si="70"/>
        <v>27017.434953042837</v>
      </c>
      <c r="AA390" s="97">
        <f t="shared" si="71"/>
        <v>30562.122418882056</v>
      </c>
    </row>
    <row r="391" spans="1:27" x14ac:dyDescent="0.25">
      <c r="A391" s="86" t="s">
        <v>1049</v>
      </c>
      <c r="B391" s="87" t="s">
        <v>1050</v>
      </c>
      <c r="C391" s="88" t="s">
        <v>1031</v>
      </c>
      <c r="D391" s="89" t="s">
        <v>1032</v>
      </c>
      <c r="E391" s="90">
        <f t="shared" si="74"/>
        <v>413329</v>
      </c>
      <c r="F391" s="90">
        <f t="shared" si="72"/>
        <v>347335.46507835272</v>
      </c>
      <c r="G391" s="91">
        <v>0.19</v>
      </c>
      <c r="H391" s="91" t="s">
        <v>228</v>
      </c>
      <c r="I391" s="91" t="s">
        <v>228</v>
      </c>
      <c r="J391" s="91" t="s">
        <v>228</v>
      </c>
      <c r="K391" s="91"/>
      <c r="L391" s="92" t="s">
        <v>302</v>
      </c>
      <c r="M391" s="91" t="str">
        <f t="shared" si="77"/>
        <v>no aplica</v>
      </c>
      <c r="N391" s="93">
        <v>41608</v>
      </c>
      <c r="O391" s="94"/>
      <c r="P391" s="94"/>
      <c r="Q391" s="94">
        <v>10</v>
      </c>
      <c r="R391" s="95">
        <f t="shared" ref="R391:R454" si="78">+AA391</f>
        <v>347335.46507835272</v>
      </c>
      <c r="S391" s="94">
        <v>227298</v>
      </c>
      <c r="T391" s="94">
        <f t="shared" ref="T391:T454" si="79">+S391*1.0677</f>
        <v>242686.07460000002</v>
      </c>
      <c r="U391" s="94">
        <f t="shared" ref="U391:U454" si="80">+T391*(1+$U$4)</f>
        <v>256640.52388950004</v>
      </c>
      <c r="V391" s="94">
        <f t="shared" ref="V391:V454" si="81">+U391*(1+$V$4)</f>
        <v>267137.12131658057</v>
      </c>
      <c r="W391" s="97">
        <f t="shared" ref="W391:W454" si="82">+V391*(1+$W$4)</f>
        <v>275632.08177444787</v>
      </c>
      <c r="X391" s="97">
        <f t="shared" ref="X391:X454" si="83">+W391*(1+$X$4)</f>
        <v>286106.10088187689</v>
      </c>
      <c r="Y391" s="97">
        <f t="shared" si="73"/>
        <v>290712.40910607512</v>
      </c>
      <c r="Z391" s="97">
        <f t="shared" ref="Z391:Z454" si="84">+Y391*(1+$Z$4)</f>
        <v>307050.44649783656</v>
      </c>
      <c r="AA391" s="97">
        <f t="shared" ref="AA391:AA454" si="85">+Z391*(1+$AA$4)</f>
        <v>347335.46507835272</v>
      </c>
    </row>
    <row r="392" spans="1:27" x14ac:dyDescent="0.25">
      <c r="A392" s="86" t="s">
        <v>1051</v>
      </c>
      <c r="B392" s="110" t="s">
        <v>1052</v>
      </c>
      <c r="C392" s="88" t="s">
        <v>1031</v>
      </c>
      <c r="D392" s="89" t="s">
        <v>1032</v>
      </c>
      <c r="E392" s="90">
        <f t="shared" si="74"/>
        <v>57865</v>
      </c>
      <c r="F392" s="90">
        <f t="shared" ref="F392:F455" si="86">R392</f>
        <v>48625.864874562285</v>
      </c>
      <c r="G392" s="91">
        <v>0.19</v>
      </c>
      <c r="H392" s="91" t="s">
        <v>228</v>
      </c>
      <c r="I392" s="91" t="s">
        <v>228</v>
      </c>
      <c r="J392" s="91" t="s">
        <v>228</v>
      </c>
      <c r="K392" s="91"/>
      <c r="L392" s="92" t="s">
        <v>302</v>
      </c>
      <c r="M392" s="91" t="str">
        <f t="shared" si="77"/>
        <v>no aplica</v>
      </c>
      <c r="N392" s="93">
        <v>41608</v>
      </c>
      <c r="O392" s="94"/>
      <c r="P392" s="94"/>
      <c r="Q392" s="94">
        <v>11</v>
      </c>
      <c r="R392" s="95">
        <f t="shared" si="78"/>
        <v>48625.864874562285</v>
      </c>
      <c r="S392" s="94">
        <v>31821</v>
      </c>
      <c r="T392" s="94">
        <f t="shared" si="79"/>
        <v>33975.2817</v>
      </c>
      <c r="U392" s="94">
        <f t="shared" si="80"/>
        <v>35928.860397750002</v>
      </c>
      <c r="V392" s="94">
        <f t="shared" si="81"/>
        <v>37398.350788017975</v>
      </c>
      <c r="W392" s="97">
        <f t="shared" si="82"/>
        <v>38587.618343076945</v>
      </c>
      <c r="X392" s="97">
        <f t="shared" si="83"/>
        <v>40053.947840113869</v>
      </c>
      <c r="Y392" s="97">
        <f t="shared" ref="Y392:Y455" si="87">+X392*(1+$Y$4)</f>
        <v>40698.816400339703</v>
      </c>
      <c r="Z392" s="97">
        <f t="shared" si="84"/>
        <v>42986.089882038796</v>
      </c>
      <c r="AA392" s="97">
        <f t="shared" si="85"/>
        <v>48625.864874562285</v>
      </c>
    </row>
    <row r="393" spans="1:27" x14ac:dyDescent="0.25">
      <c r="A393" s="86" t="s">
        <v>1053</v>
      </c>
      <c r="B393" s="110" t="s">
        <v>1054</v>
      </c>
      <c r="C393" s="88" t="s">
        <v>1031</v>
      </c>
      <c r="D393" s="89" t="s">
        <v>1032</v>
      </c>
      <c r="E393" s="90">
        <f t="shared" ref="E393:E456" si="88">+ROUND(F393*(1+G393),0)</f>
        <v>156761</v>
      </c>
      <c r="F393" s="90">
        <f t="shared" si="86"/>
        <v>131731.91626210729</v>
      </c>
      <c r="G393" s="91">
        <v>0.19</v>
      </c>
      <c r="H393" s="91" t="s">
        <v>228</v>
      </c>
      <c r="I393" s="91" t="s">
        <v>228</v>
      </c>
      <c r="J393" s="91" t="s">
        <v>228</v>
      </c>
      <c r="K393" s="91" t="s">
        <v>228</v>
      </c>
      <c r="L393" s="92" t="s">
        <v>302</v>
      </c>
      <c r="M393" s="91" t="str">
        <f t="shared" si="77"/>
        <v>no aplica</v>
      </c>
      <c r="N393" s="93">
        <v>41608</v>
      </c>
      <c r="O393" s="94"/>
      <c r="P393" s="94"/>
      <c r="Q393" s="94">
        <v>12</v>
      </c>
      <c r="R393" s="95">
        <f t="shared" si="78"/>
        <v>131731.91626210729</v>
      </c>
      <c r="S393" s="94">
        <v>86206</v>
      </c>
      <c r="T393" s="94">
        <f t="shared" si="79"/>
        <v>92042.146200000003</v>
      </c>
      <c r="U393" s="94">
        <f t="shared" si="80"/>
        <v>97334.569606500008</v>
      </c>
      <c r="V393" s="94">
        <f t="shared" si="81"/>
        <v>101315.55350340586</v>
      </c>
      <c r="W393" s="97">
        <f t="shared" si="82"/>
        <v>104537.38810481416</v>
      </c>
      <c r="X393" s="97">
        <f t="shared" si="83"/>
        <v>108509.8088527971</v>
      </c>
      <c r="Y393" s="97">
        <f t="shared" si="87"/>
        <v>110256.81677532713</v>
      </c>
      <c r="Z393" s="97">
        <f t="shared" si="84"/>
        <v>116453.24987810051</v>
      </c>
      <c r="AA393" s="97">
        <f t="shared" si="85"/>
        <v>131731.91626210729</v>
      </c>
    </row>
    <row r="394" spans="1:27" x14ac:dyDescent="0.25">
      <c r="A394" s="102" t="s">
        <v>1055</v>
      </c>
      <c r="B394" s="110" t="s">
        <v>1056</v>
      </c>
      <c r="C394" s="88" t="s">
        <v>1031</v>
      </c>
      <c r="D394" s="89" t="s">
        <v>1032</v>
      </c>
      <c r="E394" s="90">
        <f t="shared" si="88"/>
        <v>3636893</v>
      </c>
      <c r="F394" s="90">
        <f t="shared" si="86"/>
        <v>3056212.2418882046</v>
      </c>
      <c r="G394" s="91">
        <v>0.19</v>
      </c>
      <c r="H394" s="91" t="s">
        <v>228</v>
      </c>
      <c r="I394" s="91" t="s">
        <v>228</v>
      </c>
      <c r="J394" s="91" t="s">
        <v>228</v>
      </c>
      <c r="K394" s="91" t="s">
        <v>228</v>
      </c>
      <c r="L394" s="92" t="s">
        <v>302</v>
      </c>
      <c r="M394" s="91" t="str">
        <f t="shared" si="77"/>
        <v>no aplica</v>
      </c>
      <c r="N394" s="93">
        <v>41608</v>
      </c>
      <c r="O394" s="94"/>
      <c r="P394" s="94"/>
      <c r="Q394" s="94">
        <v>13</v>
      </c>
      <c r="R394" s="95">
        <f t="shared" si="78"/>
        <v>3056212.2418882046</v>
      </c>
      <c r="S394" s="94">
        <v>2000000</v>
      </c>
      <c r="T394" s="94">
        <f t="shared" si="79"/>
        <v>2135400</v>
      </c>
      <c r="U394" s="94">
        <f t="shared" si="80"/>
        <v>2258185.5</v>
      </c>
      <c r="V394" s="94">
        <f t="shared" si="81"/>
        <v>2350545.2869499996</v>
      </c>
      <c r="W394" s="97">
        <f t="shared" si="82"/>
        <v>2425292.6270750095</v>
      </c>
      <c r="X394" s="97">
        <f t="shared" si="83"/>
        <v>2517453.74690386</v>
      </c>
      <c r="Y394" s="97">
        <f t="shared" si="87"/>
        <v>2557984.7522290121</v>
      </c>
      <c r="Z394" s="97">
        <f t="shared" si="84"/>
        <v>2701743.4953042828</v>
      </c>
      <c r="AA394" s="97">
        <f t="shared" si="85"/>
        <v>3056212.2418882046</v>
      </c>
    </row>
    <row r="395" spans="1:27" x14ac:dyDescent="0.25">
      <c r="A395" s="86" t="s">
        <v>1057</v>
      </c>
      <c r="B395" s="110" t="s">
        <v>1058</v>
      </c>
      <c r="C395" s="88" t="s">
        <v>1031</v>
      </c>
      <c r="D395" s="89" t="s">
        <v>1032</v>
      </c>
      <c r="E395" s="90">
        <f t="shared" si="88"/>
        <v>41331</v>
      </c>
      <c r="F395" s="90">
        <f t="shared" si="86"/>
        <v>34732.324022938505</v>
      </c>
      <c r="G395" s="91">
        <v>0.19</v>
      </c>
      <c r="H395" s="91" t="s">
        <v>228</v>
      </c>
      <c r="I395" s="91" t="s">
        <v>228</v>
      </c>
      <c r="J395" s="91" t="s">
        <v>228</v>
      </c>
      <c r="K395" s="91" t="s">
        <v>228</v>
      </c>
      <c r="L395" s="92" t="s">
        <v>302</v>
      </c>
      <c r="M395" s="91" t="str">
        <f t="shared" si="77"/>
        <v>no aplica</v>
      </c>
      <c r="N395" s="93">
        <v>41608</v>
      </c>
      <c r="O395" s="94"/>
      <c r="P395" s="94"/>
      <c r="Q395" s="94">
        <v>14</v>
      </c>
      <c r="R395" s="95">
        <f t="shared" si="78"/>
        <v>34732.324022938505</v>
      </c>
      <c r="S395" s="94">
        <v>22729</v>
      </c>
      <c r="T395" s="94">
        <f t="shared" si="79"/>
        <v>24267.7533</v>
      </c>
      <c r="U395" s="94">
        <f t="shared" si="80"/>
        <v>25663.149114750002</v>
      </c>
      <c r="V395" s="94">
        <f t="shared" si="81"/>
        <v>26712.771913543274</v>
      </c>
      <c r="W395" s="97">
        <f t="shared" si="82"/>
        <v>27562.238060393953</v>
      </c>
      <c r="X395" s="97">
        <f t="shared" si="83"/>
        <v>28609.603106688923</v>
      </c>
      <c r="Y395" s="97">
        <f t="shared" si="87"/>
        <v>29070.217716706615</v>
      </c>
      <c r="Z395" s="97">
        <f t="shared" si="84"/>
        <v>30703.963952385526</v>
      </c>
      <c r="AA395" s="97">
        <f t="shared" si="85"/>
        <v>34732.324022938505</v>
      </c>
    </row>
    <row r="396" spans="1:27" x14ac:dyDescent="0.25">
      <c r="A396" s="102" t="s">
        <v>1059</v>
      </c>
      <c r="B396" s="119" t="s">
        <v>1060</v>
      </c>
      <c r="C396" s="88" t="s">
        <v>1031</v>
      </c>
      <c r="D396" s="89" t="s">
        <v>89</v>
      </c>
      <c r="E396" s="90">
        <f t="shared" si="88"/>
        <v>254582</v>
      </c>
      <c r="F396" s="90">
        <f t="shared" si="86"/>
        <v>213934.85693217439</v>
      </c>
      <c r="G396" s="91">
        <v>0.19</v>
      </c>
      <c r="H396" s="91" t="s">
        <v>228</v>
      </c>
      <c r="I396" s="91" t="s">
        <v>228</v>
      </c>
      <c r="J396" s="91" t="s">
        <v>228</v>
      </c>
      <c r="K396" s="91"/>
      <c r="L396" s="92" t="s">
        <v>302</v>
      </c>
      <c r="M396" s="91" t="str">
        <f t="shared" si="77"/>
        <v>no aplica</v>
      </c>
      <c r="N396" s="93">
        <v>41608</v>
      </c>
      <c r="O396" s="94"/>
      <c r="P396" s="94"/>
      <c r="Q396" s="94">
        <v>15</v>
      </c>
      <c r="R396" s="95">
        <f t="shared" si="78"/>
        <v>213934.85693217439</v>
      </c>
      <c r="S396" s="94">
        <v>140000</v>
      </c>
      <c r="T396" s="94">
        <f t="shared" si="79"/>
        <v>149478</v>
      </c>
      <c r="U396" s="94">
        <f t="shared" si="80"/>
        <v>158072.98500000002</v>
      </c>
      <c r="V396" s="94">
        <f t="shared" si="81"/>
        <v>164538.1700865</v>
      </c>
      <c r="W396" s="97">
        <f t="shared" si="82"/>
        <v>169770.48389525071</v>
      </c>
      <c r="X396" s="97">
        <f t="shared" si="83"/>
        <v>176221.76228327025</v>
      </c>
      <c r="Y396" s="97">
        <f t="shared" si="87"/>
        <v>179058.9326560309</v>
      </c>
      <c r="Z396" s="97">
        <f t="shared" si="84"/>
        <v>189122.04467129984</v>
      </c>
      <c r="AA396" s="97">
        <f t="shared" si="85"/>
        <v>213934.85693217439</v>
      </c>
    </row>
    <row r="397" spans="1:27" x14ac:dyDescent="0.25">
      <c r="A397" s="86" t="s">
        <v>1061</v>
      </c>
      <c r="B397" s="110" t="s">
        <v>1062</v>
      </c>
      <c r="C397" s="88" t="s">
        <v>1031</v>
      </c>
      <c r="D397" s="89" t="s">
        <v>1032</v>
      </c>
      <c r="E397" s="90">
        <f t="shared" si="88"/>
        <v>90931</v>
      </c>
      <c r="F397" s="90">
        <f t="shared" si="86"/>
        <v>76412.946577809867</v>
      </c>
      <c r="G397" s="91">
        <v>0.19</v>
      </c>
      <c r="H397" s="91" t="s">
        <v>228</v>
      </c>
      <c r="I397" s="91" t="s">
        <v>228</v>
      </c>
      <c r="J397" s="91" t="s">
        <v>228</v>
      </c>
      <c r="K397" s="91" t="s">
        <v>228</v>
      </c>
      <c r="L397" s="92" t="s">
        <v>302</v>
      </c>
      <c r="M397" s="91" t="str">
        <f t="shared" si="77"/>
        <v>no aplica</v>
      </c>
      <c r="N397" s="93">
        <v>41608</v>
      </c>
      <c r="O397" s="94"/>
      <c r="P397" s="94"/>
      <c r="Q397" s="94">
        <v>16</v>
      </c>
      <c r="R397" s="95">
        <f t="shared" si="78"/>
        <v>76412.946577809867</v>
      </c>
      <c r="S397" s="94">
        <v>50005</v>
      </c>
      <c r="T397" s="94">
        <f t="shared" si="79"/>
        <v>53390.338500000005</v>
      </c>
      <c r="U397" s="94">
        <f t="shared" si="80"/>
        <v>56460.282963750011</v>
      </c>
      <c r="V397" s="94">
        <f t="shared" si="81"/>
        <v>58769.508536967383</v>
      </c>
      <c r="W397" s="97">
        <f t="shared" si="82"/>
        <v>60638.378908442952</v>
      </c>
      <c r="X397" s="97">
        <f t="shared" si="83"/>
        <v>62942.637306963785</v>
      </c>
      <c r="Y397" s="97">
        <f t="shared" si="87"/>
        <v>63956.013767605902</v>
      </c>
      <c r="Z397" s="97">
        <f t="shared" si="84"/>
        <v>67550.341741345357</v>
      </c>
      <c r="AA397" s="97">
        <f t="shared" si="85"/>
        <v>76412.946577809867</v>
      </c>
    </row>
    <row r="398" spans="1:27" x14ac:dyDescent="0.25">
      <c r="A398" s="86" t="s">
        <v>16</v>
      </c>
      <c r="B398" s="87" t="s">
        <v>1063</v>
      </c>
      <c r="C398" s="88" t="s">
        <v>1031</v>
      </c>
      <c r="D398" s="89" t="s">
        <v>301</v>
      </c>
      <c r="E398" s="90">
        <f t="shared" si="88"/>
        <v>27026</v>
      </c>
      <c r="F398" s="90">
        <f t="shared" si="86"/>
        <v>22710.713169471259</v>
      </c>
      <c r="G398" s="91">
        <v>0.19</v>
      </c>
      <c r="H398" s="91" t="s">
        <v>228</v>
      </c>
      <c r="I398" s="91" t="s">
        <v>228</v>
      </c>
      <c r="J398" s="91" t="s">
        <v>228</v>
      </c>
      <c r="K398" s="91" t="s">
        <v>228</v>
      </c>
      <c r="L398" s="92" t="s">
        <v>302</v>
      </c>
      <c r="M398" s="91" t="str">
        <f t="shared" si="77"/>
        <v>no aplica</v>
      </c>
      <c r="N398" s="93">
        <v>41608</v>
      </c>
      <c r="O398" s="94"/>
      <c r="P398" s="94"/>
      <c r="Q398" s="94">
        <v>17</v>
      </c>
      <c r="R398" s="95">
        <f t="shared" si="78"/>
        <v>22710.713169471259</v>
      </c>
      <c r="S398" s="94">
        <v>14862</v>
      </c>
      <c r="T398" s="94">
        <f t="shared" si="79"/>
        <v>15868.157400000002</v>
      </c>
      <c r="U398" s="94">
        <f t="shared" si="80"/>
        <v>16780.576450500004</v>
      </c>
      <c r="V398" s="94">
        <f t="shared" si="81"/>
        <v>17466.902027325454</v>
      </c>
      <c r="W398" s="97">
        <f t="shared" si="82"/>
        <v>18022.349511794404</v>
      </c>
      <c r="X398" s="97">
        <f t="shared" si="83"/>
        <v>18707.198793242591</v>
      </c>
      <c r="Y398" s="97">
        <f t="shared" si="87"/>
        <v>19008.384693813798</v>
      </c>
      <c r="Z398" s="97">
        <f t="shared" si="84"/>
        <v>20076.655913606133</v>
      </c>
      <c r="AA398" s="97">
        <f t="shared" si="85"/>
        <v>22710.713169471259</v>
      </c>
    </row>
    <row r="399" spans="1:27" x14ac:dyDescent="0.25">
      <c r="A399" s="86" t="s">
        <v>17</v>
      </c>
      <c r="B399" s="120" t="s">
        <v>1064</v>
      </c>
      <c r="C399" s="88" t="s">
        <v>1031</v>
      </c>
      <c r="D399" s="89" t="s">
        <v>89</v>
      </c>
      <c r="E399" s="90">
        <f t="shared" si="88"/>
        <v>254582</v>
      </c>
      <c r="F399" s="90">
        <f t="shared" si="86"/>
        <v>213934.85693217439</v>
      </c>
      <c r="G399" s="91">
        <v>0.19</v>
      </c>
      <c r="H399" s="91" t="s">
        <v>228</v>
      </c>
      <c r="I399" s="91" t="s">
        <v>228</v>
      </c>
      <c r="J399" s="91" t="s">
        <v>228</v>
      </c>
      <c r="K399" s="91" t="s">
        <v>228</v>
      </c>
      <c r="L399" s="92" t="s">
        <v>302</v>
      </c>
      <c r="M399" s="91" t="str">
        <f t="shared" si="77"/>
        <v>no aplica</v>
      </c>
      <c r="N399" s="93">
        <v>41608</v>
      </c>
      <c r="O399" s="94"/>
      <c r="P399" s="94"/>
      <c r="Q399" s="94">
        <v>18</v>
      </c>
      <c r="R399" s="95">
        <f t="shared" si="78"/>
        <v>213934.85693217439</v>
      </c>
      <c r="S399" s="94">
        <v>140000</v>
      </c>
      <c r="T399" s="94">
        <f t="shared" si="79"/>
        <v>149478</v>
      </c>
      <c r="U399" s="94">
        <f t="shared" si="80"/>
        <v>158072.98500000002</v>
      </c>
      <c r="V399" s="94">
        <f t="shared" si="81"/>
        <v>164538.1700865</v>
      </c>
      <c r="W399" s="97">
        <f t="shared" si="82"/>
        <v>169770.48389525071</v>
      </c>
      <c r="X399" s="97">
        <f t="shared" si="83"/>
        <v>176221.76228327025</v>
      </c>
      <c r="Y399" s="97">
        <f t="shared" si="87"/>
        <v>179058.9326560309</v>
      </c>
      <c r="Z399" s="97">
        <f t="shared" si="84"/>
        <v>189122.04467129984</v>
      </c>
      <c r="AA399" s="97">
        <f t="shared" si="85"/>
        <v>213934.85693217439</v>
      </c>
    </row>
    <row r="400" spans="1:27" x14ac:dyDescent="0.25">
      <c r="A400" s="86" t="s">
        <v>1065</v>
      </c>
      <c r="B400" s="119" t="s">
        <v>1066</v>
      </c>
      <c r="C400" s="88" t="s">
        <v>1031</v>
      </c>
      <c r="D400" s="89" t="s">
        <v>4099</v>
      </c>
      <c r="E400" s="90">
        <f t="shared" si="88"/>
        <v>17359</v>
      </c>
      <c r="F400" s="90">
        <f t="shared" si="86"/>
        <v>14587.301030532408</v>
      </c>
      <c r="G400" s="91">
        <v>0.19</v>
      </c>
      <c r="H400" s="91" t="s">
        <v>228</v>
      </c>
      <c r="I400" s="91" t="s">
        <v>228</v>
      </c>
      <c r="J400" s="91" t="s">
        <v>228</v>
      </c>
      <c r="K400" s="91" t="s">
        <v>228</v>
      </c>
      <c r="L400" s="92" t="s">
        <v>302</v>
      </c>
      <c r="M400" s="91" t="str">
        <f t="shared" si="77"/>
        <v>no aplica</v>
      </c>
      <c r="N400" s="93">
        <v>41608</v>
      </c>
      <c r="O400" s="94"/>
      <c r="P400" s="94"/>
      <c r="Q400" s="94">
        <v>19</v>
      </c>
      <c r="R400" s="95">
        <f t="shared" si="78"/>
        <v>14587.301030532408</v>
      </c>
      <c r="S400" s="94">
        <v>9546</v>
      </c>
      <c r="T400" s="94">
        <f t="shared" si="79"/>
        <v>10192.264200000001</v>
      </c>
      <c r="U400" s="94">
        <f t="shared" si="80"/>
        <v>10778.319391500003</v>
      </c>
      <c r="V400" s="94">
        <f t="shared" si="81"/>
        <v>11219.152654612353</v>
      </c>
      <c r="W400" s="97">
        <f t="shared" si="82"/>
        <v>11575.921709029026</v>
      </c>
      <c r="X400" s="97">
        <f t="shared" si="83"/>
        <v>12015.806733972129</v>
      </c>
      <c r="Y400" s="97">
        <f t="shared" si="87"/>
        <v>12209.261222389081</v>
      </c>
      <c r="Z400" s="97">
        <f t="shared" si="84"/>
        <v>12895.421703087348</v>
      </c>
      <c r="AA400" s="97">
        <f t="shared" si="85"/>
        <v>14587.301030532408</v>
      </c>
    </row>
    <row r="401" spans="1:27" x14ac:dyDescent="0.25">
      <c r="A401" s="102" t="s">
        <v>1067</v>
      </c>
      <c r="B401" s="110" t="s">
        <v>1068</v>
      </c>
      <c r="C401" s="88" t="s">
        <v>1031</v>
      </c>
      <c r="D401" s="89" t="s">
        <v>89</v>
      </c>
      <c r="E401" s="90">
        <f t="shared" si="88"/>
        <v>173598</v>
      </c>
      <c r="F401" s="90">
        <f t="shared" si="86"/>
        <v>145880.65083592877</v>
      </c>
      <c r="G401" s="91">
        <v>0.19</v>
      </c>
      <c r="H401" s="91" t="s">
        <v>228</v>
      </c>
      <c r="I401" s="91" t="s">
        <v>228</v>
      </c>
      <c r="J401" s="91" t="s">
        <v>228</v>
      </c>
      <c r="K401" s="91" t="s">
        <v>228</v>
      </c>
      <c r="L401" s="92" t="s">
        <v>302</v>
      </c>
      <c r="M401" s="91" t="str">
        <f t="shared" si="77"/>
        <v>no aplica</v>
      </c>
      <c r="N401" s="93">
        <v>41608</v>
      </c>
      <c r="O401" s="94"/>
      <c r="P401" s="94"/>
      <c r="Q401" s="94">
        <v>20</v>
      </c>
      <c r="R401" s="95">
        <f t="shared" si="78"/>
        <v>145880.65083592877</v>
      </c>
      <c r="S401" s="94">
        <v>95465</v>
      </c>
      <c r="T401" s="94">
        <f t="shared" si="79"/>
        <v>101927.98050000001</v>
      </c>
      <c r="U401" s="94">
        <f t="shared" si="80"/>
        <v>107788.83937875001</v>
      </c>
      <c r="V401" s="94">
        <f t="shared" si="81"/>
        <v>112197.40290934088</v>
      </c>
      <c r="W401" s="97">
        <f t="shared" si="82"/>
        <v>115765.28032185792</v>
      </c>
      <c r="X401" s="97">
        <f t="shared" si="83"/>
        <v>120164.36097408853</v>
      </c>
      <c r="Y401" s="97">
        <f t="shared" si="87"/>
        <v>122099.00718577135</v>
      </c>
      <c r="Z401" s="97">
        <f t="shared" si="84"/>
        <v>128960.9713896117</v>
      </c>
      <c r="AA401" s="97">
        <f t="shared" si="85"/>
        <v>145880.65083592877</v>
      </c>
    </row>
    <row r="402" spans="1:27" x14ac:dyDescent="0.25">
      <c r="A402" s="86" t="s">
        <v>1069</v>
      </c>
      <c r="B402" s="87" t="s">
        <v>1070</v>
      </c>
      <c r="C402" s="88" t="s">
        <v>4098</v>
      </c>
      <c r="D402" s="89" t="s">
        <v>4099</v>
      </c>
      <c r="E402" s="90">
        <f t="shared" si="88"/>
        <v>62065</v>
      </c>
      <c r="F402" s="90">
        <f t="shared" si="86"/>
        <v>52155.790013943173</v>
      </c>
      <c r="G402" s="91">
        <v>0.19</v>
      </c>
      <c r="H402" s="91" t="s">
        <v>228</v>
      </c>
      <c r="I402" s="91" t="s">
        <v>228</v>
      </c>
      <c r="J402" s="91" t="s">
        <v>228</v>
      </c>
      <c r="K402" s="91"/>
      <c r="L402" s="92" t="s">
        <v>302</v>
      </c>
      <c r="M402" s="91" t="str">
        <f t="shared" si="77"/>
        <v>no aplica</v>
      </c>
      <c r="N402" s="93">
        <v>41608</v>
      </c>
      <c r="O402" s="94"/>
      <c r="P402" s="94"/>
      <c r="Q402" s="94">
        <v>21</v>
      </c>
      <c r="R402" s="95">
        <f t="shared" si="78"/>
        <v>52155.790013943173</v>
      </c>
      <c r="S402" s="94">
        <v>34131</v>
      </c>
      <c r="T402" s="94">
        <f t="shared" si="79"/>
        <v>36441.668700000002</v>
      </c>
      <c r="U402" s="94">
        <f t="shared" si="80"/>
        <v>38537.064650250009</v>
      </c>
      <c r="V402" s="94">
        <f t="shared" si="81"/>
        <v>40113.230594445231</v>
      </c>
      <c r="W402" s="97">
        <f t="shared" si="82"/>
        <v>41388.831327348591</v>
      </c>
      <c r="X402" s="97">
        <f t="shared" si="83"/>
        <v>42961.606917787838</v>
      </c>
      <c r="Y402" s="97">
        <f t="shared" si="87"/>
        <v>43653.288789164224</v>
      </c>
      <c r="Z402" s="97">
        <f t="shared" si="84"/>
        <v>46106.603619115253</v>
      </c>
      <c r="AA402" s="97">
        <f t="shared" si="85"/>
        <v>52155.790013943173</v>
      </c>
    </row>
    <row r="403" spans="1:27" x14ac:dyDescent="0.25">
      <c r="A403" s="86" t="s">
        <v>1071</v>
      </c>
      <c r="B403" s="87" t="s">
        <v>1072</v>
      </c>
      <c r="C403" s="88" t="s">
        <v>1031</v>
      </c>
      <c r="D403" s="89" t="s">
        <v>89</v>
      </c>
      <c r="E403" s="90">
        <f t="shared" si="88"/>
        <v>140531</v>
      </c>
      <c r="F403" s="90">
        <f t="shared" si="86"/>
        <v>118093.56913268121</v>
      </c>
      <c r="G403" s="91">
        <v>0.19</v>
      </c>
      <c r="H403" s="91" t="s">
        <v>228</v>
      </c>
      <c r="I403" s="91" t="s">
        <v>228</v>
      </c>
      <c r="J403" s="91" t="s">
        <v>228</v>
      </c>
      <c r="K403" s="91"/>
      <c r="L403" s="92" t="s">
        <v>302</v>
      </c>
      <c r="M403" s="91" t="str">
        <f t="shared" si="77"/>
        <v>no aplica</v>
      </c>
      <c r="N403" s="93">
        <v>41608</v>
      </c>
      <c r="O403" s="94"/>
      <c r="P403" s="94"/>
      <c r="Q403" s="94">
        <v>22</v>
      </c>
      <c r="R403" s="95">
        <f t="shared" si="78"/>
        <v>118093.56913268121</v>
      </c>
      <c r="S403" s="94">
        <v>77281</v>
      </c>
      <c r="T403" s="94">
        <f t="shared" si="79"/>
        <v>82512.923700000014</v>
      </c>
      <c r="U403" s="94">
        <f t="shared" si="80"/>
        <v>87257.416812750031</v>
      </c>
      <c r="V403" s="94">
        <f t="shared" si="81"/>
        <v>90826.245160391496</v>
      </c>
      <c r="W403" s="97">
        <f t="shared" si="82"/>
        <v>93714.519756491951</v>
      </c>
      <c r="X403" s="97">
        <f t="shared" si="83"/>
        <v>97275.671507238643</v>
      </c>
      <c r="Y403" s="97">
        <f t="shared" si="87"/>
        <v>98841.809818505179</v>
      </c>
      <c r="Z403" s="97">
        <f t="shared" si="84"/>
        <v>104396.71953030517</v>
      </c>
      <c r="AA403" s="97">
        <f t="shared" si="85"/>
        <v>118093.56913268121</v>
      </c>
    </row>
    <row r="404" spans="1:27" x14ac:dyDescent="0.25">
      <c r="A404" s="86" t="s">
        <v>1073</v>
      </c>
      <c r="B404" s="87" t="s">
        <v>1074</v>
      </c>
      <c r="C404" s="88" t="s">
        <v>1031</v>
      </c>
      <c r="D404" s="89" t="s">
        <v>1032</v>
      </c>
      <c r="E404" s="90">
        <f t="shared" si="88"/>
        <v>53235</v>
      </c>
      <c r="F404" s="90">
        <f t="shared" si="86"/>
        <v>44735.306690638594</v>
      </c>
      <c r="G404" s="91">
        <v>0.19</v>
      </c>
      <c r="H404" s="91" t="s">
        <v>228</v>
      </c>
      <c r="I404" s="91" t="s">
        <v>228</v>
      </c>
      <c r="J404" s="91" t="s">
        <v>228</v>
      </c>
      <c r="K404" s="91"/>
      <c r="L404" s="92" t="s">
        <v>302</v>
      </c>
      <c r="M404" s="91" t="str">
        <f t="shared" si="77"/>
        <v>no aplica</v>
      </c>
      <c r="N404" s="93">
        <v>41608</v>
      </c>
      <c r="O404" s="94"/>
      <c r="P404" s="94"/>
      <c r="Q404" s="94">
        <v>23</v>
      </c>
      <c r="R404" s="95">
        <f t="shared" si="78"/>
        <v>44735.306690638594</v>
      </c>
      <c r="S404" s="94">
        <v>29275</v>
      </c>
      <c r="T404" s="94">
        <f t="shared" si="79"/>
        <v>31256.917500000003</v>
      </c>
      <c r="U404" s="94">
        <f t="shared" si="80"/>
        <v>33054.190256250004</v>
      </c>
      <c r="V404" s="94">
        <f t="shared" si="81"/>
        <v>34406.106637730627</v>
      </c>
      <c r="W404" s="97">
        <f t="shared" si="82"/>
        <v>35500.220828810459</v>
      </c>
      <c r="X404" s="97">
        <f t="shared" si="83"/>
        <v>36849.229220305257</v>
      </c>
      <c r="Y404" s="97">
        <f t="shared" si="87"/>
        <v>37442.501810752168</v>
      </c>
      <c r="Z404" s="97">
        <f t="shared" si="84"/>
        <v>39546.770412516438</v>
      </c>
      <c r="AA404" s="97">
        <f t="shared" si="85"/>
        <v>44735.306690638594</v>
      </c>
    </row>
    <row r="405" spans="1:27" x14ac:dyDescent="0.25">
      <c r="A405" s="86" t="s">
        <v>1075</v>
      </c>
      <c r="B405" s="87" t="s">
        <v>1076</v>
      </c>
      <c r="C405" s="88" t="s">
        <v>1031</v>
      </c>
      <c r="D405" s="89" t="s">
        <v>4096</v>
      </c>
      <c r="E405" s="90">
        <f t="shared" si="88"/>
        <v>141086</v>
      </c>
      <c r="F405" s="90">
        <f t="shared" si="86"/>
        <v>118559.64149956919</v>
      </c>
      <c r="G405" s="91">
        <v>0.19</v>
      </c>
      <c r="H405" s="91" t="s">
        <v>228</v>
      </c>
      <c r="I405" s="91" t="s">
        <v>228</v>
      </c>
      <c r="J405" s="91" t="s">
        <v>228</v>
      </c>
      <c r="K405" s="91" t="s">
        <v>228</v>
      </c>
      <c r="L405" s="92" t="s">
        <v>302</v>
      </c>
      <c r="M405" s="91" t="str">
        <f t="shared" si="77"/>
        <v>no aplica</v>
      </c>
      <c r="N405" s="93">
        <v>41608</v>
      </c>
      <c r="O405" s="94"/>
      <c r="P405" s="94"/>
      <c r="Q405" s="94">
        <v>24</v>
      </c>
      <c r="R405" s="95">
        <f t="shared" si="78"/>
        <v>118559.64149956919</v>
      </c>
      <c r="S405" s="94">
        <v>77586</v>
      </c>
      <c r="T405" s="94">
        <f t="shared" si="79"/>
        <v>82838.57220000001</v>
      </c>
      <c r="U405" s="94">
        <f t="shared" si="80"/>
        <v>87601.790101500024</v>
      </c>
      <c r="V405" s="94">
        <f t="shared" si="81"/>
        <v>91184.703316651372</v>
      </c>
      <c r="W405" s="97">
        <f t="shared" si="82"/>
        <v>94084.376882120894</v>
      </c>
      <c r="X405" s="97">
        <f t="shared" si="83"/>
        <v>97659.583203641494</v>
      </c>
      <c r="Y405" s="97">
        <f t="shared" si="87"/>
        <v>99231.902493220128</v>
      </c>
      <c r="Z405" s="97">
        <f t="shared" si="84"/>
        <v>104808.73541333911</v>
      </c>
      <c r="AA405" s="97">
        <f t="shared" si="85"/>
        <v>118559.64149956919</v>
      </c>
    </row>
    <row r="406" spans="1:27" x14ac:dyDescent="0.25">
      <c r="A406" s="86" t="s">
        <v>1078</v>
      </c>
      <c r="B406" s="87" t="s">
        <v>1079</v>
      </c>
      <c r="C406" s="88" t="s">
        <v>1031</v>
      </c>
      <c r="D406" s="89" t="s">
        <v>1077</v>
      </c>
      <c r="E406" s="90">
        <f t="shared" si="88"/>
        <v>75245</v>
      </c>
      <c r="F406" s="90">
        <f t="shared" si="86"/>
        <v>63231.503178546038</v>
      </c>
      <c r="G406" s="91">
        <v>0.19</v>
      </c>
      <c r="H406" s="91" t="s">
        <v>228</v>
      </c>
      <c r="I406" s="91" t="s">
        <v>228</v>
      </c>
      <c r="J406" s="91" t="s">
        <v>228</v>
      </c>
      <c r="K406" s="91" t="s">
        <v>228</v>
      </c>
      <c r="L406" s="92" t="s">
        <v>302</v>
      </c>
      <c r="M406" s="91" t="str">
        <f t="shared" si="77"/>
        <v>no aplica</v>
      </c>
      <c r="N406" s="93">
        <v>41608</v>
      </c>
      <c r="O406" s="94"/>
      <c r="P406" s="94"/>
      <c r="Q406" s="94">
        <v>25</v>
      </c>
      <c r="R406" s="95">
        <f t="shared" si="78"/>
        <v>63231.503178546038</v>
      </c>
      <c r="S406" s="94">
        <v>41379</v>
      </c>
      <c r="T406" s="94">
        <f t="shared" si="79"/>
        <v>44180.358300000007</v>
      </c>
      <c r="U406" s="94">
        <f t="shared" si="80"/>
        <v>46720.728902250012</v>
      </c>
      <c r="V406" s="94">
        <f t="shared" si="81"/>
        <v>48631.606714352034</v>
      </c>
      <c r="W406" s="97">
        <f t="shared" si="82"/>
        <v>50178.091807868434</v>
      </c>
      <c r="X406" s="97">
        <f t="shared" si="83"/>
        <v>52084.859296567432</v>
      </c>
      <c r="Y406" s="97">
        <f t="shared" si="87"/>
        <v>52923.425531242166</v>
      </c>
      <c r="Z406" s="97">
        <f t="shared" si="84"/>
        <v>55897.722046097981</v>
      </c>
      <c r="AA406" s="97">
        <f t="shared" si="85"/>
        <v>63231.503178546038</v>
      </c>
    </row>
    <row r="407" spans="1:27" x14ac:dyDescent="0.25">
      <c r="A407" s="102" t="s">
        <v>1080</v>
      </c>
      <c r="B407" s="110" t="s">
        <v>1081</v>
      </c>
      <c r="C407" s="88" t="s">
        <v>1031</v>
      </c>
      <c r="D407" s="89" t="s">
        <v>301</v>
      </c>
      <c r="E407" s="90">
        <f t="shared" si="88"/>
        <v>47945</v>
      </c>
      <c r="F407" s="90">
        <f t="shared" si="86"/>
        <v>40290.045984812212</v>
      </c>
      <c r="G407" s="91">
        <v>0.19</v>
      </c>
      <c r="H407" s="91" t="s">
        <v>228</v>
      </c>
      <c r="I407" s="91" t="s">
        <v>228</v>
      </c>
      <c r="J407" s="91" t="s">
        <v>228</v>
      </c>
      <c r="K407" s="91" t="s">
        <v>228</v>
      </c>
      <c r="L407" s="92" t="s">
        <v>302</v>
      </c>
      <c r="M407" s="91" t="str">
        <f t="shared" si="77"/>
        <v>no aplica</v>
      </c>
      <c r="N407" s="93">
        <v>41608</v>
      </c>
      <c r="O407" s="94"/>
      <c r="P407" s="94"/>
      <c r="Q407" s="94">
        <v>26</v>
      </c>
      <c r="R407" s="95">
        <f t="shared" si="78"/>
        <v>40290.045984812212</v>
      </c>
      <c r="S407" s="94">
        <v>26366</v>
      </c>
      <c r="T407" s="94">
        <f t="shared" si="79"/>
        <v>28150.978200000001</v>
      </c>
      <c r="U407" s="94">
        <f t="shared" si="80"/>
        <v>29769.659446500005</v>
      </c>
      <c r="V407" s="94">
        <f t="shared" si="81"/>
        <v>30987.238517861853</v>
      </c>
      <c r="W407" s="97">
        <f t="shared" si="82"/>
        <v>31972.632702729861</v>
      </c>
      <c r="X407" s="97">
        <f t="shared" si="83"/>
        <v>33187.592745433598</v>
      </c>
      <c r="Y407" s="97">
        <f t="shared" si="87"/>
        <v>33721.912988635078</v>
      </c>
      <c r="Z407" s="97">
        <f t="shared" si="84"/>
        <v>35617.08449859637</v>
      </c>
      <c r="AA407" s="97">
        <f t="shared" si="85"/>
        <v>40290.045984812212</v>
      </c>
    </row>
    <row r="408" spans="1:27" x14ac:dyDescent="0.25">
      <c r="A408" s="86" t="s">
        <v>1082</v>
      </c>
      <c r="B408" s="87" t="s">
        <v>1083</v>
      </c>
      <c r="C408" s="88" t="s">
        <v>1031</v>
      </c>
      <c r="D408" s="89" t="s">
        <v>1077</v>
      </c>
      <c r="E408" s="90">
        <f t="shared" si="88"/>
        <v>198398</v>
      </c>
      <c r="F408" s="90">
        <f t="shared" si="86"/>
        <v>166720.96211336445</v>
      </c>
      <c r="G408" s="91">
        <v>0.19</v>
      </c>
      <c r="H408" s="91" t="s">
        <v>228</v>
      </c>
      <c r="I408" s="91" t="s">
        <v>228</v>
      </c>
      <c r="J408" s="91" t="s">
        <v>228</v>
      </c>
      <c r="K408" s="91" t="s">
        <v>228</v>
      </c>
      <c r="L408" s="92" t="s">
        <v>302</v>
      </c>
      <c r="M408" s="91" t="str">
        <f t="shared" si="77"/>
        <v>no aplica</v>
      </c>
      <c r="N408" s="93">
        <v>41608</v>
      </c>
      <c r="O408" s="94"/>
      <c r="P408" s="94"/>
      <c r="Q408" s="94">
        <v>27</v>
      </c>
      <c r="R408" s="95">
        <f t="shared" si="78"/>
        <v>166720.96211336445</v>
      </c>
      <c r="S408" s="94">
        <v>109103</v>
      </c>
      <c r="T408" s="94">
        <f t="shared" si="79"/>
        <v>116489.27310000001</v>
      </c>
      <c r="U408" s="94">
        <f t="shared" si="80"/>
        <v>123187.40630325001</v>
      </c>
      <c r="V408" s="94">
        <f t="shared" si="81"/>
        <v>128225.77122105293</v>
      </c>
      <c r="W408" s="97">
        <f t="shared" si="82"/>
        <v>132303.35074588243</v>
      </c>
      <c r="X408" s="97">
        <f t="shared" si="83"/>
        <v>137330.87807422597</v>
      </c>
      <c r="Y408" s="97">
        <f t="shared" si="87"/>
        <v>139541.90521122102</v>
      </c>
      <c r="Z408" s="97">
        <f t="shared" si="84"/>
        <v>147384.16028409163</v>
      </c>
      <c r="AA408" s="97">
        <f t="shared" si="85"/>
        <v>166720.96211336445</v>
      </c>
    </row>
    <row r="409" spans="1:27" x14ac:dyDescent="0.25">
      <c r="A409" s="86" t="s">
        <v>1084</v>
      </c>
      <c r="B409" s="87" t="s">
        <v>1085</v>
      </c>
      <c r="C409" s="88" t="s">
        <v>1031</v>
      </c>
      <c r="D409" s="89" t="s">
        <v>1077</v>
      </c>
      <c r="E409" s="90">
        <f t="shared" si="88"/>
        <v>109107</v>
      </c>
      <c r="F409" s="90">
        <f t="shared" si="86"/>
        <v>91686.367256646176</v>
      </c>
      <c r="G409" s="91">
        <v>0.19</v>
      </c>
      <c r="H409" s="91" t="s">
        <v>228</v>
      </c>
      <c r="I409" s="91" t="s">
        <v>228</v>
      </c>
      <c r="J409" s="91" t="s">
        <v>228</v>
      </c>
      <c r="K409" s="91" t="s">
        <v>228</v>
      </c>
      <c r="L409" s="92" t="s">
        <v>302</v>
      </c>
      <c r="M409" s="91" t="str">
        <f t="shared" si="77"/>
        <v>no aplica</v>
      </c>
      <c r="N409" s="93">
        <v>41608</v>
      </c>
      <c r="O409" s="94"/>
      <c r="P409" s="94"/>
      <c r="Q409" s="94">
        <v>28</v>
      </c>
      <c r="R409" s="95">
        <f t="shared" si="78"/>
        <v>91686.367256646176</v>
      </c>
      <c r="S409" s="94">
        <v>60000</v>
      </c>
      <c r="T409" s="94">
        <f t="shared" si="79"/>
        <v>64062.000000000007</v>
      </c>
      <c r="U409" s="94">
        <f t="shared" si="80"/>
        <v>67745.565000000017</v>
      </c>
      <c r="V409" s="94">
        <f t="shared" si="81"/>
        <v>70516.358608500013</v>
      </c>
      <c r="W409" s="97">
        <f t="shared" si="82"/>
        <v>72758.778812250312</v>
      </c>
      <c r="X409" s="97">
        <f t="shared" si="83"/>
        <v>75523.612407115826</v>
      </c>
      <c r="Y409" s="97">
        <f t="shared" si="87"/>
        <v>76739.542566870397</v>
      </c>
      <c r="Z409" s="97">
        <f t="shared" si="84"/>
        <v>81052.304859128519</v>
      </c>
      <c r="AA409" s="97">
        <f t="shared" si="85"/>
        <v>91686.367256646176</v>
      </c>
    </row>
    <row r="410" spans="1:27" x14ac:dyDescent="0.25">
      <c r="A410" s="86" t="s">
        <v>1086</v>
      </c>
      <c r="B410" s="110" t="s">
        <v>1087</v>
      </c>
      <c r="C410" s="88" t="s">
        <v>1031</v>
      </c>
      <c r="D410" s="89" t="s">
        <v>89</v>
      </c>
      <c r="E410" s="90">
        <f t="shared" si="88"/>
        <v>3306</v>
      </c>
      <c r="F410" s="90">
        <f t="shared" si="86"/>
        <v>2778.0969278763796</v>
      </c>
      <c r="G410" s="91">
        <v>0.19</v>
      </c>
      <c r="H410" s="91" t="s">
        <v>228</v>
      </c>
      <c r="I410" s="91" t="s">
        <v>228</v>
      </c>
      <c r="J410" s="91" t="s">
        <v>228</v>
      </c>
      <c r="K410" s="91" t="s">
        <v>228</v>
      </c>
      <c r="L410" s="92" t="s">
        <v>302</v>
      </c>
      <c r="M410" s="91" t="str">
        <f t="shared" si="77"/>
        <v>no aplica</v>
      </c>
      <c r="N410" s="93">
        <v>41608</v>
      </c>
      <c r="O410" s="94"/>
      <c r="P410" s="94"/>
      <c r="Q410" s="94">
        <v>29</v>
      </c>
      <c r="R410" s="95">
        <f t="shared" si="78"/>
        <v>2778.0969278763796</v>
      </c>
      <c r="S410" s="94">
        <v>1818</v>
      </c>
      <c r="T410" s="94">
        <f t="shared" si="79"/>
        <v>1941.0786000000003</v>
      </c>
      <c r="U410" s="94">
        <f t="shared" si="80"/>
        <v>2052.6906195000006</v>
      </c>
      <c r="V410" s="94">
        <f t="shared" si="81"/>
        <v>2136.6456658375505</v>
      </c>
      <c r="W410" s="97">
        <f t="shared" si="82"/>
        <v>2204.5909980111846</v>
      </c>
      <c r="X410" s="97">
        <f t="shared" si="83"/>
        <v>2288.3654559356096</v>
      </c>
      <c r="Y410" s="97">
        <f t="shared" si="87"/>
        <v>2325.2081397761731</v>
      </c>
      <c r="Z410" s="97">
        <f t="shared" si="84"/>
        <v>2455.8848372315942</v>
      </c>
      <c r="AA410" s="97">
        <f t="shared" si="85"/>
        <v>2778.0969278763796</v>
      </c>
    </row>
    <row r="411" spans="1:27" x14ac:dyDescent="0.25">
      <c r="A411" s="86" t="s">
        <v>1088</v>
      </c>
      <c r="B411" s="110" t="s">
        <v>1089</v>
      </c>
      <c r="C411" s="88" t="s">
        <v>1031</v>
      </c>
      <c r="D411" s="89" t="s">
        <v>89</v>
      </c>
      <c r="E411" s="90">
        <f t="shared" si="88"/>
        <v>35271</v>
      </c>
      <c r="F411" s="90">
        <f t="shared" si="86"/>
        <v>29639.14632183182</v>
      </c>
      <c r="G411" s="91">
        <v>0.19</v>
      </c>
      <c r="H411" s="91" t="s">
        <v>228</v>
      </c>
      <c r="I411" s="91" t="s">
        <v>228</v>
      </c>
      <c r="J411" s="91" t="s">
        <v>228</v>
      </c>
      <c r="K411" s="91" t="s">
        <v>228</v>
      </c>
      <c r="L411" s="92" t="s">
        <v>302</v>
      </c>
      <c r="M411" s="91" t="str">
        <f t="shared" si="77"/>
        <v>no aplica</v>
      </c>
      <c r="N411" s="93">
        <v>41608</v>
      </c>
      <c r="O411" s="94"/>
      <c r="P411" s="94"/>
      <c r="Q411" s="94">
        <v>30</v>
      </c>
      <c r="R411" s="95">
        <f t="shared" si="78"/>
        <v>29639.14632183182</v>
      </c>
      <c r="S411" s="94">
        <v>19396</v>
      </c>
      <c r="T411" s="94">
        <f t="shared" si="79"/>
        <v>20709.109200000003</v>
      </c>
      <c r="U411" s="94">
        <f t="shared" si="80"/>
        <v>21899.882979000005</v>
      </c>
      <c r="V411" s="94">
        <f t="shared" si="81"/>
        <v>22795.588192841104</v>
      </c>
      <c r="W411" s="97">
        <f t="shared" si="82"/>
        <v>23520.487897373452</v>
      </c>
      <c r="X411" s="97">
        <f t="shared" si="83"/>
        <v>24414.266437473645</v>
      </c>
      <c r="Y411" s="97">
        <f t="shared" si="87"/>
        <v>24807.336127116971</v>
      </c>
      <c r="Z411" s="97">
        <f t="shared" si="84"/>
        <v>26201.508417460944</v>
      </c>
      <c r="AA411" s="97">
        <f t="shared" si="85"/>
        <v>29639.14632183182</v>
      </c>
    </row>
    <row r="412" spans="1:27" x14ac:dyDescent="0.25">
      <c r="A412" s="86" t="s">
        <v>1090</v>
      </c>
      <c r="B412" s="110" t="s">
        <v>1091</v>
      </c>
      <c r="C412" s="88" t="s">
        <v>1031</v>
      </c>
      <c r="D412" s="89" t="s">
        <v>262</v>
      </c>
      <c r="E412" s="90">
        <f t="shared" si="88"/>
        <v>199847</v>
      </c>
      <c r="F412" s="90">
        <f t="shared" si="86"/>
        <v>167938.86269175692</v>
      </c>
      <c r="G412" s="91">
        <v>0.19</v>
      </c>
      <c r="H412" s="91" t="s">
        <v>228</v>
      </c>
      <c r="I412" s="91" t="s">
        <v>228</v>
      </c>
      <c r="J412" s="91" t="s">
        <v>228</v>
      </c>
      <c r="K412" s="91" t="s">
        <v>228</v>
      </c>
      <c r="L412" s="92" t="s">
        <v>302</v>
      </c>
      <c r="M412" s="91" t="str">
        <f t="shared" si="77"/>
        <v>no aplica</v>
      </c>
      <c r="N412" s="93">
        <v>41608</v>
      </c>
      <c r="O412" s="94"/>
      <c r="P412" s="94"/>
      <c r="Q412" s="94">
        <v>31</v>
      </c>
      <c r="R412" s="95">
        <f t="shared" si="78"/>
        <v>167938.86269175692</v>
      </c>
      <c r="S412" s="94">
        <v>109900</v>
      </c>
      <c r="T412" s="94">
        <f t="shared" si="79"/>
        <v>117340.23000000001</v>
      </c>
      <c r="U412" s="94">
        <f t="shared" si="80"/>
        <v>124087.29322500003</v>
      </c>
      <c r="V412" s="94">
        <f t="shared" si="81"/>
        <v>129162.46351790252</v>
      </c>
      <c r="W412" s="97">
        <f t="shared" si="82"/>
        <v>133269.82985777184</v>
      </c>
      <c r="X412" s="97">
        <f t="shared" si="83"/>
        <v>138334.08339236717</v>
      </c>
      <c r="Y412" s="97">
        <f t="shared" si="87"/>
        <v>140561.26213498428</v>
      </c>
      <c r="Z412" s="97">
        <f t="shared" si="84"/>
        <v>148460.80506697041</v>
      </c>
      <c r="AA412" s="97">
        <f t="shared" si="85"/>
        <v>167938.86269175692</v>
      </c>
    </row>
    <row r="413" spans="1:27" x14ac:dyDescent="0.25">
      <c r="A413" s="102" t="s">
        <v>1092</v>
      </c>
      <c r="B413" s="110" t="s">
        <v>1093</v>
      </c>
      <c r="C413" s="88" t="s">
        <v>1031</v>
      </c>
      <c r="D413" s="89" t="s">
        <v>1032</v>
      </c>
      <c r="E413" s="90">
        <f t="shared" si="88"/>
        <v>94559</v>
      </c>
      <c r="F413" s="90">
        <f t="shared" si="86"/>
        <v>79461.51828909335</v>
      </c>
      <c r="G413" s="91">
        <v>0.19</v>
      </c>
      <c r="H413" s="91" t="s">
        <v>228</v>
      </c>
      <c r="I413" s="91" t="s">
        <v>228</v>
      </c>
      <c r="J413" s="91" t="s">
        <v>228</v>
      </c>
      <c r="K413" s="91" t="s">
        <v>228</v>
      </c>
      <c r="L413" s="92" t="s">
        <v>302</v>
      </c>
      <c r="M413" s="91" t="str">
        <f t="shared" si="77"/>
        <v>no aplica</v>
      </c>
      <c r="N413" s="93">
        <v>41608</v>
      </c>
      <c r="O413" s="94"/>
      <c r="P413" s="94"/>
      <c r="Q413" s="94">
        <v>32</v>
      </c>
      <c r="R413" s="95">
        <f t="shared" si="78"/>
        <v>79461.51828909335</v>
      </c>
      <c r="S413" s="94">
        <v>52000</v>
      </c>
      <c r="T413" s="94">
        <f t="shared" si="79"/>
        <v>55520.4</v>
      </c>
      <c r="U413" s="94">
        <f t="shared" si="80"/>
        <v>58712.823000000004</v>
      </c>
      <c r="V413" s="94">
        <f t="shared" si="81"/>
        <v>61114.177460699997</v>
      </c>
      <c r="W413" s="97">
        <f t="shared" si="82"/>
        <v>63057.608303950263</v>
      </c>
      <c r="X413" s="97">
        <f t="shared" si="83"/>
        <v>65453.797419500377</v>
      </c>
      <c r="Y413" s="97">
        <f t="shared" si="87"/>
        <v>66507.603557954339</v>
      </c>
      <c r="Z413" s="97">
        <f t="shared" si="84"/>
        <v>70245.330877911372</v>
      </c>
      <c r="AA413" s="97">
        <f t="shared" si="85"/>
        <v>79461.51828909335</v>
      </c>
    </row>
    <row r="414" spans="1:27" x14ac:dyDescent="0.25">
      <c r="A414" s="102" t="s">
        <v>1094</v>
      </c>
      <c r="B414" s="110" t="s">
        <v>1095</v>
      </c>
      <c r="C414" s="88" t="s">
        <v>1031</v>
      </c>
      <c r="D414" s="89" t="s">
        <v>1032</v>
      </c>
      <c r="E414" s="90">
        <f t="shared" si="88"/>
        <v>247998</v>
      </c>
      <c r="F414" s="90">
        <f t="shared" si="86"/>
        <v>208401.58466823577</v>
      </c>
      <c r="G414" s="91">
        <v>0.19</v>
      </c>
      <c r="H414" s="91" t="s">
        <v>228</v>
      </c>
      <c r="I414" s="91" t="s">
        <v>228</v>
      </c>
      <c r="J414" s="91" t="s">
        <v>228</v>
      </c>
      <c r="K414" s="91"/>
      <c r="L414" s="92" t="s">
        <v>302</v>
      </c>
      <c r="M414" s="91" t="str">
        <f t="shared" si="77"/>
        <v>no aplica</v>
      </c>
      <c r="N414" s="93">
        <v>41608</v>
      </c>
      <c r="O414" s="94"/>
      <c r="P414" s="94"/>
      <c r="Q414" s="94">
        <v>33</v>
      </c>
      <c r="R414" s="95">
        <f t="shared" si="78"/>
        <v>208401.58466823577</v>
      </c>
      <c r="S414" s="94">
        <v>136379</v>
      </c>
      <c r="T414" s="94">
        <f t="shared" si="79"/>
        <v>145611.85830000002</v>
      </c>
      <c r="U414" s="94">
        <f t="shared" si="80"/>
        <v>153984.54015225003</v>
      </c>
      <c r="V414" s="94">
        <f t="shared" si="81"/>
        <v>160282.50784447705</v>
      </c>
      <c r="W414" s="97">
        <f t="shared" si="82"/>
        <v>165379.49159393142</v>
      </c>
      <c r="X414" s="97">
        <f t="shared" si="83"/>
        <v>171663.91227450082</v>
      </c>
      <c r="Y414" s="97">
        <f t="shared" si="87"/>
        <v>174427.70126212027</v>
      </c>
      <c r="Z414" s="97">
        <f t="shared" si="84"/>
        <v>184230.53807305143</v>
      </c>
      <c r="AA414" s="97">
        <f t="shared" si="85"/>
        <v>208401.58466823577</v>
      </c>
    </row>
    <row r="415" spans="1:27" x14ac:dyDescent="0.25">
      <c r="A415" s="102" t="s">
        <v>1096</v>
      </c>
      <c r="B415" s="110" t="s">
        <v>1097</v>
      </c>
      <c r="C415" s="88" t="s">
        <v>1031</v>
      </c>
      <c r="D415" s="89" t="s">
        <v>1032</v>
      </c>
      <c r="E415" s="90">
        <f t="shared" si="88"/>
        <v>2351438</v>
      </c>
      <c r="F415" s="90">
        <f t="shared" si="86"/>
        <v>1975998.6093111823</v>
      </c>
      <c r="G415" s="91">
        <v>0.19</v>
      </c>
      <c r="H415" s="91" t="s">
        <v>228</v>
      </c>
      <c r="I415" s="91" t="s">
        <v>228</v>
      </c>
      <c r="J415" s="91" t="s">
        <v>228</v>
      </c>
      <c r="K415" s="91"/>
      <c r="L415" s="92" t="s">
        <v>302</v>
      </c>
      <c r="M415" s="91" t="str">
        <f t="shared" si="77"/>
        <v>no aplica</v>
      </c>
      <c r="N415" s="93">
        <v>41608</v>
      </c>
      <c r="O415" s="94"/>
      <c r="P415" s="94"/>
      <c r="Q415" s="94">
        <v>34</v>
      </c>
      <c r="R415" s="95">
        <f t="shared" si="78"/>
        <v>1975998.6093111823</v>
      </c>
      <c r="S415" s="94">
        <v>1293103</v>
      </c>
      <c r="T415" s="94">
        <f t="shared" si="79"/>
        <v>1380646.0731000002</v>
      </c>
      <c r="U415" s="94">
        <f t="shared" si="80"/>
        <v>1460033.2223032503</v>
      </c>
      <c r="V415" s="94">
        <f t="shared" si="81"/>
        <v>1519748.5810954531</v>
      </c>
      <c r="W415" s="97">
        <f t="shared" si="82"/>
        <v>1568076.5859742886</v>
      </c>
      <c r="X415" s="97">
        <f t="shared" si="83"/>
        <v>1627663.4962413118</v>
      </c>
      <c r="Y415" s="97">
        <f t="shared" si="87"/>
        <v>1653868.8785307969</v>
      </c>
      <c r="Z415" s="97">
        <f t="shared" si="84"/>
        <v>1746816.3095042277</v>
      </c>
      <c r="AA415" s="97">
        <f t="shared" si="85"/>
        <v>1975998.6093111823</v>
      </c>
    </row>
    <row r="416" spans="1:27" x14ac:dyDescent="0.25">
      <c r="A416" s="86" t="s">
        <v>1098</v>
      </c>
      <c r="B416" s="110" t="s">
        <v>1099</v>
      </c>
      <c r="C416" s="88" t="s">
        <v>1031</v>
      </c>
      <c r="D416" s="89" t="s">
        <v>1032</v>
      </c>
      <c r="E416" s="90">
        <f t="shared" si="88"/>
        <v>411</v>
      </c>
      <c r="F416" s="90">
        <f t="shared" si="86"/>
        <v>345.35198333336723</v>
      </c>
      <c r="G416" s="91">
        <v>0.19</v>
      </c>
      <c r="H416" s="91" t="s">
        <v>228</v>
      </c>
      <c r="I416" s="91" t="s">
        <v>228</v>
      </c>
      <c r="J416" s="91" t="s">
        <v>228</v>
      </c>
      <c r="K416" s="91" t="s">
        <v>228</v>
      </c>
      <c r="L416" s="92" t="s">
        <v>302</v>
      </c>
      <c r="M416" s="91" t="str">
        <f t="shared" si="77"/>
        <v>no aplica</v>
      </c>
      <c r="N416" s="93">
        <v>41608</v>
      </c>
      <c r="O416" s="94"/>
      <c r="P416" s="94"/>
      <c r="Q416" s="94">
        <v>35</v>
      </c>
      <c r="R416" s="95">
        <f t="shared" si="78"/>
        <v>345.35198333336723</v>
      </c>
      <c r="S416" s="94">
        <v>226</v>
      </c>
      <c r="T416" s="94">
        <f t="shared" si="79"/>
        <v>241.30020000000002</v>
      </c>
      <c r="U416" s="94">
        <f t="shared" si="80"/>
        <v>255.17496150000005</v>
      </c>
      <c r="V416" s="94">
        <f t="shared" si="81"/>
        <v>265.61161742535006</v>
      </c>
      <c r="W416" s="97">
        <f t="shared" si="82"/>
        <v>274.05806685947618</v>
      </c>
      <c r="X416" s="97">
        <f t="shared" si="83"/>
        <v>284.47227340013632</v>
      </c>
      <c r="Y416" s="97">
        <f t="shared" si="87"/>
        <v>289.05227700187851</v>
      </c>
      <c r="Z416" s="97">
        <f t="shared" si="84"/>
        <v>305.29701496938407</v>
      </c>
      <c r="AA416" s="97">
        <f t="shared" si="85"/>
        <v>345.35198333336723</v>
      </c>
    </row>
    <row r="417" spans="1:27" x14ac:dyDescent="0.25">
      <c r="A417" s="102" t="s">
        <v>1100</v>
      </c>
      <c r="B417" s="110" t="s">
        <v>1101</v>
      </c>
      <c r="C417" s="88" t="s">
        <v>1031</v>
      </c>
      <c r="D417" s="89" t="s">
        <v>1032</v>
      </c>
      <c r="E417" s="90">
        <f t="shared" si="88"/>
        <v>57865</v>
      </c>
      <c r="F417" s="90">
        <f t="shared" si="86"/>
        <v>48625.864874562285</v>
      </c>
      <c r="G417" s="91">
        <v>0.19</v>
      </c>
      <c r="H417" s="91" t="s">
        <v>228</v>
      </c>
      <c r="I417" s="91" t="s">
        <v>228</v>
      </c>
      <c r="J417" s="91" t="s">
        <v>228</v>
      </c>
      <c r="K417" s="91"/>
      <c r="L417" s="92" t="s">
        <v>302</v>
      </c>
      <c r="M417" s="91" t="str">
        <f t="shared" si="77"/>
        <v>no aplica</v>
      </c>
      <c r="N417" s="93">
        <v>41608</v>
      </c>
      <c r="O417" s="94"/>
      <c r="P417" s="94"/>
      <c r="Q417" s="94">
        <v>36</v>
      </c>
      <c r="R417" s="95">
        <f t="shared" si="78"/>
        <v>48625.864874562285</v>
      </c>
      <c r="S417" s="94">
        <v>31821</v>
      </c>
      <c r="T417" s="94">
        <f t="shared" si="79"/>
        <v>33975.2817</v>
      </c>
      <c r="U417" s="94">
        <f t="shared" si="80"/>
        <v>35928.860397750002</v>
      </c>
      <c r="V417" s="94">
        <f t="shared" si="81"/>
        <v>37398.350788017975</v>
      </c>
      <c r="W417" s="97">
        <f t="shared" si="82"/>
        <v>38587.618343076945</v>
      </c>
      <c r="X417" s="97">
        <f t="shared" si="83"/>
        <v>40053.947840113869</v>
      </c>
      <c r="Y417" s="97">
        <f t="shared" si="87"/>
        <v>40698.816400339703</v>
      </c>
      <c r="Z417" s="97">
        <f t="shared" si="84"/>
        <v>42986.089882038796</v>
      </c>
      <c r="AA417" s="97">
        <f t="shared" si="85"/>
        <v>48625.864874562285</v>
      </c>
    </row>
    <row r="418" spans="1:27" x14ac:dyDescent="0.25">
      <c r="A418" s="86" t="s">
        <v>1102</v>
      </c>
      <c r="B418" s="110" t="s">
        <v>1103</v>
      </c>
      <c r="C418" s="88" t="s">
        <v>1031</v>
      </c>
      <c r="D418" s="89" t="s">
        <v>1032</v>
      </c>
      <c r="E418" s="90">
        <f t="shared" si="88"/>
        <v>57865</v>
      </c>
      <c r="F418" s="90">
        <f t="shared" si="86"/>
        <v>48625.864874562285</v>
      </c>
      <c r="G418" s="91">
        <v>0.19</v>
      </c>
      <c r="H418" s="91" t="s">
        <v>228</v>
      </c>
      <c r="I418" s="91" t="s">
        <v>228</v>
      </c>
      <c r="J418" s="91" t="s">
        <v>228</v>
      </c>
      <c r="K418" s="91" t="s">
        <v>228</v>
      </c>
      <c r="L418" s="92" t="s">
        <v>302</v>
      </c>
      <c r="M418" s="91" t="str">
        <f t="shared" si="77"/>
        <v>no aplica</v>
      </c>
      <c r="N418" s="93">
        <v>41608</v>
      </c>
      <c r="O418" s="94"/>
      <c r="P418" s="94"/>
      <c r="Q418" s="94">
        <v>37</v>
      </c>
      <c r="R418" s="95">
        <f t="shared" si="78"/>
        <v>48625.864874562285</v>
      </c>
      <c r="S418" s="94">
        <v>31821</v>
      </c>
      <c r="T418" s="94">
        <f t="shared" si="79"/>
        <v>33975.2817</v>
      </c>
      <c r="U418" s="94">
        <f t="shared" si="80"/>
        <v>35928.860397750002</v>
      </c>
      <c r="V418" s="94">
        <f t="shared" si="81"/>
        <v>37398.350788017975</v>
      </c>
      <c r="W418" s="97">
        <f t="shared" si="82"/>
        <v>38587.618343076945</v>
      </c>
      <c r="X418" s="97">
        <f t="shared" si="83"/>
        <v>40053.947840113869</v>
      </c>
      <c r="Y418" s="97">
        <f t="shared" si="87"/>
        <v>40698.816400339703</v>
      </c>
      <c r="Z418" s="97">
        <f t="shared" si="84"/>
        <v>42986.089882038796</v>
      </c>
      <c r="AA418" s="97">
        <f t="shared" si="85"/>
        <v>48625.864874562285</v>
      </c>
    </row>
    <row r="419" spans="1:27" x14ac:dyDescent="0.25">
      <c r="A419" s="86" t="s">
        <v>1104</v>
      </c>
      <c r="B419" s="110" t="s">
        <v>1105</v>
      </c>
      <c r="C419" s="88" t="s">
        <v>1031</v>
      </c>
      <c r="D419" s="89" t="s">
        <v>1106</v>
      </c>
      <c r="E419" s="90">
        <f t="shared" si="88"/>
        <v>41331</v>
      </c>
      <c r="F419" s="90">
        <f t="shared" si="86"/>
        <v>34732.324022938505</v>
      </c>
      <c r="G419" s="91">
        <v>0.19</v>
      </c>
      <c r="H419" s="91" t="s">
        <v>228</v>
      </c>
      <c r="I419" s="91" t="s">
        <v>228</v>
      </c>
      <c r="J419" s="91" t="s">
        <v>228</v>
      </c>
      <c r="K419" s="91" t="s">
        <v>228</v>
      </c>
      <c r="L419" s="92" t="s">
        <v>302</v>
      </c>
      <c r="M419" s="91" t="str">
        <f t="shared" si="77"/>
        <v>no aplica</v>
      </c>
      <c r="N419" s="93">
        <v>41608</v>
      </c>
      <c r="O419" s="94"/>
      <c r="P419" s="94"/>
      <c r="Q419" s="94">
        <v>38</v>
      </c>
      <c r="R419" s="95">
        <f t="shared" si="78"/>
        <v>34732.324022938505</v>
      </c>
      <c r="S419" s="94">
        <v>22729</v>
      </c>
      <c r="T419" s="94">
        <f t="shared" si="79"/>
        <v>24267.7533</v>
      </c>
      <c r="U419" s="94">
        <f t="shared" si="80"/>
        <v>25663.149114750002</v>
      </c>
      <c r="V419" s="94">
        <f t="shared" si="81"/>
        <v>26712.771913543274</v>
      </c>
      <c r="W419" s="97">
        <f t="shared" si="82"/>
        <v>27562.238060393953</v>
      </c>
      <c r="X419" s="97">
        <f t="shared" si="83"/>
        <v>28609.603106688923</v>
      </c>
      <c r="Y419" s="97">
        <f t="shared" si="87"/>
        <v>29070.217716706615</v>
      </c>
      <c r="Z419" s="97">
        <f t="shared" si="84"/>
        <v>30703.963952385526</v>
      </c>
      <c r="AA419" s="97">
        <f t="shared" si="85"/>
        <v>34732.324022938505</v>
      </c>
    </row>
    <row r="420" spans="1:27" x14ac:dyDescent="0.25">
      <c r="A420" s="86" t="s">
        <v>1107</v>
      </c>
      <c r="B420" s="110" t="s">
        <v>1108</v>
      </c>
      <c r="C420" s="88" t="s">
        <v>1031</v>
      </c>
      <c r="D420" s="89" t="s">
        <v>255</v>
      </c>
      <c r="E420" s="90">
        <f t="shared" si="88"/>
        <v>2351</v>
      </c>
      <c r="F420" s="90">
        <f t="shared" si="86"/>
        <v>1975.8412143807248</v>
      </c>
      <c r="G420" s="91">
        <v>0.19</v>
      </c>
      <c r="H420" s="91" t="s">
        <v>228</v>
      </c>
      <c r="I420" s="91" t="s">
        <v>228</v>
      </c>
      <c r="J420" s="91" t="s">
        <v>228</v>
      </c>
      <c r="K420" s="91" t="s">
        <v>228</v>
      </c>
      <c r="L420" s="92" t="s">
        <v>302</v>
      </c>
      <c r="M420" s="91" t="str">
        <f t="shared" si="77"/>
        <v>no aplica</v>
      </c>
      <c r="N420" s="93">
        <v>41608</v>
      </c>
      <c r="O420" s="94"/>
      <c r="P420" s="94"/>
      <c r="Q420" s="94">
        <v>39</v>
      </c>
      <c r="R420" s="95">
        <f t="shared" si="78"/>
        <v>1975.8412143807248</v>
      </c>
      <c r="S420" s="94">
        <v>1293</v>
      </c>
      <c r="T420" s="94">
        <f t="shared" si="79"/>
        <v>1380.5361</v>
      </c>
      <c r="U420" s="94">
        <f t="shared" si="80"/>
        <v>1459.9169257500002</v>
      </c>
      <c r="V420" s="94">
        <f t="shared" si="81"/>
        <v>1519.6275280131752</v>
      </c>
      <c r="W420" s="97">
        <f t="shared" si="82"/>
        <v>1567.9516834039941</v>
      </c>
      <c r="X420" s="97">
        <f t="shared" si="83"/>
        <v>1627.5338473733459</v>
      </c>
      <c r="Y420" s="97">
        <f t="shared" si="87"/>
        <v>1653.7371423160569</v>
      </c>
      <c r="Z420" s="97">
        <f t="shared" si="84"/>
        <v>1746.6771697142192</v>
      </c>
      <c r="AA420" s="97">
        <f t="shared" si="85"/>
        <v>1975.8412143807248</v>
      </c>
    </row>
    <row r="421" spans="1:27" x14ac:dyDescent="0.25">
      <c r="A421" s="86" t="s">
        <v>1109</v>
      </c>
      <c r="B421" s="110" t="s">
        <v>1110</v>
      </c>
      <c r="C421" s="88" t="s">
        <v>1031</v>
      </c>
      <c r="D421" s="89" t="s">
        <v>255</v>
      </c>
      <c r="E421" s="90">
        <f t="shared" si="88"/>
        <v>15675</v>
      </c>
      <c r="F421" s="90">
        <f t="shared" si="86"/>
        <v>13172.274762538167</v>
      </c>
      <c r="G421" s="91">
        <v>0.19</v>
      </c>
      <c r="H421" s="91" t="s">
        <v>228</v>
      </c>
      <c r="I421" s="91" t="s">
        <v>228</v>
      </c>
      <c r="J421" s="91" t="s">
        <v>228</v>
      </c>
      <c r="K421" s="91" t="s">
        <v>228</v>
      </c>
      <c r="L421" s="92" t="s">
        <v>302</v>
      </c>
      <c r="M421" s="91" t="str">
        <f t="shared" si="77"/>
        <v>no aplica</v>
      </c>
      <c r="N421" s="93">
        <v>41608</v>
      </c>
      <c r="O421" s="94"/>
      <c r="P421" s="94"/>
      <c r="Q421" s="94">
        <v>40</v>
      </c>
      <c r="R421" s="95">
        <f t="shared" si="78"/>
        <v>13172.274762538167</v>
      </c>
      <c r="S421" s="94">
        <v>8620</v>
      </c>
      <c r="T421" s="94">
        <f t="shared" si="79"/>
        <v>9203.5740000000005</v>
      </c>
      <c r="U421" s="94">
        <f t="shared" si="80"/>
        <v>9732.7795050000022</v>
      </c>
      <c r="V421" s="94">
        <f t="shared" si="81"/>
        <v>10130.850186754502</v>
      </c>
      <c r="W421" s="97">
        <f t="shared" si="82"/>
        <v>10453.011222693296</v>
      </c>
      <c r="X421" s="97">
        <f t="shared" si="83"/>
        <v>10850.225649155642</v>
      </c>
      <c r="Y421" s="97">
        <f t="shared" si="87"/>
        <v>11024.914282107047</v>
      </c>
      <c r="Z421" s="97">
        <f t="shared" si="84"/>
        <v>11644.514464761463</v>
      </c>
      <c r="AA421" s="97">
        <f t="shared" si="85"/>
        <v>13172.274762538167</v>
      </c>
    </row>
    <row r="422" spans="1:27" x14ac:dyDescent="0.25">
      <c r="A422" s="86" t="s">
        <v>1111</v>
      </c>
      <c r="B422" s="110" t="s">
        <v>1112</v>
      </c>
      <c r="C422" s="88" t="s">
        <v>1031</v>
      </c>
      <c r="D422" s="89" t="s">
        <v>262</v>
      </c>
      <c r="E422" s="90">
        <f t="shared" si="88"/>
        <v>39189</v>
      </c>
      <c r="F422" s="90">
        <f t="shared" si="86"/>
        <v>32932.21501246636</v>
      </c>
      <c r="G422" s="91">
        <v>0.19</v>
      </c>
      <c r="H422" s="91" t="s">
        <v>228</v>
      </c>
      <c r="I422" s="91" t="s">
        <v>228</v>
      </c>
      <c r="J422" s="91" t="s">
        <v>228</v>
      </c>
      <c r="K422" s="91" t="s">
        <v>228</v>
      </c>
      <c r="L422" s="92" t="s">
        <v>302</v>
      </c>
      <c r="M422" s="91" t="str">
        <f t="shared" si="77"/>
        <v>no aplica</v>
      </c>
      <c r="N422" s="93">
        <v>41608</v>
      </c>
      <c r="O422" s="94"/>
      <c r="P422" s="94"/>
      <c r="Q422" s="94">
        <v>41</v>
      </c>
      <c r="R422" s="95">
        <f t="shared" si="78"/>
        <v>32932.21501246636</v>
      </c>
      <c r="S422" s="94">
        <v>21551</v>
      </c>
      <c r="T422" s="94">
        <f t="shared" si="79"/>
        <v>23010.002700000001</v>
      </c>
      <c r="U422" s="94">
        <f t="shared" si="80"/>
        <v>24333.077855250005</v>
      </c>
      <c r="V422" s="94">
        <f t="shared" si="81"/>
        <v>25328.300739529728</v>
      </c>
      <c r="W422" s="97">
        <f t="shared" si="82"/>
        <v>26133.740703046773</v>
      </c>
      <c r="X422" s="97">
        <f t="shared" si="83"/>
        <v>27126.82284976255</v>
      </c>
      <c r="Y422" s="97">
        <f t="shared" si="87"/>
        <v>27563.564697643727</v>
      </c>
      <c r="Z422" s="97">
        <f t="shared" si="84"/>
        <v>29112.637033651306</v>
      </c>
      <c r="AA422" s="97">
        <f t="shared" si="85"/>
        <v>32932.21501246636</v>
      </c>
    </row>
    <row r="423" spans="1:27" x14ac:dyDescent="0.25">
      <c r="A423" s="102" t="s">
        <v>1113</v>
      </c>
      <c r="B423" s="121" t="s">
        <v>1114</v>
      </c>
      <c r="C423" s="88" t="s">
        <v>1031</v>
      </c>
      <c r="D423" s="89" t="s">
        <v>262</v>
      </c>
      <c r="E423" s="90">
        <f t="shared" si="88"/>
        <v>3448</v>
      </c>
      <c r="F423" s="90">
        <f t="shared" si="86"/>
        <v>2897.2892053100186</v>
      </c>
      <c r="G423" s="91">
        <v>0.19</v>
      </c>
      <c r="H423" s="91" t="s">
        <v>228</v>
      </c>
      <c r="I423" s="91" t="s">
        <v>228</v>
      </c>
      <c r="J423" s="91" t="s">
        <v>228</v>
      </c>
      <c r="K423" s="91" t="s">
        <v>228</v>
      </c>
      <c r="L423" s="92" t="s">
        <v>302</v>
      </c>
      <c r="M423" s="91" t="str">
        <f t="shared" si="77"/>
        <v>no aplica</v>
      </c>
      <c r="N423" s="93">
        <v>41608</v>
      </c>
      <c r="O423" s="94"/>
      <c r="P423" s="94"/>
      <c r="Q423" s="94">
        <v>42</v>
      </c>
      <c r="R423" s="95">
        <f t="shared" si="78"/>
        <v>2897.2892053100186</v>
      </c>
      <c r="S423" s="94">
        <v>1896</v>
      </c>
      <c r="T423" s="94">
        <f t="shared" si="79"/>
        <v>2024.3592000000001</v>
      </c>
      <c r="U423" s="94">
        <f t="shared" si="80"/>
        <v>2140.7598540000004</v>
      </c>
      <c r="V423" s="94">
        <f t="shared" si="81"/>
        <v>2228.3169320286001</v>
      </c>
      <c r="W423" s="97">
        <f t="shared" si="82"/>
        <v>2299.1774104671099</v>
      </c>
      <c r="X423" s="97">
        <f t="shared" si="83"/>
        <v>2386.5461520648601</v>
      </c>
      <c r="Y423" s="97">
        <f t="shared" si="87"/>
        <v>2424.9695451131042</v>
      </c>
      <c r="Z423" s="97">
        <f t="shared" si="84"/>
        <v>2561.2528335484608</v>
      </c>
      <c r="AA423" s="97">
        <f t="shared" si="85"/>
        <v>2897.2892053100186</v>
      </c>
    </row>
    <row r="424" spans="1:27" x14ac:dyDescent="0.25">
      <c r="A424" s="102" t="s">
        <v>1115</v>
      </c>
      <c r="B424" s="110" t="s">
        <v>1116</v>
      </c>
      <c r="C424" s="88" t="s">
        <v>1031</v>
      </c>
      <c r="D424" s="89" t="s">
        <v>89</v>
      </c>
      <c r="E424" s="90">
        <f t="shared" si="88"/>
        <v>139126</v>
      </c>
      <c r="F424" s="90">
        <f t="shared" si="86"/>
        <v>116912.34310119144</v>
      </c>
      <c r="G424" s="91">
        <v>0.19</v>
      </c>
      <c r="H424" s="91" t="s">
        <v>228</v>
      </c>
      <c r="I424" s="91" t="s">
        <v>228</v>
      </c>
      <c r="J424" s="91" t="s">
        <v>228</v>
      </c>
      <c r="K424" s="91" t="s">
        <v>228</v>
      </c>
      <c r="L424" s="92" t="s">
        <v>302</v>
      </c>
      <c r="M424" s="91" t="str">
        <f t="shared" si="77"/>
        <v>no aplica</v>
      </c>
      <c r="N424" s="93">
        <v>41608</v>
      </c>
      <c r="O424" s="94"/>
      <c r="P424" s="94"/>
      <c r="Q424" s="94">
        <v>43</v>
      </c>
      <c r="R424" s="95">
        <f t="shared" si="78"/>
        <v>116912.34310119144</v>
      </c>
      <c r="S424" s="94">
        <v>76508</v>
      </c>
      <c r="T424" s="94">
        <f t="shared" si="79"/>
        <v>81687.591600000014</v>
      </c>
      <c r="U424" s="94">
        <f t="shared" si="80"/>
        <v>86384.628117000029</v>
      </c>
      <c r="V424" s="94">
        <f t="shared" si="81"/>
        <v>89917.759406985322</v>
      </c>
      <c r="W424" s="97">
        <f t="shared" si="82"/>
        <v>92777.144156127455</v>
      </c>
      <c r="X424" s="97">
        <f t="shared" si="83"/>
        <v>96302.675634060302</v>
      </c>
      <c r="Y424" s="97">
        <f t="shared" si="87"/>
        <v>97853.148711768677</v>
      </c>
      <c r="Z424" s="97">
        <f t="shared" si="84"/>
        <v>103352.49566937008</v>
      </c>
      <c r="AA424" s="97">
        <f t="shared" si="85"/>
        <v>116912.34310119144</v>
      </c>
    </row>
    <row r="425" spans="1:27" x14ac:dyDescent="0.25">
      <c r="A425" s="86" t="s">
        <v>1117</v>
      </c>
      <c r="B425" s="121" t="s">
        <v>1118</v>
      </c>
      <c r="C425" s="88" t="s">
        <v>1031</v>
      </c>
      <c r="D425" s="89" t="s">
        <v>1032</v>
      </c>
      <c r="E425" s="122">
        <f t="shared" si="88"/>
        <v>66373</v>
      </c>
      <c r="F425" s="90">
        <f t="shared" si="86"/>
        <v>55775.873414459762</v>
      </c>
      <c r="G425" s="91">
        <v>0.19</v>
      </c>
      <c r="H425" s="91" t="s">
        <v>228</v>
      </c>
      <c r="I425" s="91" t="s">
        <v>228</v>
      </c>
      <c r="J425" s="91" t="s">
        <v>228</v>
      </c>
      <c r="K425" s="91" t="s">
        <v>228</v>
      </c>
      <c r="L425" s="92" t="s">
        <v>302</v>
      </c>
      <c r="M425" s="91" t="str">
        <f t="shared" si="77"/>
        <v>no aplica</v>
      </c>
      <c r="N425" s="93">
        <v>41608</v>
      </c>
      <c r="O425" s="94"/>
      <c r="P425" s="94"/>
      <c r="Q425" s="94">
        <v>44</v>
      </c>
      <c r="R425" s="95">
        <f t="shared" si="78"/>
        <v>55775.873414459762</v>
      </c>
      <c r="S425" s="94">
        <v>36500</v>
      </c>
      <c r="T425" s="94">
        <f t="shared" si="79"/>
        <v>38971.050000000003</v>
      </c>
      <c r="U425" s="94">
        <f t="shared" si="80"/>
        <v>41211.885375000005</v>
      </c>
      <c r="V425" s="94">
        <f t="shared" si="81"/>
        <v>42897.451486837504</v>
      </c>
      <c r="W425" s="97">
        <f t="shared" si="82"/>
        <v>44261.590444118941</v>
      </c>
      <c r="X425" s="97">
        <f t="shared" si="83"/>
        <v>45943.530880995466</v>
      </c>
      <c r="Y425" s="97">
        <f t="shared" si="87"/>
        <v>46683.221728179495</v>
      </c>
      <c r="Z425" s="97">
        <f t="shared" si="84"/>
        <v>49306.818789303186</v>
      </c>
      <c r="AA425" s="97">
        <f t="shared" si="85"/>
        <v>55775.873414459762</v>
      </c>
    </row>
    <row r="426" spans="1:27" x14ac:dyDescent="0.25">
      <c r="A426" s="102" t="s">
        <v>1119</v>
      </c>
      <c r="B426" s="110" t="s">
        <v>1120</v>
      </c>
      <c r="C426" s="88" t="s">
        <v>1031</v>
      </c>
      <c r="D426" s="89" t="s">
        <v>89</v>
      </c>
      <c r="E426" s="90">
        <f t="shared" si="88"/>
        <v>254582</v>
      </c>
      <c r="F426" s="90">
        <f t="shared" si="86"/>
        <v>213934.85693217439</v>
      </c>
      <c r="G426" s="91">
        <v>0.19</v>
      </c>
      <c r="H426" s="91" t="s">
        <v>228</v>
      </c>
      <c r="I426" s="91" t="s">
        <v>228</v>
      </c>
      <c r="J426" s="91" t="s">
        <v>228</v>
      </c>
      <c r="K426" s="91" t="s">
        <v>228</v>
      </c>
      <c r="L426" s="92" t="s">
        <v>302</v>
      </c>
      <c r="M426" s="91" t="str">
        <f t="shared" si="77"/>
        <v>no aplica</v>
      </c>
      <c r="N426" s="93">
        <v>41608</v>
      </c>
      <c r="O426" s="94"/>
      <c r="P426" s="94"/>
      <c r="Q426" s="94">
        <v>45</v>
      </c>
      <c r="R426" s="95">
        <f t="shared" si="78"/>
        <v>213934.85693217439</v>
      </c>
      <c r="S426" s="94">
        <v>140000</v>
      </c>
      <c r="T426" s="94">
        <f t="shared" si="79"/>
        <v>149478</v>
      </c>
      <c r="U426" s="94">
        <f t="shared" si="80"/>
        <v>158072.98500000002</v>
      </c>
      <c r="V426" s="94">
        <f t="shared" si="81"/>
        <v>164538.1700865</v>
      </c>
      <c r="W426" s="97">
        <f t="shared" si="82"/>
        <v>169770.48389525071</v>
      </c>
      <c r="X426" s="97">
        <f t="shared" si="83"/>
        <v>176221.76228327025</v>
      </c>
      <c r="Y426" s="97">
        <f t="shared" si="87"/>
        <v>179058.9326560309</v>
      </c>
      <c r="Z426" s="97">
        <f t="shared" si="84"/>
        <v>189122.04467129984</v>
      </c>
      <c r="AA426" s="97">
        <f t="shared" si="85"/>
        <v>213934.85693217439</v>
      </c>
    </row>
    <row r="427" spans="1:27" x14ac:dyDescent="0.25">
      <c r="A427" s="86" t="s">
        <v>1121</v>
      </c>
      <c r="B427" s="110" t="s">
        <v>1122</v>
      </c>
      <c r="C427" s="88" t="s">
        <v>1031</v>
      </c>
      <c r="D427" s="89" t="s">
        <v>89</v>
      </c>
      <c r="E427" s="90">
        <f t="shared" si="88"/>
        <v>90931</v>
      </c>
      <c r="F427" s="90">
        <f t="shared" si="86"/>
        <v>76412.946577809867</v>
      </c>
      <c r="G427" s="91">
        <v>0.19</v>
      </c>
      <c r="H427" s="91" t="s">
        <v>228</v>
      </c>
      <c r="I427" s="91" t="s">
        <v>228</v>
      </c>
      <c r="J427" s="91" t="s">
        <v>228</v>
      </c>
      <c r="K427" s="91" t="s">
        <v>228</v>
      </c>
      <c r="L427" s="92" t="s">
        <v>302</v>
      </c>
      <c r="M427" s="91" t="str">
        <f t="shared" si="77"/>
        <v>no aplica</v>
      </c>
      <c r="N427" s="93">
        <v>41608</v>
      </c>
      <c r="O427" s="94"/>
      <c r="P427" s="94"/>
      <c r="Q427" s="94">
        <v>46</v>
      </c>
      <c r="R427" s="95">
        <f t="shared" si="78"/>
        <v>76412.946577809867</v>
      </c>
      <c r="S427" s="94">
        <v>50005</v>
      </c>
      <c r="T427" s="94">
        <f t="shared" si="79"/>
        <v>53390.338500000005</v>
      </c>
      <c r="U427" s="94">
        <f t="shared" si="80"/>
        <v>56460.282963750011</v>
      </c>
      <c r="V427" s="94">
        <f t="shared" si="81"/>
        <v>58769.508536967383</v>
      </c>
      <c r="W427" s="97">
        <f t="shared" si="82"/>
        <v>60638.378908442952</v>
      </c>
      <c r="X427" s="97">
        <f t="shared" si="83"/>
        <v>62942.637306963785</v>
      </c>
      <c r="Y427" s="97">
        <f t="shared" si="87"/>
        <v>63956.013767605902</v>
      </c>
      <c r="Z427" s="97">
        <f t="shared" si="84"/>
        <v>67550.341741345357</v>
      </c>
      <c r="AA427" s="97">
        <f t="shared" si="85"/>
        <v>76412.946577809867</v>
      </c>
    </row>
    <row r="428" spans="1:27" x14ac:dyDescent="0.25">
      <c r="A428" s="86" t="s">
        <v>1123</v>
      </c>
      <c r="B428" s="110" t="s">
        <v>1124</v>
      </c>
      <c r="C428" s="88" t="s">
        <v>1031</v>
      </c>
      <c r="D428" s="89" t="s">
        <v>1032</v>
      </c>
      <c r="E428" s="90">
        <f t="shared" si="88"/>
        <v>51731</v>
      </c>
      <c r="F428" s="90">
        <f t="shared" si="86"/>
        <v>43471.56292861783</v>
      </c>
      <c r="G428" s="91">
        <v>0.19</v>
      </c>
      <c r="H428" s="91" t="s">
        <v>228</v>
      </c>
      <c r="I428" s="91" t="s">
        <v>228</v>
      </c>
      <c r="J428" s="91" t="s">
        <v>228</v>
      </c>
      <c r="K428" s="91" t="s">
        <v>228</v>
      </c>
      <c r="L428" s="92" t="s">
        <v>302</v>
      </c>
      <c r="M428" s="91" t="str">
        <f t="shared" si="77"/>
        <v>no aplica</v>
      </c>
      <c r="N428" s="93">
        <v>41608</v>
      </c>
      <c r="O428" s="94"/>
      <c r="P428" s="94"/>
      <c r="Q428" s="94">
        <v>47</v>
      </c>
      <c r="R428" s="95">
        <f t="shared" si="78"/>
        <v>43471.56292861783</v>
      </c>
      <c r="S428" s="94">
        <v>28448</v>
      </c>
      <c r="T428" s="94">
        <f t="shared" si="79"/>
        <v>30373.929600000003</v>
      </c>
      <c r="U428" s="94">
        <f t="shared" si="80"/>
        <v>32120.430552000005</v>
      </c>
      <c r="V428" s="94">
        <f t="shared" si="81"/>
        <v>33434.156161576801</v>
      </c>
      <c r="W428" s="97">
        <f t="shared" si="82"/>
        <v>34497.362327514944</v>
      </c>
      <c r="X428" s="97">
        <f t="shared" si="83"/>
        <v>35808.262095960512</v>
      </c>
      <c r="Y428" s="97">
        <f t="shared" si="87"/>
        <v>36384.775115705474</v>
      </c>
      <c r="Z428" s="97">
        <f t="shared" si="84"/>
        <v>38429.599477208125</v>
      </c>
      <c r="AA428" s="97">
        <f t="shared" si="85"/>
        <v>43471.56292861783</v>
      </c>
    </row>
    <row r="429" spans="1:27" x14ac:dyDescent="0.25">
      <c r="A429" s="86" t="s">
        <v>1125</v>
      </c>
      <c r="B429" s="110" t="s">
        <v>1126</v>
      </c>
      <c r="C429" s="88" t="s">
        <v>1031</v>
      </c>
      <c r="D429" s="89" t="s">
        <v>1032</v>
      </c>
      <c r="E429" s="122">
        <f t="shared" si="88"/>
        <v>56434</v>
      </c>
      <c r="F429" s="90">
        <f t="shared" si="86"/>
        <v>47423.245357379303</v>
      </c>
      <c r="G429" s="91">
        <v>0.19</v>
      </c>
      <c r="H429" s="91" t="s">
        <v>228</v>
      </c>
      <c r="I429" s="91" t="s">
        <v>228</v>
      </c>
      <c r="J429" s="91" t="s">
        <v>228</v>
      </c>
      <c r="K429" s="91" t="s">
        <v>228</v>
      </c>
      <c r="L429" s="92" t="s">
        <v>302</v>
      </c>
      <c r="M429" s="91" t="str">
        <f t="shared" si="77"/>
        <v>no aplica</v>
      </c>
      <c r="N429" s="93">
        <v>41608</v>
      </c>
      <c r="O429" s="94"/>
      <c r="P429" s="94"/>
      <c r="Q429" s="94">
        <v>48</v>
      </c>
      <c r="R429" s="95">
        <f t="shared" si="78"/>
        <v>47423.245357379303</v>
      </c>
      <c r="S429" s="94">
        <v>31034</v>
      </c>
      <c r="T429" s="94">
        <f t="shared" si="79"/>
        <v>33135.001800000005</v>
      </c>
      <c r="U429" s="94">
        <f t="shared" si="80"/>
        <v>35040.264403500012</v>
      </c>
      <c r="V429" s="94">
        <f t="shared" si="81"/>
        <v>36473.411217603163</v>
      </c>
      <c r="W429" s="97">
        <f t="shared" si="82"/>
        <v>37633.265694322945</v>
      </c>
      <c r="X429" s="97">
        <f t="shared" si="83"/>
        <v>39063.329790707219</v>
      </c>
      <c r="Y429" s="97">
        <f t="shared" si="87"/>
        <v>39692.249400337605</v>
      </c>
      <c r="Z429" s="97">
        <f t="shared" si="84"/>
        <v>41922.953816636582</v>
      </c>
      <c r="AA429" s="97">
        <f t="shared" si="85"/>
        <v>47423.245357379303</v>
      </c>
    </row>
    <row r="430" spans="1:27" x14ac:dyDescent="0.25">
      <c r="A430" s="86" t="s">
        <v>1127</v>
      </c>
      <c r="B430" s="110" t="s">
        <v>1128</v>
      </c>
      <c r="C430" s="88" t="s">
        <v>1031</v>
      </c>
      <c r="D430" s="89" t="s">
        <v>89</v>
      </c>
      <c r="E430" s="90">
        <f t="shared" si="88"/>
        <v>254582</v>
      </c>
      <c r="F430" s="90">
        <f t="shared" si="86"/>
        <v>213934.85693217439</v>
      </c>
      <c r="G430" s="91">
        <v>0.19</v>
      </c>
      <c r="H430" s="91" t="s">
        <v>228</v>
      </c>
      <c r="I430" s="91" t="s">
        <v>228</v>
      </c>
      <c r="J430" s="91" t="s">
        <v>228</v>
      </c>
      <c r="K430" s="91"/>
      <c r="L430" s="92" t="s">
        <v>302</v>
      </c>
      <c r="M430" s="91" t="str">
        <f t="shared" si="77"/>
        <v>no aplica</v>
      </c>
      <c r="N430" s="93">
        <v>41608</v>
      </c>
      <c r="O430" s="94"/>
      <c r="P430" s="94"/>
      <c r="Q430" s="94">
        <v>49</v>
      </c>
      <c r="R430" s="95">
        <f t="shared" si="78"/>
        <v>213934.85693217439</v>
      </c>
      <c r="S430" s="94">
        <v>140000</v>
      </c>
      <c r="T430" s="94">
        <f t="shared" si="79"/>
        <v>149478</v>
      </c>
      <c r="U430" s="94">
        <f t="shared" si="80"/>
        <v>158072.98500000002</v>
      </c>
      <c r="V430" s="94">
        <f t="shared" si="81"/>
        <v>164538.1700865</v>
      </c>
      <c r="W430" s="97">
        <f t="shared" si="82"/>
        <v>169770.48389525071</v>
      </c>
      <c r="X430" s="97">
        <f t="shared" si="83"/>
        <v>176221.76228327025</v>
      </c>
      <c r="Y430" s="97">
        <f t="shared" si="87"/>
        <v>179058.9326560309</v>
      </c>
      <c r="Z430" s="97">
        <f t="shared" si="84"/>
        <v>189122.04467129984</v>
      </c>
      <c r="AA430" s="97">
        <f t="shared" si="85"/>
        <v>213934.85693217439</v>
      </c>
    </row>
    <row r="431" spans="1:27" x14ac:dyDescent="0.25">
      <c r="A431" s="102" t="s">
        <v>1129</v>
      </c>
      <c r="B431" s="110" t="s">
        <v>1130</v>
      </c>
      <c r="C431" s="88" t="s">
        <v>1031</v>
      </c>
      <c r="D431" s="89" t="s">
        <v>89</v>
      </c>
      <c r="E431" s="90">
        <f t="shared" si="88"/>
        <v>254582</v>
      </c>
      <c r="F431" s="90">
        <f t="shared" si="86"/>
        <v>213934.85693217439</v>
      </c>
      <c r="G431" s="91">
        <v>0.19</v>
      </c>
      <c r="H431" s="91" t="s">
        <v>228</v>
      </c>
      <c r="I431" s="91" t="s">
        <v>228</v>
      </c>
      <c r="J431" s="91" t="s">
        <v>228</v>
      </c>
      <c r="K431" s="91" t="s">
        <v>228</v>
      </c>
      <c r="L431" s="92" t="s">
        <v>302</v>
      </c>
      <c r="M431" s="91" t="str">
        <f t="shared" si="77"/>
        <v>no aplica</v>
      </c>
      <c r="N431" s="93">
        <v>41608</v>
      </c>
      <c r="O431" s="94"/>
      <c r="P431" s="94"/>
      <c r="Q431" s="94">
        <v>50</v>
      </c>
      <c r="R431" s="95">
        <f t="shared" si="78"/>
        <v>213934.85693217439</v>
      </c>
      <c r="S431" s="94">
        <v>140000</v>
      </c>
      <c r="T431" s="94">
        <f t="shared" si="79"/>
        <v>149478</v>
      </c>
      <c r="U431" s="94">
        <f t="shared" si="80"/>
        <v>158072.98500000002</v>
      </c>
      <c r="V431" s="94">
        <f t="shared" si="81"/>
        <v>164538.1700865</v>
      </c>
      <c r="W431" s="97">
        <f t="shared" si="82"/>
        <v>169770.48389525071</v>
      </c>
      <c r="X431" s="97">
        <f t="shared" si="83"/>
        <v>176221.76228327025</v>
      </c>
      <c r="Y431" s="97">
        <f t="shared" si="87"/>
        <v>179058.9326560309</v>
      </c>
      <c r="Z431" s="97">
        <f t="shared" si="84"/>
        <v>189122.04467129984</v>
      </c>
      <c r="AA431" s="97">
        <f t="shared" si="85"/>
        <v>213934.85693217439</v>
      </c>
    </row>
    <row r="432" spans="1:27" x14ac:dyDescent="0.25">
      <c r="A432" s="102" t="s">
        <v>1131</v>
      </c>
      <c r="B432" s="110" t="s">
        <v>1132</v>
      </c>
      <c r="C432" s="88" t="s">
        <v>1031</v>
      </c>
      <c r="D432" s="89" t="s">
        <v>89</v>
      </c>
      <c r="E432" s="90">
        <f t="shared" si="88"/>
        <v>145476</v>
      </c>
      <c r="F432" s="90">
        <f t="shared" si="86"/>
        <v>122248.48967552822</v>
      </c>
      <c r="G432" s="91">
        <v>0.19</v>
      </c>
      <c r="H432" s="91" t="s">
        <v>228</v>
      </c>
      <c r="I432" s="91" t="s">
        <v>228</v>
      </c>
      <c r="J432" s="91" t="s">
        <v>228</v>
      </c>
      <c r="K432" s="91" t="s">
        <v>228</v>
      </c>
      <c r="L432" s="92" t="s">
        <v>302</v>
      </c>
      <c r="M432" s="91" t="str">
        <f t="shared" si="77"/>
        <v>no aplica</v>
      </c>
      <c r="N432" s="93">
        <v>41608</v>
      </c>
      <c r="O432" s="94"/>
      <c r="P432" s="94"/>
      <c r="Q432" s="94">
        <v>51</v>
      </c>
      <c r="R432" s="95">
        <f t="shared" si="78"/>
        <v>122248.48967552822</v>
      </c>
      <c r="S432" s="94">
        <v>80000</v>
      </c>
      <c r="T432" s="94">
        <f t="shared" si="79"/>
        <v>85416.000000000015</v>
      </c>
      <c r="U432" s="94">
        <f t="shared" si="80"/>
        <v>90327.420000000027</v>
      </c>
      <c r="V432" s="94">
        <f t="shared" si="81"/>
        <v>94021.811478000018</v>
      </c>
      <c r="W432" s="97">
        <f t="shared" si="82"/>
        <v>97011.70508300043</v>
      </c>
      <c r="X432" s="97">
        <f t="shared" si="83"/>
        <v>100698.14987615445</v>
      </c>
      <c r="Y432" s="97">
        <f t="shared" si="87"/>
        <v>102319.39008916053</v>
      </c>
      <c r="Z432" s="97">
        <f t="shared" si="84"/>
        <v>108069.73981217135</v>
      </c>
      <c r="AA432" s="97">
        <f t="shared" si="85"/>
        <v>122248.48967552822</v>
      </c>
    </row>
    <row r="433" spans="1:27" x14ac:dyDescent="0.25">
      <c r="A433" s="86" t="s">
        <v>1133</v>
      </c>
      <c r="B433" s="110" t="s">
        <v>1134</v>
      </c>
      <c r="C433" s="88" t="s">
        <v>1031</v>
      </c>
      <c r="D433" s="89" t="s">
        <v>89</v>
      </c>
      <c r="E433" s="90">
        <f t="shared" si="88"/>
        <v>7054</v>
      </c>
      <c r="F433" s="90">
        <f t="shared" si="86"/>
        <v>5927.5236431421745</v>
      </c>
      <c r="G433" s="91">
        <v>0.19</v>
      </c>
      <c r="H433" s="91" t="s">
        <v>228</v>
      </c>
      <c r="I433" s="91" t="s">
        <v>228</v>
      </c>
      <c r="J433" s="91" t="s">
        <v>228</v>
      </c>
      <c r="K433" s="91" t="s">
        <v>228</v>
      </c>
      <c r="L433" s="92" t="s">
        <v>302</v>
      </c>
      <c r="M433" s="91" t="str">
        <f t="shared" si="77"/>
        <v>no aplica</v>
      </c>
      <c r="N433" s="93">
        <v>41608</v>
      </c>
      <c r="O433" s="94"/>
      <c r="P433" s="94"/>
      <c r="Q433" s="94">
        <v>52</v>
      </c>
      <c r="R433" s="95">
        <f t="shared" si="78"/>
        <v>5927.5236431421745</v>
      </c>
      <c r="S433" s="94">
        <v>3879</v>
      </c>
      <c r="T433" s="94">
        <f t="shared" si="79"/>
        <v>4141.6083000000008</v>
      </c>
      <c r="U433" s="94">
        <f t="shared" si="80"/>
        <v>4379.7507772500012</v>
      </c>
      <c r="V433" s="94">
        <f t="shared" si="81"/>
        <v>4558.8825840395257</v>
      </c>
      <c r="W433" s="97">
        <f t="shared" si="82"/>
        <v>4703.8550502119824</v>
      </c>
      <c r="X433" s="97">
        <f t="shared" si="83"/>
        <v>4882.6015421200382</v>
      </c>
      <c r="Y433" s="97">
        <f t="shared" si="87"/>
        <v>4961.2114269481708</v>
      </c>
      <c r="Z433" s="97">
        <f t="shared" si="84"/>
        <v>5240.0315091426583</v>
      </c>
      <c r="AA433" s="97">
        <f t="shared" si="85"/>
        <v>5927.5236431421745</v>
      </c>
    </row>
    <row r="434" spans="1:27" x14ac:dyDescent="0.25">
      <c r="A434" s="86" t="s">
        <v>1135</v>
      </c>
      <c r="B434" s="110" t="s">
        <v>1136</v>
      </c>
      <c r="C434" s="88" t="s">
        <v>1031</v>
      </c>
      <c r="D434" s="89" t="s">
        <v>227</v>
      </c>
      <c r="E434" s="90">
        <f t="shared" si="88"/>
        <v>6583</v>
      </c>
      <c r="F434" s="90">
        <f t="shared" si="86"/>
        <v>5531.7441578176531</v>
      </c>
      <c r="G434" s="91">
        <v>0.19</v>
      </c>
      <c r="H434" s="91" t="s">
        <v>228</v>
      </c>
      <c r="I434" s="91" t="s">
        <v>228</v>
      </c>
      <c r="J434" s="91" t="s">
        <v>228</v>
      </c>
      <c r="K434" s="91" t="s">
        <v>228</v>
      </c>
      <c r="L434" s="92" t="s">
        <v>302</v>
      </c>
      <c r="M434" s="91" t="str">
        <f t="shared" si="77"/>
        <v>no aplica</v>
      </c>
      <c r="N434" s="93">
        <v>41608</v>
      </c>
      <c r="O434" s="94"/>
      <c r="P434" s="94"/>
      <c r="Q434" s="94">
        <v>53</v>
      </c>
      <c r="R434" s="95">
        <f t="shared" si="78"/>
        <v>5531.7441578176531</v>
      </c>
      <c r="S434" s="94">
        <v>3620</v>
      </c>
      <c r="T434" s="94">
        <f t="shared" si="79"/>
        <v>3865.0740000000005</v>
      </c>
      <c r="U434" s="94">
        <f t="shared" si="80"/>
        <v>4087.315755000001</v>
      </c>
      <c r="V434" s="94">
        <f t="shared" si="81"/>
        <v>4254.4869693795008</v>
      </c>
      <c r="W434" s="97">
        <f t="shared" si="82"/>
        <v>4389.7796550057692</v>
      </c>
      <c r="X434" s="97">
        <f t="shared" si="83"/>
        <v>4556.5912818959887</v>
      </c>
      <c r="Y434" s="97">
        <f t="shared" si="87"/>
        <v>4629.9524015345141</v>
      </c>
      <c r="Z434" s="97">
        <f t="shared" si="84"/>
        <v>4890.1557265007541</v>
      </c>
      <c r="AA434" s="97">
        <f t="shared" si="85"/>
        <v>5531.7441578176531</v>
      </c>
    </row>
    <row r="435" spans="1:27" x14ac:dyDescent="0.25">
      <c r="A435" s="102" t="s">
        <v>1137</v>
      </c>
      <c r="B435" s="110" t="s">
        <v>1138</v>
      </c>
      <c r="C435" s="88" t="s">
        <v>1031</v>
      </c>
      <c r="D435" s="89" t="s">
        <v>89</v>
      </c>
      <c r="E435" s="122">
        <f t="shared" si="88"/>
        <v>1450053</v>
      </c>
      <c r="F435" s="90">
        <f t="shared" si="86"/>
        <v>1218531.6862203998</v>
      </c>
      <c r="G435" s="91">
        <v>0.19</v>
      </c>
      <c r="H435" s="91" t="s">
        <v>228</v>
      </c>
      <c r="I435" s="91" t="s">
        <v>228</v>
      </c>
      <c r="J435" s="91" t="s">
        <v>228</v>
      </c>
      <c r="K435" s="91" t="s">
        <v>228</v>
      </c>
      <c r="L435" s="92" t="s">
        <v>302</v>
      </c>
      <c r="M435" s="91" t="str">
        <f t="shared" si="77"/>
        <v>no aplica</v>
      </c>
      <c r="N435" s="93">
        <v>41608</v>
      </c>
      <c r="O435" s="94"/>
      <c r="P435" s="94"/>
      <c r="Q435" s="94">
        <v>54</v>
      </c>
      <c r="R435" s="95">
        <f t="shared" si="78"/>
        <v>1218531.6862203998</v>
      </c>
      <c r="S435" s="94">
        <v>797413</v>
      </c>
      <c r="T435" s="94">
        <f t="shared" si="79"/>
        <v>851397.86010000005</v>
      </c>
      <c r="U435" s="94">
        <f t="shared" si="80"/>
        <v>900353.2370557501</v>
      </c>
      <c r="V435" s="94">
        <f t="shared" si="81"/>
        <v>937177.68445133022</v>
      </c>
      <c r="W435" s="97">
        <f t="shared" si="82"/>
        <v>966979.9348168826</v>
      </c>
      <c r="X435" s="97">
        <f t="shared" si="83"/>
        <v>1003725.1723399241</v>
      </c>
      <c r="Y435" s="97">
        <f t="shared" si="87"/>
        <v>1019885.1476145969</v>
      </c>
      <c r="Z435" s="97">
        <f t="shared" si="84"/>
        <v>1077202.6929105374</v>
      </c>
      <c r="AA435" s="97">
        <f t="shared" si="85"/>
        <v>1218531.6862203998</v>
      </c>
    </row>
    <row r="436" spans="1:27" x14ac:dyDescent="0.25">
      <c r="A436" s="102" t="s">
        <v>1139</v>
      </c>
      <c r="B436" s="110" t="s">
        <v>1140</v>
      </c>
      <c r="C436" s="88" t="s">
        <v>1031</v>
      </c>
      <c r="D436" s="89" t="s">
        <v>89</v>
      </c>
      <c r="E436" s="90">
        <f t="shared" si="88"/>
        <v>642726</v>
      </c>
      <c r="F436" s="90">
        <f t="shared" si="86"/>
        <v>540106.05223545118</v>
      </c>
      <c r="G436" s="91">
        <v>0.19</v>
      </c>
      <c r="H436" s="91" t="s">
        <v>228</v>
      </c>
      <c r="I436" s="91" t="s">
        <v>228</v>
      </c>
      <c r="J436" s="91" t="s">
        <v>228</v>
      </c>
      <c r="K436" s="91" t="s">
        <v>228</v>
      </c>
      <c r="L436" s="92" t="s">
        <v>302</v>
      </c>
      <c r="M436" s="91" t="str">
        <f t="shared" si="77"/>
        <v>no aplica</v>
      </c>
      <c r="N436" s="93">
        <v>41608</v>
      </c>
      <c r="O436" s="94"/>
      <c r="P436" s="94"/>
      <c r="Q436" s="94">
        <v>55</v>
      </c>
      <c r="R436" s="95">
        <f t="shared" si="78"/>
        <v>540106.05223545118</v>
      </c>
      <c r="S436" s="94">
        <v>353448</v>
      </c>
      <c r="T436" s="94">
        <f t="shared" si="79"/>
        <v>377376.42960000003</v>
      </c>
      <c r="U436" s="94">
        <f t="shared" si="80"/>
        <v>399075.57430200005</v>
      </c>
      <c r="V436" s="94">
        <f t="shared" si="81"/>
        <v>415397.76529095182</v>
      </c>
      <c r="W436" s="97">
        <f t="shared" si="82"/>
        <v>428607.41422720411</v>
      </c>
      <c r="X436" s="97">
        <f t="shared" si="83"/>
        <v>444894.49596783787</v>
      </c>
      <c r="Y436" s="97">
        <f t="shared" si="87"/>
        <v>452057.29735292005</v>
      </c>
      <c r="Z436" s="97">
        <f t="shared" si="84"/>
        <v>477462.91746415419</v>
      </c>
      <c r="AA436" s="97">
        <f t="shared" si="85"/>
        <v>540106.05223545118</v>
      </c>
    </row>
    <row r="437" spans="1:27" x14ac:dyDescent="0.25">
      <c r="A437" s="102" t="s">
        <v>1141</v>
      </c>
      <c r="B437" s="110" t="s">
        <v>1142</v>
      </c>
      <c r="C437" s="88" t="s">
        <v>1031</v>
      </c>
      <c r="D437" s="89" t="s">
        <v>89</v>
      </c>
      <c r="E437" s="90">
        <f t="shared" si="88"/>
        <v>73363</v>
      </c>
      <c r="F437" s="90">
        <f t="shared" si="86"/>
        <v>61649.913343368884</v>
      </c>
      <c r="G437" s="91">
        <v>0.19</v>
      </c>
      <c r="H437" s="91" t="s">
        <v>228</v>
      </c>
      <c r="I437" s="91" t="s">
        <v>228</v>
      </c>
      <c r="J437" s="91" t="s">
        <v>228</v>
      </c>
      <c r="K437" s="91" t="s">
        <v>228</v>
      </c>
      <c r="L437" s="92" t="s">
        <v>302</v>
      </c>
      <c r="M437" s="91" t="str">
        <f t="shared" si="77"/>
        <v>no aplica</v>
      </c>
      <c r="N437" s="93">
        <v>41608</v>
      </c>
      <c r="O437" s="94"/>
      <c r="P437" s="94"/>
      <c r="Q437" s="94">
        <v>56</v>
      </c>
      <c r="R437" s="95">
        <f t="shared" si="78"/>
        <v>61649.913343368884</v>
      </c>
      <c r="S437" s="94">
        <v>40344</v>
      </c>
      <c r="T437" s="94">
        <f t="shared" si="79"/>
        <v>43075.288800000002</v>
      </c>
      <c r="U437" s="94">
        <f t="shared" si="80"/>
        <v>45552.117906000007</v>
      </c>
      <c r="V437" s="94">
        <f t="shared" si="81"/>
        <v>47415.199528355406</v>
      </c>
      <c r="W437" s="97">
        <f t="shared" si="82"/>
        <v>48923.002873357109</v>
      </c>
      <c r="X437" s="97">
        <f t="shared" si="83"/>
        <v>50782.076982544684</v>
      </c>
      <c r="Y437" s="97">
        <f t="shared" si="87"/>
        <v>51599.668421963652</v>
      </c>
      <c r="Z437" s="97">
        <f t="shared" si="84"/>
        <v>54499.569787278007</v>
      </c>
      <c r="AA437" s="97">
        <f t="shared" si="85"/>
        <v>61649.913343368884</v>
      </c>
    </row>
    <row r="438" spans="1:27" x14ac:dyDescent="0.25">
      <c r="A438" s="86" t="s">
        <v>1143</v>
      </c>
      <c r="B438" s="110" t="s">
        <v>1144</v>
      </c>
      <c r="C438" s="88" t="s">
        <v>1031</v>
      </c>
      <c r="D438" s="89" t="s">
        <v>301</v>
      </c>
      <c r="E438" s="90">
        <f t="shared" si="88"/>
        <v>1813</v>
      </c>
      <c r="F438" s="90">
        <f t="shared" si="86"/>
        <v>1523.5218025812708</v>
      </c>
      <c r="G438" s="91">
        <v>0.19</v>
      </c>
      <c r="H438" s="91" t="s">
        <v>228</v>
      </c>
      <c r="I438" s="91" t="s">
        <v>228</v>
      </c>
      <c r="J438" s="91" t="s">
        <v>228</v>
      </c>
      <c r="K438" s="91" t="s">
        <v>228</v>
      </c>
      <c r="L438" s="92" t="s">
        <v>302</v>
      </c>
      <c r="M438" s="91" t="str">
        <f t="shared" si="77"/>
        <v>no aplica</v>
      </c>
      <c r="N438" s="93">
        <v>41608</v>
      </c>
      <c r="O438" s="94"/>
      <c r="P438" s="94"/>
      <c r="Q438" s="94">
        <v>57</v>
      </c>
      <c r="R438" s="95">
        <f t="shared" si="78"/>
        <v>1523.5218025812708</v>
      </c>
      <c r="S438" s="94">
        <v>997</v>
      </c>
      <c r="T438" s="94">
        <f t="shared" si="79"/>
        <v>1064.4969000000001</v>
      </c>
      <c r="U438" s="94">
        <f t="shared" si="80"/>
        <v>1125.7054717500002</v>
      </c>
      <c r="V438" s="94">
        <f t="shared" si="81"/>
        <v>1171.7468255445751</v>
      </c>
      <c r="W438" s="97">
        <f t="shared" si="82"/>
        <v>1209.0083745968927</v>
      </c>
      <c r="X438" s="97">
        <f t="shared" si="83"/>
        <v>1254.9506928315748</v>
      </c>
      <c r="Y438" s="97">
        <f t="shared" si="87"/>
        <v>1275.1553989861632</v>
      </c>
      <c r="Z438" s="97">
        <f t="shared" si="84"/>
        <v>1346.8191324091856</v>
      </c>
      <c r="AA438" s="97">
        <f t="shared" si="85"/>
        <v>1523.5218025812708</v>
      </c>
    </row>
    <row r="439" spans="1:27" x14ac:dyDescent="0.25">
      <c r="A439" s="86" t="s">
        <v>1145</v>
      </c>
      <c r="B439" s="110" t="s">
        <v>1146</v>
      </c>
      <c r="C439" s="88" t="s">
        <v>1031</v>
      </c>
      <c r="D439" s="89" t="s">
        <v>3986</v>
      </c>
      <c r="E439" s="90">
        <v>8699</v>
      </c>
      <c r="F439" s="90">
        <f t="shared" si="86"/>
        <v>329332.84686751012</v>
      </c>
      <c r="G439" s="91">
        <v>0.19</v>
      </c>
      <c r="H439" s="91" t="s">
        <v>228</v>
      </c>
      <c r="I439" s="91" t="s">
        <v>228</v>
      </c>
      <c r="J439" s="91" t="s">
        <v>228</v>
      </c>
      <c r="K439" s="91" t="s">
        <v>228</v>
      </c>
      <c r="L439" s="92" t="s">
        <v>302</v>
      </c>
      <c r="M439" s="91" t="str">
        <f t="shared" si="77"/>
        <v>no aplica</v>
      </c>
      <c r="N439" s="93">
        <v>41608</v>
      </c>
      <c r="O439" s="94"/>
      <c r="P439" s="94"/>
      <c r="Q439" s="94">
        <v>58</v>
      </c>
      <c r="R439" s="95">
        <f t="shared" si="78"/>
        <v>329332.84686751012</v>
      </c>
      <c r="S439" s="94">
        <v>215517</v>
      </c>
      <c r="T439" s="94">
        <f t="shared" si="79"/>
        <v>230107.50090000001</v>
      </c>
      <c r="U439" s="94">
        <f t="shared" si="80"/>
        <v>243338.68220175005</v>
      </c>
      <c r="V439" s="94">
        <f t="shared" si="81"/>
        <v>253291.23430380161</v>
      </c>
      <c r="W439" s="97">
        <f t="shared" si="82"/>
        <v>261345.89555466251</v>
      </c>
      <c r="X439" s="97">
        <f t="shared" si="83"/>
        <v>271277.03958573967</v>
      </c>
      <c r="Y439" s="97">
        <f t="shared" si="87"/>
        <v>275644.59992307005</v>
      </c>
      <c r="Z439" s="97">
        <f t="shared" si="84"/>
        <v>291135.82643874659</v>
      </c>
      <c r="AA439" s="97">
        <f t="shared" si="85"/>
        <v>329332.84686751012</v>
      </c>
    </row>
    <row r="440" spans="1:27" x14ac:dyDescent="0.25">
      <c r="A440" s="102" t="s">
        <v>1147</v>
      </c>
      <c r="B440" s="110" t="s">
        <v>1148</v>
      </c>
      <c r="C440" s="88" t="s">
        <v>1031</v>
      </c>
      <c r="D440" s="89" t="s">
        <v>89</v>
      </c>
      <c r="E440" s="90">
        <f t="shared" si="88"/>
        <v>39189</v>
      </c>
      <c r="F440" s="90">
        <f t="shared" si="86"/>
        <v>32932.21501246636</v>
      </c>
      <c r="G440" s="91">
        <v>0.19</v>
      </c>
      <c r="H440" s="91" t="s">
        <v>228</v>
      </c>
      <c r="I440" s="91" t="s">
        <v>228</v>
      </c>
      <c r="J440" s="91" t="s">
        <v>228</v>
      </c>
      <c r="K440" s="91" t="s">
        <v>228</v>
      </c>
      <c r="L440" s="92" t="s">
        <v>302</v>
      </c>
      <c r="M440" s="91" t="str">
        <f t="shared" si="77"/>
        <v>no aplica</v>
      </c>
      <c r="N440" s="93">
        <v>41608</v>
      </c>
      <c r="O440" s="94"/>
      <c r="P440" s="94"/>
      <c r="Q440" s="94">
        <v>59</v>
      </c>
      <c r="R440" s="95">
        <f t="shared" si="78"/>
        <v>32932.21501246636</v>
      </c>
      <c r="S440" s="94">
        <v>21551</v>
      </c>
      <c r="T440" s="94">
        <f t="shared" si="79"/>
        <v>23010.002700000001</v>
      </c>
      <c r="U440" s="94">
        <f t="shared" si="80"/>
        <v>24333.077855250005</v>
      </c>
      <c r="V440" s="94">
        <f t="shared" si="81"/>
        <v>25328.300739529728</v>
      </c>
      <c r="W440" s="97">
        <f t="shared" si="82"/>
        <v>26133.740703046773</v>
      </c>
      <c r="X440" s="97">
        <f t="shared" si="83"/>
        <v>27126.82284976255</v>
      </c>
      <c r="Y440" s="97">
        <f t="shared" si="87"/>
        <v>27563.564697643727</v>
      </c>
      <c r="Z440" s="97">
        <f t="shared" si="84"/>
        <v>29112.637033651306</v>
      </c>
      <c r="AA440" s="97">
        <f t="shared" si="85"/>
        <v>32932.21501246636</v>
      </c>
    </row>
    <row r="441" spans="1:27" x14ac:dyDescent="0.25">
      <c r="A441" s="102" t="s">
        <v>1149</v>
      </c>
      <c r="B441" s="110" t="s">
        <v>1150</v>
      </c>
      <c r="C441" s="88" t="s">
        <v>1031</v>
      </c>
      <c r="D441" s="89" t="s">
        <v>89</v>
      </c>
      <c r="E441" s="90">
        <f t="shared" si="88"/>
        <v>6857</v>
      </c>
      <c r="F441" s="90">
        <f t="shared" si="86"/>
        <v>5762.488182080212</v>
      </c>
      <c r="G441" s="91">
        <v>0.19</v>
      </c>
      <c r="H441" s="91" t="s">
        <v>228</v>
      </c>
      <c r="I441" s="91" t="s">
        <v>228</v>
      </c>
      <c r="J441" s="91" t="s">
        <v>228</v>
      </c>
      <c r="K441" s="91" t="s">
        <v>228</v>
      </c>
      <c r="L441" s="92" t="s">
        <v>302</v>
      </c>
      <c r="M441" s="91" t="str">
        <f t="shared" si="77"/>
        <v>no aplica</v>
      </c>
      <c r="N441" s="93">
        <v>41608</v>
      </c>
      <c r="O441" s="94"/>
      <c r="P441" s="94"/>
      <c r="Q441" s="94">
        <v>60</v>
      </c>
      <c r="R441" s="95">
        <f t="shared" si="78"/>
        <v>5762.488182080212</v>
      </c>
      <c r="S441" s="94">
        <v>3771</v>
      </c>
      <c r="T441" s="94">
        <f t="shared" si="79"/>
        <v>4026.2967000000003</v>
      </c>
      <c r="U441" s="94">
        <f t="shared" si="80"/>
        <v>4257.8087602500009</v>
      </c>
      <c r="V441" s="94">
        <f t="shared" si="81"/>
        <v>4431.953138544226</v>
      </c>
      <c r="W441" s="97">
        <f t="shared" si="82"/>
        <v>4572.889248349933</v>
      </c>
      <c r="X441" s="97">
        <f t="shared" si="83"/>
        <v>4746.6590397872305</v>
      </c>
      <c r="Y441" s="97">
        <f t="shared" si="87"/>
        <v>4823.0802503278046</v>
      </c>
      <c r="Z441" s="97">
        <f t="shared" si="84"/>
        <v>5094.1373603962275</v>
      </c>
      <c r="AA441" s="97">
        <f t="shared" si="85"/>
        <v>5762.488182080212</v>
      </c>
    </row>
    <row r="442" spans="1:27" x14ac:dyDescent="0.25">
      <c r="A442" s="86" t="s">
        <v>1151</v>
      </c>
      <c r="B442" s="110" t="s">
        <v>1152</v>
      </c>
      <c r="C442" s="88" t="s">
        <v>1031</v>
      </c>
      <c r="D442" s="89" t="s">
        <v>89</v>
      </c>
      <c r="E442" s="90">
        <f t="shared" si="88"/>
        <v>70543</v>
      </c>
      <c r="F442" s="90">
        <f t="shared" si="86"/>
        <v>59279.820749784594</v>
      </c>
      <c r="G442" s="91">
        <v>0.19</v>
      </c>
      <c r="H442" s="91" t="s">
        <v>228</v>
      </c>
      <c r="I442" s="91" t="s">
        <v>228</v>
      </c>
      <c r="J442" s="91" t="s">
        <v>228</v>
      </c>
      <c r="K442" s="91" t="s">
        <v>228</v>
      </c>
      <c r="L442" s="92" t="s">
        <v>302</v>
      </c>
      <c r="M442" s="91" t="str">
        <f t="shared" si="77"/>
        <v>no aplica</v>
      </c>
      <c r="N442" s="93">
        <v>41608</v>
      </c>
      <c r="O442" s="94"/>
      <c r="P442" s="94"/>
      <c r="Q442" s="94">
        <v>61</v>
      </c>
      <c r="R442" s="95">
        <f t="shared" si="78"/>
        <v>59279.820749784594</v>
      </c>
      <c r="S442" s="94">
        <v>38793</v>
      </c>
      <c r="T442" s="94">
        <f t="shared" si="79"/>
        <v>41419.286100000005</v>
      </c>
      <c r="U442" s="94">
        <f t="shared" si="80"/>
        <v>43800.895050750012</v>
      </c>
      <c r="V442" s="94">
        <f t="shared" si="81"/>
        <v>45592.351658325686</v>
      </c>
      <c r="W442" s="97">
        <f t="shared" si="82"/>
        <v>47042.188441060447</v>
      </c>
      <c r="X442" s="97">
        <f t="shared" si="83"/>
        <v>48829.791601820747</v>
      </c>
      <c r="Y442" s="97">
        <f t="shared" si="87"/>
        <v>49615.951246610064</v>
      </c>
      <c r="Z442" s="97">
        <f t="shared" si="84"/>
        <v>52404.367706669553</v>
      </c>
      <c r="AA442" s="97">
        <f t="shared" si="85"/>
        <v>59279.820749784594</v>
      </c>
    </row>
    <row r="443" spans="1:27" x14ac:dyDescent="0.25">
      <c r="A443" s="86" t="s">
        <v>1153</v>
      </c>
      <c r="B443" s="110" t="s">
        <v>1154</v>
      </c>
      <c r="C443" s="88" t="s">
        <v>1031</v>
      </c>
      <c r="D443" s="89" t="s">
        <v>89</v>
      </c>
      <c r="E443" s="122">
        <f t="shared" si="88"/>
        <v>47029</v>
      </c>
      <c r="F443" s="90">
        <f t="shared" si="86"/>
        <v>39519.880499856386</v>
      </c>
      <c r="G443" s="91">
        <v>0.19</v>
      </c>
      <c r="H443" s="91" t="s">
        <v>228</v>
      </c>
      <c r="I443" s="91" t="s">
        <v>228</v>
      </c>
      <c r="J443" s="91" t="s">
        <v>228</v>
      </c>
      <c r="K443" s="91" t="s">
        <v>228</v>
      </c>
      <c r="L443" s="92" t="s">
        <v>302</v>
      </c>
      <c r="M443" s="91" t="str">
        <f t="shared" si="77"/>
        <v>no aplica</v>
      </c>
      <c r="N443" s="93">
        <v>41608</v>
      </c>
      <c r="O443" s="94"/>
      <c r="P443" s="94"/>
      <c r="Q443" s="94">
        <v>62</v>
      </c>
      <c r="R443" s="95">
        <f t="shared" si="78"/>
        <v>39519.880499856386</v>
      </c>
      <c r="S443" s="94">
        <v>25862</v>
      </c>
      <c r="T443" s="94">
        <f t="shared" si="79"/>
        <v>27612.857400000001</v>
      </c>
      <c r="U443" s="94">
        <f t="shared" si="80"/>
        <v>29200.596700500002</v>
      </c>
      <c r="V443" s="94">
        <f t="shared" si="81"/>
        <v>30394.901105550449</v>
      </c>
      <c r="W443" s="97">
        <f t="shared" si="82"/>
        <v>31361.458960706954</v>
      </c>
      <c r="X443" s="97">
        <f t="shared" si="83"/>
        <v>32553.194401213819</v>
      </c>
      <c r="Y443" s="97">
        <f t="shared" si="87"/>
        <v>33077.300831073364</v>
      </c>
      <c r="Z443" s="97">
        <f t="shared" si="84"/>
        <v>34936.24513777969</v>
      </c>
      <c r="AA443" s="97">
        <f t="shared" si="85"/>
        <v>39519.880499856386</v>
      </c>
    </row>
    <row r="444" spans="1:27" x14ac:dyDescent="0.25">
      <c r="A444" s="86" t="s">
        <v>1155</v>
      </c>
      <c r="B444" s="110" t="s">
        <v>1156</v>
      </c>
      <c r="C444" s="88" t="s">
        <v>1031</v>
      </c>
      <c r="D444" s="89" t="s">
        <v>262</v>
      </c>
      <c r="E444" s="90">
        <f t="shared" si="88"/>
        <v>9405</v>
      </c>
      <c r="F444" s="90">
        <f t="shared" si="86"/>
        <v>7903.364857522899</v>
      </c>
      <c r="G444" s="91">
        <v>0.19</v>
      </c>
      <c r="H444" s="91" t="s">
        <v>228</v>
      </c>
      <c r="I444" s="91" t="s">
        <v>228</v>
      </c>
      <c r="J444" s="91" t="s">
        <v>228</v>
      </c>
      <c r="K444" s="91" t="s">
        <v>228</v>
      </c>
      <c r="L444" s="92" t="s">
        <v>302</v>
      </c>
      <c r="M444" s="91" t="str">
        <f t="shared" si="77"/>
        <v>no aplica</v>
      </c>
      <c r="N444" s="93">
        <v>41608</v>
      </c>
      <c r="O444" s="94"/>
      <c r="P444" s="94"/>
      <c r="Q444" s="94">
        <v>63</v>
      </c>
      <c r="R444" s="95">
        <f t="shared" si="78"/>
        <v>7903.364857522899</v>
      </c>
      <c r="S444" s="94">
        <v>5172</v>
      </c>
      <c r="T444" s="94">
        <f t="shared" si="79"/>
        <v>5522.1444000000001</v>
      </c>
      <c r="U444" s="94">
        <f t="shared" si="80"/>
        <v>5839.667703000001</v>
      </c>
      <c r="V444" s="94">
        <f t="shared" si="81"/>
        <v>6078.5101120527006</v>
      </c>
      <c r="W444" s="97">
        <f t="shared" si="82"/>
        <v>6271.8067336159766</v>
      </c>
      <c r="X444" s="97">
        <f t="shared" si="83"/>
        <v>6510.1353894933836</v>
      </c>
      <c r="Y444" s="97">
        <f t="shared" si="87"/>
        <v>6614.9485692642274</v>
      </c>
      <c r="Z444" s="97">
        <f t="shared" si="84"/>
        <v>6986.7086788568768</v>
      </c>
      <c r="AA444" s="97">
        <f t="shared" si="85"/>
        <v>7903.364857522899</v>
      </c>
    </row>
    <row r="445" spans="1:27" x14ac:dyDescent="0.25">
      <c r="A445" s="102" t="s">
        <v>1157</v>
      </c>
      <c r="B445" s="110" t="s">
        <v>1158</v>
      </c>
      <c r="C445" s="88" t="s">
        <v>1031</v>
      </c>
      <c r="D445" s="89" t="s">
        <v>262</v>
      </c>
      <c r="E445" s="90">
        <f t="shared" si="88"/>
        <v>470287</v>
      </c>
      <c r="F445" s="90">
        <f t="shared" si="86"/>
        <v>395198.80499856378</v>
      </c>
      <c r="G445" s="91">
        <v>0.19</v>
      </c>
      <c r="H445" s="91" t="s">
        <v>228</v>
      </c>
      <c r="I445" s="91" t="s">
        <v>228</v>
      </c>
      <c r="J445" s="91" t="s">
        <v>228</v>
      </c>
      <c r="K445" s="91" t="s">
        <v>228</v>
      </c>
      <c r="L445" s="92" t="s">
        <v>302</v>
      </c>
      <c r="M445" s="91" t="str">
        <f t="shared" si="77"/>
        <v>no aplica</v>
      </c>
      <c r="N445" s="93">
        <v>41608</v>
      </c>
      <c r="O445" s="94"/>
      <c r="P445" s="94"/>
      <c r="Q445" s="94">
        <v>64</v>
      </c>
      <c r="R445" s="95">
        <f t="shared" si="78"/>
        <v>395198.80499856378</v>
      </c>
      <c r="S445" s="94">
        <v>258619.99999999997</v>
      </c>
      <c r="T445" s="94">
        <f t="shared" si="79"/>
        <v>276128.57399999996</v>
      </c>
      <c r="U445" s="94">
        <f t="shared" si="80"/>
        <v>292005.96700499998</v>
      </c>
      <c r="V445" s="94">
        <f t="shared" si="81"/>
        <v>303949.01105550444</v>
      </c>
      <c r="W445" s="97">
        <f t="shared" si="82"/>
        <v>313614.5896070695</v>
      </c>
      <c r="X445" s="97">
        <f t="shared" si="83"/>
        <v>325531.94401213818</v>
      </c>
      <c r="Y445" s="97">
        <f t="shared" si="87"/>
        <v>330773.0083107336</v>
      </c>
      <c r="Z445" s="97">
        <f t="shared" si="84"/>
        <v>349362.45137779682</v>
      </c>
      <c r="AA445" s="97">
        <f t="shared" si="85"/>
        <v>395198.80499856378</v>
      </c>
    </row>
    <row r="446" spans="1:27" x14ac:dyDescent="0.25">
      <c r="A446" s="102" t="s">
        <v>1159</v>
      </c>
      <c r="B446" s="110" t="s">
        <v>1160</v>
      </c>
      <c r="C446" s="88" t="s">
        <v>226</v>
      </c>
      <c r="D446" s="89" t="s">
        <v>255</v>
      </c>
      <c r="E446" s="90">
        <f t="shared" si="88"/>
        <v>6743</v>
      </c>
      <c r="F446" s="90">
        <f t="shared" si="86"/>
        <v>5666.0924973800402</v>
      </c>
      <c r="G446" s="91">
        <v>0.19</v>
      </c>
      <c r="H446" s="91" t="s">
        <v>228</v>
      </c>
      <c r="I446" s="91" t="s">
        <v>228</v>
      </c>
      <c r="J446" s="91" t="s">
        <v>228</v>
      </c>
      <c r="K446" s="91" t="s">
        <v>228</v>
      </c>
      <c r="L446" s="92" t="s">
        <v>302</v>
      </c>
      <c r="M446" s="91" t="str">
        <f t="shared" ref="M446:M474" si="89">+IF(L446="no aplica","no aplica","VER ARCHIVO ANEXO")</f>
        <v>no aplica</v>
      </c>
      <c r="N446" s="93">
        <v>41608</v>
      </c>
      <c r="O446" s="94"/>
      <c r="P446" s="94"/>
      <c r="Q446" s="94">
        <v>366</v>
      </c>
      <c r="R446" s="95">
        <f t="shared" si="78"/>
        <v>5666.0924973800402</v>
      </c>
      <c r="S446" s="94">
        <v>3707.9182000000001</v>
      </c>
      <c r="T446" s="94">
        <f t="shared" si="79"/>
        <v>3958.9442621400003</v>
      </c>
      <c r="U446" s="94">
        <f t="shared" si="80"/>
        <v>4186.5835572130509</v>
      </c>
      <c r="V446" s="94">
        <f t="shared" si="81"/>
        <v>4357.814824703064</v>
      </c>
      <c r="W446" s="97">
        <f t="shared" si="82"/>
        <v>4496.3933361286217</v>
      </c>
      <c r="X446" s="97">
        <f t="shared" si="83"/>
        <v>4667.2562829015096</v>
      </c>
      <c r="Y446" s="97">
        <f t="shared" si="87"/>
        <v>4742.399109056224</v>
      </c>
      <c r="Z446" s="97">
        <f t="shared" si="84"/>
        <v>5008.9219389851842</v>
      </c>
      <c r="AA446" s="97">
        <f t="shared" si="85"/>
        <v>5666.0924973800402</v>
      </c>
    </row>
    <row r="447" spans="1:27" x14ac:dyDescent="0.25">
      <c r="A447" s="102" t="s">
        <v>1161</v>
      </c>
      <c r="B447" s="110" t="s">
        <v>1162</v>
      </c>
      <c r="C447" s="88" t="s">
        <v>1031</v>
      </c>
      <c r="D447" s="89" t="s">
        <v>255</v>
      </c>
      <c r="E447" s="122">
        <f t="shared" si="88"/>
        <v>14891</v>
      </c>
      <c r="F447" s="90">
        <f t="shared" si="86"/>
        <v>12513.661024411256</v>
      </c>
      <c r="G447" s="91">
        <v>0.19</v>
      </c>
      <c r="H447" s="91" t="s">
        <v>228</v>
      </c>
      <c r="I447" s="91" t="s">
        <v>228</v>
      </c>
      <c r="J447" s="91" t="s">
        <v>228</v>
      </c>
      <c r="K447" s="91" t="s">
        <v>228</v>
      </c>
      <c r="L447" s="92" t="s">
        <v>302</v>
      </c>
      <c r="M447" s="91" t="str">
        <f t="shared" si="89"/>
        <v>no aplica</v>
      </c>
      <c r="N447" s="93">
        <v>41608</v>
      </c>
      <c r="O447" s="94"/>
      <c r="P447" s="94"/>
      <c r="Q447" s="94">
        <v>65</v>
      </c>
      <c r="R447" s="95">
        <f t="shared" si="78"/>
        <v>12513.661024411256</v>
      </c>
      <c r="S447" s="94">
        <v>8189</v>
      </c>
      <c r="T447" s="94">
        <f t="shared" si="79"/>
        <v>8743.3953000000001</v>
      </c>
      <c r="U447" s="94">
        <f t="shared" si="80"/>
        <v>9246.1405297500005</v>
      </c>
      <c r="V447" s="94">
        <f t="shared" si="81"/>
        <v>9624.3076774167748</v>
      </c>
      <c r="W447" s="97">
        <f t="shared" si="82"/>
        <v>9930.3606615586286</v>
      </c>
      <c r="X447" s="97">
        <f t="shared" si="83"/>
        <v>10307.714366697857</v>
      </c>
      <c r="Y447" s="97">
        <f t="shared" si="87"/>
        <v>10473.668568001693</v>
      </c>
      <c r="Z447" s="97">
        <f t="shared" si="84"/>
        <v>11062.288741523387</v>
      </c>
      <c r="AA447" s="97">
        <f t="shared" si="85"/>
        <v>12513.661024411256</v>
      </c>
    </row>
    <row r="448" spans="1:27" x14ac:dyDescent="0.25">
      <c r="A448" s="102" t="s">
        <v>1163</v>
      </c>
      <c r="B448" s="110" t="s">
        <v>1164</v>
      </c>
      <c r="C448" s="88" t="s">
        <v>1031</v>
      </c>
      <c r="D448" s="89" t="s">
        <v>262</v>
      </c>
      <c r="E448" s="90">
        <f t="shared" si="88"/>
        <v>306941</v>
      </c>
      <c r="F448" s="90">
        <f t="shared" si="86"/>
        <v>257933.61647251798</v>
      </c>
      <c r="G448" s="91">
        <v>0.19</v>
      </c>
      <c r="H448" s="91" t="s">
        <v>228</v>
      </c>
      <c r="I448" s="91" t="s">
        <v>228</v>
      </c>
      <c r="J448" s="91" t="s">
        <v>228</v>
      </c>
      <c r="K448" s="91" t="s">
        <v>228</v>
      </c>
      <c r="L448" s="92" t="s">
        <v>302</v>
      </c>
      <c r="M448" s="91" t="str">
        <f t="shared" si="89"/>
        <v>no aplica</v>
      </c>
      <c r="N448" s="93">
        <v>41608</v>
      </c>
      <c r="O448" s="94"/>
      <c r="P448" s="94"/>
      <c r="Q448" s="94">
        <v>66</v>
      </c>
      <c r="R448" s="95">
        <f t="shared" si="78"/>
        <v>257933.61647251798</v>
      </c>
      <c r="S448" s="94">
        <v>168793</v>
      </c>
      <c r="T448" s="94">
        <f t="shared" si="79"/>
        <v>180220.28610000003</v>
      </c>
      <c r="U448" s="94">
        <f t="shared" si="80"/>
        <v>190582.95255075005</v>
      </c>
      <c r="V448" s="94">
        <f t="shared" si="81"/>
        <v>198377.79531007571</v>
      </c>
      <c r="W448" s="97">
        <f t="shared" si="82"/>
        <v>204686.20920093614</v>
      </c>
      <c r="X448" s="97">
        <f t="shared" si="83"/>
        <v>212464.28515057173</v>
      </c>
      <c r="Y448" s="97">
        <f t="shared" si="87"/>
        <v>215884.96014149592</v>
      </c>
      <c r="Z448" s="97">
        <f t="shared" si="84"/>
        <v>228017.69490144801</v>
      </c>
      <c r="AA448" s="97">
        <f t="shared" si="85"/>
        <v>257933.61647251798</v>
      </c>
    </row>
    <row r="449" spans="1:27" x14ac:dyDescent="0.25">
      <c r="A449" s="102" t="s">
        <v>1165</v>
      </c>
      <c r="B449" s="110" t="s">
        <v>1166</v>
      </c>
      <c r="C449" s="88" t="s">
        <v>1031</v>
      </c>
      <c r="D449" s="89" t="s">
        <v>262</v>
      </c>
      <c r="E449" s="90">
        <f t="shared" si="88"/>
        <v>195952</v>
      </c>
      <c r="F449" s="90">
        <f t="shared" si="86"/>
        <v>164665.65938069462</v>
      </c>
      <c r="G449" s="91">
        <v>0.19</v>
      </c>
      <c r="H449" s="91" t="s">
        <v>228</v>
      </c>
      <c r="I449" s="91" t="s">
        <v>228</v>
      </c>
      <c r="J449" s="91" t="s">
        <v>228</v>
      </c>
      <c r="K449" s="91" t="s">
        <v>228</v>
      </c>
      <c r="L449" s="92" t="s">
        <v>302</v>
      </c>
      <c r="M449" s="91" t="str">
        <f t="shared" si="89"/>
        <v>no aplica</v>
      </c>
      <c r="N449" s="93">
        <v>41608</v>
      </c>
      <c r="O449" s="94"/>
      <c r="P449" s="94"/>
      <c r="Q449" s="94">
        <v>67</v>
      </c>
      <c r="R449" s="95">
        <f t="shared" si="78"/>
        <v>164665.65938069462</v>
      </c>
      <c r="S449" s="94">
        <v>107758</v>
      </c>
      <c r="T449" s="94">
        <f t="shared" si="79"/>
        <v>115053.21660000001</v>
      </c>
      <c r="U449" s="94">
        <f t="shared" si="80"/>
        <v>121668.77655450003</v>
      </c>
      <c r="V449" s="94">
        <f t="shared" si="81"/>
        <v>126645.02951557907</v>
      </c>
      <c r="W449" s="97">
        <f t="shared" si="82"/>
        <v>130672.34145417449</v>
      </c>
      <c r="X449" s="97">
        <f t="shared" si="83"/>
        <v>135637.89042943312</v>
      </c>
      <c r="Y449" s="97">
        <f t="shared" si="87"/>
        <v>137821.660465347</v>
      </c>
      <c r="Z449" s="97">
        <f t="shared" si="84"/>
        <v>145567.2377834995</v>
      </c>
      <c r="AA449" s="97">
        <f t="shared" si="85"/>
        <v>164665.65938069462</v>
      </c>
    </row>
    <row r="450" spans="1:27" x14ac:dyDescent="0.25">
      <c r="A450" s="102" t="s">
        <v>1167</v>
      </c>
      <c r="B450" s="110" t="s">
        <v>1168</v>
      </c>
      <c r="C450" s="88" t="s">
        <v>1031</v>
      </c>
      <c r="D450" s="89" t="s">
        <v>262</v>
      </c>
      <c r="E450" s="90">
        <f t="shared" si="88"/>
        <v>24767</v>
      </c>
      <c r="F450" s="90">
        <f t="shared" si="86"/>
        <v>20812.805367258676</v>
      </c>
      <c r="G450" s="91">
        <v>0.19</v>
      </c>
      <c r="H450" s="91" t="s">
        <v>228</v>
      </c>
      <c r="I450" s="91" t="s">
        <v>228</v>
      </c>
      <c r="J450" s="91" t="s">
        <v>228</v>
      </c>
      <c r="K450" s="91" t="s">
        <v>228</v>
      </c>
      <c r="L450" s="92" t="s">
        <v>302</v>
      </c>
      <c r="M450" s="91" t="str">
        <f t="shared" si="89"/>
        <v>no aplica</v>
      </c>
      <c r="N450" s="93">
        <v>41608</v>
      </c>
      <c r="O450" s="94"/>
      <c r="P450" s="94"/>
      <c r="Q450" s="94">
        <v>68</v>
      </c>
      <c r="R450" s="95">
        <f t="shared" si="78"/>
        <v>20812.805367258676</v>
      </c>
      <c r="S450" s="94">
        <v>13620</v>
      </c>
      <c r="T450" s="94">
        <f t="shared" si="79"/>
        <v>14542.074000000001</v>
      </c>
      <c r="U450" s="94">
        <f t="shared" si="80"/>
        <v>15378.243255000001</v>
      </c>
      <c r="V450" s="94">
        <f t="shared" si="81"/>
        <v>16007.213404129499</v>
      </c>
      <c r="W450" s="97">
        <f t="shared" si="82"/>
        <v>16516.242790380817</v>
      </c>
      <c r="X450" s="97">
        <f t="shared" si="83"/>
        <v>17143.860016415289</v>
      </c>
      <c r="Y450" s="97">
        <f t="shared" si="87"/>
        <v>17419.876162679575</v>
      </c>
      <c r="Z450" s="97">
        <f t="shared" si="84"/>
        <v>18398.873203022169</v>
      </c>
      <c r="AA450" s="97">
        <f t="shared" si="85"/>
        <v>20812.805367258676</v>
      </c>
    </row>
    <row r="451" spans="1:27" x14ac:dyDescent="0.25">
      <c r="A451" s="102" t="s">
        <v>1169</v>
      </c>
      <c r="B451" s="110" t="s">
        <v>1170</v>
      </c>
      <c r="C451" s="88" t="s">
        <v>1031</v>
      </c>
      <c r="D451" s="89" t="s">
        <v>89</v>
      </c>
      <c r="E451" s="90">
        <f t="shared" si="88"/>
        <v>11756</v>
      </c>
      <c r="F451" s="90">
        <f t="shared" si="86"/>
        <v>9879.2060719036253</v>
      </c>
      <c r="G451" s="91">
        <v>0.19</v>
      </c>
      <c r="H451" s="91" t="s">
        <v>228</v>
      </c>
      <c r="I451" s="91" t="s">
        <v>228</v>
      </c>
      <c r="J451" s="91" t="s">
        <v>228</v>
      </c>
      <c r="K451" s="91" t="s">
        <v>228</v>
      </c>
      <c r="L451" s="92" t="s">
        <v>302</v>
      </c>
      <c r="M451" s="91" t="str">
        <f t="shared" si="89"/>
        <v>no aplica</v>
      </c>
      <c r="N451" s="93">
        <v>41608</v>
      </c>
      <c r="O451" s="94"/>
      <c r="P451" s="94"/>
      <c r="Q451" s="94">
        <v>69</v>
      </c>
      <c r="R451" s="95">
        <f t="shared" si="78"/>
        <v>9879.2060719036253</v>
      </c>
      <c r="S451" s="94">
        <v>6465</v>
      </c>
      <c r="T451" s="94">
        <f t="shared" si="79"/>
        <v>6902.6805000000004</v>
      </c>
      <c r="U451" s="94">
        <f t="shared" si="80"/>
        <v>7299.5846287500008</v>
      </c>
      <c r="V451" s="94">
        <f t="shared" si="81"/>
        <v>7598.1376400658755</v>
      </c>
      <c r="W451" s="97">
        <f t="shared" si="82"/>
        <v>7839.7584170199707</v>
      </c>
      <c r="X451" s="97">
        <f t="shared" si="83"/>
        <v>8137.66923686673</v>
      </c>
      <c r="Y451" s="97">
        <f t="shared" si="87"/>
        <v>8268.685711580285</v>
      </c>
      <c r="Z451" s="97">
        <f t="shared" si="84"/>
        <v>8733.3858485710971</v>
      </c>
      <c r="AA451" s="97">
        <f t="shared" si="85"/>
        <v>9879.2060719036253</v>
      </c>
    </row>
    <row r="452" spans="1:27" x14ac:dyDescent="0.25">
      <c r="A452" s="102" t="s">
        <v>1171</v>
      </c>
      <c r="B452" s="110" t="s">
        <v>1172</v>
      </c>
      <c r="C452" s="88" t="s">
        <v>1031</v>
      </c>
      <c r="D452" s="89" t="s">
        <v>262</v>
      </c>
      <c r="E452" s="90">
        <f t="shared" si="88"/>
        <v>203790</v>
      </c>
      <c r="F452" s="90">
        <f t="shared" si="86"/>
        <v>171251.79676196375</v>
      </c>
      <c r="G452" s="91">
        <v>0.19</v>
      </c>
      <c r="H452" s="91" t="s">
        <v>228</v>
      </c>
      <c r="I452" s="91" t="s">
        <v>228</v>
      </c>
      <c r="J452" s="91" t="s">
        <v>228</v>
      </c>
      <c r="K452" s="91" t="s">
        <v>228</v>
      </c>
      <c r="L452" s="92" t="s">
        <v>302</v>
      </c>
      <c r="M452" s="91" t="str">
        <f t="shared" si="89"/>
        <v>no aplica</v>
      </c>
      <c r="N452" s="93">
        <v>41608</v>
      </c>
      <c r="O452" s="94"/>
      <c r="P452" s="94"/>
      <c r="Q452" s="94">
        <v>70</v>
      </c>
      <c r="R452" s="95">
        <f t="shared" si="78"/>
        <v>171251.79676196375</v>
      </c>
      <c r="S452" s="94">
        <v>112068</v>
      </c>
      <c r="T452" s="94">
        <f t="shared" si="79"/>
        <v>119655.00360000001</v>
      </c>
      <c r="U452" s="94">
        <f t="shared" si="80"/>
        <v>126535.16630700002</v>
      </c>
      <c r="V452" s="94">
        <f t="shared" si="81"/>
        <v>131710.45460895632</v>
      </c>
      <c r="W452" s="97">
        <f t="shared" si="82"/>
        <v>135898.84706552114</v>
      </c>
      <c r="X452" s="97">
        <f t="shared" si="83"/>
        <v>141063.00325401095</v>
      </c>
      <c r="Y452" s="97">
        <f t="shared" si="87"/>
        <v>143334.11760640054</v>
      </c>
      <c r="Z452" s="97">
        <f t="shared" si="84"/>
        <v>151389.49501588027</v>
      </c>
      <c r="AA452" s="97">
        <f t="shared" si="85"/>
        <v>171251.79676196375</v>
      </c>
    </row>
    <row r="453" spans="1:27" x14ac:dyDescent="0.25">
      <c r="A453" s="102" t="s">
        <v>1173</v>
      </c>
      <c r="B453" s="110" t="s">
        <v>1097</v>
      </c>
      <c r="C453" s="88" t="s">
        <v>1031</v>
      </c>
      <c r="D453" s="89" t="s">
        <v>1077</v>
      </c>
      <c r="E453" s="90">
        <f t="shared" si="88"/>
        <v>940575</v>
      </c>
      <c r="F453" s="90">
        <f t="shared" si="86"/>
        <v>790399.13810324844</v>
      </c>
      <c r="G453" s="91">
        <v>0.19</v>
      </c>
      <c r="H453" s="91" t="s">
        <v>228</v>
      </c>
      <c r="I453" s="91" t="s">
        <v>228</v>
      </c>
      <c r="J453" s="91" t="s">
        <v>228</v>
      </c>
      <c r="K453" s="91" t="s">
        <v>228</v>
      </c>
      <c r="L453" s="92" t="s">
        <v>302</v>
      </c>
      <c r="M453" s="91" t="str">
        <f t="shared" si="89"/>
        <v>no aplica</v>
      </c>
      <c r="N453" s="93">
        <v>41608</v>
      </c>
      <c r="O453" s="94"/>
      <c r="P453" s="94"/>
      <c r="Q453" s="94">
        <v>71</v>
      </c>
      <c r="R453" s="95">
        <f t="shared" si="78"/>
        <v>790399.13810324844</v>
      </c>
      <c r="S453" s="94">
        <v>517240.99999999994</v>
      </c>
      <c r="T453" s="94">
        <f t="shared" si="79"/>
        <v>552258.21569999994</v>
      </c>
      <c r="U453" s="94">
        <f t="shared" si="80"/>
        <v>584013.06310274999</v>
      </c>
      <c r="V453" s="94">
        <f t="shared" si="81"/>
        <v>607899.19738365244</v>
      </c>
      <c r="W453" s="97">
        <f t="shared" si="82"/>
        <v>627230.3918604526</v>
      </c>
      <c r="X453" s="97">
        <f t="shared" si="83"/>
        <v>651065.14675114979</v>
      </c>
      <c r="Y453" s="97">
        <f t="shared" si="87"/>
        <v>661547.29561384325</v>
      </c>
      <c r="Z453" s="97">
        <f t="shared" si="84"/>
        <v>698726.25362734124</v>
      </c>
      <c r="AA453" s="97">
        <f t="shared" si="85"/>
        <v>790399.13810324844</v>
      </c>
    </row>
    <row r="454" spans="1:27" x14ac:dyDescent="0.25">
      <c r="A454" s="102" t="s">
        <v>1174</v>
      </c>
      <c r="B454" s="87" t="s">
        <v>1175</v>
      </c>
      <c r="C454" s="88" t="s">
        <v>1031</v>
      </c>
      <c r="D454" s="89" t="s">
        <v>1077</v>
      </c>
      <c r="E454" s="122">
        <f t="shared" si="88"/>
        <v>65464</v>
      </c>
      <c r="F454" s="90">
        <f t="shared" si="86"/>
        <v>55011.820353987707</v>
      </c>
      <c r="G454" s="91">
        <v>0.19</v>
      </c>
      <c r="H454" s="91" t="s">
        <v>228</v>
      </c>
      <c r="I454" s="91" t="s">
        <v>228</v>
      </c>
      <c r="J454" s="91" t="s">
        <v>228</v>
      </c>
      <c r="K454" s="91" t="s">
        <v>228</v>
      </c>
      <c r="L454" s="92" t="s">
        <v>302</v>
      </c>
      <c r="M454" s="91" t="str">
        <f t="shared" si="89"/>
        <v>no aplica</v>
      </c>
      <c r="N454" s="93">
        <v>41608</v>
      </c>
      <c r="O454" s="94"/>
      <c r="P454" s="94"/>
      <c r="Q454" s="94">
        <v>72</v>
      </c>
      <c r="R454" s="95">
        <f t="shared" si="78"/>
        <v>55011.820353987707</v>
      </c>
      <c r="S454" s="94">
        <v>36000</v>
      </c>
      <c r="T454" s="94">
        <f t="shared" si="79"/>
        <v>38437.200000000004</v>
      </c>
      <c r="U454" s="94">
        <f t="shared" si="80"/>
        <v>40647.339000000007</v>
      </c>
      <c r="V454" s="94">
        <f t="shared" si="81"/>
        <v>42309.815165100008</v>
      </c>
      <c r="W454" s="97">
        <f t="shared" si="82"/>
        <v>43655.267287350187</v>
      </c>
      <c r="X454" s="97">
        <f t="shared" si="83"/>
        <v>45314.167444269493</v>
      </c>
      <c r="Y454" s="97">
        <f t="shared" si="87"/>
        <v>46043.725540122236</v>
      </c>
      <c r="Z454" s="97">
        <f t="shared" si="84"/>
        <v>48631.382915477108</v>
      </c>
      <c r="AA454" s="97">
        <f t="shared" si="85"/>
        <v>55011.820353987707</v>
      </c>
    </row>
    <row r="455" spans="1:27" x14ac:dyDescent="0.25">
      <c r="A455" s="102" t="s">
        <v>1176</v>
      </c>
      <c r="B455" s="87" t="s">
        <v>1177</v>
      </c>
      <c r="C455" s="88" t="s">
        <v>1031</v>
      </c>
      <c r="D455" s="89" t="s">
        <v>1032</v>
      </c>
      <c r="E455" s="90">
        <f t="shared" si="88"/>
        <v>52735</v>
      </c>
      <c r="F455" s="90">
        <f t="shared" si="86"/>
        <v>44315.077507378985</v>
      </c>
      <c r="G455" s="91">
        <v>0.19</v>
      </c>
      <c r="H455" s="91" t="s">
        <v>228</v>
      </c>
      <c r="I455" s="91" t="s">
        <v>228</v>
      </c>
      <c r="J455" s="91" t="s">
        <v>228</v>
      </c>
      <c r="K455" s="91" t="s">
        <v>228</v>
      </c>
      <c r="L455" s="92" t="s">
        <v>302</v>
      </c>
      <c r="M455" s="91" t="str">
        <f t="shared" si="89"/>
        <v>no aplica</v>
      </c>
      <c r="N455" s="93">
        <v>41608</v>
      </c>
      <c r="O455" s="94"/>
      <c r="P455" s="94"/>
      <c r="Q455" s="94">
        <v>73</v>
      </c>
      <c r="R455" s="95">
        <f t="shared" ref="R455:R518" si="90">+AA455</f>
        <v>44315.077507378985</v>
      </c>
      <c r="S455" s="94">
        <v>29000</v>
      </c>
      <c r="T455" s="94">
        <f t="shared" ref="T455:T518" si="91">+S455*1.0677</f>
        <v>30963.300000000003</v>
      </c>
      <c r="U455" s="94">
        <f t="shared" ref="U455:U518" si="92">+T455*(1+$U$4)</f>
        <v>32743.689750000005</v>
      </c>
      <c r="V455" s="94">
        <f t="shared" ref="V455:V518" si="93">+U455*(1+$V$4)</f>
        <v>34082.906660775006</v>
      </c>
      <c r="W455" s="97">
        <f t="shared" ref="W455:W518" si="94">+V455*(1+$W$4)</f>
        <v>35166.743092587654</v>
      </c>
      <c r="X455" s="97">
        <f t="shared" ref="X455:X518" si="95">+W455*(1+$X$4)</f>
        <v>36503.079330105989</v>
      </c>
      <c r="Y455" s="97">
        <f t="shared" si="87"/>
        <v>37090.778907320695</v>
      </c>
      <c r="Z455" s="97">
        <f t="shared" ref="Z455:Z518" si="96">+Y455*(1+$Z$4)</f>
        <v>39175.280681912118</v>
      </c>
      <c r="AA455" s="97">
        <f t="shared" ref="AA455:AA518" si="97">+Z455*(1+$AA$4)</f>
        <v>44315.077507378985</v>
      </c>
    </row>
    <row r="456" spans="1:27" x14ac:dyDescent="0.25">
      <c r="A456" s="102" t="s">
        <v>1178</v>
      </c>
      <c r="B456" s="87" t="s">
        <v>1179</v>
      </c>
      <c r="C456" s="88" t="s">
        <v>1031</v>
      </c>
      <c r="D456" s="89" t="s">
        <v>1032</v>
      </c>
      <c r="E456" s="90">
        <f t="shared" si="88"/>
        <v>52735</v>
      </c>
      <c r="F456" s="90">
        <f t="shared" ref="F456:F519" si="98">R456</f>
        <v>44315.077507378985</v>
      </c>
      <c r="G456" s="91">
        <v>0.19</v>
      </c>
      <c r="H456" s="91" t="s">
        <v>228</v>
      </c>
      <c r="I456" s="91" t="s">
        <v>228</v>
      </c>
      <c r="J456" s="91" t="s">
        <v>228</v>
      </c>
      <c r="K456" s="91" t="s">
        <v>228</v>
      </c>
      <c r="L456" s="92" t="s">
        <v>302</v>
      </c>
      <c r="M456" s="91" t="str">
        <f t="shared" si="89"/>
        <v>no aplica</v>
      </c>
      <c r="N456" s="93">
        <v>41608</v>
      </c>
      <c r="O456" s="94"/>
      <c r="P456" s="94"/>
      <c r="Q456" s="94">
        <v>74</v>
      </c>
      <c r="R456" s="95">
        <f t="shared" si="90"/>
        <v>44315.077507378985</v>
      </c>
      <c r="S456" s="94">
        <v>29000</v>
      </c>
      <c r="T456" s="94">
        <f t="shared" si="91"/>
        <v>30963.300000000003</v>
      </c>
      <c r="U456" s="94">
        <f t="shared" si="92"/>
        <v>32743.689750000005</v>
      </c>
      <c r="V456" s="94">
        <f t="shared" si="93"/>
        <v>34082.906660775006</v>
      </c>
      <c r="W456" s="97">
        <f t="shared" si="94"/>
        <v>35166.743092587654</v>
      </c>
      <c r="X456" s="97">
        <f t="shared" si="95"/>
        <v>36503.079330105989</v>
      </c>
      <c r="Y456" s="97">
        <f t="shared" ref="Y456:Y519" si="99">+X456*(1+$Y$4)</f>
        <v>37090.778907320695</v>
      </c>
      <c r="Z456" s="97">
        <f t="shared" si="96"/>
        <v>39175.280681912118</v>
      </c>
      <c r="AA456" s="97">
        <f t="shared" si="97"/>
        <v>44315.077507378985</v>
      </c>
    </row>
    <row r="457" spans="1:27" x14ac:dyDescent="0.25">
      <c r="A457" s="102" t="s">
        <v>1180</v>
      </c>
      <c r="B457" s="87" t="s">
        <v>1181</v>
      </c>
      <c r="C457" s="88" t="s">
        <v>1031</v>
      </c>
      <c r="D457" s="89" t="s">
        <v>1032</v>
      </c>
      <c r="E457" s="90">
        <f t="shared" ref="E457:E520" si="100">+ROUND(F457*(1+G457),0)</f>
        <v>52735</v>
      </c>
      <c r="F457" s="90">
        <f t="shared" si="98"/>
        <v>44315.077507378985</v>
      </c>
      <c r="G457" s="91">
        <v>0.19</v>
      </c>
      <c r="H457" s="91" t="s">
        <v>228</v>
      </c>
      <c r="I457" s="91" t="s">
        <v>228</v>
      </c>
      <c r="J457" s="91" t="s">
        <v>228</v>
      </c>
      <c r="K457" s="91" t="s">
        <v>228</v>
      </c>
      <c r="L457" s="92" t="s">
        <v>302</v>
      </c>
      <c r="M457" s="91" t="str">
        <f t="shared" si="89"/>
        <v>no aplica</v>
      </c>
      <c r="N457" s="93">
        <v>41608</v>
      </c>
      <c r="O457" s="94"/>
      <c r="P457" s="94"/>
      <c r="Q457" s="94">
        <v>75</v>
      </c>
      <c r="R457" s="95">
        <f t="shared" si="90"/>
        <v>44315.077507378985</v>
      </c>
      <c r="S457" s="94">
        <v>29000</v>
      </c>
      <c r="T457" s="94">
        <f t="shared" si="91"/>
        <v>30963.300000000003</v>
      </c>
      <c r="U457" s="94">
        <f t="shared" si="92"/>
        <v>32743.689750000005</v>
      </c>
      <c r="V457" s="94">
        <f t="shared" si="93"/>
        <v>34082.906660775006</v>
      </c>
      <c r="W457" s="97">
        <f t="shared" si="94"/>
        <v>35166.743092587654</v>
      </c>
      <c r="X457" s="97">
        <f t="shared" si="95"/>
        <v>36503.079330105989</v>
      </c>
      <c r="Y457" s="97">
        <f t="shared" si="99"/>
        <v>37090.778907320695</v>
      </c>
      <c r="Z457" s="97">
        <f t="shared" si="96"/>
        <v>39175.280681912118</v>
      </c>
      <c r="AA457" s="97">
        <f t="shared" si="97"/>
        <v>44315.077507378985</v>
      </c>
    </row>
    <row r="458" spans="1:27" x14ac:dyDescent="0.25">
      <c r="A458" s="102" t="s">
        <v>1182</v>
      </c>
      <c r="B458" s="87" t="s">
        <v>1183</v>
      </c>
      <c r="C458" s="88" t="s">
        <v>1031</v>
      </c>
      <c r="D458" s="89" t="s">
        <v>1032</v>
      </c>
      <c r="E458" s="90">
        <f t="shared" si="100"/>
        <v>49098</v>
      </c>
      <c r="F458" s="90">
        <f t="shared" si="98"/>
        <v>41258.865265490771</v>
      </c>
      <c r="G458" s="91">
        <v>0.19</v>
      </c>
      <c r="H458" s="91" t="s">
        <v>228</v>
      </c>
      <c r="I458" s="91" t="s">
        <v>228</v>
      </c>
      <c r="J458" s="91" t="s">
        <v>228</v>
      </c>
      <c r="K458" s="91" t="s">
        <v>228</v>
      </c>
      <c r="L458" s="92" t="s">
        <v>302</v>
      </c>
      <c r="M458" s="91" t="str">
        <f t="shared" si="89"/>
        <v>no aplica</v>
      </c>
      <c r="N458" s="93">
        <v>41608</v>
      </c>
      <c r="O458" s="94"/>
      <c r="P458" s="94"/>
      <c r="Q458" s="94">
        <v>76</v>
      </c>
      <c r="R458" s="95">
        <f t="shared" si="90"/>
        <v>41258.865265490771</v>
      </c>
      <c r="S458" s="94">
        <v>27000</v>
      </c>
      <c r="T458" s="94">
        <f t="shared" si="91"/>
        <v>28827.9</v>
      </c>
      <c r="U458" s="94">
        <f t="shared" si="92"/>
        <v>30485.504250000005</v>
      </c>
      <c r="V458" s="94">
        <f t="shared" si="93"/>
        <v>31732.361373825002</v>
      </c>
      <c r="W458" s="97">
        <f t="shared" si="94"/>
        <v>32741.45046551264</v>
      </c>
      <c r="X458" s="97">
        <f t="shared" si="95"/>
        <v>33985.62558320212</v>
      </c>
      <c r="Y458" s="97">
        <f t="shared" si="99"/>
        <v>34532.794155091673</v>
      </c>
      <c r="Z458" s="97">
        <f t="shared" si="96"/>
        <v>36473.537186607828</v>
      </c>
      <c r="AA458" s="97">
        <f t="shared" si="97"/>
        <v>41258.865265490771</v>
      </c>
    </row>
    <row r="459" spans="1:27" x14ac:dyDescent="0.25">
      <c r="A459" s="102" t="s">
        <v>1184</v>
      </c>
      <c r="B459" s="87" t="s">
        <v>1185</v>
      </c>
      <c r="C459" s="88" t="s">
        <v>1031</v>
      </c>
      <c r="D459" s="89" t="s">
        <v>89</v>
      </c>
      <c r="E459" s="90">
        <f t="shared" si="100"/>
        <v>181845</v>
      </c>
      <c r="F459" s="90">
        <f t="shared" si="98"/>
        <v>152810.61209441032</v>
      </c>
      <c r="G459" s="91">
        <v>0.19</v>
      </c>
      <c r="H459" s="91" t="s">
        <v>228</v>
      </c>
      <c r="I459" s="91" t="s">
        <v>228</v>
      </c>
      <c r="J459" s="91" t="s">
        <v>228</v>
      </c>
      <c r="K459" s="91" t="s">
        <v>228</v>
      </c>
      <c r="L459" s="92" t="s">
        <v>302</v>
      </c>
      <c r="M459" s="91" t="str">
        <f t="shared" si="89"/>
        <v>no aplica</v>
      </c>
      <c r="N459" s="93">
        <v>41608</v>
      </c>
      <c r="O459" s="94"/>
      <c r="P459" s="94"/>
      <c r="Q459" s="94">
        <v>77</v>
      </c>
      <c r="R459" s="95">
        <f t="shared" si="90"/>
        <v>152810.61209441032</v>
      </c>
      <c r="S459" s="94">
        <v>100000</v>
      </c>
      <c r="T459" s="94">
        <f t="shared" si="91"/>
        <v>106770.00000000001</v>
      </c>
      <c r="U459" s="94">
        <f t="shared" si="92"/>
        <v>112909.27500000002</v>
      </c>
      <c r="V459" s="94">
        <f t="shared" si="93"/>
        <v>117527.26434750002</v>
      </c>
      <c r="W459" s="97">
        <f t="shared" si="94"/>
        <v>121264.63135375053</v>
      </c>
      <c r="X459" s="97">
        <f t="shared" si="95"/>
        <v>125872.68734519306</v>
      </c>
      <c r="Y459" s="97">
        <f t="shared" si="99"/>
        <v>127899.23761145066</v>
      </c>
      <c r="Z459" s="97">
        <f t="shared" si="96"/>
        <v>135087.17476521421</v>
      </c>
      <c r="AA459" s="97">
        <f t="shared" si="97"/>
        <v>152810.61209441032</v>
      </c>
    </row>
    <row r="460" spans="1:27" x14ac:dyDescent="0.25">
      <c r="A460" s="102" t="s">
        <v>1186</v>
      </c>
      <c r="B460" s="87" t="s">
        <v>1187</v>
      </c>
      <c r="C460" s="88" t="s">
        <v>1031</v>
      </c>
      <c r="D460" s="89" t="s">
        <v>89</v>
      </c>
      <c r="E460" s="90">
        <f t="shared" si="100"/>
        <v>54553</v>
      </c>
      <c r="F460" s="90">
        <f t="shared" si="98"/>
        <v>45843.183628323088</v>
      </c>
      <c r="G460" s="91">
        <v>0.19</v>
      </c>
      <c r="H460" s="91" t="s">
        <v>228</v>
      </c>
      <c r="I460" s="91" t="s">
        <v>228</v>
      </c>
      <c r="J460" s="91" t="s">
        <v>228</v>
      </c>
      <c r="K460" s="91" t="s">
        <v>228</v>
      </c>
      <c r="L460" s="92" t="s">
        <v>302</v>
      </c>
      <c r="M460" s="91" t="str">
        <f t="shared" si="89"/>
        <v>no aplica</v>
      </c>
      <c r="N460" s="93">
        <v>41608</v>
      </c>
      <c r="O460" s="94"/>
      <c r="P460" s="94"/>
      <c r="Q460" s="94">
        <v>78</v>
      </c>
      <c r="R460" s="95">
        <f t="shared" si="90"/>
        <v>45843.183628323088</v>
      </c>
      <c r="S460" s="94">
        <v>30000</v>
      </c>
      <c r="T460" s="94">
        <f t="shared" si="91"/>
        <v>32031.000000000004</v>
      </c>
      <c r="U460" s="94">
        <f t="shared" si="92"/>
        <v>33872.782500000008</v>
      </c>
      <c r="V460" s="94">
        <f t="shared" si="93"/>
        <v>35258.179304250007</v>
      </c>
      <c r="W460" s="97">
        <f t="shared" si="94"/>
        <v>36379.389406125156</v>
      </c>
      <c r="X460" s="97">
        <f t="shared" si="95"/>
        <v>37761.806203557913</v>
      </c>
      <c r="Y460" s="97">
        <f t="shared" si="99"/>
        <v>38369.771283435199</v>
      </c>
      <c r="Z460" s="97">
        <f t="shared" si="96"/>
        <v>40526.152429564259</v>
      </c>
      <c r="AA460" s="97">
        <f t="shared" si="97"/>
        <v>45843.183628323088</v>
      </c>
    </row>
    <row r="461" spans="1:27" x14ac:dyDescent="0.25">
      <c r="A461" s="102" t="s">
        <v>1188</v>
      </c>
      <c r="B461" s="87" t="s">
        <v>1189</v>
      </c>
      <c r="C461" s="88" t="s">
        <v>1031</v>
      </c>
      <c r="D461" s="89" t="s">
        <v>4099</v>
      </c>
      <c r="E461" s="90">
        <f t="shared" si="100"/>
        <v>2728</v>
      </c>
      <c r="F461" s="90">
        <f t="shared" si="98"/>
        <v>2292.1591814161543</v>
      </c>
      <c r="G461" s="91">
        <v>0.19</v>
      </c>
      <c r="H461" s="91" t="s">
        <v>228</v>
      </c>
      <c r="I461" s="91" t="s">
        <v>228</v>
      </c>
      <c r="J461" s="91" t="s">
        <v>228</v>
      </c>
      <c r="K461" s="91" t="s">
        <v>228</v>
      </c>
      <c r="L461" s="92" t="s">
        <v>302</v>
      </c>
      <c r="M461" s="91" t="str">
        <f t="shared" si="89"/>
        <v>no aplica</v>
      </c>
      <c r="N461" s="93">
        <v>41608</v>
      </c>
      <c r="O461" s="94"/>
      <c r="P461" s="94"/>
      <c r="Q461" s="94">
        <v>79</v>
      </c>
      <c r="R461" s="95">
        <f t="shared" si="90"/>
        <v>2292.1591814161543</v>
      </c>
      <c r="S461" s="94">
        <v>1500</v>
      </c>
      <c r="T461" s="94">
        <f t="shared" si="91"/>
        <v>1601.5500000000002</v>
      </c>
      <c r="U461" s="94">
        <f t="shared" si="92"/>
        <v>1693.6391250000004</v>
      </c>
      <c r="V461" s="94">
        <f t="shared" si="93"/>
        <v>1762.9089652125003</v>
      </c>
      <c r="W461" s="97">
        <f t="shared" si="94"/>
        <v>1818.969470306258</v>
      </c>
      <c r="X461" s="97">
        <f t="shared" si="95"/>
        <v>1888.0903101778958</v>
      </c>
      <c r="Y461" s="97">
        <f t="shared" si="99"/>
        <v>1918.4885641717599</v>
      </c>
      <c r="Z461" s="97">
        <f t="shared" si="96"/>
        <v>2026.3076214782129</v>
      </c>
      <c r="AA461" s="97">
        <f t="shared" si="97"/>
        <v>2292.1591814161543</v>
      </c>
    </row>
    <row r="462" spans="1:27" x14ac:dyDescent="0.25">
      <c r="A462" s="102" t="s">
        <v>1190</v>
      </c>
      <c r="B462" s="87" t="s">
        <v>1191</v>
      </c>
      <c r="C462" s="88" t="s">
        <v>1031</v>
      </c>
      <c r="D462" s="89" t="s">
        <v>301</v>
      </c>
      <c r="E462" s="90">
        <f t="shared" si="100"/>
        <v>27277</v>
      </c>
      <c r="F462" s="90">
        <f t="shared" si="98"/>
        <v>22921.591814161544</v>
      </c>
      <c r="G462" s="91">
        <v>0.19</v>
      </c>
      <c r="H462" s="91" t="s">
        <v>228</v>
      </c>
      <c r="I462" s="91" t="s">
        <v>228</v>
      </c>
      <c r="J462" s="91" t="s">
        <v>228</v>
      </c>
      <c r="K462" s="91" t="s">
        <v>228</v>
      </c>
      <c r="L462" s="92" t="s">
        <v>302</v>
      </c>
      <c r="M462" s="91" t="str">
        <f t="shared" si="89"/>
        <v>no aplica</v>
      </c>
      <c r="N462" s="93">
        <v>41608</v>
      </c>
      <c r="O462" s="94"/>
      <c r="P462" s="94"/>
      <c r="Q462" s="94">
        <v>80</v>
      </c>
      <c r="R462" s="95">
        <f t="shared" si="90"/>
        <v>22921.591814161544</v>
      </c>
      <c r="S462" s="94">
        <v>15000</v>
      </c>
      <c r="T462" s="94">
        <f t="shared" si="91"/>
        <v>16015.500000000002</v>
      </c>
      <c r="U462" s="94">
        <f t="shared" si="92"/>
        <v>16936.391250000004</v>
      </c>
      <c r="V462" s="94">
        <f t="shared" si="93"/>
        <v>17629.089652125003</v>
      </c>
      <c r="W462" s="97">
        <f t="shared" si="94"/>
        <v>18189.694703062578</v>
      </c>
      <c r="X462" s="97">
        <f t="shared" si="95"/>
        <v>18880.903101778957</v>
      </c>
      <c r="Y462" s="97">
        <f t="shared" si="99"/>
        <v>19184.885641717599</v>
      </c>
      <c r="Z462" s="97">
        <f t="shared" si="96"/>
        <v>20263.07621478213</v>
      </c>
      <c r="AA462" s="97">
        <f t="shared" si="97"/>
        <v>22921.591814161544</v>
      </c>
    </row>
    <row r="463" spans="1:27" x14ac:dyDescent="0.25">
      <c r="A463" s="102" t="s">
        <v>1192</v>
      </c>
      <c r="B463" s="87" t="s">
        <v>1193</v>
      </c>
      <c r="C463" s="88" t="s">
        <v>1031</v>
      </c>
      <c r="D463" s="89" t="s">
        <v>1077</v>
      </c>
      <c r="E463" s="90">
        <f t="shared" si="100"/>
        <v>236398</v>
      </c>
      <c r="F463" s="90">
        <f t="shared" si="98"/>
        <v>198653.79572273337</v>
      </c>
      <c r="G463" s="91">
        <v>0.19</v>
      </c>
      <c r="H463" s="91" t="s">
        <v>228</v>
      </c>
      <c r="I463" s="91" t="s">
        <v>228</v>
      </c>
      <c r="J463" s="91" t="s">
        <v>228</v>
      </c>
      <c r="K463" s="91" t="s">
        <v>228</v>
      </c>
      <c r="L463" s="92" t="s">
        <v>302</v>
      </c>
      <c r="M463" s="91" t="str">
        <f t="shared" si="89"/>
        <v>no aplica</v>
      </c>
      <c r="N463" s="93">
        <v>41608</v>
      </c>
      <c r="O463" s="94"/>
      <c r="P463" s="94"/>
      <c r="Q463" s="94">
        <v>81</v>
      </c>
      <c r="R463" s="95">
        <f t="shared" si="90"/>
        <v>198653.79572273337</v>
      </c>
      <c r="S463" s="94">
        <v>130000</v>
      </c>
      <c r="T463" s="94">
        <f t="shared" si="91"/>
        <v>138801</v>
      </c>
      <c r="U463" s="94">
        <f t="shared" si="92"/>
        <v>146782.05750000002</v>
      </c>
      <c r="V463" s="94">
        <f t="shared" si="93"/>
        <v>152785.44365175001</v>
      </c>
      <c r="W463" s="97">
        <f t="shared" si="94"/>
        <v>157644.02075987568</v>
      </c>
      <c r="X463" s="97">
        <f t="shared" si="95"/>
        <v>163634.49354875096</v>
      </c>
      <c r="Y463" s="97">
        <f t="shared" si="99"/>
        <v>166269.00889488586</v>
      </c>
      <c r="Z463" s="97">
        <f t="shared" si="96"/>
        <v>175613.32719477845</v>
      </c>
      <c r="AA463" s="97">
        <f t="shared" si="97"/>
        <v>198653.79572273337</v>
      </c>
    </row>
    <row r="464" spans="1:27" x14ac:dyDescent="0.25">
      <c r="A464" s="102" t="s">
        <v>1194</v>
      </c>
      <c r="B464" s="87" t="s">
        <v>1195</v>
      </c>
      <c r="C464" s="88" t="s">
        <v>1031</v>
      </c>
      <c r="D464" s="89" t="s">
        <v>4099</v>
      </c>
      <c r="E464" s="90">
        <f t="shared" si="100"/>
        <v>45461</v>
      </c>
      <c r="F464" s="90">
        <f t="shared" si="98"/>
        <v>38202.653023602579</v>
      </c>
      <c r="G464" s="91">
        <v>0.19</v>
      </c>
      <c r="H464" s="91" t="s">
        <v>228</v>
      </c>
      <c r="I464" s="91" t="s">
        <v>228</v>
      </c>
      <c r="J464" s="91" t="s">
        <v>228</v>
      </c>
      <c r="K464" s="91" t="s">
        <v>228</v>
      </c>
      <c r="L464" s="92" t="s">
        <v>302</v>
      </c>
      <c r="M464" s="91" t="str">
        <f t="shared" si="89"/>
        <v>no aplica</v>
      </c>
      <c r="N464" s="93">
        <v>41608</v>
      </c>
      <c r="O464" s="94"/>
      <c r="P464" s="94"/>
      <c r="Q464" s="94">
        <v>82</v>
      </c>
      <c r="R464" s="95">
        <f t="shared" si="90"/>
        <v>38202.653023602579</v>
      </c>
      <c r="S464" s="94">
        <v>25000</v>
      </c>
      <c r="T464" s="94">
        <f t="shared" si="91"/>
        <v>26692.500000000004</v>
      </c>
      <c r="U464" s="94">
        <f t="shared" si="92"/>
        <v>28227.318750000006</v>
      </c>
      <c r="V464" s="94">
        <f t="shared" si="93"/>
        <v>29381.816086875006</v>
      </c>
      <c r="W464" s="97">
        <f t="shared" si="94"/>
        <v>30316.157838437633</v>
      </c>
      <c r="X464" s="97">
        <f t="shared" si="95"/>
        <v>31468.171836298265</v>
      </c>
      <c r="Y464" s="97">
        <f t="shared" si="99"/>
        <v>31974.809402862666</v>
      </c>
      <c r="Z464" s="97">
        <f t="shared" si="96"/>
        <v>33771.793691303552</v>
      </c>
      <c r="AA464" s="97">
        <f t="shared" si="97"/>
        <v>38202.653023602579</v>
      </c>
    </row>
    <row r="465" spans="1:27" x14ac:dyDescent="0.25">
      <c r="A465" s="102" t="s">
        <v>1196</v>
      </c>
      <c r="B465" s="87" t="s">
        <v>1197</v>
      </c>
      <c r="C465" s="88" t="s">
        <v>1031</v>
      </c>
      <c r="D465" s="89" t="s">
        <v>1032</v>
      </c>
      <c r="E465" s="90">
        <f t="shared" si="100"/>
        <v>45461</v>
      </c>
      <c r="F465" s="90">
        <f t="shared" si="98"/>
        <v>38202.653023602579</v>
      </c>
      <c r="G465" s="91">
        <v>0.19</v>
      </c>
      <c r="H465" s="91" t="s">
        <v>228</v>
      </c>
      <c r="I465" s="91" t="s">
        <v>228</v>
      </c>
      <c r="J465" s="91" t="s">
        <v>228</v>
      </c>
      <c r="K465" s="91" t="s">
        <v>228</v>
      </c>
      <c r="L465" s="92" t="s">
        <v>302</v>
      </c>
      <c r="M465" s="91" t="str">
        <f t="shared" si="89"/>
        <v>no aplica</v>
      </c>
      <c r="N465" s="93">
        <v>41608</v>
      </c>
      <c r="O465" s="94"/>
      <c r="P465" s="94"/>
      <c r="Q465" s="94">
        <v>83</v>
      </c>
      <c r="R465" s="95">
        <f t="shared" si="90"/>
        <v>38202.653023602579</v>
      </c>
      <c r="S465" s="94">
        <v>25000</v>
      </c>
      <c r="T465" s="94">
        <f t="shared" si="91"/>
        <v>26692.500000000004</v>
      </c>
      <c r="U465" s="94">
        <f t="shared" si="92"/>
        <v>28227.318750000006</v>
      </c>
      <c r="V465" s="94">
        <f t="shared" si="93"/>
        <v>29381.816086875006</v>
      </c>
      <c r="W465" s="97">
        <f t="shared" si="94"/>
        <v>30316.157838437633</v>
      </c>
      <c r="X465" s="97">
        <f t="shared" si="95"/>
        <v>31468.171836298265</v>
      </c>
      <c r="Y465" s="97">
        <f t="shared" si="99"/>
        <v>31974.809402862666</v>
      </c>
      <c r="Z465" s="97">
        <f t="shared" si="96"/>
        <v>33771.793691303552</v>
      </c>
      <c r="AA465" s="97">
        <f t="shared" si="97"/>
        <v>38202.653023602579</v>
      </c>
    </row>
    <row r="466" spans="1:27" x14ac:dyDescent="0.25">
      <c r="A466" s="102" t="s">
        <v>1198</v>
      </c>
      <c r="B466" s="87" t="s">
        <v>1199</v>
      </c>
      <c r="C466" s="88" t="s">
        <v>1031</v>
      </c>
      <c r="D466" s="89" t="s">
        <v>1032</v>
      </c>
      <c r="E466" s="90">
        <f t="shared" si="100"/>
        <v>190937</v>
      </c>
      <c r="F466" s="90">
        <f t="shared" si="98"/>
        <v>160451.14269913084</v>
      </c>
      <c r="G466" s="91">
        <v>0.19</v>
      </c>
      <c r="H466" s="91" t="s">
        <v>228</v>
      </c>
      <c r="I466" s="91" t="s">
        <v>228</v>
      </c>
      <c r="J466" s="91" t="s">
        <v>228</v>
      </c>
      <c r="K466" s="91" t="s">
        <v>228</v>
      </c>
      <c r="L466" s="92" t="s">
        <v>302</v>
      </c>
      <c r="M466" s="91" t="str">
        <f t="shared" si="89"/>
        <v>no aplica</v>
      </c>
      <c r="N466" s="93">
        <v>41608</v>
      </c>
      <c r="O466" s="94"/>
      <c r="P466" s="94"/>
      <c r="Q466" s="94">
        <v>84</v>
      </c>
      <c r="R466" s="95">
        <f t="shared" si="90"/>
        <v>160451.14269913084</v>
      </c>
      <c r="S466" s="94">
        <v>105000</v>
      </c>
      <c r="T466" s="94">
        <f t="shared" si="91"/>
        <v>112108.50000000001</v>
      </c>
      <c r="U466" s="94">
        <f t="shared" si="92"/>
        <v>118554.73875000003</v>
      </c>
      <c r="V466" s="94">
        <f t="shared" si="93"/>
        <v>123403.62756487503</v>
      </c>
      <c r="W466" s="97">
        <f t="shared" si="94"/>
        <v>127327.86292143806</v>
      </c>
      <c r="X466" s="97">
        <f t="shared" si="95"/>
        <v>132166.32171245271</v>
      </c>
      <c r="Y466" s="97">
        <f t="shared" si="99"/>
        <v>134294.19949202321</v>
      </c>
      <c r="Z466" s="97">
        <f t="shared" si="96"/>
        <v>141841.53350347493</v>
      </c>
      <c r="AA466" s="97">
        <f t="shared" si="97"/>
        <v>160451.14269913084</v>
      </c>
    </row>
    <row r="467" spans="1:27" x14ac:dyDescent="0.25">
      <c r="A467" s="102" t="s">
        <v>1200</v>
      </c>
      <c r="B467" s="110" t="s">
        <v>1201</v>
      </c>
      <c r="C467" s="88" t="s">
        <v>1031</v>
      </c>
      <c r="D467" s="89" t="s">
        <v>1077</v>
      </c>
      <c r="E467" s="90">
        <f t="shared" si="100"/>
        <v>954684</v>
      </c>
      <c r="F467" s="90">
        <f t="shared" si="98"/>
        <v>802255.71349565394</v>
      </c>
      <c r="G467" s="91">
        <v>0.19</v>
      </c>
      <c r="H467" s="91" t="s">
        <v>228</v>
      </c>
      <c r="I467" s="91" t="s">
        <v>228</v>
      </c>
      <c r="J467" s="91" t="s">
        <v>228</v>
      </c>
      <c r="K467" s="91" t="s">
        <v>228</v>
      </c>
      <c r="L467" s="92" t="s">
        <v>302</v>
      </c>
      <c r="M467" s="91" t="str">
        <f t="shared" si="89"/>
        <v>no aplica</v>
      </c>
      <c r="N467" s="93">
        <v>41608</v>
      </c>
      <c r="O467" s="94"/>
      <c r="P467" s="94"/>
      <c r="Q467" s="94">
        <v>85</v>
      </c>
      <c r="R467" s="95">
        <f t="shared" si="90"/>
        <v>802255.71349565394</v>
      </c>
      <c r="S467" s="94">
        <v>525000</v>
      </c>
      <c r="T467" s="94">
        <f t="shared" si="91"/>
        <v>560542.5</v>
      </c>
      <c r="U467" s="94">
        <f t="shared" si="92"/>
        <v>592773.69375000009</v>
      </c>
      <c r="V467" s="94">
        <f t="shared" si="93"/>
        <v>617018.13782437507</v>
      </c>
      <c r="W467" s="97">
        <f t="shared" si="94"/>
        <v>636639.3146071902</v>
      </c>
      <c r="X467" s="97">
        <f t="shared" si="95"/>
        <v>660831.60856226343</v>
      </c>
      <c r="Y467" s="97">
        <f t="shared" si="99"/>
        <v>671470.99746011582</v>
      </c>
      <c r="Z467" s="97">
        <f t="shared" si="96"/>
        <v>709207.66751737439</v>
      </c>
      <c r="AA467" s="97">
        <f t="shared" si="97"/>
        <v>802255.71349565394</v>
      </c>
    </row>
    <row r="468" spans="1:27" x14ac:dyDescent="0.25">
      <c r="A468" s="102" t="s">
        <v>1202</v>
      </c>
      <c r="B468" s="110" t="s">
        <v>1203</v>
      </c>
      <c r="C468" s="88" t="s">
        <v>1031</v>
      </c>
      <c r="D468" s="89" t="s">
        <v>1032</v>
      </c>
      <c r="E468" s="90">
        <f t="shared" si="100"/>
        <v>47280</v>
      </c>
      <c r="F468" s="90">
        <f t="shared" si="98"/>
        <v>39730.759144546675</v>
      </c>
      <c r="G468" s="91">
        <v>0.19</v>
      </c>
      <c r="H468" s="91" t="s">
        <v>228</v>
      </c>
      <c r="I468" s="91" t="s">
        <v>228</v>
      </c>
      <c r="J468" s="91" t="s">
        <v>228</v>
      </c>
      <c r="K468" s="91" t="s">
        <v>228</v>
      </c>
      <c r="L468" s="92" t="s">
        <v>302</v>
      </c>
      <c r="M468" s="91" t="str">
        <f t="shared" si="89"/>
        <v>no aplica</v>
      </c>
      <c r="N468" s="93">
        <v>41608</v>
      </c>
      <c r="O468" s="94"/>
      <c r="P468" s="94"/>
      <c r="Q468" s="94">
        <v>86</v>
      </c>
      <c r="R468" s="95">
        <f t="shared" si="90"/>
        <v>39730.759144546675</v>
      </c>
      <c r="S468" s="94">
        <v>26000</v>
      </c>
      <c r="T468" s="94">
        <f t="shared" si="91"/>
        <v>27760.2</v>
      </c>
      <c r="U468" s="94">
        <f t="shared" si="92"/>
        <v>29356.411500000002</v>
      </c>
      <c r="V468" s="94">
        <f t="shared" si="93"/>
        <v>30557.088730349999</v>
      </c>
      <c r="W468" s="97">
        <f t="shared" si="94"/>
        <v>31528.804151975131</v>
      </c>
      <c r="X468" s="97">
        <f t="shared" si="95"/>
        <v>32726.898709750189</v>
      </c>
      <c r="Y468" s="97">
        <f t="shared" si="99"/>
        <v>33253.801778977169</v>
      </c>
      <c r="Z468" s="97">
        <f t="shared" si="96"/>
        <v>35122.665438955686</v>
      </c>
      <c r="AA468" s="97">
        <f t="shared" si="97"/>
        <v>39730.759144546675</v>
      </c>
    </row>
    <row r="469" spans="1:27" x14ac:dyDescent="0.25">
      <c r="A469" s="86" t="s">
        <v>1204</v>
      </c>
      <c r="B469" s="110" t="s">
        <v>1205</v>
      </c>
      <c r="C469" s="88" t="s">
        <v>1031</v>
      </c>
      <c r="D469" s="89" t="s">
        <v>262</v>
      </c>
      <c r="E469" s="90">
        <f t="shared" si="100"/>
        <v>3637</v>
      </c>
      <c r="F469" s="90">
        <f t="shared" si="98"/>
        <v>3056.2122418882059</v>
      </c>
      <c r="G469" s="91">
        <v>0.19</v>
      </c>
      <c r="H469" s="91" t="s">
        <v>228</v>
      </c>
      <c r="I469" s="91" t="s">
        <v>228</v>
      </c>
      <c r="J469" s="91" t="s">
        <v>228</v>
      </c>
      <c r="K469" s="91"/>
      <c r="L469" s="92" t="s">
        <v>302</v>
      </c>
      <c r="M469" s="91" t="str">
        <f t="shared" si="89"/>
        <v>no aplica</v>
      </c>
      <c r="N469" s="93">
        <v>41608</v>
      </c>
      <c r="O469" s="94">
        <f>1843+776</f>
        <v>2619</v>
      </c>
      <c r="P469" s="94" t="s">
        <v>230</v>
      </c>
      <c r="Q469" s="94">
        <v>87</v>
      </c>
      <c r="R469" s="95">
        <f t="shared" si="90"/>
        <v>3056.2122418882059</v>
      </c>
      <c r="S469" s="94">
        <v>2000</v>
      </c>
      <c r="T469" s="94">
        <f t="shared" si="91"/>
        <v>2135.4</v>
      </c>
      <c r="U469" s="94">
        <f t="shared" si="92"/>
        <v>2258.1855000000005</v>
      </c>
      <c r="V469" s="94">
        <f t="shared" si="93"/>
        <v>2350.5452869500004</v>
      </c>
      <c r="W469" s="97">
        <f t="shared" si="94"/>
        <v>2425.2926270750104</v>
      </c>
      <c r="X469" s="97">
        <f t="shared" si="95"/>
        <v>2517.453746903861</v>
      </c>
      <c r="Y469" s="97">
        <f t="shared" si="99"/>
        <v>2557.9847522290133</v>
      </c>
      <c r="Z469" s="97">
        <f t="shared" si="96"/>
        <v>2701.7434953042839</v>
      </c>
      <c r="AA469" s="97">
        <f t="shared" si="97"/>
        <v>3056.2122418882059</v>
      </c>
    </row>
    <row r="470" spans="1:27" x14ac:dyDescent="0.25">
      <c r="A470" s="86" t="s">
        <v>1206</v>
      </c>
      <c r="B470" s="110" t="s">
        <v>1207</v>
      </c>
      <c r="C470" s="88" t="s">
        <v>1031</v>
      </c>
      <c r="D470" s="89" t="s">
        <v>262</v>
      </c>
      <c r="E470" s="90">
        <f t="shared" si="100"/>
        <v>1070</v>
      </c>
      <c r="F470" s="90">
        <f t="shared" si="98"/>
        <v>1069.674284660872</v>
      </c>
      <c r="G470" s="91">
        <v>0</v>
      </c>
      <c r="H470" s="91" t="s">
        <v>228</v>
      </c>
      <c r="I470" s="91" t="s">
        <v>228</v>
      </c>
      <c r="J470" s="91" t="s">
        <v>228</v>
      </c>
      <c r="K470" s="91"/>
      <c r="L470" s="92" t="s">
        <v>302</v>
      </c>
      <c r="M470" s="91" t="str">
        <f t="shared" si="89"/>
        <v>no aplica</v>
      </c>
      <c r="N470" s="93">
        <v>41608</v>
      </c>
      <c r="O470" s="94"/>
      <c r="P470" s="94"/>
      <c r="Q470" s="94">
        <v>88</v>
      </c>
      <c r="R470" s="95">
        <f t="shared" si="90"/>
        <v>1069.674284660872</v>
      </c>
      <c r="S470" s="94">
        <v>700</v>
      </c>
      <c r="T470" s="94">
        <f t="shared" si="91"/>
        <v>747.3900000000001</v>
      </c>
      <c r="U470" s="94">
        <f t="shared" si="92"/>
        <v>790.3649250000002</v>
      </c>
      <c r="V470" s="94">
        <f t="shared" si="93"/>
        <v>822.69085043250016</v>
      </c>
      <c r="W470" s="97">
        <f t="shared" si="94"/>
        <v>848.85241947625366</v>
      </c>
      <c r="X470" s="97">
        <f t="shared" si="95"/>
        <v>881.10881141635127</v>
      </c>
      <c r="Y470" s="97">
        <f t="shared" si="99"/>
        <v>895.29466328015451</v>
      </c>
      <c r="Z470" s="97">
        <f t="shared" si="96"/>
        <v>945.6102233564992</v>
      </c>
      <c r="AA470" s="97">
        <f t="shared" si="97"/>
        <v>1069.674284660872</v>
      </c>
    </row>
    <row r="471" spans="1:27" x14ac:dyDescent="0.25">
      <c r="A471" s="102" t="s">
        <v>1208</v>
      </c>
      <c r="B471" s="110" t="s">
        <v>1209</v>
      </c>
      <c r="C471" s="88" t="s">
        <v>1031</v>
      </c>
      <c r="D471" s="89" t="s">
        <v>89</v>
      </c>
      <c r="E471" s="90">
        <f t="shared" si="100"/>
        <v>109107</v>
      </c>
      <c r="F471" s="90">
        <f t="shared" si="98"/>
        <v>91686.367256646176</v>
      </c>
      <c r="G471" s="91">
        <v>0.19</v>
      </c>
      <c r="H471" s="91" t="s">
        <v>228</v>
      </c>
      <c r="I471" s="91" t="s">
        <v>228</v>
      </c>
      <c r="J471" s="91" t="s">
        <v>228</v>
      </c>
      <c r="K471" s="91"/>
      <c r="L471" s="92" t="s">
        <v>302</v>
      </c>
      <c r="M471" s="91" t="str">
        <f t="shared" si="89"/>
        <v>no aplica</v>
      </c>
      <c r="N471" s="93">
        <v>41608</v>
      </c>
      <c r="O471" s="94"/>
      <c r="P471" s="94"/>
      <c r="Q471" s="94">
        <v>89</v>
      </c>
      <c r="R471" s="95">
        <f t="shared" si="90"/>
        <v>91686.367256646176</v>
      </c>
      <c r="S471" s="94">
        <v>60000</v>
      </c>
      <c r="T471" s="94">
        <f t="shared" si="91"/>
        <v>64062.000000000007</v>
      </c>
      <c r="U471" s="94">
        <f t="shared" si="92"/>
        <v>67745.565000000017</v>
      </c>
      <c r="V471" s="94">
        <f t="shared" si="93"/>
        <v>70516.358608500013</v>
      </c>
      <c r="W471" s="97">
        <f t="shared" si="94"/>
        <v>72758.778812250312</v>
      </c>
      <c r="X471" s="97">
        <f t="shared" si="95"/>
        <v>75523.612407115826</v>
      </c>
      <c r="Y471" s="97">
        <f t="shared" si="99"/>
        <v>76739.542566870397</v>
      </c>
      <c r="Z471" s="97">
        <f t="shared" si="96"/>
        <v>81052.304859128519</v>
      </c>
      <c r="AA471" s="97">
        <f t="shared" si="97"/>
        <v>91686.367256646176</v>
      </c>
    </row>
    <row r="472" spans="1:27" x14ac:dyDescent="0.25">
      <c r="A472" s="102" t="s">
        <v>1210</v>
      </c>
      <c r="B472" s="110" t="s">
        <v>1211</v>
      </c>
      <c r="C472" s="88" t="s">
        <v>1031</v>
      </c>
      <c r="D472" s="89" t="s">
        <v>1032</v>
      </c>
      <c r="E472" s="90">
        <f t="shared" si="100"/>
        <v>27277</v>
      </c>
      <c r="F472" s="90">
        <f t="shared" si="98"/>
        <v>22921.591814161544</v>
      </c>
      <c r="G472" s="91">
        <v>0.19</v>
      </c>
      <c r="H472" s="91" t="s">
        <v>228</v>
      </c>
      <c r="I472" s="91" t="s">
        <v>228</v>
      </c>
      <c r="J472" s="91" t="s">
        <v>228</v>
      </c>
      <c r="K472" s="91"/>
      <c r="L472" s="92" t="s">
        <v>302</v>
      </c>
      <c r="M472" s="91" t="str">
        <f t="shared" si="89"/>
        <v>no aplica</v>
      </c>
      <c r="N472" s="93">
        <v>41608</v>
      </c>
      <c r="O472" s="94"/>
      <c r="P472" s="94"/>
      <c r="Q472" s="94">
        <v>90</v>
      </c>
      <c r="R472" s="95">
        <f t="shared" si="90"/>
        <v>22921.591814161544</v>
      </c>
      <c r="S472" s="94">
        <v>15000</v>
      </c>
      <c r="T472" s="94">
        <f t="shared" si="91"/>
        <v>16015.500000000002</v>
      </c>
      <c r="U472" s="94">
        <f t="shared" si="92"/>
        <v>16936.391250000004</v>
      </c>
      <c r="V472" s="94">
        <f t="shared" si="93"/>
        <v>17629.089652125003</v>
      </c>
      <c r="W472" s="97">
        <f t="shared" si="94"/>
        <v>18189.694703062578</v>
      </c>
      <c r="X472" s="97">
        <f t="shared" si="95"/>
        <v>18880.903101778957</v>
      </c>
      <c r="Y472" s="97">
        <f t="shared" si="99"/>
        <v>19184.885641717599</v>
      </c>
      <c r="Z472" s="97">
        <f t="shared" si="96"/>
        <v>20263.07621478213</v>
      </c>
      <c r="AA472" s="97">
        <f t="shared" si="97"/>
        <v>22921.591814161544</v>
      </c>
    </row>
    <row r="473" spans="1:27" x14ac:dyDescent="0.25">
      <c r="A473" s="102" t="s">
        <v>1212</v>
      </c>
      <c r="B473" s="110" t="s">
        <v>1213</v>
      </c>
      <c r="C473" s="88" t="s">
        <v>1031</v>
      </c>
      <c r="D473" s="89" t="s">
        <v>1032</v>
      </c>
      <c r="E473" s="90">
        <f t="shared" si="100"/>
        <v>45461</v>
      </c>
      <c r="F473" s="90">
        <f t="shared" si="98"/>
        <v>38202.653023602579</v>
      </c>
      <c r="G473" s="91">
        <v>0.19</v>
      </c>
      <c r="H473" s="91" t="s">
        <v>228</v>
      </c>
      <c r="I473" s="91" t="s">
        <v>228</v>
      </c>
      <c r="J473" s="91" t="s">
        <v>228</v>
      </c>
      <c r="K473" s="91"/>
      <c r="L473" s="92" t="s">
        <v>302</v>
      </c>
      <c r="M473" s="91" t="str">
        <f t="shared" si="89"/>
        <v>no aplica</v>
      </c>
      <c r="N473" s="93">
        <v>41608</v>
      </c>
      <c r="O473" s="94"/>
      <c r="P473" s="94"/>
      <c r="Q473" s="94">
        <v>91</v>
      </c>
      <c r="R473" s="95">
        <f t="shared" si="90"/>
        <v>38202.653023602579</v>
      </c>
      <c r="S473" s="94">
        <v>25000</v>
      </c>
      <c r="T473" s="94">
        <f t="shared" si="91"/>
        <v>26692.500000000004</v>
      </c>
      <c r="U473" s="94">
        <f t="shared" si="92"/>
        <v>28227.318750000006</v>
      </c>
      <c r="V473" s="94">
        <f t="shared" si="93"/>
        <v>29381.816086875006</v>
      </c>
      <c r="W473" s="97">
        <f t="shared" si="94"/>
        <v>30316.157838437633</v>
      </c>
      <c r="X473" s="97">
        <f t="shared" si="95"/>
        <v>31468.171836298265</v>
      </c>
      <c r="Y473" s="97">
        <f t="shared" si="99"/>
        <v>31974.809402862666</v>
      </c>
      <c r="Z473" s="97">
        <f t="shared" si="96"/>
        <v>33771.793691303552</v>
      </c>
      <c r="AA473" s="97">
        <f t="shared" si="97"/>
        <v>38202.653023602579</v>
      </c>
    </row>
    <row r="474" spans="1:27" x14ac:dyDescent="0.25">
      <c r="A474" s="102" t="s">
        <v>1214</v>
      </c>
      <c r="B474" s="110" t="s">
        <v>1215</v>
      </c>
      <c r="C474" s="88" t="s">
        <v>1031</v>
      </c>
      <c r="D474" s="89" t="s">
        <v>1032</v>
      </c>
      <c r="E474" s="90">
        <f t="shared" si="100"/>
        <v>45461</v>
      </c>
      <c r="F474" s="90">
        <f t="shared" si="98"/>
        <v>38202.653023602579</v>
      </c>
      <c r="G474" s="91">
        <v>0.19</v>
      </c>
      <c r="H474" s="91" t="s">
        <v>228</v>
      </c>
      <c r="I474" s="91" t="s">
        <v>228</v>
      </c>
      <c r="J474" s="91" t="s">
        <v>228</v>
      </c>
      <c r="K474" s="91"/>
      <c r="L474" s="92" t="s">
        <v>302</v>
      </c>
      <c r="M474" s="91" t="str">
        <f t="shared" si="89"/>
        <v>no aplica</v>
      </c>
      <c r="N474" s="93">
        <v>41608</v>
      </c>
      <c r="O474" s="94"/>
      <c r="P474" s="94"/>
      <c r="Q474" s="94">
        <v>92</v>
      </c>
      <c r="R474" s="95">
        <f t="shared" si="90"/>
        <v>38202.653023602579</v>
      </c>
      <c r="S474" s="94">
        <v>25000</v>
      </c>
      <c r="T474" s="94">
        <f t="shared" si="91"/>
        <v>26692.500000000004</v>
      </c>
      <c r="U474" s="94">
        <f t="shared" si="92"/>
        <v>28227.318750000006</v>
      </c>
      <c r="V474" s="94">
        <f t="shared" si="93"/>
        <v>29381.816086875006</v>
      </c>
      <c r="W474" s="97">
        <f t="shared" si="94"/>
        <v>30316.157838437633</v>
      </c>
      <c r="X474" s="97">
        <f t="shared" si="95"/>
        <v>31468.171836298265</v>
      </c>
      <c r="Y474" s="97">
        <f t="shared" si="99"/>
        <v>31974.809402862666</v>
      </c>
      <c r="Z474" s="97">
        <f t="shared" si="96"/>
        <v>33771.793691303552</v>
      </c>
      <c r="AA474" s="97">
        <f t="shared" si="97"/>
        <v>38202.653023602579</v>
      </c>
    </row>
    <row r="475" spans="1:27" x14ac:dyDescent="0.25">
      <c r="A475" s="105" t="s">
        <v>1216</v>
      </c>
      <c r="B475" s="106" t="s">
        <v>1217</v>
      </c>
      <c r="C475" s="107"/>
      <c r="D475" s="108"/>
      <c r="E475" s="90">
        <f t="shared" si="100"/>
        <v>0</v>
      </c>
      <c r="F475" s="90">
        <f t="shared" si="98"/>
        <v>0</v>
      </c>
      <c r="G475" s="81"/>
      <c r="H475" s="81"/>
      <c r="I475" s="81"/>
      <c r="J475" s="81"/>
      <c r="K475" s="81"/>
      <c r="L475" s="92"/>
      <c r="M475" s="91"/>
      <c r="N475" s="93">
        <v>41608</v>
      </c>
      <c r="O475" s="109"/>
      <c r="P475" s="109"/>
      <c r="Q475" s="109">
        <v>0</v>
      </c>
      <c r="R475" s="95">
        <f t="shared" si="90"/>
        <v>0</v>
      </c>
      <c r="S475" s="109">
        <v>0</v>
      </c>
      <c r="T475" s="94">
        <f t="shared" si="91"/>
        <v>0</v>
      </c>
      <c r="U475" s="94">
        <f t="shared" si="92"/>
        <v>0</v>
      </c>
      <c r="V475" s="94">
        <f t="shared" si="93"/>
        <v>0</v>
      </c>
      <c r="W475" s="97">
        <f t="shared" si="94"/>
        <v>0</v>
      </c>
      <c r="X475" s="97">
        <f t="shared" si="95"/>
        <v>0</v>
      </c>
      <c r="Y475" s="97">
        <f t="shared" si="99"/>
        <v>0</v>
      </c>
      <c r="Z475" s="97">
        <f t="shared" si="96"/>
        <v>0</v>
      </c>
      <c r="AA475" s="97">
        <f t="shared" si="97"/>
        <v>0</v>
      </c>
    </row>
    <row r="476" spans="1:27" x14ac:dyDescent="0.25">
      <c r="A476" s="123" t="s">
        <v>1218</v>
      </c>
      <c r="B476" s="110" t="s">
        <v>1219</v>
      </c>
      <c r="C476" s="107" t="s">
        <v>226</v>
      </c>
      <c r="D476" s="124" t="s">
        <v>339</v>
      </c>
      <c r="E476" s="90">
        <f t="shared" si="100"/>
        <v>3274</v>
      </c>
      <c r="F476" s="90">
        <f t="shared" si="98"/>
        <v>3274.199941874348</v>
      </c>
      <c r="G476" s="91">
        <v>0</v>
      </c>
      <c r="H476" s="91" t="s">
        <v>228</v>
      </c>
      <c r="I476" s="91" t="s">
        <v>228</v>
      </c>
      <c r="J476" s="91" t="s">
        <v>228</v>
      </c>
      <c r="K476" s="91"/>
      <c r="L476" s="92" t="s">
        <v>1220</v>
      </c>
      <c r="M476" s="91" t="str">
        <f t="shared" ref="M476:M539" si="101">+IF(L476="no aplica","no aplica","VER ARCHIVO ANEXO")</f>
        <v>VER ARCHIVO ANEXO</v>
      </c>
      <c r="N476" s="93">
        <v>41608</v>
      </c>
      <c r="O476" s="109"/>
      <c r="P476" s="109"/>
      <c r="Q476" s="94">
        <v>367</v>
      </c>
      <c r="R476" s="95">
        <f t="shared" si="90"/>
        <v>3274.199941874348</v>
      </c>
      <c r="S476" s="109">
        <v>2142.6522</v>
      </c>
      <c r="T476" s="94">
        <f t="shared" si="91"/>
        <v>2287.7097539400002</v>
      </c>
      <c r="U476" s="94">
        <f t="shared" si="92"/>
        <v>2419.2530647915505</v>
      </c>
      <c r="V476" s="94">
        <f t="shared" si="93"/>
        <v>2518.2005151415246</v>
      </c>
      <c r="W476" s="97">
        <f t="shared" si="94"/>
        <v>2598.2792915230252</v>
      </c>
      <c r="X476" s="97">
        <f t="shared" si="95"/>
        <v>2697.0139046009003</v>
      </c>
      <c r="Y476" s="97">
        <f t="shared" si="99"/>
        <v>2740.4358284649747</v>
      </c>
      <c r="Z476" s="97">
        <f t="shared" si="96"/>
        <v>2894.4483220247066</v>
      </c>
      <c r="AA476" s="97">
        <f t="shared" si="97"/>
        <v>3274.199941874348</v>
      </c>
    </row>
    <row r="477" spans="1:27" x14ac:dyDescent="0.25">
      <c r="A477" s="123" t="s">
        <v>1221</v>
      </c>
      <c r="B477" s="110" t="s">
        <v>1222</v>
      </c>
      <c r="C477" s="107" t="s">
        <v>226</v>
      </c>
      <c r="D477" s="124" t="s">
        <v>339</v>
      </c>
      <c r="E477" s="90">
        <f t="shared" si="100"/>
        <v>3298</v>
      </c>
      <c r="F477" s="90">
        <f t="shared" si="98"/>
        <v>3297.960463948908</v>
      </c>
      <c r="G477" s="91">
        <v>0</v>
      </c>
      <c r="H477" s="91" t="s">
        <v>228</v>
      </c>
      <c r="I477" s="91" t="s">
        <v>228</v>
      </c>
      <c r="J477" s="91" t="s">
        <v>228</v>
      </c>
      <c r="K477" s="91"/>
      <c r="L477" s="92" t="s">
        <v>1220</v>
      </c>
      <c r="M477" s="91" t="str">
        <f t="shared" si="101"/>
        <v>VER ARCHIVO ANEXO</v>
      </c>
      <c r="N477" s="93">
        <v>41608</v>
      </c>
      <c r="O477" s="109"/>
      <c r="P477" s="109"/>
      <c r="Q477" s="94">
        <v>368</v>
      </c>
      <c r="R477" s="95">
        <f t="shared" si="90"/>
        <v>3297.960463948908</v>
      </c>
      <c r="S477" s="109">
        <v>2158.2012</v>
      </c>
      <c r="T477" s="94">
        <f t="shared" si="91"/>
        <v>2304.3114212400001</v>
      </c>
      <c r="U477" s="94">
        <f t="shared" si="92"/>
        <v>2436.8093279613004</v>
      </c>
      <c r="V477" s="94">
        <f t="shared" si="93"/>
        <v>2536.4748294749174</v>
      </c>
      <c r="W477" s="97">
        <f t="shared" si="94"/>
        <v>2617.1347290522199</v>
      </c>
      <c r="X477" s="97">
        <f t="shared" si="95"/>
        <v>2716.5858487562045</v>
      </c>
      <c r="Y477" s="97">
        <f t="shared" si="99"/>
        <v>2760.3228809211796</v>
      </c>
      <c r="Z477" s="97">
        <f t="shared" si="96"/>
        <v>2915.45302682895</v>
      </c>
      <c r="AA477" s="97">
        <f t="shared" si="97"/>
        <v>3297.960463948908</v>
      </c>
    </row>
    <row r="478" spans="1:27" x14ac:dyDescent="0.25">
      <c r="A478" s="123" t="s">
        <v>1223</v>
      </c>
      <c r="B478" s="110" t="s">
        <v>1224</v>
      </c>
      <c r="C478" s="107" t="s">
        <v>226</v>
      </c>
      <c r="D478" s="124" t="s">
        <v>301</v>
      </c>
      <c r="E478" s="90">
        <f t="shared" si="100"/>
        <v>651038</v>
      </c>
      <c r="F478" s="90">
        <f t="shared" si="98"/>
        <v>651038.30484294007</v>
      </c>
      <c r="G478" s="91">
        <v>0</v>
      </c>
      <c r="H478" s="91" t="s">
        <v>228</v>
      </c>
      <c r="I478" s="91" t="s">
        <v>228</v>
      </c>
      <c r="J478" s="91" t="s">
        <v>228</v>
      </c>
      <c r="K478" s="91"/>
      <c r="L478" s="92" t="s">
        <v>1225</v>
      </c>
      <c r="M478" s="91" t="str">
        <f t="shared" si="101"/>
        <v>VER ARCHIVO ANEXO</v>
      </c>
      <c r="N478" s="93">
        <v>41608</v>
      </c>
      <c r="O478" s="109"/>
      <c r="P478" s="109"/>
      <c r="Q478" s="94">
        <v>369</v>
      </c>
      <c r="R478" s="95">
        <f t="shared" si="90"/>
        <v>651038.30484294007</v>
      </c>
      <c r="S478" s="109">
        <v>426042.6</v>
      </c>
      <c r="T478" s="94">
        <f t="shared" si="91"/>
        <v>454885.68401999999</v>
      </c>
      <c r="U478" s="94">
        <f t="shared" si="92"/>
        <v>481041.61085115001</v>
      </c>
      <c r="V478" s="94">
        <f t="shared" si="93"/>
        <v>500716.212734962</v>
      </c>
      <c r="W478" s="97">
        <f t="shared" si="94"/>
        <v>516638.98829993384</v>
      </c>
      <c r="X478" s="97">
        <f t="shared" si="95"/>
        <v>536271.2698553314</v>
      </c>
      <c r="Y478" s="97">
        <f t="shared" si="99"/>
        <v>544905.23730000225</v>
      </c>
      <c r="Z478" s="97">
        <f t="shared" si="96"/>
        <v>575528.91163626243</v>
      </c>
      <c r="AA478" s="97">
        <f t="shared" si="97"/>
        <v>651038.30484294007</v>
      </c>
    </row>
    <row r="479" spans="1:27" x14ac:dyDescent="0.25">
      <c r="A479" s="123" t="s">
        <v>1226</v>
      </c>
      <c r="B479" s="110" t="s">
        <v>1227</v>
      </c>
      <c r="C479" s="107" t="s">
        <v>226</v>
      </c>
      <c r="D479" s="124" t="s">
        <v>301</v>
      </c>
      <c r="E479" s="90">
        <f t="shared" si="100"/>
        <v>671631</v>
      </c>
      <c r="F479" s="90">
        <f t="shared" si="98"/>
        <v>671630.75730755855</v>
      </c>
      <c r="G479" s="91">
        <v>0</v>
      </c>
      <c r="H479" s="91" t="s">
        <v>228</v>
      </c>
      <c r="I479" s="91" t="s">
        <v>228</v>
      </c>
      <c r="J479" s="91" t="s">
        <v>228</v>
      </c>
      <c r="K479" s="91"/>
      <c r="L479" s="92" t="s">
        <v>1225</v>
      </c>
      <c r="M479" s="91" t="str">
        <f t="shared" si="101"/>
        <v>VER ARCHIVO ANEXO</v>
      </c>
      <c r="N479" s="93">
        <v>41608</v>
      </c>
      <c r="O479" s="109"/>
      <c r="P479" s="109"/>
      <c r="Q479" s="94">
        <v>370</v>
      </c>
      <c r="R479" s="95">
        <f t="shared" si="90"/>
        <v>671630.75730755855</v>
      </c>
      <c r="S479" s="109">
        <v>439518.39999999997</v>
      </c>
      <c r="T479" s="94">
        <f t="shared" si="91"/>
        <v>469273.79567999998</v>
      </c>
      <c r="U479" s="94">
        <f t="shared" si="92"/>
        <v>496257.03893160005</v>
      </c>
      <c r="V479" s="94">
        <f t="shared" si="93"/>
        <v>516553.95182390243</v>
      </c>
      <c r="W479" s="97">
        <f t="shared" si="94"/>
        <v>532980.36749190255</v>
      </c>
      <c r="X479" s="97">
        <f t="shared" si="95"/>
        <v>553233.6214565949</v>
      </c>
      <c r="Y479" s="97">
        <f t="shared" si="99"/>
        <v>562140.68276204611</v>
      </c>
      <c r="Z479" s="97">
        <f t="shared" si="96"/>
        <v>593732.98913327313</v>
      </c>
      <c r="AA479" s="97">
        <f t="shared" si="97"/>
        <v>671630.75730755855</v>
      </c>
    </row>
    <row r="480" spans="1:27" x14ac:dyDescent="0.25">
      <c r="A480" s="123" t="s">
        <v>1228</v>
      </c>
      <c r="B480" s="110" t="s">
        <v>1229</v>
      </c>
      <c r="C480" s="107" t="s">
        <v>226</v>
      </c>
      <c r="D480" s="124" t="s">
        <v>301</v>
      </c>
      <c r="E480" s="90">
        <f t="shared" si="100"/>
        <v>719152</v>
      </c>
      <c r="F480" s="90">
        <f t="shared" si="98"/>
        <v>719151.80145667819</v>
      </c>
      <c r="G480" s="91">
        <v>0</v>
      </c>
      <c r="H480" s="91" t="s">
        <v>228</v>
      </c>
      <c r="I480" s="91" t="s">
        <v>228</v>
      </c>
      <c r="J480" s="91" t="s">
        <v>228</v>
      </c>
      <c r="K480" s="91"/>
      <c r="L480" s="92" t="s">
        <v>1225</v>
      </c>
      <c r="M480" s="91" t="str">
        <f t="shared" si="101"/>
        <v>VER ARCHIVO ANEXO</v>
      </c>
      <c r="N480" s="93">
        <v>41608</v>
      </c>
      <c r="O480" s="109"/>
      <c r="P480" s="109"/>
      <c r="Q480" s="94">
        <v>371</v>
      </c>
      <c r="R480" s="95">
        <f t="shared" si="90"/>
        <v>719151.80145667819</v>
      </c>
      <c r="S480" s="109">
        <v>470616.39999999997</v>
      </c>
      <c r="T480" s="94">
        <f t="shared" si="91"/>
        <v>502477.13027999998</v>
      </c>
      <c r="U480" s="94">
        <f t="shared" si="92"/>
        <v>531369.56527110003</v>
      </c>
      <c r="V480" s="94">
        <f t="shared" si="93"/>
        <v>553102.58049068798</v>
      </c>
      <c r="W480" s="97">
        <f t="shared" si="94"/>
        <v>570691.24255029194</v>
      </c>
      <c r="X480" s="97">
        <f t="shared" si="95"/>
        <v>592377.50976720301</v>
      </c>
      <c r="Y480" s="97">
        <f t="shared" si="99"/>
        <v>601914.78767445497</v>
      </c>
      <c r="Z480" s="97">
        <f t="shared" si="96"/>
        <v>635742.39874175936</v>
      </c>
      <c r="AA480" s="97">
        <f t="shared" si="97"/>
        <v>719151.80145667819</v>
      </c>
    </row>
    <row r="481" spans="1:27" x14ac:dyDescent="0.25">
      <c r="A481" s="123" t="s">
        <v>1230</v>
      </c>
      <c r="B481" s="110" t="s">
        <v>1231</v>
      </c>
      <c r="C481" s="107" t="s">
        <v>226</v>
      </c>
      <c r="D481" s="124" t="s">
        <v>4</v>
      </c>
      <c r="E481" s="90">
        <f t="shared" si="100"/>
        <v>10859</v>
      </c>
      <c r="F481" s="90">
        <f t="shared" si="98"/>
        <v>10858.558588073853</v>
      </c>
      <c r="G481" s="91">
        <v>0</v>
      </c>
      <c r="H481" s="91" t="s">
        <v>228</v>
      </c>
      <c r="I481" s="91" t="s">
        <v>228</v>
      </c>
      <c r="J481" s="91" t="s">
        <v>228</v>
      </c>
      <c r="K481" s="91"/>
      <c r="L481" s="92" t="s">
        <v>1232</v>
      </c>
      <c r="M481" s="91" t="str">
        <f t="shared" si="101"/>
        <v>VER ARCHIVO ANEXO</v>
      </c>
      <c r="N481" s="93">
        <v>41608</v>
      </c>
      <c r="O481" s="109"/>
      <c r="P481" s="109"/>
      <c r="Q481" s="94">
        <v>372</v>
      </c>
      <c r="R481" s="95">
        <f t="shared" si="90"/>
        <v>10858.558588073853</v>
      </c>
      <c r="S481" s="109">
        <v>7105.893</v>
      </c>
      <c r="T481" s="94">
        <f t="shared" si="91"/>
        <v>7586.9619561000009</v>
      </c>
      <c r="U481" s="94">
        <f t="shared" si="92"/>
        <v>8023.2122685757513</v>
      </c>
      <c r="V481" s="94">
        <f t="shared" si="93"/>
        <v>8351.361650360499</v>
      </c>
      <c r="W481" s="97">
        <f t="shared" si="94"/>
        <v>8616.9349508419637</v>
      </c>
      <c r="X481" s="97">
        <f t="shared" si="95"/>
        <v>8944.3784789739584</v>
      </c>
      <c r="Y481" s="97">
        <f t="shared" si="99"/>
        <v>9088.3829724854386</v>
      </c>
      <c r="Z481" s="97">
        <f t="shared" si="96"/>
        <v>9599.1500955391202</v>
      </c>
      <c r="AA481" s="97">
        <f t="shared" si="97"/>
        <v>10858.558588073853</v>
      </c>
    </row>
    <row r="482" spans="1:27" x14ac:dyDescent="0.25">
      <c r="A482" s="123" t="s">
        <v>1233</v>
      </c>
      <c r="B482" s="110" t="s">
        <v>1234</v>
      </c>
      <c r="C482" s="107" t="s">
        <v>226</v>
      </c>
      <c r="D482" s="124" t="s">
        <v>262</v>
      </c>
      <c r="E482" s="90">
        <f t="shared" si="100"/>
        <v>3507</v>
      </c>
      <c r="F482" s="90">
        <f t="shared" si="98"/>
        <v>3507.0530582050342</v>
      </c>
      <c r="G482" s="91">
        <v>0</v>
      </c>
      <c r="H482" s="91" t="s">
        <v>228</v>
      </c>
      <c r="I482" s="91" t="s">
        <v>228</v>
      </c>
      <c r="J482" s="91" t="s">
        <v>228</v>
      </c>
      <c r="K482" s="91"/>
      <c r="L482" s="92" t="s">
        <v>1235</v>
      </c>
      <c r="M482" s="91" t="str">
        <f t="shared" si="101"/>
        <v>VER ARCHIVO ANEXO</v>
      </c>
      <c r="N482" s="93">
        <v>41608</v>
      </c>
      <c r="O482" s="109"/>
      <c r="P482" s="109"/>
      <c r="Q482" s="94">
        <v>373</v>
      </c>
      <c r="R482" s="95">
        <f t="shared" si="90"/>
        <v>3507.0530582050342</v>
      </c>
      <c r="S482" s="109">
        <v>2295.0324000000001</v>
      </c>
      <c r="T482" s="94">
        <f t="shared" si="91"/>
        <v>2450.4060934800004</v>
      </c>
      <c r="U482" s="94">
        <f t="shared" si="92"/>
        <v>2591.3044438551005</v>
      </c>
      <c r="V482" s="94">
        <f t="shared" si="93"/>
        <v>2697.2887956087739</v>
      </c>
      <c r="W482" s="97">
        <f t="shared" si="94"/>
        <v>2783.0625793091331</v>
      </c>
      <c r="X482" s="97">
        <f t="shared" si="95"/>
        <v>2888.8189573228801</v>
      </c>
      <c r="Y482" s="97">
        <f t="shared" si="99"/>
        <v>2935.3289425357784</v>
      </c>
      <c r="Z482" s="97">
        <f t="shared" si="96"/>
        <v>3100.294429106289</v>
      </c>
      <c r="AA482" s="97">
        <f t="shared" si="97"/>
        <v>3507.0530582050342</v>
      </c>
    </row>
    <row r="483" spans="1:27" x14ac:dyDescent="0.25">
      <c r="A483" s="123" t="s">
        <v>1236</v>
      </c>
      <c r="B483" s="110" t="s">
        <v>1237</v>
      </c>
      <c r="C483" s="107" t="s">
        <v>226</v>
      </c>
      <c r="D483" s="124" t="s">
        <v>301</v>
      </c>
      <c r="E483" s="90">
        <f t="shared" si="100"/>
        <v>105806</v>
      </c>
      <c r="F483" s="90">
        <f t="shared" si="98"/>
        <v>105805.60479801503</v>
      </c>
      <c r="G483" s="91">
        <v>0</v>
      </c>
      <c r="H483" s="91" t="s">
        <v>228</v>
      </c>
      <c r="I483" s="91" t="s">
        <v>228</v>
      </c>
      <c r="J483" s="91" t="s">
        <v>228</v>
      </c>
      <c r="K483" s="91"/>
      <c r="L483" s="92" t="s">
        <v>302</v>
      </c>
      <c r="M483" s="91" t="str">
        <f t="shared" si="101"/>
        <v>no aplica</v>
      </c>
      <c r="N483" s="93">
        <v>41608</v>
      </c>
      <c r="O483" s="109"/>
      <c r="P483" s="109"/>
      <c r="Q483" s="94">
        <v>374</v>
      </c>
      <c r="R483" s="95">
        <f t="shared" si="90"/>
        <v>105805.60479801503</v>
      </c>
      <c r="S483" s="109">
        <v>69239.697</v>
      </c>
      <c r="T483" s="94">
        <f t="shared" si="91"/>
        <v>73927.224486900013</v>
      </c>
      <c r="U483" s="94">
        <f t="shared" si="92"/>
        <v>78178.039894896778</v>
      </c>
      <c r="V483" s="94">
        <f t="shared" si="93"/>
        <v>81375.521726598046</v>
      </c>
      <c r="W483" s="97">
        <f t="shared" si="94"/>
        <v>83963.263317503865</v>
      </c>
      <c r="X483" s="97">
        <f t="shared" si="95"/>
        <v>87153.867323569008</v>
      </c>
      <c r="Y483" s="97">
        <f t="shared" si="99"/>
        <v>88557.044587478464</v>
      </c>
      <c r="Z483" s="97">
        <f t="shared" si="96"/>
        <v>93533.95049329476</v>
      </c>
      <c r="AA483" s="97">
        <f t="shared" si="97"/>
        <v>105805.60479801503</v>
      </c>
    </row>
    <row r="484" spans="1:27" x14ac:dyDescent="0.25">
      <c r="A484" s="123" t="s">
        <v>1238</v>
      </c>
      <c r="B484" s="110" t="s">
        <v>1239</v>
      </c>
      <c r="C484" s="107" t="s">
        <v>226</v>
      </c>
      <c r="D484" s="124" t="s">
        <v>4</v>
      </c>
      <c r="E484" s="90">
        <f t="shared" si="100"/>
        <v>9690</v>
      </c>
      <c r="F484" s="90">
        <f t="shared" si="98"/>
        <v>9689.5409020055104</v>
      </c>
      <c r="G484" s="91">
        <v>0</v>
      </c>
      <c r="H484" s="91" t="s">
        <v>228</v>
      </c>
      <c r="I484" s="91" t="s">
        <v>228</v>
      </c>
      <c r="J484" s="91" t="s">
        <v>228</v>
      </c>
      <c r="K484" s="91"/>
      <c r="L484" s="92" t="s">
        <v>302</v>
      </c>
      <c r="M484" s="91" t="str">
        <f t="shared" si="101"/>
        <v>no aplica</v>
      </c>
      <c r="N484" s="93">
        <v>41608</v>
      </c>
      <c r="O484" s="109"/>
      <c r="P484" s="109"/>
      <c r="Q484" s="94">
        <v>375</v>
      </c>
      <c r="R484" s="95">
        <f t="shared" si="90"/>
        <v>9689.5409020055104</v>
      </c>
      <c r="S484" s="109">
        <v>6340.8822</v>
      </c>
      <c r="T484" s="94">
        <f t="shared" si="91"/>
        <v>6770.1599249400006</v>
      </c>
      <c r="U484" s="94">
        <f t="shared" si="92"/>
        <v>7159.4441206240517</v>
      </c>
      <c r="V484" s="94">
        <f t="shared" si="93"/>
        <v>7452.2653851575751</v>
      </c>
      <c r="W484" s="97">
        <f t="shared" si="94"/>
        <v>7689.2474244055866</v>
      </c>
      <c r="X484" s="97">
        <f t="shared" si="95"/>
        <v>7981.438826532999</v>
      </c>
      <c r="Y484" s="97">
        <f t="shared" si="99"/>
        <v>8109.9399916401799</v>
      </c>
      <c r="Z484" s="97">
        <f t="shared" si="96"/>
        <v>8565.7186191703586</v>
      </c>
      <c r="AA484" s="97">
        <f t="shared" si="97"/>
        <v>9689.5409020055104</v>
      </c>
    </row>
    <row r="485" spans="1:27" x14ac:dyDescent="0.25">
      <c r="A485" s="123" t="s">
        <v>1240</v>
      </c>
      <c r="B485" s="110" t="s">
        <v>1241</v>
      </c>
      <c r="C485" s="107" t="s">
        <v>226</v>
      </c>
      <c r="D485" s="124" t="s">
        <v>262</v>
      </c>
      <c r="E485" s="90">
        <f t="shared" si="100"/>
        <v>40300030</v>
      </c>
      <c r="F485" s="90">
        <f t="shared" si="98"/>
        <v>33865571.146257214</v>
      </c>
      <c r="G485" s="91">
        <v>0.19</v>
      </c>
      <c r="H485" s="91" t="s">
        <v>228</v>
      </c>
      <c r="I485" s="91" t="s">
        <v>228</v>
      </c>
      <c r="J485" s="91" t="s">
        <v>228</v>
      </c>
      <c r="K485" s="91"/>
      <c r="L485" s="92" t="s">
        <v>302</v>
      </c>
      <c r="M485" s="91" t="str">
        <f t="shared" si="101"/>
        <v>no aplica</v>
      </c>
      <c r="N485" s="93">
        <v>41608</v>
      </c>
      <c r="O485" s="109"/>
      <c r="P485" s="109"/>
      <c r="Q485" s="94">
        <v>376</v>
      </c>
      <c r="R485" s="95">
        <f t="shared" si="90"/>
        <v>33865571.146257214</v>
      </c>
      <c r="S485" s="109">
        <v>22161792.745999999</v>
      </c>
      <c r="T485" s="94">
        <f t="shared" si="91"/>
        <v>23662146.114904203</v>
      </c>
      <c r="U485" s="94">
        <f t="shared" si="92"/>
        <v>25022719.516511198</v>
      </c>
      <c r="V485" s="94">
        <f t="shared" si="93"/>
        <v>26046148.744736504</v>
      </c>
      <c r="W485" s="97">
        <f t="shared" si="94"/>
        <v>26874416.274819124</v>
      </c>
      <c r="X485" s="97">
        <f t="shared" si="95"/>
        <v>27895644.093262251</v>
      </c>
      <c r="Y485" s="97">
        <f t="shared" si="99"/>
        <v>28344763.963163774</v>
      </c>
      <c r="Z485" s="97">
        <f t="shared" si="96"/>
        <v>29937739.697893579</v>
      </c>
      <c r="AA485" s="97">
        <f t="shared" si="97"/>
        <v>33865571.146257214</v>
      </c>
    </row>
    <row r="486" spans="1:27" x14ac:dyDescent="0.25">
      <c r="A486" s="123" t="s">
        <v>1242</v>
      </c>
      <c r="B486" s="110" t="s">
        <v>1243</v>
      </c>
      <c r="C486" s="107" t="s">
        <v>226</v>
      </c>
      <c r="D486" s="124" t="s">
        <v>262</v>
      </c>
      <c r="E486" s="90">
        <f t="shared" si="100"/>
        <v>5687</v>
      </c>
      <c r="F486" s="90">
        <f t="shared" si="98"/>
        <v>4779.0330065964718</v>
      </c>
      <c r="G486" s="91">
        <v>0.19</v>
      </c>
      <c r="H486" s="91" t="s">
        <v>228</v>
      </c>
      <c r="I486" s="91" t="s">
        <v>228</v>
      </c>
      <c r="J486" s="91" t="s">
        <v>228</v>
      </c>
      <c r="K486" s="91"/>
      <c r="L486" s="92" t="s">
        <v>302</v>
      </c>
      <c r="M486" s="91" t="str">
        <f t="shared" si="101"/>
        <v>no aplica</v>
      </c>
      <c r="N486" s="93">
        <v>41608</v>
      </c>
      <c r="O486" s="109"/>
      <c r="P486" s="109"/>
      <c r="Q486" s="94">
        <v>377</v>
      </c>
      <c r="R486" s="95">
        <f t="shared" si="90"/>
        <v>4779.0330065964718</v>
      </c>
      <c r="S486" s="109">
        <v>3127.4222</v>
      </c>
      <c r="T486" s="94">
        <f t="shared" si="91"/>
        <v>3339.1486829400001</v>
      </c>
      <c r="U486" s="94">
        <f t="shared" si="92"/>
        <v>3531.1497322090504</v>
      </c>
      <c r="V486" s="94">
        <f t="shared" si="93"/>
        <v>3675.5737562564004</v>
      </c>
      <c r="W486" s="97">
        <f t="shared" si="94"/>
        <v>3792.4570017053543</v>
      </c>
      <c r="X486" s="97">
        <f t="shared" si="95"/>
        <v>3936.5703677701581</v>
      </c>
      <c r="Y486" s="97">
        <f t="shared" si="99"/>
        <v>3999.9491506912577</v>
      </c>
      <c r="Z486" s="97">
        <f t="shared" si="96"/>
        <v>4224.7462929601061</v>
      </c>
      <c r="AA486" s="97">
        <f t="shared" si="97"/>
        <v>4779.0330065964718</v>
      </c>
    </row>
    <row r="487" spans="1:27" x14ac:dyDescent="0.25">
      <c r="A487" s="123" t="s">
        <v>1244</v>
      </c>
      <c r="B487" s="110" t="s">
        <v>1245</v>
      </c>
      <c r="C487" s="107" t="s">
        <v>226</v>
      </c>
      <c r="D487" s="124" t="s">
        <v>262</v>
      </c>
      <c r="E487" s="90">
        <f t="shared" si="100"/>
        <v>292499</v>
      </c>
      <c r="F487" s="90">
        <f t="shared" si="98"/>
        <v>245797.84875690675</v>
      </c>
      <c r="G487" s="91">
        <v>0.19</v>
      </c>
      <c r="H487" s="91" t="s">
        <v>228</v>
      </c>
      <c r="I487" s="91" t="s">
        <v>228</v>
      </c>
      <c r="J487" s="91" t="s">
        <v>228</v>
      </c>
      <c r="K487" s="91"/>
      <c r="L487" s="92" t="s">
        <v>302</v>
      </c>
      <c r="M487" s="91" t="str">
        <f t="shared" si="101"/>
        <v>no aplica</v>
      </c>
      <c r="N487" s="93">
        <v>41608</v>
      </c>
      <c r="O487" s="109"/>
      <c r="P487" s="109"/>
      <c r="Q487" s="94">
        <v>378</v>
      </c>
      <c r="R487" s="95">
        <f t="shared" si="90"/>
        <v>245797.84875690675</v>
      </c>
      <c r="S487" s="109">
        <v>160851.29519999999</v>
      </c>
      <c r="T487" s="94">
        <f t="shared" si="91"/>
        <v>171740.92788504</v>
      </c>
      <c r="U487" s="94">
        <f t="shared" si="92"/>
        <v>181616.03123842983</v>
      </c>
      <c r="V487" s="94">
        <f t="shared" si="93"/>
        <v>189044.12691608159</v>
      </c>
      <c r="W487" s="97">
        <f t="shared" si="94"/>
        <v>195055.73015201298</v>
      </c>
      <c r="X487" s="97">
        <f t="shared" si="95"/>
        <v>202467.84789778947</v>
      </c>
      <c r="Y487" s="97">
        <f t="shared" si="99"/>
        <v>205727.58024894388</v>
      </c>
      <c r="Z487" s="97">
        <f t="shared" si="96"/>
        <v>217289.47025893454</v>
      </c>
      <c r="AA487" s="97">
        <f t="shared" si="97"/>
        <v>245797.84875690675</v>
      </c>
    </row>
    <row r="488" spans="1:27" x14ac:dyDescent="0.25">
      <c r="A488" s="123" t="s">
        <v>1246</v>
      </c>
      <c r="B488" s="110" t="s">
        <v>1247</v>
      </c>
      <c r="C488" s="107" t="s">
        <v>226</v>
      </c>
      <c r="D488" s="124" t="s">
        <v>262</v>
      </c>
      <c r="E488" s="90">
        <f t="shared" si="100"/>
        <v>46962535</v>
      </c>
      <c r="F488" s="90">
        <f t="shared" si="98"/>
        <v>39464315.235834315</v>
      </c>
      <c r="G488" s="91">
        <v>0.19</v>
      </c>
      <c r="H488" s="91" t="s">
        <v>228</v>
      </c>
      <c r="I488" s="91" t="s">
        <v>228</v>
      </c>
      <c r="J488" s="91" t="s">
        <v>228</v>
      </c>
      <c r="K488" s="91"/>
      <c r="L488" s="92" t="s">
        <v>302</v>
      </c>
      <c r="M488" s="91" t="str">
        <f t="shared" si="101"/>
        <v>no aplica</v>
      </c>
      <c r="N488" s="93">
        <v>41608</v>
      </c>
      <c r="O488" s="109"/>
      <c r="P488" s="109"/>
      <c r="Q488" s="94">
        <v>379</v>
      </c>
      <c r="R488" s="95">
        <f t="shared" si="90"/>
        <v>39464315.235834315</v>
      </c>
      <c r="S488" s="109">
        <v>25825637.823799998</v>
      </c>
      <c r="T488" s="94">
        <f t="shared" si="91"/>
        <v>27574033.504471261</v>
      </c>
      <c r="U488" s="94">
        <f t="shared" si="92"/>
        <v>29159540.430978362</v>
      </c>
      <c r="V488" s="94">
        <f t="shared" si="93"/>
        <v>30352165.634605374</v>
      </c>
      <c r="W488" s="97">
        <f t="shared" si="94"/>
        <v>31317364.501785826</v>
      </c>
      <c r="X488" s="97">
        <f t="shared" si="95"/>
        <v>32507424.352853689</v>
      </c>
      <c r="Y488" s="97">
        <f t="shared" si="99"/>
        <v>33030793.884934634</v>
      </c>
      <c r="Z488" s="97">
        <f t="shared" si="96"/>
        <v>34887124.501267962</v>
      </c>
      <c r="AA488" s="97">
        <f t="shared" si="97"/>
        <v>39464315.235834315</v>
      </c>
    </row>
    <row r="489" spans="1:27" x14ac:dyDescent="0.25">
      <c r="A489" s="123" t="s">
        <v>1248</v>
      </c>
      <c r="B489" s="110" t="s">
        <v>1249</v>
      </c>
      <c r="C489" s="107" t="s">
        <v>226</v>
      </c>
      <c r="D489" s="124" t="s">
        <v>262</v>
      </c>
      <c r="E489" s="90">
        <f t="shared" si="100"/>
        <v>471250</v>
      </c>
      <c r="F489" s="90">
        <f t="shared" si="98"/>
        <v>396008.70124266425</v>
      </c>
      <c r="G489" s="91">
        <v>0.19</v>
      </c>
      <c r="H489" s="91" t="s">
        <v>228</v>
      </c>
      <c r="I489" s="91" t="s">
        <v>228</v>
      </c>
      <c r="J489" s="91" t="s">
        <v>228</v>
      </c>
      <c r="K489" s="91"/>
      <c r="L489" s="92" t="s">
        <v>302</v>
      </c>
      <c r="M489" s="91" t="str">
        <f t="shared" si="101"/>
        <v>no aplica</v>
      </c>
      <c r="N489" s="93">
        <v>41608</v>
      </c>
      <c r="O489" s="109"/>
      <c r="P489" s="109"/>
      <c r="Q489" s="94">
        <v>380</v>
      </c>
      <c r="R489" s="95">
        <f t="shared" si="90"/>
        <v>396008.70124266425</v>
      </c>
      <c r="S489" s="109">
        <v>259150</v>
      </c>
      <c r="T489" s="94">
        <f t="shared" si="91"/>
        <v>276694.45500000002</v>
      </c>
      <c r="U489" s="94">
        <f t="shared" si="92"/>
        <v>292604.38616250007</v>
      </c>
      <c r="V489" s="94">
        <f t="shared" si="93"/>
        <v>304571.90555654629</v>
      </c>
      <c r="W489" s="97">
        <f t="shared" si="94"/>
        <v>314257.29215324449</v>
      </c>
      <c r="X489" s="97">
        <f t="shared" si="95"/>
        <v>326199.06925506779</v>
      </c>
      <c r="Y489" s="97">
        <f t="shared" si="99"/>
        <v>331450.87427007436</v>
      </c>
      <c r="Z489" s="97">
        <f t="shared" si="96"/>
        <v>350078.41340405255</v>
      </c>
      <c r="AA489" s="97">
        <f t="shared" si="97"/>
        <v>396008.70124266425</v>
      </c>
    </row>
    <row r="490" spans="1:27" x14ac:dyDescent="0.25">
      <c r="A490" s="123" t="s">
        <v>1250</v>
      </c>
      <c r="B490" s="110" t="s">
        <v>1251</v>
      </c>
      <c r="C490" s="107" t="s">
        <v>226</v>
      </c>
      <c r="D490" s="124" t="s">
        <v>262</v>
      </c>
      <c r="E490" s="90">
        <f t="shared" si="100"/>
        <v>593938</v>
      </c>
      <c r="F490" s="90">
        <f t="shared" si="98"/>
        <v>499107.19055898441</v>
      </c>
      <c r="G490" s="91">
        <v>0.19</v>
      </c>
      <c r="H490" s="91" t="s">
        <v>228</v>
      </c>
      <c r="I490" s="91" t="s">
        <v>228</v>
      </c>
      <c r="J490" s="91" t="s">
        <v>228</v>
      </c>
      <c r="K490" s="91"/>
      <c r="L490" s="92" t="s">
        <v>302</v>
      </c>
      <c r="M490" s="91" t="str">
        <f t="shared" si="101"/>
        <v>no aplica</v>
      </c>
      <c r="N490" s="93">
        <v>41608</v>
      </c>
      <c r="O490" s="109"/>
      <c r="P490" s="109"/>
      <c r="Q490" s="94">
        <v>381</v>
      </c>
      <c r="R490" s="95">
        <f t="shared" si="90"/>
        <v>499107.19055898441</v>
      </c>
      <c r="S490" s="109">
        <v>326618.14759999997</v>
      </c>
      <c r="T490" s="94">
        <f t="shared" si="91"/>
        <v>348730.19619251997</v>
      </c>
      <c r="U490" s="94">
        <f t="shared" si="92"/>
        <v>368782.1824735899</v>
      </c>
      <c r="V490" s="94">
        <f t="shared" si="93"/>
        <v>383865.37373675971</v>
      </c>
      <c r="W490" s="97">
        <f t="shared" si="94"/>
        <v>396072.29262158868</v>
      </c>
      <c r="X490" s="97">
        <f t="shared" si="95"/>
        <v>411123.03974120907</v>
      </c>
      <c r="Y490" s="97">
        <f t="shared" si="99"/>
        <v>417742.12068104255</v>
      </c>
      <c r="Z490" s="97">
        <f t="shared" si="96"/>
        <v>441219.22786331718</v>
      </c>
      <c r="AA490" s="97">
        <f t="shared" si="97"/>
        <v>499107.19055898441</v>
      </c>
    </row>
    <row r="491" spans="1:27" x14ac:dyDescent="0.25">
      <c r="A491" s="123" t="s">
        <v>1252</v>
      </c>
      <c r="B491" s="110" t="s">
        <v>1253</v>
      </c>
      <c r="C491" s="107" t="s">
        <v>226</v>
      </c>
      <c r="D491" s="124" t="s">
        <v>255</v>
      </c>
      <c r="E491" s="90">
        <f t="shared" si="100"/>
        <v>2733252</v>
      </c>
      <c r="F491" s="90">
        <f t="shared" si="98"/>
        <v>2296850.4672074527</v>
      </c>
      <c r="G491" s="91">
        <v>0.19</v>
      </c>
      <c r="H491" s="91" t="s">
        <v>228</v>
      </c>
      <c r="I491" s="91" t="s">
        <v>228</v>
      </c>
      <c r="J491" s="91" t="s">
        <v>228</v>
      </c>
      <c r="K491" s="91"/>
      <c r="L491" s="92" t="s">
        <v>302</v>
      </c>
      <c r="M491" s="91" t="str">
        <f t="shared" si="101"/>
        <v>no aplica</v>
      </c>
      <c r="N491" s="93">
        <v>41608</v>
      </c>
      <c r="O491" s="109"/>
      <c r="P491" s="109"/>
      <c r="Q491" s="94">
        <v>382</v>
      </c>
      <c r="R491" s="95">
        <f t="shared" si="90"/>
        <v>2296850.4672074527</v>
      </c>
      <c r="S491" s="109">
        <v>1503070</v>
      </c>
      <c r="T491" s="94">
        <f t="shared" si="91"/>
        <v>1604827.8390000002</v>
      </c>
      <c r="U491" s="94">
        <f t="shared" si="92"/>
        <v>1697105.4397425004</v>
      </c>
      <c r="V491" s="94">
        <f t="shared" si="93"/>
        <v>1766517.0522279686</v>
      </c>
      <c r="W491" s="97">
        <f t="shared" si="94"/>
        <v>1822692.2944888182</v>
      </c>
      <c r="X491" s="97">
        <f t="shared" si="95"/>
        <v>1891954.6016793933</v>
      </c>
      <c r="Y491" s="97">
        <f t="shared" si="99"/>
        <v>1922415.0707664315</v>
      </c>
      <c r="Z491" s="97">
        <f t="shared" si="96"/>
        <v>2030454.7977435051</v>
      </c>
      <c r="AA491" s="97">
        <f t="shared" si="97"/>
        <v>2296850.4672074527</v>
      </c>
    </row>
    <row r="492" spans="1:27" x14ac:dyDescent="0.25">
      <c r="A492" s="123" t="s">
        <v>1254</v>
      </c>
      <c r="B492" s="110" t="s">
        <v>1255</v>
      </c>
      <c r="C492" s="107" t="s">
        <v>226</v>
      </c>
      <c r="D492" s="124" t="s">
        <v>4</v>
      </c>
      <c r="E492" s="90">
        <f t="shared" si="100"/>
        <v>8237</v>
      </c>
      <c r="F492" s="90">
        <f t="shared" si="98"/>
        <v>8236.9809858474146</v>
      </c>
      <c r="G492" s="91">
        <v>0</v>
      </c>
      <c r="H492" s="91" t="s">
        <v>228</v>
      </c>
      <c r="I492" s="91" t="s">
        <v>228</v>
      </c>
      <c r="J492" s="91" t="s">
        <v>228</v>
      </c>
      <c r="K492" s="91"/>
      <c r="L492" s="92" t="s">
        <v>302</v>
      </c>
      <c r="M492" s="91" t="str">
        <f t="shared" si="101"/>
        <v>no aplica</v>
      </c>
      <c r="N492" s="93">
        <v>41608</v>
      </c>
      <c r="O492" s="109"/>
      <c r="P492" s="109"/>
      <c r="Q492" s="94">
        <v>383</v>
      </c>
      <c r="R492" s="95">
        <f t="shared" si="90"/>
        <v>8236.9809858474146</v>
      </c>
      <c r="S492" s="109">
        <v>5390.32</v>
      </c>
      <c r="T492" s="94">
        <f t="shared" si="91"/>
        <v>5755.2446639999998</v>
      </c>
      <c r="U492" s="94">
        <f t="shared" si="92"/>
        <v>6086.1712321800005</v>
      </c>
      <c r="V492" s="94">
        <f t="shared" si="93"/>
        <v>6335.0956355761618</v>
      </c>
      <c r="W492" s="97">
        <f t="shared" si="94"/>
        <v>6536.5516767874842</v>
      </c>
      <c r="X492" s="97">
        <f t="shared" si="95"/>
        <v>6784.9406405054087</v>
      </c>
      <c r="Y492" s="97">
        <f t="shared" si="99"/>
        <v>6894.178184817546</v>
      </c>
      <c r="Z492" s="97">
        <f t="shared" si="96"/>
        <v>7281.6309988042922</v>
      </c>
      <c r="AA492" s="97">
        <f t="shared" si="97"/>
        <v>8236.9809858474146</v>
      </c>
    </row>
    <row r="493" spans="1:27" x14ac:dyDescent="0.25">
      <c r="A493" s="123" t="s">
        <v>1256</v>
      </c>
      <c r="B493" s="110" t="s">
        <v>1257</v>
      </c>
      <c r="C493" s="107" t="s">
        <v>226</v>
      </c>
      <c r="D493" s="124" t="s">
        <v>262</v>
      </c>
      <c r="E493" s="90">
        <f t="shared" si="100"/>
        <v>205925</v>
      </c>
      <c r="F493" s="90">
        <f t="shared" si="98"/>
        <v>205924.52464618534</v>
      </c>
      <c r="G493" s="91">
        <v>0</v>
      </c>
      <c r="H493" s="91" t="s">
        <v>228</v>
      </c>
      <c r="I493" s="91" t="s">
        <v>228</v>
      </c>
      <c r="J493" s="91" t="s">
        <v>228</v>
      </c>
      <c r="K493" s="91"/>
      <c r="L493" s="92" t="s">
        <v>302</v>
      </c>
      <c r="M493" s="91" t="str">
        <f t="shared" si="101"/>
        <v>no aplica</v>
      </c>
      <c r="N493" s="93">
        <v>41608</v>
      </c>
      <c r="O493" s="109"/>
      <c r="P493" s="109"/>
      <c r="Q493" s="94">
        <v>384</v>
      </c>
      <c r="R493" s="95">
        <f t="shared" si="90"/>
        <v>205924.52464618534</v>
      </c>
      <c r="S493" s="109">
        <v>134758</v>
      </c>
      <c r="T493" s="94">
        <f t="shared" si="91"/>
        <v>143881.11660000001</v>
      </c>
      <c r="U493" s="94">
        <f t="shared" si="92"/>
        <v>152154.28080450001</v>
      </c>
      <c r="V493" s="94">
        <f t="shared" si="93"/>
        <v>158377.39088940405</v>
      </c>
      <c r="W493" s="97">
        <f t="shared" si="94"/>
        <v>163413.79191968709</v>
      </c>
      <c r="X493" s="97">
        <f t="shared" si="95"/>
        <v>169623.5160126352</v>
      </c>
      <c r="Y493" s="97">
        <f t="shared" si="99"/>
        <v>172354.45462043863</v>
      </c>
      <c r="Z493" s="97">
        <f t="shared" si="96"/>
        <v>182040.77497010728</v>
      </c>
      <c r="AA493" s="97">
        <f t="shared" si="97"/>
        <v>205924.52464618534</v>
      </c>
    </row>
    <row r="494" spans="1:27" x14ac:dyDescent="0.25">
      <c r="A494" s="123" t="s">
        <v>1258</v>
      </c>
      <c r="B494" s="110" t="s">
        <v>1259</v>
      </c>
      <c r="C494" s="107" t="s">
        <v>226</v>
      </c>
      <c r="D494" s="124" t="s">
        <v>262</v>
      </c>
      <c r="E494" s="90">
        <f t="shared" si="100"/>
        <v>300624</v>
      </c>
      <c r="F494" s="90">
        <f t="shared" si="98"/>
        <v>252625.03876633034</v>
      </c>
      <c r="G494" s="91">
        <v>0.19</v>
      </c>
      <c r="H494" s="91" t="s">
        <v>228</v>
      </c>
      <c r="I494" s="91" t="s">
        <v>228</v>
      </c>
      <c r="J494" s="91" t="s">
        <v>228</v>
      </c>
      <c r="K494" s="91"/>
      <c r="L494" s="92" t="s">
        <v>302</v>
      </c>
      <c r="M494" s="91" t="str">
        <f t="shared" si="101"/>
        <v>no aplica</v>
      </c>
      <c r="N494" s="93">
        <v>41608</v>
      </c>
      <c r="O494" s="109"/>
      <c r="P494" s="109"/>
      <c r="Q494" s="94">
        <v>385</v>
      </c>
      <c r="R494" s="95">
        <f t="shared" si="90"/>
        <v>252625.03876633034</v>
      </c>
      <c r="S494" s="109">
        <v>165319.04120000001</v>
      </c>
      <c r="T494" s="94">
        <f t="shared" si="91"/>
        <v>176511.14028924002</v>
      </c>
      <c r="U494" s="94">
        <f t="shared" si="92"/>
        <v>186660.53085587133</v>
      </c>
      <c r="V494" s="94">
        <f t="shared" si="93"/>
        <v>194294.94656787647</v>
      </c>
      <c r="W494" s="97">
        <f t="shared" si="94"/>
        <v>200473.52586873496</v>
      </c>
      <c r="X494" s="97">
        <f t="shared" si="95"/>
        <v>208091.51985174688</v>
      </c>
      <c r="Y494" s="97">
        <f t="shared" si="99"/>
        <v>211441.79332136002</v>
      </c>
      <c r="Z494" s="97">
        <f t="shared" si="96"/>
        <v>223324.82210602047</v>
      </c>
      <c r="AA494" s="97">
        <f t="shared" si="97"/>
        <v>252625.03876633034</v>
      </c>
    </row>
    <row r="495" spans="1:27" x14ac:dyDescent="0.25">
      <c r="A495" s="123" t="s">
        <v>1260</v>
      </c>
      <c r="B495" s="110" t="s">
        <v>1261</v>
      </c>
      <c r="C495" s="107" t="s">
        <v>226</v>
      </c>
      <c r="D495" s="124" t="s">
        <v>255</v>
      </c>
      <c r="E495" s="90">
        <f t="shared" si="100"/>
        <v>6824</v>
      </c>
      <c r="F495" s="90">
        <f t="shared" si="98"/>
        <v>5734.2059939937772</v>
      </c>
      <c r="G495" s="91">
        <v>0.19</v>
      </c>
      <c r="H495" s="91" t="s">
        <v>228</v>
      </c>
      <c r="I495" s="91" t="s">
        <v>228</v>
      </c>
      <c r="J495" s="91" t="s">
        <v>228</v>
      </c>
      <c r="K495" s="91"/>
      <c r="L495" s="92" t="s">
        <v>1262</v>
      </c>
      <c r="M495" s="91" t="str">
        <f t="shared" si="101"/>
        <v>VER ARCHIVO ANEXO</v>
      </c>
      <c r="N495" s="93">
        <v>41608</v>
      </c>
      <c r="O495" s="109"/>
      <c r="P495" s="109"/>
      <c r="Q495" s="94">
        <v>386</v>
      </c>
      <c r="R495" s="95">
        <f t="shared" si="90"/>
        <v>5734.2059939937772</v>
      </c>
      <c r="S495" s="109">
        <v>3752.4919999999997</v>
      </c>
      <c r="T495" s="94">
        <f t="shared" si="91"/>
        <v>4006.5357084000002</v>
      </c>
      <c r="U495" s="94">
        <f t="shared" si="92"/>
        <v>4236.9115116330004</v>
      </c>
      <c r="V495" s="94">
        <f t="shared" si="93"/>
        <v>4410.2011924587896</v>
      </c>
      <c r="W495" s="97">
        <f t="shared" si="94"/>
        <v>4550.4455903789794</v>
      </c>
      <c r="X495" s="97">
        <f t="shared" si="95"/>
        <v>4723.3625228133806</v>
      </c>
      <c r="Y495" s="97">
        <f t="shared" si="99"/>
        <v>4799.4086594306764</v>
      </c>
      <c r="Z495" s="97">
        <f t="shared" si="96"/>
        <v>5069.1354260906801</v>
      </c>
      <c r="AA495" s="97">
        <f t="shared" si="97"/>
        <v>5734.2059939937772</v>
      </c>
    </row>
    <row r="496" spans="1:27" x14ac:dyDescent="0.25">
      <c r="A496" s="123" t="s">
        <v>1263</v>
      </c>
      <c r="B496" s="110" t="s">
        <v>1264</v>
      </c>
      <c r="C496" s="107" t="s">
        <v>226</v>
      </c>
      <c r="D496" s="124" t="s">
        <v>339</v>
      </c>
      <c r="E496" s="90">
        <f t="shared" si="100"/>
        <v>84499</v>
      </c>
      <c r="F496" s="90">
        <f t="shared" si="98"/>
        <v>71007.528202419635</v>
      </c>
      <c r="G496" s="91">
        <v>0.19</v>
      </c>
      <c r="H496" s="91" t="s">
        <v>228</v>
      </c>
      <c r="I496" s="91" t="s">
        <v>228</v>
      </c>
      <c r="J496" s="91" t="s">
        <v>228</v>
      </c>
      <c r="K496" s="91"/>
      <c r="L496" s="92" t="s">
        <v>302</v>
      </c>
      <c r="M496" s="91" t="str">
        <f t="shared" si="101"/>
        <v>no aplica</v>
      </c>
      <c r="N496" s="93">
        <v>41608</v>
      </c>
      <c r="O496" s="109"/>
      <c r="P496" s="109"/>
      <c r="Q496" s="94">
        <v>387</v>
      </c>
      <c r="R496" s="95">
        <f t="shared" si="90"/>
        <v>71007.528202419635</v>
      </c>
      <c r="S496" s="109">
        <v>46467.6682</v>
      </c>
      <c r="T496" s="94">
        <f t="shared" si="91"/>
        <v>49613.529337140004</v>
      </c>
      <c r="U496" s="94">
        <f t="shared" si="92"/>
        <v>52466.307274025559</v>
      </c>
      <c r="V496" s="94">
        <f t="shared" si="93"/>
        <v>54612.179241533202</v>
      </c>
      <c r="W496" s="97">
        <f t="shared" si="94"/>
        <v>56348.846541413957</v>
      </c>
      <c r="X496" s="97">
        <f t="shared" si="95"/>
        <v>58490.102709987688</v>
      </c>
      <c r="Y496" s="97">
        <f t="shared" si="99"/>
        <v>59431.79336361849</v>
      </c>
      <c r="Z496" s="97">
        <f t="shared" si="96"/>
        <v>62771.860150653847</v>
      </c>
      <c r="AA496" s="97">
        <f t="shared" si="97"/>
        <v>71007.528202419635</v>
      </c>
    </row>
    <row r="497" spans="1:27" x14ac:dyDescent="0.25">
      <c r="A497" s="125" t="s">
        <v>1265</v>
      </c>
      <c r="B497" s="110" t="s">
        <v>1266</v>
      </c>
      <c r="C497" s="107" t="s">
        <v>226</v>
      </c>
      <c r="D497" s="124" t="s">
        <v>255</v>
      </c>
      <c r="E497" s="90">
        <f t="shared" si="100"/>
        <v>25674</v>
      </c>
      <c r="F497" s="90">
        <f t="shared" si="98"/>
        <v>21574.554043700347</v>
      </c>
      <c r="G497" s="91">
        <v>0.19</v>
      </c>
      <c r="H497" s="91" t="s">
        <v>228</v>
      </c>
      <c r="I497" s="91" t="s">
        <v>228</v>
      </c>
      <c r="J497" s="91" t="s">
        <v>228</v>
      </c>
      <c r="K497" s="91"/>
      <c r="L497" s="92" t="s">
        <v>229</v>
      </c>
      <c r="M497" s="91" t="str">
        <f t="shared" si="101"/>
        <v>VER ARCHIVO ANEXO</v>
      </c>
      <c r="N497" s="93">
        <v>41608</v>
      </c>
      <c r="O497" s="109"/>
      <c r="P497" s="109"/>
      <c r="Q497" s="94">
        <v>388</v>
      </c>
      <c r="R497" s="95">
        <f t="shared" si="90"/>
        <v>21574.554043700347</v>
      </c>
      <c r="S497" s="109">
        <v>14118.492</v>
      </c>
      <c r="T497" s="94">
        <f t="shared" si="91"/>
        <v>15074.313908400001</v>
      </c>
      <c r="U497" s="94">
        <f t="shared" si="92"/>
        <v>15941.086958133003</v>
      </c>
      <c r="V497" s="94">
        <f t="shared" si="93"/>
        <v>16593.077414720643</v>
      </c>
      <c r="W497" s="97">
        <f t="shared" si="94"/>
        <v>17120.73727650876</v>
      </c>
      <c r="X497" s="97">
        <f t="shared" si="95"/>
        <v>17771.325293016092</v>
      </c>
      <c r="Y497" s="97">
        <f t="shared" si="99"/>
        <v>18057.443630233651</v>
      </c>
      <c r="Z497" s="97">
        <f t="shared" si="96"/>
        <v>19072.271962252784</v>
      </c>
      <c r="AA497" s="97">
        <f t="shared" si="97"/>
        <v>21574.554043700347</v>
      </c>
    </row>
    <row r="498" spans="1:27" x14ac:dyDescent="0.25">
      <c r="A498" s="123" t="s">
        <v>1267</v>
      </c>
      <c r="B498" s="110" t="s">
        <v>1268</v>
      </c>
      <c r="C498" s="107" t="s">
        <v>226</v>
      </c>
      <c r="D498" s="124" t="s">
        <v>262</v>
      </c>
      <c r="E498" s="90">
        <f t="shared" si="100"/>
        <v>81249</v>
      </c>
      <c r="F498" s="90">
        <f t="shared" si="98"/>
        <v>68276.652198650219</v>
      </c>
      <c r="G498" s="91">
        <v>0.19</v>
      </c>
      <c r="H498" s="91" t="s">
        <v>228</v>
      </c>
      <c r="I498" s="91" t="s">
        <v>228</v>
      </c>
      <c r="J498" s="91" t="s">
        <v>228</v>
      </c>
      <c r="K498" s="91"/>
      <c r="L498" s="92" t="s">
        <v>229</v>
      </c>
      <c r="M498" s="91" t="str">
        <f t="shared" si="101"/>
        <v>VER ARCHIVO ANEXO</v>
      </c>
      <c r="N498" s="93">
        <v>41608</v>
      </c>
      <c r="O498" s="109"/>
      <c r="P498" s="109"/>
      <c r="Q498" s="94">
        <v>389</v>
      </c>
      <c r="R498" s="95">
        <f t="shared" si="90"/>
        <v>68276.652198650219</v>
      </c>
      <c r="S498" s="109">
        <v>44680.569799999997</v>
      </c>
      <c r="T498" s="94">
        <f t="shared" si="91"/>
        <v>47705.44437546</v>
      </c>
      <c r="U498" s="94">
        <f t="shared" si="92"/>
        <v>50448.507427048957</v>
      </c>
      <c r="V498" s="94">
        <f t="shared" si="93"/>
        <v>52511.851380815257</v>
      </c>
      <c r="W498" s="97">
        <f t="shared" si="94"/>
        <v>54181.728254725182</v>
      </c>
      <c r="X498" s="97">
        <f t="shared" si="95"/>
        <v>56240.633928404743</v>
      </c>
      <c r="Y498" s="97">
        <f t="shared" si="99"/>
        <v>57146.108134652059</v>
      </c>
      <c r="Z498" s="97">
        <f t="shared" si="96"/>
        <v>60357.719411819504</v>
      </c>
      <c r="AA498" s="97">
        <f t="shared" si="97"/>
        <v>68276.652198650219</v>
      </c>
    </row>
    <row r="499" spans="1:27" x14ac:dyDescent="0.25">
      <c r="A499" s="123" t="s">
        <v>1269</v>
      </c>
      <c r="B499" s="110" t="s">
        <v>1270</v>
      </c>
      <c r="C499" s="107" t="s">
        <v>226</v>
      </c>
      <c r="D499" s="124" t="s">
        <v>255</v>
      </c>
      <c r="E499" s="90">
        <f t="shared" si="100"/>
        <v>65975</v>
      </c>
      <c r="F499" s="90">
        <f t="shared" si="98"/>
        <v>55441.218173972993</v>
      </c>
      <c r="G499" s="91">
        <v>0.19</v>
      </c>
      <c r="H499" s="91" t="s">
        <v>228</v>
      </c>
      <c r="I499" s="91" t="s">
        <v>228</v>
      </c>
      <c r="J499" s="91" t="s">
        <v>228</v>
      </c>
      <c r="K499" s="91"/>
      <c r="L499" s="92" t="s">
        <v>1271</v>
      </c>
      <c r="M499" s="91" t="str">
        <f t="shared" si="101"/>
        <v>VER ARCHIVO ANEXO</v>
      </c>
      <c r="N499" s="93">
        <v>41608</v>
      </c>
      <c r="O499" s="109"/>
      <c r="P499" s="109"/>
      <c r="Q499" s="94">
        <v>390</v>
      </c>
      <c r="R499" s="95">
        <f t="shared" si="90"/>
        <v>55441.218173972993</v>
      </c>
      <c r="S499" s="109">
        <v>36281</v>
      </c>
      <c r="T499" s="94">
        <f t="shared" si="91"/>
        <v>38737.223700000002</v>
      </c>
      <c r="U499" s="94">
        <f t="shared" si="92"/>
        <v>40964.614062750006</v>
      </c>
      <c r="V499" s="94">
        <f t="shared" si="93"/>
        <v>42640.06677791648</v>
      </c>
      <c r="W499" s="97">
        <f t="shared" si="94"/>
        <v>43996.020901454227</v>
      </c>
      <c r="X499" s="97">
        <f t="shared" si="95"/>
        <v>45667.869695709487</v>
      </c>
      <c r="Y499" s="97">
        <f t="shared" si="99"/>
        <v>46403.12239781041</v>
      </c>
      <c r="Z499" s="97">
        <f t="shared" si="96"/>
        <v>49010.977876567355</v>
      </c>
      <c r="AA499" s="97">
        <f t="shared" si="97"/>
        <v>55441.218173972993</v>
      </c>
    </row>
    <row r="500" spans="1:27" x14ac:dyDescent="0.25">
      <c r="A500" s="123" t="s">
        <v>1272</v>
      </c>
      <c r="B500" s="110" t="s">
        <v>1273</v>
      </c>
      <c r="C500" s="107" t="s">
        <v>226</v>
      </c>
      <c r="D500" s="124" t="s">
        <v>262</v>
      </c>
      <c r="E500" s="90">
        <f t="shared" si="100"/>
        <v>1267</v>
      </c>
      <c r="F500" s="90">
        <f t="shared" si="98"/>
        <v>1267.2278439765253</v>
      </c>
      <c r="G500" s="91">
        <v>0</v>
      </c>
      <c r="H500" s="91" t="s">
        <v>228</v>
      </c>
      <c r="I500" s="91" t="s">
        <v>228</v>
      </c>
      <c r="J500" s="91" t="s">
        <v>228</v>
      </c>
      <c r="K500" s="91"/>
      <c r="L500" s="92" t="s">
        <v>1274</v>
      </c>
      <c r="M500" s="91" t="str">
        <f t="shared" si="101"/>
        <v>VER ARCHIVO ANEXO</v>
      </c>
      <c r="N500" s="93">
        <v>41608</v>
      </c>
      <c r="O500" s="109"/>
      <c r="P500" s="109"/>
      <c r="Q500" s="94">
        <v>391</v>
      </c>
      <c r="R500" s="95">
        <f t="shared" si="90"/>
        <v>1267.2278439765253</v>
      </c>
      <c r="S500" s="109">
        <v>829.28</v>
      </c>
      <c r="T500" s="94">
        <f t="shared" si="91"/>
        <v>885.42225600000006</v>
      </c>
      <c r="U500" s="94">
        <f t="shared" si="92"/>
        <v>936.3340357200002</v>
      </c>
      <c r="V500" s="94">
        <f t="shared" si="93"/>
        <v>974.63009778094818</v>
      </c>
      <c r="W500" s="97">
        <f t="shared" si="94"/>
        <v>1005.6233348903824</v>
      </c>
      <c r="X500" s="97">
        <f t="shared" si="95"/>
        <v>1043.8370216162168</v>
      </c>
      <c r="Y500" s="97">
        <f t="shared" si="99"/>
        <v>1060.6427976642378</v>
      </c>
      <c r="Z500" s="97">
        <f t="shared" si="96"/>
        <v>1120.250922892968</v>
      </c>
      <c r="AA500" s="97">
        <f t="shared" si="97"/>
        <v>1267.2278439765253</v>
      </c>
    </row>
    <row r="501" spans="1:27" x14ac:dyDescent="0.25">
      <c r="A501" s="123" t="s">
        <v>1275</v>
      </c>
      <c r="B501" s="110" t="s">
        <v>1276</v>
      </c>
      <c r="C501" s="107" t="s">
        <v>226</v>
      </c>
      <c r="D501" s="124" t="s">
        <v>262</v>
      </c>
      <c r="E501" s="90">
        <f t="shared" si="100"/>
        <v>3960</v>
      </c>
      <c r="F501" s="90">
        <f t="shared" si="98"/>
        <v>3960.0870124266421</v>
      </c>
      <c r="G501" s="91">
        <v>0</v>
      </c>
      <c r="H501" s="91" t="s">
        <v>228</v>
      </c>
      <c r="I501" s="91" t="s">
        <v>228</v>
      </c>
      <c r="J501" s="91" t="s">
        <v>228</v>
      </c>
      <c r="K501" s="91"/>
      <c r="L501" s="92" t="s">
        <v>1274</v>
      </c>
      <c r="M501" s="91" t="str">
        <f t="shared" si="101"/>
        <v>VER ARCHIVO ANEXO</v>
      </c>
      <c r="N501" s="93">
        <v>41608</v>
      </c>
      <c r="O501" s="109"/>
      <c r="P501" s="109"/>
      <c r="Q501" s="94">
        <v>392</v>
      </c>
      <c r="R501" s="95">
        <f t="shared" si="90"/>
        <v>3960.0870124266421</v>
      </c>
      <c r="S501" s="109">
        <v>2591.5</v>
      </c>
      <c r="T501" s="94">
        <f t="shared" si="91"/>
        <v>2766.9445500000002</v>
      </c>
      <c r="U501" s="94">
        <f t="shared" si="92"/>
        <v>2926.0438616250003</v>
      </c>
      <c r="V501" s="94">
        <f t="shared" si="93"/>
        <v>3045.7190555654624</v>
      </c>
      <c r="W501" s="97">
        <f t="shared" si="94"/>
        <v>3142.5729215324445</v>
      </c>
      <c r="X501" s="97">
        <f t="shared" si="95"/>
        <v>3261.9906925506775</v>
      </c>
      <c r="Y501" s="97">
        <f t="shared" si="99"/>
        <v>3314.5087427007434</v>
      </c>
      <c r="Z501" s="97">
        <f t="shared" si="96"/>
        <v>3500.7841340405253</v>
      </c>
      <c r="AA501" s="97">
        <f t="shared" si="97"/>
        <v>3960.0870124266421</v>
      </c>
    </row>
    <row r="502" spans="1:27" x14ac:dyDescent="0.25">
      <c r="A502" s="123" t="s">
        <v>1277</v>
      </c>
      <c r="B502" s="110" t="s">
        <v>1278</v>
      </c>
      <c r="C502" s="107" t="s">
        <v>226</v>
      </c>
      <c r="D502" s="124" t="s">
        <v>227</v>
      </c>
      <c r="E502" s="90">
        <f t="shared" si="100"/>
        <v>63361</v>
      </c>
      <c r="F502" s="90">
        <f t="shared" si="98"/>
        <v>63361.392198826274</v>
      </c>
      <c r="G502" s="91">
        <v>0</v>
      </c>
      <c r="H502" s="91" t="s">
        <v>228</v>
      </c>
      <c r="I502" s="91" t="s">
        <v>228</v>
      </c>
      <c r="J502" s="91" t="s">
        <v>228</v>
      </c>
      <c r="K502" s="91"/>
      <c r="L502" s="92" t="s">
        <v>1274</v>
      </c>
      <c r="M502" s="91" t="str">
        <f t="shared" si="101"/>
        <v>VER ARCHIVO ANEXO</v>
      </c>
      <c r="N502" s="93">
        <v>41608</v>
      </c>
      <c r="O502" s="109"/>
      <c r="P502" s="109"/>
      <c r="Q502" s="94">
        <v>393</v>
      </c>
      <c r="R502" s="95">
        <f t="shared" si="90"/>
        <v>63361.392198826274</v>
      </c>
      <c r="S502" s="109">
        <v>41464</v>
      </c>
      <c r="T502" s="94">
        <f t="shared" si="91"/>
        <v>44271.112800000003</v>
      </c>
      <c r="U502" s="94">
        <f t="shared" si="92"/>
        <v>46816.701786000005</v>
      </c>
      <c r="V502" s="94">
        <f t="shared" si="93"/>
        <v>48731.504889047399</v>
      </c>
      <c r="W502" s="97">
        <f t="shared" si="94"/>
        <v>50281.166744519112</v>
      </c>
      <c r="X502" s="97">
        <f t="shared" si="95"/>
        <v>52191.85108081084</v>
      </c>
      <c r="Y502" s="97">
        <f t="shared" si="99"/>
        <v>53032.139883211894</v>
      </c>
      <c r="Z502" s="97">
        <f t="shared" si="96"/>
        <v>56012.546144648404</v>
      </c>
      <c r="AA502" s="97">
        <f t="shared" si="97"/>
        <v>63361.392198826274</v>
      </c>
    </row>
    <row r="503" spans="1:27" x14ac:dyDescent="0.25">
      <c r="A503" s="123" t="s">
        <v>1279</v>
      </c>
      <c r="B503" s="110" t="s">
        <v>1280</v>
      </c>
      <c r="C503" s="107" t="s">
        <v>226</v>
      </c>
      <c r="D503" s="124" t="s">
        <v>227</v>
      </c>
      <c r="E503" s="90">
        <f t="shared" si="100"/>
        <v>475</v>
      </c>
      <c r="F503" s="90">
        <f t="shared" si="98"/>
        <v>475.21044149119723</v>
      </c>
      <c r="G503" s="91">
        <v>0</v>
      </c>
      <c r="H503" s="91" t="s">
        <v>228</v>
      </c>
      <c r="I503" s="91" t="s">
        <v>228</v>
      </c>
      <c r="J503" s="91" t="s">
        <v>228</v>
      </c>
      <c r="K503" s="91"/>
      <c r="L503" s="92" t="s">
        <v>1274</v>
      </c>
      <c r="M503" s="91" t="str">
        <f t="shared" si="101"/>
        <v>VER ARCHIVO ANEXO</v>
      </c>
      <c r="N503" s="93">
        <v>41608</v>
      </c>
      <c r="O503" s="109"/>
      <c r="P503" s="109"/>
      <c r="Q503" s="94">
        <v>394</v>
      </c>
      <c r="R503" s="95">
        <f t="shared" si="90"/>
        <v>475.21044149119723</v>
      </c>
      <c r="S503" s="109">
        <v>310.98</v>
      </c>
      <c r="T503" s="94">
        <f t="shared" si="91"/>
        <v>332.03334600000005</v>
      </c>
      <c r="U503" s="94">
        <f t="shared" si="92"/>
        <v>351.1252633950001</v>
      </c>
      <c r="V503" s="94">
        <f t="shared" si="93"/>
        <v>365.48628666785561</v>
      </c>
      <c r="W503" s="97">
        <f t="shared" si="94"/>
        <v>377.10875058389342</v>
      </c>
      <c r="X503" s="97">
        <f t="shared" si="95"/>
        <v>391.43888310608139</v>
      </c>
      <c r="Y503" s="97">
        <f t="shared" si="99"/>
        <v>397.74104912408933</v>
      </c>
      <c r="Z503" s="97">
        <f t="shared" si="96"/>
        <v>420.09409608486317</v>
      </c>
      <c r="AA503" s="97">
        <f t="shared" si="97"/>
        <v>475.21044149119723</v>
      </c>
    </row>
    <row r="504" spans="1:27" x14ac:dyDescent="0.25">
      <c r="A504" s="123" t="s">
        <v>1281</v>
      </c>
      <c r="B504" s="110" t="s">
        <v>1282</v>
      </c>
      <c r="C504" s="107" t="s">
        <v>226</v>
      </c>
      <c r="D504" s="124" t="s">
        <v>262</v>
      </c>
      <c r="E504" s="90">
        <f t="shared" si="100"/>
        <v>792</v>
      </c>
      <c r="F504" s="90">
        <f t="shared" si="98"/>
        <v>792.01740248532838</v>
      </c>
      <c r="G504" s="91">
        <v>0</v>
      </c>
      <c r="H504" s="91" t="s">
        <v>228</v>
      </c>
      <c r="I504" s="91" t="s">
        <v>228</v>
      </c>
      <c r="J504" s="91" t="s">
        <v>228</v>
      </c>
      <c r="K504" s="91"/>
      <c r="L504" s="92" t="s">
        <v>1274</v>
      </c>
      <c r="M504" s="91" t="str">
        <f t="shared" si="101"/>
        <v>VER ARCHIVO ANEXO</v>
      </c>
      <c r="N504" s="93">
        <v>41608</v>
      </c>
      <c r="O504" s="109"/>
      <c r="P504" s="109"/>
      <c r="Q504" s="94">
        <v>395</v>
      </c>
      <c r="R504" s="95">
        <f t="shared" si="90"/>
        <v>792.01740248532838</v>
      </c>
      <c r="S504" s="109">
        <v>518.29999999999995</v>
      </c>
      <c r="T504" s="94">
        <f t="shared" si="91"/>
        <v>553.38891000000001</v>
      </c>
      <c r="U504" s="94">
        <f t="shared" si="92"/>
        <v>585.20877232500004</v>
      </c>
      <c r="V504" s="94">
        <f t="shared" si="93"/>
        <v>609.14381111309251</v>
      </c>
      <c r="W504" s="97">
        <f t="shared" si="94"/>
        <v>628.51458430648893</v>
      </c>
      <c r="X504" s="97">
        <f t="shared" si="95"/>
        <v>652.39813851013548</v>
      </c>
      <c r="Y504" s="97">
        <f t="shared" si="99"/>
        <v>662.90174854014867</v>
      </c>
      <c r="Z504" s="97">
        <f t="shared" si="96"/>
        <v>700.15682680810505</v>
      </c>
      <c r="AA504" s="97">
        <f t="shared" si="97"/>
        <v>792.01740248532838</v>
      </c>
    </row>
    <row r="505" spans="1:27" x14ac:dyDescent="0.25">
      <c r="A505" s="123" t="s">
        <v>1283</v>
      </c>
      <c r="B505" s="110" t="s">
        <v>1284</v>
      </c>
      <c r="C505" s="107" t="s">
        <v>226</v>
      </c>
      <c r="D505" s="124" t="s">
        <v>262</v>
      </c>
      <c r="E505" s="90">
        <f t="shared" si="100"/>
        <v>1109</v>
      </c>
      <c r="F505" s="90">
        <f t="shared" si="98"/>
        <v>1108.8243634794599</v>
      </c>
      <c r="G505" s="91">
        <v>0</v>
      </c>
      <c r="H505" s="91" t="s">
        <v>228</v>
      </c>
      <c r="I505" s="91" t="s">
        <v>228</v>
      </c>
      <c r="J505" s="91" t="s">
        <v>228</v>
      </c>
      <c r="K505" s="91"/>
      <c r="L505" s="92" t="s">
        <v>1274</v>
      </c>
      <c r="M505" s="91" t="str">
        <f t="shared" si="101"/>
        <v>VER ARCHIVO ANEXO</v>
      </c>
      <c r="N505" s="93">
        <v>41608</v>
      </c>
      <c r="O505" s="109"/>
      <c r="P505" s="109"/>
      <c r="Q505" s="94">
        <v>396</v>
      </c>
      <c r="R505" s="95">
        <f t="shared" si="90"/>
        <v>1108.8243634794599</v>
      </c>
      <c r="S505" s="109">
        <v>725.62</v>
      </c>
      <c r="T505" s="94">
        <f t="shared" si="91"/>
        <v>774.74447400000008</v>
      </c>
      <c r="U505" s="94">
        <f t="shared" si="92"/>
        <v>819.29228125500015</v>
      </c>
      <c r="V505" s="94">
        <f t="shared" si="93"/>
        <v>852.80133555832958</v>
      </c>
      <c r="W505" s="97">
        <f t="shared" si="94"/>
        <v>879.92041802908454</v>
      </c>
      <c r="X505" s="97">
        <f t="shared" si="95"/>
        <v>913.35739391418974</v>
      </c>
      <c r="Y505" s="97">
        <f t="shared" si="99"/>
        <v>928.06244795620819</v>
      </c>
      <c r="Z505" s="97">
        <f t="shared" si="96"/>
        <v>980.21955753134716</v>
      </c>
      <c r="AA505" s="97">
        <f t="shared" si="97"/>
        <v>1108.8243634794599</v>
      </c>
    </row>
    <row r="506" spans="1:27" x14ac:dyDescent="0.25">
      <c r="A506" s="123" t="s">
        <v>1285</v>
      </c>
      <c r="B506" s="110" t="s">
        <v>1286</v>
      </c>
      <c r="C506" s="107" t="s">
        <v>226</v>
      </c>
      <c r="D506" s="124" t="s">
        <v>262</v>
      </c>
      <c r="E506" s="90">
        <f t="shared" si="100"/>
        <v>3960</v>
      </c>
      <c r="F506" s="90">
        <f t="shared" si="98"/>
        <v>3960.0870124266421</v>
      </c>
      <c r="G506" s="91">
        <v>0</v>
      </c>
      <c r="H506" s="91" t="s">
        <v>228</v>
      </c>
      <c r="I506" s="91" t="s">
        <v>228</v>
      </c>
      <c r="J506" s="91" t="s">
        <v>228</v>
      </c>
      <c r="K506" s="91"/>
      <c r="L506" s="92" t="s">
        <v>1274</v>
      </c>
      <c r="M506" s="91" t="str">
        <f t="shared" si="101"/>
        <v>VER ARCHIVO ANEXO</v>
      </c>
      <c r="N506" s="93">
        <v>41608</v>
      </c>
      <c r="O506" s="109"/>
      <c r="P506" s="109"/>
      <c r="Q506" s="94">
        <v>397</v>
      </c>
      <c r="R506" s="95">
        <f t="shared" si="90"/>
        <v>3960.0870124266421</v>
      </c>
      <c r="S506" s="109">
        <v>2591.5</v>
      </c>
      <c r="T506" s="94">
        <f t="shared" si="91"/>
        <v>2766.9445500000002</v>
      </c>
      <c r="U506" s="94">
        <f t="shared" si="92"/>
        <v>2926.0438616250003</v>
      </c>
      <c r="V506" s="94">
        <f t="shared" si="93"/>
        <v>3045.7190555654624</v>
      </c>
      <c r="W506" s="97">
        <f t="shared" si="94"/>
        <v>3142.5729215324445</v>
      </c>
      <c r="X506" s="97">
        <f t="shared" si="95"/>
        <v>3261.9906925506775</v>
      </c>
      <c r="Y506" s="97">
        <f t="shared" si="99"/>
        <v>3314.5087427007434</v>
      </c>
      <c r="Z506" s="97">
        <f t="shared" si="96"/>
        <v>3500.7841340405253</v>
      </c>
      <c r="AA506" s="97">
        <f t="shared" si="97"/>
        <v>3960.0870124266421</v>
      </c>
    </row>
    <row r="507" spans="1:27" x14ac:dyDescent="0.25">
      <c r="A507" s="105" t="s">
        <v>1287</v>
      </c>
      <c r="B507" s="106" t="s">
        <v>1288</v>
      </c>
      <c r="C507" s="107"/>
      <c r="D507" s="108"/>
      <c r="E507" s="90">
        <f t="shared" si="100"/>
        <v>0</v>
      </c>
      <c r="F507" s="90">
        <f t="shared" si="98"/>
        <v>0</v>
      </c>
      <c r="G507" s="81"/>
      <c r="H507" s="81"/>
      <c r="I507" s="81"/>
      <c r="J507" s="81"/>
      <c r="K507" s="81"/>
      <c r="L507" s="92"/>
      <c r="M507" s="91"/>
      <c r="N507" s="93">
        <v>41608</v>
      </c>
      <c r="O507" s="109"/>
      <c r="P507" s="109"/>
      <c r="Q507" s="109">
        <v>0</v>
      </c>
      <c r="R507" s="95">
        <f t="shared" si="90"/>
        <v>0</v>
      </c>
      <c r="S507" s="109">
        <v>0</v>
      </c>
      <c r="T507" s="94">
        <f t="shared" si="91"/>
        <v>0</v>
      </c>
      <c r="U507" s="94">
        <f t="shared" si="92"/>
        <v>0</v>
      </c>
      <c r="V507" s="94">
        <f t="shared" si="93"/>
        <v>0</v>
      </c>
      <c r="W507" s="97">
        <f t="shared" si="94"/>
        <v>0</v>
      </c>
      <c r="X507" s="97">
        <f t="shared" si="95"/>
        <v>0</v>
      </c>
      <c r="Y507" s="97">
        <f t="shared" si="99"/>
        <v>0</v>
      </c>
      <c r="Z507" s="97">
        <f t="shared" si="96"/>
        <v>0</v>
      </c>
      <c r="AA507" s="97">
        <f t="shared" si="97"/>
        <v>0</v>
      </c>
    </row>
    <row r="508" spans="1:27" x14ac:dyDescent="0.25">
      <c r="A508" s="102" t="s">
        <v>1289</v>
      </c>
      <c r="B508" s="98" t="s">
        <v>1290</v>
      </c>
      <c r="C508" s="99" t="s">
        <v>226</v>
      </c>
      <c r="D508" s="100" t="s">
        <v>227</v>
      </c>
      <c r="E508" s="101">
        <f t="shared" si="100"/>
        <v>2515</v>
      </c>
      <c r="F508" s="90">
        <f t="shared" si="98"/>
        <v>2113.1024298308566</v>
      </c>
      <c r="G508" s="91">
        <v>0.19</v>
      </c>
      <c r="H508" s="91" t="s">
        <v>228</v>
      </c>
      <c r="I508" s="91" t="s">
        <v>228</v>
      </c>
      <c r="J508" s="91" t="s">
        <v>228</v>
      </c>
      <c r="K508" s="91" t="s">
        <v>228</v>
      </c>
      <c r="L508" s="92" t="s">
        <v>1291</v>
      </c>
      <c r="M508" s="91" t="str">
        <f t="shared" si="101"/>
        <v>VER ARCHIVO ANEXO</v>
      </c>
      <c r="N508" s="93">
        <v>41608</v>
      </c>
      <c r="O508" s="94"/>
      <c r="P508" s="94"/>
      <c r="Q508" s="94">
        <v>398</v>
      </c>
      <c r="R508" s="95">
        <f t="shared" si="90"/>
        <v>2113.1024298308566</v>
      </c>
      <c r="S508" s="94">
        <v>1382.8244</v>
      </c>
      <c r="T508" s="94">
        <f t="shared" si="91"/>
        <v>1476.44161188</v>
      </c>
      <c r="U508" s="94">
        <f t="shared" si="92"/>
        <v>1561.3370045631002</v>
      </c>
      <c r="V508" s="94">
        <f t="shared" si="93"/>
        <v>1625.195688049731</v>
      </c>
      <c r="W508" s="97">
        <f t="shared" si="94"/>
        <v>1676.8769109297125</v>
      </c>
      <c r="X508" s="97">
        <f t="shared" si="95"/>
        <v>1740.5982335450417</v>
      </c>
      <c r="Y508" s="97">
        <f t="shared" si="99"/>
        <v>1768.621865105117</v>
      </c>
      <c r="Z508" s="97">
        <f t="shared" si="96"/>
        <v>1868.0184139240246</v>
      </c>
      <c r="AA508" s="97">
        <f t="shared" si="97"/>
        <v>2113.1024298308566</v>
      </c>
    </row>
    <row r="509" spans="1:27" x14ac:dyDescent="0.25">
      <c r="A509" s="102" t="s">
        <v>1292</v>
      </c>
      <c r="B509" s="87" t="s">
        <v>1293</v>
      </c>
      <c r="C509" s="88" t="s">
        <v>226</v>
      </c>
      <c r="D509" s="89" t="s">
        <v>227</v>
      </c>
      <c r="E509" s="90">
        <f t="shared" si="100"/>
        <v>1919</v>
      </c>
      <c r="F509" s="90">
        <f t="shared" si="98"/>
        <v>1612.5474314601286</v>
      </c>
      <c r="G509" s="91">
        <v>0.19</v>
      </c>
      <c r="H509" s="91" t="s">
        <v>228</v>
      </c>
      <c r="I509" s="91" t="s">
        <v>228</v>
      </c>
      <c r="J509" s="91" t="s">
        <v>228</v>
      </c>
      <c r="K509" s="91" t="s">
        <v>228</v>
      </c>
      <c r="L509" s="92" t="s">
        <v>1291</v>
      </c>
      <c r="M509" s="91" t="str">
        <f t="shared" si="101"/>
        <v>VER ARCHIVO ANEXO</v>
      </c>
      <c r="N509" s="93">
        <v>41608</v>
      </c>
      <c r="O509" s="94"/>
      <c r="P509" s="94"/>
      <c r="Q509" s="94">
        <v>399</v>
      </c>
      <c r="R509" s="95">
        <f t="shared" si="90"/>
        <v>1612.5474314601286</v>
      </c>
      <c r="S509" s="94">
        <v>1055.2588000000001</v>
      </c>
      <c r="T509" s="94">
        <f t="shared" si="91"/>
        <v>1126.6998207600002</v>
      </c>
      <c r="U509" s="94">
        <f t="shared" si="92"/>
        <v>1191.4850604537003</v>
      </c>
      <c r="V509" s="94">
        <f t="shared" si="93"/>
        <v>1240.2167994262566</v>
      </c>
      <c r="W509" s="97">
        <f t="shared" si="94"/>
        <v>1279.6556936480115</v>
      </c>
      <c r="X509" s="97">
        <f t="shared" si="95"/>
        <v>1328.2826100066359</v>
      </c>
      <c r="Y509" s="97">
        <f t="shared" si="99"/>
        <v>1349.6679600277428</v>
      </c>
      <c r="Z509" s="97">
        <f t="shared" si="96"/>
        <v>1425.5192993813018</v>
      </c>
      <c r="AA509" s="97">
        <f t="shared" si="97"/>
        <v>1612.5474314601286</v>
      </c>
    </row>
    <row r="510" spans="1:27" x14ac:dyDescent="0.25">
      <c r="A510" s="102" t="s">
        <v>1294</v>
      </c>
      <c r="B510" s="87" t="s">
        <v>1295</v>
      </c>
      <c r="C510" s="88" t="s">
        <v>226</v>
      </c>
      <c r="D510" s="89" t="s">
        <v>227</v>
      </c>
      <c r="E510" s="90">
        <f t="shared" si="100"/>
        <v>4650</v>
      </c>
      <c r="F510" s="90">
        <f t="shared" si="98"/>
        <v>3907.8138638626106</v>
      </c>
      <c r="G510" s="91">
        <v>0.19</v>
      </c>
      <c r="H510" s="91" t="s">
        <v>228</v>
      </c>
      <c r="I510" s="91" t="s">
        <v>228</v>
      </c>
      <c r="J510" s="91" t="s">
        <v>228</v>
      </c>
      <c r="K510" s="91" t="s">
        <v>228</v>
      </c>
      <c r="L510" s="92" t="s">
        <v>1291</v>
      </c>
      <c r="M510" s="91" t="str">
        <f t="shared" si="101"/>
        <v>VER ARCHIVO ANEXO</v>
      </c>
      <c r="N510" s="93">
        <v>41608</v>
      </c>
      <c r="O510" s="94"/>
      <c r="P510" s="94"/>
      <c r="Q510" s="94">
        <v>400</v>
      </c>
      <c r="R510" s="95">
        <f t="shared" si="90"/>
        <v>3907.8138638626106</v>
      </c>
      <c r="S510" s="94">
        <v>2557.2921999999999</v>
      </c>
      <c r="T510" s="94">
        <f t="shared" si="91"/>
        <v>2730.4208819400001</v>
      </c>
      <c r="U510" s="94">
        <f t="shared" si="92"/>
        <v>2887.4200826515503</v>
      </c>
      <c r="V510" s="94">
        <f t="shared" si="93"/>
        <v>3005.5155640319986</v>
      </c>
      <c r="W510" s="97">
        <f t="shared" si="94"/>
        <v>3101.0909589682165</v>
      </c>
      <c r="X510" s="97">
        <f t="shared" si="95"/>
        <v>3218.9324154090086</v>
      </c>
      <c r="Y510" s="97">
        <f t="shared" si="99"/>
        <v>3270.7572272970938</v>
      </c>
      <c r="Z510" s="97">
        <f t="shared" si="96"/>
        <v>3454.5737834711904</v>
      </c>
      <c r="AA510" s="97">
        <f t="shared" si="97"/>
        <v>3907.8138638626106</v>
      </c>
    </row>
    <row r="511" spans="1:27" x14ac:dyDescent="0.25">
      <c r="A511" s="102" t="s">
        <v>1296</v>
      </c>
      <c r="B511" s="87" t="s">
        <v>1297</v>
      </c>
      <c r="C511" s="88" t="s">
        <v>226</v>
      </c>
      <c r="D511" s="89" t="s">
        <v>262</v>
      </c>
      <c r="E511" s="90">
        <f t="shared" si="100"/>
        <v>4283</v>
      </c>
      <c r="F511" s="90">
        <f t="shared" si="98"/>
        <v>3598.9270768933329</v>
      </c>
      <c r="G511" s="91">
        <v>0.19</v>
      </c>
      <c r="H511" s="91" t="s">
        <v>228</v>
      </c>
      <c r="I511" s="91" t="s">
        <v>228</v>
      </c>
      <c r="J511" s="91" t="s">
        <v>228</v>
      </c>
      <c r="K511" s="91" t="s">
        <v>228</v>
      </c>
      <c r="L511" s="92" t="s">
        <v>769</v>
      </c>
      <c r="M511" s="91" t="str">
        <f t="shared" si="101"/>
        <v>VER ARCHIVO ANEXO</v>
      </c>
      <c r="N511" s="93">
        <v>41608</v>
      </c>
      <c r="O511" s="94"/>
      <c r="P511" s="94"/>
      <c r="Q511" s="94">
        <v>401</v>
      </c>
      <c r="R511" s="95">
        <f t="shared" si="90"/>
        <v>3598.9270768933329</v>
      </c>
      <c r="S511" s="94">
        <v>2355.1552000000001</v>
      </c>
      <c r="T511" s="94">
        <f t="shared" si="91"/>
        <v>2514.5992070400002</v>
      </c>
      <c r="U511" s="94">
        <f t="shared" si="92"/>
        <v>2659.1886614448003</v>
      </c>
      <c r="V511" s="94">
        <f t="shared" si="93"/>
        <v>2767.9494776978927</v>
      </c>
      <c r="W511" s="97">
        <f t="shared" si="94"/>
        <v>2855.9702710886859</v>
      </c>
      <c r="X511" s="97">
        <f t="shared" si="95"/>
        <v>2964.4971413900562</v>
      </c>
      <c r="Y511" s="97">
        <f t="shared" si="99"/>
        <v>3012.2255453664361</v>
      </c>
      <c r="Z511" s="97">
        <f t="shared" si="96"/>
        <v>3181.5126210160297</v>
      </c>
      <c r="AA511" s="97">
        <f t="shared" si="97"/>
        <v>3598.9270768933329</v>
      </c>
    </row>
    <row r="512" spans="1:27" x14ac:dyDescent="0.25">
      <c r="A512" s="102" t="s">
        <v>1298</v>
      </c>
      <c r="B512" s="87" t="s">
        <v>1299</v>
      </c>
      <c r="C512" s="88" t="s">
        <v>226</v>
      </c>
      <c r="D512" s="89" t="s">
        <v>262</v>
      </c>
      <c r="E512" s="90">
        <f t="shared" si="100"/>
        <v>14565</v>
      </c>
      <c r="F512" s="90">
        <f t="shared" si="98"/>
        <v>12239.836938008266</v>
      </c>
      <c r="G512" s="91">
        <v>0.19</v>
      </c>
      <c r="H512" s="91" t="s">
        <v>228</v>
      </c>
      <c r="I512" s="91" t="s">
        <v>228</v>
      </c>
      <c r="J512" s="91" t="s">
        <v>228</v>
      </c>
      <c r="K512" s="91" t="s">
        <v>228</v>
      </c>
      <c r="L512" s="92" t="s">
        <v>1300</v>
      </c>
      <c r="M512" s="91" t="str">
        <f t="shared" si="101"/>
        <v>VER ARCHIVO ANEXO</v>
      </c>
      <c r="N512" s="93">
        <v>41608</v>
      </c>
      <c r="O512" s="94"/>
      <c r="P512" s="94"/>
      <c r="Q512" s="94">
        <v>402</v>
      </c>
      <c r="R512" s="95">
        <f t="shared" si="90"/>
        <v>12239.836938008266</v>
      </c>
      <c r="S512" s="94">
        <v>8009.8081999999995</v>
      </c>
      <c r="T512" s="94">
        <f t="shared" si="91"/>
        <v>8552.0722151400005</v>
      </c>
      <c r="U512" s="94">
        <f t="shared" si="92"/>
        <v>9043.8163675105516</v>
      </c>
      <c r="V512" s="94">
        <f t="shared" si="93"/>
        <v>9413.7084569417329</v>
      </c>
      <c r="W512" s="97">
        <f t="shared" si="94"/>
        <v>9713.0643858724798</v>
      </c>
      <c r="X512" s="97">
        <f t="shared" si="95"/>
        <v>10082.160832535634</v>
      </c>
      <c r="Y512" s="97">
        <f t="shared" si="99"/>
        <v>10244.483621939458</v>
      </c>
      <c r="Z512" s="97">
        <f t="shared" si="96"/>
        <v>10820.223601492457</v>
      </c>
      <c r="AA512" s="97">
        <f t="shared" si="97"/>
        <v>12239.836938008266</v>
      </c>
    </row>
    <row r="513" spans="1:27" x14ac:dyDescent="0.25">
      <c r="A513" s="102" t="s">
        <v>1301</v>
      </c>
      <c r="B513" s="87" t="s">
        <v>1302</v>
      </c>
      <c r="C513" s="88" t="s">
        <v>226</v>
      </c>
      <c r="D513" s="89" t="s">
        <v>262</v>
      </c>
      <c r="E513" s="90">
        <f t="shared" si="100"/>
        <v>14565</v>
      </c>
      <c r="F513" s="90">
        <f t="shared" si="98"/>
        <v>12239.836938008266</v>
      </c>
      <c r="G513" s="91">
        <v>0.19</v>
      </c>
      <c r="H513" s="91" t="s">
        <v>228</v>
      </c>
      <c r="I513" s="91" t="s">
        <v>228</v>
      </c>
      <c r="J513" s="91" t="s">
        <v>228</v>
      </c>
      <c r="K513" s="91" t="s">
        <v>228</v>
      </c>
      <c r="L513" s="92" t="s">
        <v>1300</v>
      </c>
      <c r="M513" s="91" t="str">
        <f t="shared" si="101"/>
        <v>VER ARCHIVO ANEXO</v>
      </c>
      <c r="N513" s="93">
        <v>41608</v>
      </c>
      <c r="O513" s="94"/>
      <c r="P513" s="94"/>
      <c r="Q513" s="94">
        <v>403</v>
      </c>
      <c r="R513" s="95">
        <f t="shared" si="90"/>
        <v>12239.836938008266</v>
      </c>
      <c r="S513" s="94">
        <v>8009.8081999999995</v>
      </c>
      <c r="T513" s="94">
        <f t="shared" si="91"/>
        <v>8552.0722151400005</v>
      </c>
      <c r="U513" s="94">
        <f t="shared" si="92"/>
        <v>9043.8163675105516</v>
      </c>
      <c r="V513" s="94">
        <f t="shared" si="93"/>
        <v>9413.7084569417329</v>
      </c>
      <c r="W513" s="97">
        <f t="shared" si="94"/>
        <v>9713.0643858724798</v>
      </c>
      <c r="X513" s="97">
        <f t="shared" si="95"/>
        <v>10082.160832535634</v>
      </c>
      <c r="Y513" s="97">
        <f t="shared" si="99"/>
        <v>10244.483621939458</v>
      </c>
      <c r="Z513" s="97">
        <f t="shared" si="96"/>
        <v>10820.223601492457</v>
      </c>
      <c r="AA513" s="97">
        <f t="shared" si="97"/>
        <v>12239.836938008266</v>
      </c>
    </row>
    <row r="514" spans="1:27" x14ac:dyDescent="0.25">
      <c r="A514" s="86" t="s">
        <v>1303</v>
      </c>
      <c r="B514" s="98" t="s">
        <v>1304</v>
      </c>
      <c r="C514" s="99" t="s">
        <v>226</v>
      </c>
      <c r="D514" s="100" t="s">
        <v>227</v>
      </c>
      <c r="E514" s="101">
        <f t="shared" si="100"/>
        <v>2569</v>
      </c>
      <c r="F514" s="90">
        <f t="shared" si="98"/>
        <v>2159.0394391750056</v>
      </c>
      <c r="G514" s="91">
        <v>0.19</v>
      </c>
      <c r="H514" s="91" t="s">
        <v>228</v>
      </c>
      <c r="I514" s="91" t="s">
        <v>228</v>
      </c>
      <c r="J514" s="91" t="s">
        <v>228</v>
      </c>
      <c r="K514" s="91" t="s">
        <v>228</v>
      </c>
      <c r="L514" s="92" t="s">
        <v>1305</v>
      </c>
      <c r="M514" s="91" t="str">
        <f t="shared" si="101"/>
        <v>VER ARCHIVO ANEXO</v>
      </c>
      <c r="N514" s="93">
        <v>41608</v>
      </c>
      <c r="O514" s="94"/>
      <c r="P514" s="94"/>
      <c r="Q514" s="94">
        <v>404</v>
      </c>
      <c r="R514" s="95">
        <f t="shared" si="90"/>
        <v>2159.0394391750056</v>
      </c>
      <c r="S514" s="94">
        <v>1412.8858</v>
      </c>
      <c r="T514" s="94">
        <f t="shared" si="91"/>
        <v>1508.5381686600001</v>
      </c>
      <c r="U514" s="94">
        <f t="shared" si="92"/>
        <v>1595.2791133579503</v>
      </c>
      <c r="V514" s="94">
        <f t="shared" si="93"/>
        <v>1660.5260290942904</v>
      </c>
      <c r="W514" s="97">
        <f t="shared" si="94"/>
        <v>1713.3307568194889</v>
      </c>
      <c r="X514" s="97">
        <f t="shared" si="95"/>
        <v>1778.4373255786295</v>
      </c>
      <c r="Y514" s="97">
        <f t="shared" si="99"/>
        <v>1807.0701665204454</v>
      </c>
      <c r="Z514" s="97">
        <f t="shared" si="96"/>
        <v>1908.6275098788944</v>
      </c>
      <c r="AA514" s="97">
        <f t="shared" si="97"/>
        <v>2159.0394391750056</v>
      </c>
    </row>
    <row r="515" spans="1:27" x14ac:dyDescent="0.25">
      <c r="A515" s="102" t="s">
        <v>1306</v>
      </c>
      <c r="B515" s="87" t="s">
        <v>1307</v>
      </c>
      <c r="C515" s="88" t="s">
        <v>226</v>
      </c>
      <c r="D515" s="89" t="s">
        <v>262</v>
      </c>
      <c r="E515" s="90">
        <f t="shared" si="100"/>
        <v>341</v>
      </c>
      <c r="F515" s="90">
        <f t="shared" si="98"/>
        <v>286.71029969968896</v>
      </c>
      <c r="G515" s="91">
        <v>0.19</v>
      </c>
      <c r="H515" s="91" t="s">
        <v>228</v>
      </c>
      <c r="I515" s="91" t="s">
        <v>228</v>
      </c>
      <c r="J515" s="91" t="s">
        <v>228</v>
      </c>
      <c r="K515" s="91" t="s">
        <v>228</v>
      </c>
      <c r="L515" s="92" t="s">
        <v>1308</v>
      </c>
      <c r="M515" s="91" t="str">
        <f t="shared" si="101"/>
        <v>VER ARCHIVO ANEXO</v>
      </c>
      <c r="N515" s="93">
        <v>41608</v>
      </c>
      <c r="O515" s="94"/>
      <c r="P515" s="94"/>
      <c r="Q515" s="94">
        <v>405</v>
      </c>
      <c r="R515" s="95">
        <f t="shared" si="90"/>
        <v>286.71029969968896</v>
      </c>
      <c r="S515" s="94">
        <v>187.62459999999999</v>
      </c>
      <c r="T515" s="94">
        <f t="shared" si="91"/>
        <v>200.32678541999999</v>
      </c>
      <c r="U515" s="94">
        <f t="shared" si="92"/>
        <v>211.84557558165002</v>
      </c>
      <c r="V515" s="94">
        <f t="shared" si="93"/>
        <v>220.51005962293951</v>
      </c>
      <c r="W515" s="97">
        <f t="shared" si="94"/>
        <v>227.52227951894901</v>
      </c>
      <c r="X515" s="97">
        <f t="shared" si="95"/>
        <v>236.16812614066907</v>
      </c>
      <c r="Y515" s="97">
        <f t="shared" si="99"/>
        <v>239.97043297153385</v>
      </c>
      <c r="Z515" s="97">
        <f t="shared" si="96"/>
        <v>253.45677130453407</v>
      </c>
      <c r="AA515" s="97">
        <f t="shared" si="97"/>
        <v>286.71029969968896</v>
      </c>
    </row>
    <row r="516" spans="1:27" x14ac:dyDescent="0.25">
      <c r="A516" s="102" t="s">
        <v>1309</v>
      </c>
      <c r="B516" s="87" t="s">
        <v>1310</v>
      </c>
      <c r="C516" s="88" t="s">
        <v>226</v>
      </c>
      <c r="D516" s="89" t="s">
        <v>262</v>
      </c>
      <c r="E516" s="90">
        <f t="shared" si="100"/>
        <v>1284</v>
      </c>
      <c r="F516" s="90">
        <f t="shared" si="98"/>
        <v>1078.7277021850173</v>
      </c>
      <c r="G516" s="91">
        <v>0.19</v>
      </c>
      <c r="H516" s="91" t="s">
        <v>228</v>
      </c>
      <c r="I516" s="91" t="s">
        <v>228</v>
      </c>
      <c r="J516" s="91" t="s">
        <v>228</v>
      </c>
      <c r="K516" s="91" t="s">
        <v>228</v>
      </c>
      <c r="L516" s="92" t="s">
        <v>1308</v>
      </c>
      <c r="M516" s="91" t="str">
        <f t="shared" si="101"/>
        <v>VER ARCHIVO ANEXO</v>
      </c>
      <c r="N516" s="93">
        <v>41608</v>
      </c>
      <c r="O516" s="94"/>
      <c r="P516" s="94"/>
      <c r="Q516" s="94">
        <v>406</v>
      </c>
      <c r="R516" s="95">
        <f t="shared" si="90"/>
        <v>1078.7277021850173</v>
      </c>
      <c r="S516" s="94">
        <v>705.92459999999994</v>
      </c>
      <c r="T516" s="94">
        <f t="shared" si="91"/>
        <v>753.71569541999997</v>
      </c>
      <c r="U516" s="94">
        <f t="shared" si="92"/>
        <v>797.05434790665004</v>
      </c>
      <c r="V516" s="94">
        <f t="shared" si="93"/>
        <v>829.65387073603199</v>
      </c>
      <c r="W516" s="97">
        <f t="shared" si="94"/>
        <v>856.03686382543788</v>
      </c>
      <c r="X516" s="97">
        <f t="shared" si="95"/>
        <v>888.56626465080456</v>
      </c>
      <c r="Y516" s="97">
        <f t="shared" si="99"/>
        <v>902.87218151168247</v>
      </c>
      <c r="Z516" s="97">
        <f t="shared" si="96"/>
        <v>953.61359811263901</v>
      </c>
      <c r="AA516" s="97">
        <f t="shared" si="97"/>
        <v>1078.7277021850173</v>
      </c>
    </row>
    <row r="517" spans="1:27" x14ac:dyDescent="0.25">
      <c r="A517" s="102" t="s">
        <v>1311</v>
      </c>
      <c r="B517" s="98" t="s">
        <v>1312</v>
      </c>
      <c r="C517" s="99" t="s">
        <v>226</v>
      </c>
      <c r="D517" s="100" t="s">
        <v>255</v>
      </c>
      <c r="E517" s="101">
        <f t="shared" si="100"/>
        <v>170</v>
      </c>
      <c r="F517" s="90">
        <f t="shared" si="98"/>
        <v>142.56313244735912</v>
      </c>
      <c r="G517" s="91">
        <v>0.19</v>
      </c>
      <c r="H517" s="91" t="s">
        <v>228</v>
      </c>
      <c r="I517" s="91" t="s">
        <v>228</v>
      </c>
      <c r="J517" s="91" t="s">
        <v>228</v>
      </c>
      <c r="K517" s="91" t="s">
        <v>228</v>
      </c>
      <c r="L517" s="92" t="s">
        <v>1313</v>
      </c>
      <c r="M517" s="91" t="str">
        <f t="shared" si="101"/>
        <v>VER ARCHIVO ANEXO</v>
      </c>
      <c r="N517" s="93">
        <v>41608</v>
      </c>
      <c r="O517" s="94"/>
      <c r="P517" s="94"/>
      <c r="Q517" s="94">
        <v>407</v>
      </c>
      <c r="R517" s="95">
        <f t="shared" si="90"/>
        <v>142.56313244735912</v>
      </c>
      <c r="S517" s="94">
        <v>93.293999999999997</v>
      </c>
      <c r="T517" s="94">
        <f t="shared" si="91"/>
        <v>99.610003800000001</v>
      </c>
      <c r="U517" s="94">
        <f t="shared" si="92"/>
        <v>105.33757901850001</v>
      </c>
      <c r="V517" s="94">
        <f t="shared" si="93"/>
        <v>109.64588600035665</v>
      </c>
      <c r="W517" s="97">
        <f t="shared" si="94"/>
        <v>113.132625175168</v>
      </c>
      <c r="X517" s="97">
        <f t="shared" si="95"/>
        <v>117.43166493182439</v>
      </c>
      <c r="Y517" s="97">
        <f t="shared" si="99"/>
        <v>119.32231473722676</v>
      </c>
      <c r="Z517" s="97">
        <f t="shared" si="96"/>
        <v>126.02822882545891</v>
      </c>
      <c r="AA517" s="97">
        <f t="shared" si="97"/>
        <v>142.56313244735912</v>
      </c>
    </row>
    <row r="518" spans="1:27" x14ac:dyDescent="0.25">
      <c r="A518" s="102" t="s">
        <v>1314</v>
      </c>
      <c r="B518" s="87" t="s">
        <v>1315</v>
      </c>
      <c r="C518" s="88" t="s">
        <v>226</v>
      </c>
      <c r="D518" s="89" t="s">
        <v>227</v>
      </c>
      <c r="E518" s="90">
        <f t="shared" si="100"/>
        <v>18166</v>
      </c>
      <c r="F518" s="90">
        <f t="shared" si="98"/>
        <v>15265.343415502222</v>
      </c>
      <c r="G518" s="91">
        <v>0.19</v>
      </c>
      <c r="H518" s="91" t="s">
        <v>228</v>
      </c>
      <c r="I518" s="91" t="s">
        <v>228</v>
      </c>
      <c r="J518" s="91" t="s">
        <v>228</v>
      </c>
      <c r="K518" s="91" t="s">
        <v>228</v>
      </c>
      <c r="L518" s="92" t="s">
        <v>302</v>
      </c>
      <c r="M518" s="91" t="str">
        <f t="shared" si="101"/>
        <v>no aplica</v>
      </c>
      <c r="N518" s="93">
        <v>41608</v>
      </c>
      <c r="O518" s="94"/>
      <c r="P518" s="94"/>
      <c r="Q518" s="94">
        <v>408</v>
      </c>
      <c r="R518" s="95">
        <f t="shared" si="90"/>
        <v>15265.343415502222</v>
      </c>
      <c r="S518" s="94">
        <v>9989.7142000000003</v>
      </c>
      <c r="T518" s="94">
        <f t="shared" si="91"/>
        <v>10666.017851340001</v>
      </c>
      <c r="U518" s="94">
        <f t="shared" si="92"/>
        <v>11279.313877792052</v>
      </c>
      <c r="V518" s="94">
        <f t="shared" si="93"/>
        <v>11740.637815393746</v>
      </c>
      <c r="W518" s="97">
        <f t="shared" si="94"/>
        <v>12113.990097923268</v>
      </c>
      <c r="X518" s="97">
        <f t="shared" si="95"/>
        <v>12574.321721644352</v>
      </c>
      <c r="Y518" s="97">
        <f t="shared" si="99"/>
        <v>12776.768301362827</v>
      </c>
      <c r="Z518" s="97">
        <f t="shared" si="96"/>
        <v>13494.822679899418</v>
      </c>
      <c r="AA518" s="97">
        <f t="shared" si="97"/>
        <v>15265.343415502222</v>
      </c>
    </row>
    <row r="519" spans="1:27" x14ac:dyDescent="0.25">
      <c r="A519" s="102" t="s">
        <v>1316</v>
      </c>
      <c r="B519" s="87" t="s">
        <v>1317</v>
      </c>
      <c r="C519" s="88" t="s">
        <v>226</v>
      </c>
      <c r="D519" s="89" t="s">
        <v>255</v>
      </c>
      <c r="E519" s="90">
        <f t="shared" si="100"/>
        <v>17137</v>
      </c>
      <c r="F519" s="90">
        <f t="shared" si="98"/>
        <v>14400.460411988239</v>
      </c>
      <c r="G519" s="91">
        <v>0.19</v>
      </c>
      <c r="H519" s="91" t="s">
        <v>228</v>
      </c>
      <c r="I519" s="91" t="s">
        <v>228</v>
      </c>
      <c r="J519" s="91" t="s">
        <v>228</v>
      </c>
      <c r="K519" s="91" t="s">
        <v>228</v>
      </c>
      <c r="L519" s="92" t="s">
        <v>1318</v>
      </c>
      <c r="M519" s="91" t="str">
        <f t="shared" si="101"/>
        <v>VER ARCHIVO ANEXO</v>
      </c>
      <c r="N519" s="93">
        <v>41608</v>
      </c>
      <c r="O519" s="94"/>
      <c r="P519" s="94"/>
      <c r="Q519" s="94">
        <v>409</v>
      </c>
      <c r="R519" s="95">
        <f t="shared" ref="R519:R582" si="102">+AA519</f>
        <v>14400.460411988239</v>
      </c>
      <c r="S519" s="94">
        <v>9423.730599999999</v>
      </c>
      <c r="T519" s="94">
        <f t="shared" ref="T519:T583" si="103">+S519*1.0677</f>
        <v>10061.717161619999</v>
      </c>
      <c r="U519" s="94">
        <f t="shared" ref="U519:U583" si="104">+T519*(1+$U$4)</f>
        <v>10640.26589841315</v>
      </c>
      <c r="V519" s="94">
        <f t="shared" ref="V519:V583" si="105">+U519*(1+$V$4)</f>
        <v>11075.452773658248</v>
      </c>
      <c r="W519" s="97">
        <f t="shared" ref="W519:W583" si="106">+V519*(1+$W$4)</f>
        <v>11427.65217186058</v>
      </c>
      <c r="X519" s="97">
        <f t="shared" ref="X519:X583" si="107">+W519*(1+$X$4)</f>
        <v>11861.902954391282</v>
      </c>
      <c r="Y519" s="97">
        <f t="shared" si="99"/>
        <v>12052.879591956982</v>
      </c>
      <c r="Z519" s="97">
        <f t="shared" ref="Z519:Z582" si="108">+Y519*(1+$Z$4)</f>
        <v>12730.251425024964</v>
      </c>
      <c r="AA519" s="97">
        <f t="shared" ref="AA519:AA582" si="109">+Z519*(1+$AA$4)</f>
        <v>14400.460411988239</v>
      </c>
    </row>
    <row r="520" spans="1:27" x14ac:dyDescent="0.25">
      <c r="A520" s="102" t="s">
        <v>1319</v>
      </c>
      <c r="B520" s="87" t="s">
        <v>1320</v>
      </c>
      <c r="C520" s="88" t="s">
        <v>226</v>
      </c>
      <c r="D520" s="89" t="s">
        <v>227</v>
      </c>
      <c r="E520" s="90">
        <f t="shared" si="100"/>
        <v>1361</v>
      </c>
      <c r="F520" s="90">
        <f t="shared" ref="F520:F584" si="110">R520</f>
        <v>1143.6731291888143</v>
      </c>
      <c r="G520" s="91">
        <v>0.19</v>
      </c>
      <c r="H520" s="91" t="s">
        <v>228</v>
      </c>
      <c r="I520" s="91" t="s">
        <v>228</v>
      </c>
      <c r="J520" s="91" t="s">
        <v>228</v>
      </c>
      <c r="K520" s="91" t="s">
        <v>228</v>
      </c>
      <c r="L520" s="92" t="s">
        <v>1321</v>
      </c>
      <c r="M520" s="91" t="str">
        <f t="shared" si="101"/>
        <v>VER ARCHIVO ANEXO</v>
      </c>
      <c r="N520" s="93">
        <v>41608</v>
      </c>
      <c r="O520" s="94"/>
      <c r="P520" s="94"/>
      <c r="Q520" s="94">
        <v>410</v>
      </c>
      <c r="R520" s="95">
        <f t="shared" si="102"/>
        <v>1143.6731291888143</v>
      </c>
      <c r="S520" s="94">
        <v>748.42520000000002</v>
      </c>
      <c r="T520" s="94">
        <f t="shared" si="103"/>
        <v>799.0935860400001</v>
      </c>
      <c r="U520" s="94">
        <f t="shared" si="104"/>
        <v>845.04146723730014</v>
      </c>
      <c r="V520" s="94">
        <f t="shared" si="105"/>
        <v>879.60366324730569</v>
      </c>
      <c r="W520" s="97">
        <f t="shared" si="106"/>
        <v>907.57505973857008</v>
      </c>
      <c r="X520" s="97">
        <f t="shared" si="107"/>
        <v>942.06291200863575</v>
      </c>
      <c r="Y520" s="97">
        <f t="shared" ref="Y520:Y583" si="111">+X520*(1+$Y$4)</f>
        <v>957.23012489197481</v>
      </c>
      <c r="Z520" s="97">
        <f t="shared" si="108"/>
        <v>1011.0264579109038</v>
      </c>
      <c r="AA520" s="97">
        <f t="shared" si="109"/>
        <v>1143.6731291888143</v>
      </c>
    </row>
    <row r="521" spans="1:27" x14ac:dyDescent="0.25">
      <c r="A521" s="102" t="s">
        <v>1322</v>
      </c>
      <c r="B521" s="110" t="s">
        <v>1323</v>
      </c>
      <c r="C521" s="88" t="s">
        <v>226</v>
      </c>
      <c r="D521" s="89" t="s">
        <v>227</v>
      </c>
      <c r="E521" s="90">
        <f t="shared" ref="E521:E585" si="112">+ROUND(F521*(1+G521),0)</f>
        <v>75408</v>
      </c>
      <c r="F521" s="90">
        <f t="shared" si="110"/>
        <v>63367.728338046159</v>
      </c>
      <c r="G521" s="91">
        <v>0.19</v>
      </c>
      <c r="H521" s="91" t="s">
        <v>228</v>
      </c>
      <c r="I521" s="91" t="s">
        <v>228</v>
      </c>
      <c r="J521" s="91" t="s">
        <v>228</v>
      </c>
      <c r="K521" s="91" t="s">
        <v>228</v>
      </c>
      <c r="L521" s="92" t="s">
        <v>302</v>
      </c>
      <c r="M521" s="91" t="str">
        <f t="shared" si="101"/>
        <v>no aplica</v>
      </c>
      <c r="N521" s="93">
        <v>41608</v>
      </c>
      <c r="O521" s="94"/>
      <c r="P521" s="94"/>
      <c r="Q521" s="94">
        <v>411</v>
      </c>
      <c r="R521" s="95">
        <f t="shared" si="102"/>
        <v>63367.728338046159</v>
      </c>
      <c r="S521" s="94">
        <v>41468.146399999998</v>
      </c>
      <c r="T521" s="94">
        <f t="shared" si="103"/>
        <v>44275.539911280001</v>
      </c>
      <c r="U521" s="94">
        <f t="shared" si="104"/>
        <v>46821.383456178606</v>
      </c>
      <c r="V521" s="94">
        <f t="shared" si="105"/>
        <v>48736.378039536306</v>
      </c>
      <c r="W521" s="97">
        <f t="shared" si="106"/>
        <v>50286.194861193566</v>
      </c>
      <c r="X521" s="97">
        <f t="shared" si="107"/>
        <v>52197.070265918926</v>
      </c>
      <c r="Y521" s="97">
        <f t="shared" si="111"/>
        <v>53037.443097200223</v>
      </c>
      <c r="Z521" s="97">
        <f t="shared" si="108"/>
        <v>56018.147399262874</v>
      </c>
      <c r="AA521" s="97">
        <f t="shared" si="109"/>
        <v>63367.728338046159</v>
      </c>
    </row>
    <row r="522" spans="1:27" x14ac:dyDescent="0.25">
      <c r="A522" s="102" t="s">
        <v>1324</v>
      </c>
      <c r="B522" s="119" t="s">
        <v>1325</v>
      </c>
      <c r="C522" s="88" t="s">
        <v>226</v>
      </c>
      <c r="D522" s="89" t="s">
        <v>262</v>
      </c>
      <c r="E522" s="90">
        <f t="shared" si="112"/>
        <v>205488</v>
      </c>
      <c r="F522" s="90">
        <f t="shared" si="110"/>
        <v>172678.80215946131</v>
      </c>
      <c r="G522" s="91">
        <v>0.19</v>
      </c>
      <c r="H522" s="91" t="s">
        <v>228</v>
      </c>
      <c r="I522" s="91" t="s">
        <v>228</v>
      </c>
      <c r="J522" s="91" t="s">
        <v>228</v>
      </c>
      <c r="K522" s="91" t="s">
        <v>228</v>
      </c>
      <c r="L522" s="92" t="s">
        <v>302</v>
      </c>
      <c r="M522" s="91" t="str">
        <f t="shared" si="101"/>
        <v>no aplica</v>
      </c>
      <c r="N522" s="93">
        <v>41608</v>
      </c>
      <c r="O522" s="94"/>
      <c r="P522" s="94"/>
      <c r="Q522" s="94">
        <v>412</v>
      </c>
      <c r="R522" s="95">
        <f t="shared" si="102"/>
        <v>172678.80215946131</v>
      </c>
      <c r="S522" s="94">
        <v>113001.8392</v>
      </c>
      <c r="T522" s="94">
        <f t="shared" si="103"/>
        <v>120652.06371384002</v>
      </c>
      <c r="U522" s="94">
        <f t="shared" si="104"/>
        <v>127589.55737738583</v>
      </c>
      <c r="V522" s="94">
        <f t="shared" si="105"/>
        <v>132807.97027412092</v>
      </c>
      <c r="W522" s="97">
        <f t="shared" si="106"/>
        <v>137031.26372883798</v>
      </c>
      <c r="X522" s="97">
        <f t="shared" si="107"/>
        <v>142238.45175053383</v>
      </c>
      <c r="Y522" s="97">
        <f t="shared" si="111"/>
        <v>144528.49082371744</v>
      </c>
      <c r="Z522" s="97">
        <f t="shared" si="108"/>
        <v>152650.99200801036</v>
      </c>
      <c r="AA522" s="97">
        <f t="shared" si="109"/>
        <v>172678.80215946131</v>
      </c>
    </row>
    <row r="523" spans="1:27" x14ac:dyDescent="0.25">
      <c r="A523" s="102" t="s">
        <v>1326</v>
      </c>
      <c r="B523" s="87" t="s">
        <v>1327</v>
      </c>
      <c r="C523" s="88" t="s">
        <v>226</v>
      </c>
      <c r="D523" s="89" t="s">
        <v>1328</v>
      </c>
      <c r="E523" s="90">
        <f t="shared" si="112"/>
        <v>8224</v>
      </c>
      <c r="F523" s="90">
        <f t="shared" si="110"/>
        <v>6911.1438540869776</v>
      </c>
      <c r="G523" s="91">
        <v>0.19</v>
      </c>
      <c r="H523" s="91" t="s">
        <v>228</v>
      </c>
      <c r="I523" s="91" t="s">
        <v>228</v>
      </c>
      <c r="J523" s="91" t="s">
        <v>228</v>
      </c>
      <c r="K523" s="91" t="s">
        <v>228</v>
      </c>
      <c r="L523" s="92" t="s">
        <v>302</v>
      </c>
      <c r="M523" s="91" t="str">
        <f t="shared" si="101"/>
        <v>no aplica</v>
      </c>
      <c r="N523" s="93">
        <v>41608</v>
      </c>
      <c r="O523" s="94"/>
      <c r="P523" s="94"/>
      <c r="Q523" s="94">
        <v>413</v>
      </c>
      <c r="R523" s="95">
        <f t="shared" si="102"/>
        <v>6911.1438540869776</v>
      </c>
      <c r="S523" s="94">
        <v>4522.6858000000002</v>
      </c>
      <c r="T523" s="94">
        <f t="shared" si="103"/>
        <v>4828.8716286600011</v>
      </c>
      <c r="U523" s="94">
        <f t="shared" si="104"/>
        <v>5106.5317473079513</v>
      </c>
      <c r="V523" s="94">
        <f t="shared" si="105"/>
        <v>5315.3888957728459</v>
      </c>
      <c r="W523" s="97">
        <f t="shared" si="106"/>
        <v>5484.4182626584225</v>
      </c>
      <c r="X523" s="97">
        <f t="shared" si="107"/>
        <v>5692.8261566394431</v>
      </c>
      <c r="Y523" s="97">
        <f t="shared" si="111"/>
        <v>5784.4806577613381</v>
      </c>
      <c r="Z523" s="97">
        <f t="shared" si="108"/>
        <v>6109.5684707275259</v>
      </c>
      <c r="AA523" s="97">
        <f t="shared" si="109"/>
        <v>6911.1438540869776</v>
      </c>
    </row>
    <row r="524" spans="1:27" x14ac:dyDescent="0.25">
      <c r="A524" s="102" t="s">
        <v>1329</v>
      </c>
      <c r="B524" s="87" t="s">
        <v>1330</v>
      </c>
      <c r="C524" s="88" t="s">
        <v>226</v>
      </c>
      <c r="D524" s="89" t="s">
        <v>4</v>
      </c>
      <c r="E524" s="90">
        <f t="shared" si="112"/>
        <v>35208</v>
      </c>
      <c r="F524" s="90">
        <f t="shared" si="110"/>
        <v>29586.856989394451</v>
      </c>
      <c r="G524" s="91">
        <v>0.19</v>
      </c>
      <c r="H524" s="91" t="s">
        <v>228</v>
      </c>
      <c r="I524" s="91" t="s">
        <v>228</v>
      </c>
      <c r="J524" s="91" t="s">
        <v>228</v>
      </c>
      <c r="K524" s="91" t="s">
        <v>228</v>
      </c>
      <c r="L524" s="92" t="s">
        <v>229</v>
      </c>
      <c r="M524" s="91" t="str">
        <f t="shared" si="101"/>
        <v>VER ARCHIVO ANEXO</v>
      </c>
      <c r="N524" s="93">
        <v>41608</v>
      </c>
      <c r="O524" s="94"/>
      <c r="P524" s="94"/>
      <c r="Q524" s="94">
        <v>414</v>
      </c>
      <c r="R524" s="95">
        <f t="shared" si="102"/>
        <v>29586.856989394451</v>
      </c>
      <c r="S524" s="94">
        <v>19361.781609195401</v>
      </c>
      <c r="T524" s="94">
        <f t="shared" si="103"/>
        <v>20672.57422413793</v>
      </c>
      <c r="U524" s="94">
        <f t="shared" si="104"/>
        <v>21861.247242025864</v>
      </c>
      <c r="V524" s="94">
        <f t="shared" si="105"/>
        <v>22755.37225422472</v>
      </c>
      <c r="W524" s="97">
        <f t="shared" si="106"/>
        <v>23478.993091909066</v>
      </c>
      <c r="X524" s="97">
        <f t="shared" si="107"/>
        <v>24371.194829401611</v>
      </c>
      <c r="Y524" s="97">
        <f t="shared" si="111"/>
        <v>24763.571066154978</v>
      </c>
      <c r="Z524" s="97">
        <f t="shared" si="108"/>
        <v>26155.283760072889</v>
      </c>
      <c r="AA524" s="97">
        <f t="shared" si="109"/>
        <v>29586.856989394451</v>
      </c>
    </row>
    <row r="525" spans="1:27" x14ac:dyDescent="0.25">
      <c r="A525" s="102" t="s">
        <v>1331</v>
      </c>
      <c r="B525" s="87" t="s">
        <v>1332</v>
      </c>
      <c r="C525" s="88" t="s">
        <v>226</v>
      </c>
      <c r="D525" s="89" t="s">
        <v>4</v>
      </c>
      <c r="E525" s="90">
        <f t="shared" si="112"/>
        <v>48328</v>
      </c>
      <c r="F525" s="90">
        <f t="shared" si="110"/>
        <v>40611.484329837709</v>
      </c>
      <c r="G525" s="91">
        <v>0.19</v>
      </c>
      <c r="H525" s="91" t="s">
        <v>228</v>
      </c>
      <c r="I525" s="91" t="s">
        <v>228</v>
      </c>
      <c r="J525" s="91" t="s">
        <v>228</v>
      </c>
      <c r="K525" s="91" t="s">
        <v>228</v>
      </c>
      <c r="L525" s="92" t="s">
        <v>1333</v>
      </c>
      <c r="M525" s="91" t="str">
        <f t="shared" si="101"/>
        <v>VER ARCHIVO ANEXO</v>
      </c>
      <c r="N525" s="93">
        <v>41608</v>
      </c>
      <c r="O525" s="94"/>
      <c r="P525" s="94"/>
      <c r="Q525" s="94">
        <v>415</v>
      </c>
      <c r="R525" s="95">
        <f t="shared" si="102"/>
        <v>40611.484329837709</v>
      </c>
      <c r="S525" s="94">
        <v>26576.3508</v>
      </c>
      <c r="T525" s="94">
        <f t="shared" si="103"/>
        <v>28375.569749160004</v>
      </c>
      <c r="U525" s="94">
        <f t="shared" si="104"/>
        <v>30007.165009736706</v>
      </c>
      <c r="V525" s="94">
        <f t="shared" si="105"/>
        <v>31234.458058634937</v>
      </c>
      <c r="W525" s="97">
        <f t="shared" si="106"/>
        <v>32227.713824899529</v>
      </c>
      <c r="X525" s="97">
        <f t="shared" si="107"/>
        <v>33452.366950245712</v>
      </c>
      <c r="Y525" s="97">
        <f t="shared" si="111"/>
        <v>33990.95005814467</v>
      </c>
      <c r="Z525" s="97">
        <f t="shared" si="108"/>
        <v>35901.241451412403</v>
      </c>
      <c r="AA525" s="97">
        <f t="shared" si="109"/>
        <v>40611.484329837709</v>
      </c>
    </row>
    <row r="526" spans="1:27" x14ac:dyDescent="0.25">
      <c r="A526" s="102" t="s">
        <v>1334</v>
      </c>
      <c r="B526" s="98" t="s">
        <v>1335</v>
      </c>
      <c r="C526" s="99" t="s">
        <v>226</v>
      </c>
      <c r="D526" s="100" t="s">
        <v>262</v>
      </c>
      <c r="E526" s="101">
        <f t="shared" si="112"/>
        <v>27250</v>
      </c>
      <c r="F526" s="90">
        <f t="shared" si="110"/>
        <v>22898.807140655819</v>
      </c>
      <c r="G526" s="91">
        <v>0.19</v>
      </c>
      <c r="H526" s="91" t="s">
        <v>228</v>
      </c>
      <c r="I526" s="91" t="s">
        <v>228</v>
      </c>
      <c r="J526" s="91" t="s">
        <v>228</v>
      </c>
      <c r="K526" s="91" t="s">
        <v>228</v>
      </c>
      <c r="L526" s="92" t="s">
        <v>1336</v>
      </c>
      <c r="M526" s="91" t="str">
        <f t="shared" si="101"/>
        <v>VER ARCHIVO ANEXO</v>
      </c>
      <c r="N526" s="93">
        <v>41608</v>
      </c>
      <c r="O526" s="94"/>
      <c r="P526" s="94"/>
      <c r="Q526" s="94">
        <v>416</v>
      </c>
      <c r="R526" s="95">
        <f t="shared" si="102"/>
        <v>22898.807140655819</v>
      </c>
      <c r="S526" s="94">
        <v>14985.089599999999</v>
      </c>
      <c r="T526" s="94">
        <f t="shared" si="103"/>
        <v>15999.580165920001</v>
      </c>
      <c r="U526" s="94">
        <f t="shared" si="104"/>
        <v>16919.556025460402</v>
      </c>
      <c r="V526" s="94">
        <f t="shared" si="105"/>
        <v>17611.565866901732</v>
      </c>
      <c r="W526" s="97">
        <f t="shared" si="106"/>
        <v>18171.613661469208</v>
      </c>
      <c r="X526" s="97">
        <f t="shared" si="107"/>
        <v>18862.134980605038</v>
      </c>
      <c r="Y526" s="97">
        <f t="shared" si="111"/>
        <v>19165.815353792779</v>
      </c>
      <c r="Z526" s="97">
        <f t="shared" si="108"/>
        <v>20242.934176675935</v>
      </c>
      <c r="AA526" s="97">
        <f t="shared" si="109"/>
        <v>22898.807140655819</v>
      </c>
    </row>
    <row r="527" spans="1:27" x14ac:dyDescent="0.25">
      <c r="A527" s="102" t="s">
        <v>1337</v>
      </c>
      <c r="B527" s="87" t="s">
        <v>1338</v>
      </c>
      <c r="C527" s="88" t="s">
        <v>226</v>
      </c>
      <c r="D527" s="89" t="s">
        <v>262</v>
      </c>
      <c r="E527" s="90">
        <f t="shared" si="112"/>
        <v>4053</v>
      </c>
      <c r="F527" s="90">
        <f t="shared" si="110"/>
        <v>3405.6748306869122</v>
      </c>
      <c r="G527" s="91">
        <v>0.19</v>
      </c>
      <c r="H527" s="91" t="s">
        <v>228</v>
      </c>
      <c r="I527" s="91" t="s">
        <v>228</v>
      </c>
      <c r="J527" s="91" t="s">
        <v>228</v>
      </c>
      <c r="K527" s="91" t="s">
        <v>228</v>
      </c>
      <c r="L527" s="92" t="s">
        <v>302</v>
      </c>
      <c r="M527" s="91" t="str">
        <f t="shared" si="101"/>
        <v>no aplica</v>
      </c>
      <c r="N527" s="93">
        <v>41608</v>
      </c>
      <c r="O527" s="94"/>
      <c r="P527" s="94"/>
      <c r="Q527" s="94">
        <v>417</v>
      </c>
      <c r="R527" s="95">
        <f t="shared" si="102"/>
        <v>3405.6748306869122</v>
      </c>
      <c r="S527" s="94">
        <v>2228.69</v>
      </c>
      <c r="T527" s="94">
        <f t="shared" si="103"/>
        <v>2379.5723130000001</v>
      </c>
      <c r="U527" s="94">
        <f t="shared" si="104"/>
        <v>2516.3977209975005</v>
      </c>
      <c r="V527" s="94">
        <f t="shared" si="105"/>
        <v>2619.318387786298</v>
      </c>
      <c r="W527" s="97">
        <f t="shared" si="106"/>
        <v>2702.6127125179023</v>
      </c>
      <c r="X527" s="97">
        <f t="shared" si="107"/>
        <v>2805.3119955935827</v>
      </c>
      <c r="Y527" s="97">
        <f t="shared" si="111"/>
        <v>2850.4775187226392</v>
      </c>
      <c r="Z527" s="97">
        <f t="shared" si="108"/>
        <v>3010.6743552748517</v>
      </c>
      <c r="AA527" s="97">
        <f t="shared" si="109"/>
        <v>3405.6748306869122</v>
      </c>
    </row>
    <row r="528" spans="1:27" x14ac:dyDescent="0.25">
      <c r="A528" s="102" t="s">
        <v>1339</v>
      </c>
      <c r="B528" s="87" t="s">
        <v>1340</v>
      </c>
      <c r="C528" s="88" t="s">
        <v>226</v>
      </c>
      <c r="D528" s="89" t="s">
        <v>227</v>
      </c>
      <c r="E528" s="90">
        <f t="shared" si="112"/>
        <v>2741</v>
      </c>
      <c r="F528" s="90">
        <f t="shared" si="110"/>
        <v>2303.1866064273354</v>
      </c>
      <c r="G528" s="91">
        <v>0.19</v>
      </c>
      <c r="H528" s="91" t="s">
        <v>228</v>
      </c>
      <c r="I528" s="91" t="s">
        <v>228</v>
      </c>
      <c r="J528" s="91" t="s">
        <v>228</v>
      </c>
      <c r="K528" s="91" t="s">
        <v>228</v>
      </c>
      <c r="L528" s="92" t="s">
        <v>1341</v>
      </c>
      <c r="M528" s="91" t="str">
        <f t="shared" si="101"/>
        <v>VER ARCHIVO ANEXO</v>
      </c>
      <c r="N528" s="93">
        <v>41608</v>
      </c>
      <c r="O528" s="94"/>
      <c r="P528" s="94"/>
      <c r="Q528" s="94">
        <v>418</v>
      </c>
      <c r="R528" s="95">
        <f t="shared" si="102"/>
        <v>2303.1866064273354</v>
      </c>
      <c r="S528" s="94">
        <v>1507.2164</v>
      </c>
      <c r="T528" s="94">
        <f t="shared" si="103"/>
        <v>1609.2549502800002</v>
      </c>
      <c r="U528" s="94">
        <f t="shared" si="104"/>
        <v>1701.7871099211004</v>
      </c>
      <c r="V528" s="94">
        <f t="shared" si="105"/>
        <v>1771.3902027168733</v>
      </c>
      <c r="W528" s="97">
        <f t="shared" si="106"/>
        <v>1827.72041116327</v>
      </c>
      <c r="X528" s="97">
        <f t="shared" si="107"/>
        <v>1897.1737867874742</v>
      </c>
      <c r="Y528" s="97">
        <f t="shared" si="111"/>
        <v>1927.7182847547526</v>
      </c>
      <c r="Z528" s="97">
        <f t="shared" si="108"/>
        <v>2036.0560523579697</v>
      </c>
      <c r="AA528" s="97">
        <f t="shared" si="109"/>
        <v>2303.1866064273354</v>
      </c>
    </row>
    <row r="529" spans="1:27" x14ac:dyDescent="0.25">
      <c r="A529" s="102" t="s">
        <v>1342</v>
      </c>
      <c r="B529" s="87" t="s">
        <v>1343</v>
      </c>
      <c r="C529" s="88" t="s">
        <v>226</v>
      </c>
      <c r="D529" s="89" t="s">
        <v>814</v>
      </c>
      <c r="E529" s="90">
        <f t="shared" si="112"/>
        <v>102829</v>
      </c>
      <c r="F529" s="90">
        <f t="shared" si="110"/>
        <v>86410.682645954323</v>
      </c>
      <c r="G529" s="91">
        <v>0.19</v>
      </c>
      <c r="H529" s="91" t="s">
        <v>228</v>
      </c>
      <c r="I529" s="91" t="s">
        <v>228</v>
      </c>
      <c r="J529" s="91" t="s">
        <v>228</v>
      </c>
      <c r="K529" s="91" t="s">
        <v>228</v>
      </c>
      <c r="L529" s="92" t="s">
        <v>1344</v>
      </c>
      <c r="M529" s="91" t="str">
        <f t="shared" si="101"/>
        <v>VER ARCHIVO ANEXO</v>
      </c>
      <c r="N529" s="93">
        <v>41608</v>
      </c>
      <c r="O529" s="94"/>
      <c r="P529" s="94"/>
      <c r="Q529" s="94">
        <v>419</v>
      </c>
      <c r="R529" s="95">
        <f t="shared" si="102"/>
        <v>86410.682645954323</v>
      </c>
      <c r="S529" s="94">
        <v>56547.566599999998</v>
      </c>
      <c r="T529" s="94">
        <f t="shared" si="103"/>
        <v>60375.836858820003</v>
      </c>
      <c r="U529" s="94">
        <f t="shared" si="104"/>
        <v>63847.447478202157</v>
      </c>
      <c r="V529" s="94">
        <f t="shared" si="105"/>
        <v>66458.808080060626</v>
      </c>
      <c r="W529" s="97">
        <f t="shared" si="106"/>
        <v>68572.198177006561</v>
      </c>
      <c r="X529" s="97">
        <f t="shared" si="107"/>
        <v>71177.941707732811</v>
      </c>
      <c r="Y529" s="97">
        <f t="shared" si="111"/>
        <v>72323.906569227314</v>
      </c>
      <c r="Z529" s="97">
        <f t="shared" si="108"/>
        <v>76388.510118417893</v>
      </c>
      <c r="AA529" s="97">
        <f t="shared" si="109"/>
        <v>86410.682645954323</v>
      </c>
    </row>
    <row r="530" spans="1:27" x14ac:dyDescent="0.25">
      <c r="A530" s="102" t="s">
        <v>1345</v>
      </c>
      <c r="B530" s="87" t="s">
        <v>1346</v>
      </c>
      <c r="C530" s="88" t="s">
        <v>226</v>
      </c>
      <c r="D530" s="89" t="s">
        <v>262</v>
      </c>
      <c r="E530" s="90">
        <f t="shared" si="112"/>
        <v>497354</v>
      </c>
      <c r="F530" s="90">
        <f t="shared" si="110"/>
        <v>417944.41522189789</v>
      </c>
      <c r="G530" s="91">
        <v>0.19</v>
      </c>
      <c r="H530" s="91" t="s">
        <v>228</v>
      </c>
      <c r="I530" s="91" t="s">
        <v>228</v>
      </c>
      <c r="J530" s="91" t="s">
        <v>228</v>
      </c>
      <c r="K530" s="91" t="s">
        <v>228</v>
      </c>
      <c r="L530" s="92" t="s">
        <v>1347</v>
      </c>
      <c r="M530" s="91" t="str">
        <f t="shared" si="101"/>
        <v>VER ARCHIVO ANEXO</v>
      </c>
      <c r="N530" s="93">
        <v>41608</v>
      </c>
      <c r="O530" s="94"/>
      <c r="P530" s="94"/>
      <c r="Q530" s="94">
        <v>420</v>
      </c>
      <c r="R530" s="95">
        <f t="shared" si="102"/>
        <v>417944.41522189789</v>
      </c>
      <c r="S530" s="94">
        <v>273504.83679999999</v>
      </c>
      <c r="T530" s="94">
        <f t="shared" si="103"/>
        <v>292021.11425136001</v>
      </c>
      <c r="U530" s="94">
        <f t="shared" si="104"/>
        <v>308812.32832081325</v>
      </c>
      <c r="V530" s="94">
        <f t="shared" si="105"/>
        <v>321442.75254913449</v>
      </c>
      <c r="W530" s="97">
        <f t="shared" si="106"/>
        <v>331664.63208019699</v>
      </c>
      <c r="X530" s="97">
        <f t="shared" si="107"/>
        <v>344267.8880992445</v>
      </c>
      <c r="Y530" s="97">
        <f t="shared" si="111"/>
        <v>349810.60109764233</v>
      </c>
      <c r="Z530" s="97">
        <f t="shared" si="108"/>
        <v>369469.95687932981</v>
      </c>
      <c r="AA530" s="97">
        <f t="shared" si="109"/>
        <v>417944.41522189789</v>
      </c>
    </row>
    <row r="531" spans="1:27" x14ac:dyDescent="0.25">
      <c r="A531" s="102" t="s">
        <v>1348</v>
      </c>
      <c r="B531" s="87" t="s">
        <v>1349</v>
      </c>
      <c r="C531" s="88" t="s">
        <v>226</v>
      </c>
      <c r="D531" s="89" t="s">
        <v>262</v>
      </c>
      <c r="E531" s="90">
        <f t="shared" si="112"/>
        <v>5996</v>
      </c>
      <c r="F531" s="90">
        <f t="shared" si="110"/>
        <v>5038.8147146116598</v>
      </c>
      <c r="G531" s="91">
        <v>0.19</v>
      </c>
      <c r="H531" s="91" t="s">
        <v>228</v>
      </c>
      <c r="I531" s="91" t="s">
        <v>228</v>
      </c>
      <c r="J531" s="91" t="s">
        <v>228</v>
      </c>
      <c r="K531" s="91" t="s">
        <v>228</v>
      </c>
      <c r="L531" s="92" t="s">
        <v>302</v>
      </c>
      <c r="M531" s="91" t="str">
        <f t="shared" si="101"/>
        <v>no aplica</v>
      </c>
      <c r="N531" s="93">
        <v>41608</v>
      </c>
      <c r="O531" s="94"/>
      <c r="P531" s="94"/>
      <c r="Q531" s="94">
        <v>421</v>
      </c>
      <c r="R531" s="95">
        <f t="shared" si="102"/>
        <v>5038.8147146116598</v>
      </c>
      <c r="S531" s="94">
        <v>3297.4245999999998</v>
      </c>
      <c r="T531" s="94">
        <f t="shared" si="103"/>
        <v>3520.6602454200001</v>
      </c>
      <c r="U531" s="94">
        <f t="shared" si="104"/>
        <v>3723.0982095316504</v>
      </c>
      <c r="V531" s="94">
        <f t="shared" si="105"/>
        <v>3875.3729263014948</v>
      </c>
      <c r="W531" s="97">
        <f t="shared" si="106"/>
        <v>3998.6097853578826</v>
      </c>
      <c r="X531" s="97">
        <f t="shared" si="107"/>
        <v>4150.556957201482</v>
      </c>
      <c r="Y531" s="97">
        <f t="shared" si="111"/>
        <v>4217.3809242124262</v>
      </c>
      <c r="Z531" s="97">
        <f t="shared" si="108"/>
        <v>4454.3977321531647</v>
      </c>
      <c r="AA531" s="97">
        <f t="shared" si="109"/>
        <v>5038.8147146116598</v>
      </c>
    </row>
    <row r="532" spans="1:27" x14ac:dyDescent="0.25">
      <c r="A532" s="102" t="s">
        <v>1350</v>
      </c>
      <c r="B532" s="87" t="s">
        <v>1351</v>
      </c>
      <c r="C532" s="88" t="s">
        <v>226</v>
      </c>
      <c r="D532" s="89" t="s">
        <v>227</v>
      </c>
      <c r="E532" s="90">
        <f t="shared" si="112"/>
        <v>12324</v>
      </c>
      <c r="F532" s="90">
        <f t="shared" si="110"/>
        <v>10356.419554898155</v>
      </c>
      <c r="G532" s="91">
        <v>0.19</v>
      </c>
      <c r="H532" s="91" t="s">
        <v>228</v>
      </c>
      <c r="I532" s="91" t="s">
        <v>228</v>
      </c>
      <c r="J532" s="91" t="s">
        <v>228</v>
      </c>
      <c r="K532" s="91" t="s">
        <v>228</v>
      </c>
      <c r="L532" s="92" t="s">
        <v>289</v>
      </c>
      <c r="M532" s="91" t="str">
        <f t="shared" si="101"/>
        <v>VER ARCHIVO ANEXO</v>
      </c>
      <c r="N532" s="93">
        <v>41608</v>
      </c>
      <c r="O532" s="94"/>
      <c r="P532" s="94"/>
      <c r="Q532" s="94">
        <v>422</v>
      </c>
      <c r="R532" s="95">
        <f t="shared" si="102"/>
        <v>10356.419554898155</v>
      </c>
      <c r="S532" s="94">
        <v>6777.2907999999998</v>
      </c>
      <c r="T532" s="94">
        <f t="shared" si="103"/>
        <v>7236.1133871600005</v>
      </c>
      <c r="U532" s="94">
        <f t="shared" si="104"/>
        <v>7652.1899069217015</v>
      </c>
      <c r="V532" s="94">
        <f t="shared" si="105"/>
        <v>7965.1644741147984</v>
      </c>
      <c r="W532" s="97">
        <f t="shared" si="106"/>
        <v>8218.4567043916486</v>
      </c>
      <c r="X532" s="97">
        <f t="shared" si="107"/>
        <v>8530.758059158532</v>
      </c>
      <c r="Y532" s="97">
        <f t="shared" si="111"/>
        <v>8668.1032639109835</v>
      </c>
      <c r="Z532" s="97">
        <f t="shared" si="108"/>
        <v>9155.2506673427815</v>
      </c>
      <c r="AA532" s="97">
        <f t="shared" si="109"/>
        <v>10356.419554898155</v>
      </c>
    </row>
    <row r="533" spans="1:27" x14ac:dyDescent="0.25">
      <c r="A533" s="102" t="s">
        <v>1352</v>
      </c>
      <c r="B533" s="98" t="s">
        <v>1353</v>
      </c>
      <c r="C533" s="99" t="s">
        <v>226</v>
      </c>
      <c r="D533" s="100" t="s">
        <v>4</v>
      </c>
      <c r="E533" s="101">
        <f t="shared" si="112"/>
        <v>4283</v>
      </c>
      <c r="F533" s="90">
        <f t="shared" si="110"/>
        <v>3598.9270768933329</v>
      </c>
      <c r="G533" s="91">
        <v>0.19</v>
      </c>
      <c r="H533" s="91" t="s">
        <v>228</v>
      </c>
      <c r="I533" s="91" t="s">
        <v>228</v>
      </c>
      <c r="J533" s="91" t="s">
        <v>228</v>
      </c>
      <c r="K533" s="91" t="s">
        <v>228</v>
      </c>
      <c r="L533" s="92" t="s">
        <v>1354</v>
      </c>
      <c r="M533" s="91" t="str">
        <f t="shared" si="101"/>
        <v>VER ARCHIVO ANEXO</v>
      </c>
      <c r="N533" s="93">
        <v>41608</v>
      </c>
      <c r="O533" s="94"/>
      <c r="P533" s="94"/>
      <c r="Q533" s="94">
        <v>423</v>
      </c>
      <c r="R533" s="95">
        <f t="shared" si="102"/>
        <v>3598.9270768933329</v>
      </c>
      <c r="S533" s="94">
        <v>2355.1552000000001</v>
      </c>
      <c r="T533" s="94">
        <f t="shared" si="103"/>
        <v>2514.5992070400002</v>
      </c>
      <c r="U533" s="94">
        <f t="shared" si="104"/>
        <v>2659.1886614448003</v>
      </c>
      <c r="V533" s="94">
        <f t="shared" si="105"/>
        <v>2767.9494776978927</v>
      </c>
      <c r="W533" s="97">
        <f t="shared" si="106"/>
        <v>2855.9702710886859</v>
      </c>
      <c r="X533" s="97">
        <f t="shared" si="107"/>
        <v>2964.4971413900562</v>
      </c>
      <c r="Y533" s="97">
        <f t="shared" si="111"/>
        <v>3012.2255453664361</v>
      </c>
      <c r="Z533" s="97">
        <f t="shared" si="108"/>
        <v>3181.5126210160297</v>
      </c>
      <c r="AA533" s="97">
        <f t="shared" si="109"/>
        <v>3598.9270768933329</v>
      </c>
    </row>
    <row r="534" spans="1:27" x14ac:dyDescent="0.25">
      <c r="A534" s="86" t="s">
        <v>1355</v>
      </c>
      <c r="B534" s="98" t="s">
        <v>1356</v>
      </c>
      <c r="C534" s="99" t="s">
        <v>226</v>
      </c>
      <c r="D534" s="100" t="s">
        <v>1357</v>
      </c>
      <c r="E534" s="101">
        <f t="shared" si="112"/>
        <v>4283</v>
      </c>
      <c r="F534" s="90">
        <f t="shared" si="110"/>
        <v>3598.9270768933329</v>
      </c>
      <c r="G534" s="91">
        <v>0.19</v>
      </c>
      <c r="H534" s="91" t="s">
        <v>228</v>
      </c>
      <c r="I534" s="91" t="s">
        <v>228</v>
      </c>
      <c r="J534" s="91" t="s">
        <v>228</v>
      </c>
      <c r="K534" s="91" t="s">
        <v>228</v>
      </c>
      <c r="L534" s="92" t="s">
        <v>1358</v>
      </c>
      <c r="M534" s="91" t="str">
        <f t="shared" si="101"/>
        <v>VER ARCHIVO ANEXO</v>
      </c>
      <c r="N534" s="93">
        <v>41608</v>
      </c>
      <c r="O534" s="94"/>
      <c r="P534" s="94"/>
      <c r="Q534" s="94">
        <v>424</v>
      </c>
      <c r="R534" s="95">
        <f t="shared" si="102"/>
        <v>3598.9270768933329</v>
      </c>
      <c r="S534" s="94">
        <v>2355.1552000000001</v>
      </c>
      <c r="T534" s="94">
        <f t="shared" si="103"/>
        <v>2514.5992070400002</v>
      </c>
      <c r="U534" s="94">
        <f t="shared" si="104"/>
        <v>2659.1886614448003</v>
      </c>
      <c r="V534" s="94">
        <f t="shared" si="105"/>
        <v>2767.9494776978927</v>
      </c>
      <c r="W534" s="97">
        <f t="shared" si="106"/>
        <v>2855.9702710886859</v>
      </c>
      <c r="X534" s="97">
        <f t="shared" si="107"/>
        <v>2964.4971413900562</v>
      </c>
      <c r="Y534" s="97">
        <f t="shared" si="111"/>
        <v>3012.2255453664361</v>
      </c>
      <c r="Z534" s="97">
        <f t="shared" si="108"/>
        <v>3181.5126210160297</v>
      </c>
      <c r="AA534" s="97">
        <f t="shared" si="109"/>
        <v>3598.9270768933329</v>
      </c>
    </row>
    <row r="535" spans="1:27" x14ac:dyDescent="0.25">
      <c r="A535" s="86" t="s">
        <v>1359</v>
      </c>
      <c r="B535" s="98" t="s">
        <v>1360</v>
      </c>
      <c r="C535" s="99" t="s">
        <v>226</v>
      </c>
      <c r="D535" s="100" t="s">
        <v>1357</v>
      </c>
      <c r="E535" s="101">
        <f t="shared" si="112"/>
        <v>4283</v>
      </c>
      <c r="F535" s="90">
        <f t="shared" si="110"/>
        <v>3598.9270768933329</v>
      </c>
      <c r="G535" s="91">
        <v>0.19</v>
      </c>
      <c r="H535" s="91" t="s">
        <v>228</v>
      </c>
      <c r="I535" s="91" t="s">
        <v>228</v>
      </c>
      <c r="J535" s="91" t="s">
        <v>228</v>
      </c>
      <c r="K535" s="91" t="s">
        <v>228</v>
      </c>
      <c r="L535" s="92" t="s">
        <v>1358</v>
      </c>
      <c r="M535" s="91" t="str">
        <f t="shared" si="101"/>
        <v>VER ARCHIVO ANEXO</v>
      </c>
      <c r="N535" s="93">
        <v>41608</v>
      </c>
      <c r="O535" s="94"/>
      <c r="P535" s="94"/>
      <c r="Q535" s="94">
        <v>425</v>
      </c>
      <c r="R535" s="95">
        <f t="shared" si="102"/>
        <v>3598.9270768933329</v>
      </c>
      <c r="S535" s="94">
        <v>2355.1552000000001</v>
      </c>
      <c r="T535" s="94">
        <f t="shared" si="103"/>
        <v>2514.5992070400002</v>
      </c>
      <c r="U535" s="94">
        <f t="shared" si="104"/>
        <v>2659.1886614448003</v>
      </c>
      <c r="V535" s="94">
        <f t="shared" si="105"/>
        <v>2767.9494776978927</v>
      </c>
      <c r="W535" s="97">
        <f t="shared" si="106"/>
        <v>2855.9702710886859</v>
      </c>
      <c r="X535" s="97">
        <f t="shared" si="107"/>
        <v>2964.4971413900562</v>
      </c>
      <c r="Y535" s="97">
        <f t="shared" si="111"/>
        <v>3012.2255453664361</v>
      </c>
      <c r="Z535" s="97">
        <f t="shared" si="108"/>
        <v>3181.5126210160297</v>
      </c>
      <c r="AA535" s="97">
        <f t="shared" si="109"/>
        <v>3598.9270768933329</v>
      </c>
    </row>
    <row r="536" spans="1:27" x14ac:dyDescent="0.25">
      <c r="A536" s="86" t="s">
        <v>1361</v>
      </c>
      <c r="B536" s="87" t="s">
        <v>1362</v>
      </c>
      <c r="C536" s="88" t="s">
        <v>226</v>
      </c>
      <c r="D536" s="89" t="s">
        <v>1357</v>
      </c>
      <c r="E536" s="90">
        <f t="shared" si="112"/>
        <v>4283</v>
      </c>
      <c r="F536" s="90">
        <f t="shared" si="110"/>
        <v>3598.9270768933329</v>
      </c>
      <c r="G536" s="91">
        <v>0.19</v>
      </c>
      <c r="H536" s="91" t="s">
        <v>228</v>
      </c>
      <c r="I536" s="91" t="s">
        <v>228</v>
      </c>
      <c r="J536" s="91" t="s">
        <v>228</v>
      </c>
      <c r="K536" s="91" t="s">
        <v>228</v>
      </c>
      <c r="L536" s="92" t="s">
        <v>1358</v>
      </c>
      <c r="M536" s="91" t="str">
        <f t="shared" si="101"/>
        <v>VER ARCHIVO ANEXO</v>
      </c>
      <c r="N536" s="93">
        <v>41608</v>
      </c>
      <c r="O536" s="94"/>
      <c r="P536" s="94"/>
      <c r="Q536" s="94">
        <v>426</v>
      </c>
      <c r="R536" s="95">
        <f t="shared" si="102"/>
        <v>3598.9270768933329</v>
      </c>
      <c r="S536" s="94">
        <v>2355.1552000000001</v>
      </c>
      <c r="T536" s="94">
        <f t="shared" si="103"/>
        <v>2514.5992070400002</v>
      </c>
      <c r="U536" s="94">
        <f t="shared" si="104"/>
        <v>2659.1886614448003</v>
      </c>
      <c r="V536" s="94">
        <f t="shared" si="105"/>
        <v>2767.9494776978927</v>
      </c>
      <c r="W536" s="97">
        <f t="shared" si="106"/>
        <v>2855.9702710886859</v>
      </c>
      <c r="X536" s="97">
        <f t="shared" si="107"/>
        <v>2964.4971413900562</v>
      </c>
      <c r="Y536" s="97">
        <f t="shared" si="111"/>
        <v>3012.2255453664361</v>
      </c>
      <c r="Z536" s="97">
        <f t="shared" si="108"/>
        <v>3181.5126210160297</v>
      </c>
      <c r="AA536" s="97">
        <f t="shared" si="109"/>
        <v>3598.9270768933329</v>
      </c>
    </row>
    <row r="537" spans="1:27" x14ac:dyDescent="0.25">
      <c r="A537" s="102" t="s">
        <v>1363</v>
      </c>
      <c r="B537" s="87" t="s">
        <v>1364</v>
      </c>
      <c r="C537" s="88" t="s">
        <v>226</v>
      </c>
      <c r="D537" s="89" t="s">
        <v>227</v>
      </c>
      <c r="E537" s="90">
        <f t="shared" si="112"/>
        <v>12124</v>
      </c>
      <c r="F537" s="90">
        <f t="shared" si="110"/>
        <v>10188.511865571263</v>
      </c>
      <c r="G537" s="91">
        <v>0.19</v>
      </c>
      <c r="H537" s="91" t="s">
        <v>228</v>
      </c>
      <c r="I537" s="91" t="s">
        <v>228</v>
      </c>
      <c r="J537" s="91" t="s">
        <v>228</v>
      </c>
      <c r="K537" s="91" t="s">
        <v>228</v>
      </c>
      <c r="L537" s="92" t="s">
        <v>289</v>
      </c>
      <c r="M537" s="91" t="str">
        <f t="shared" si="101"/>
        <v>VER ARCHIVO ANEXO</v>
      </c>
      <c r="N537" s="93">
        <v>41608</v>
      </c>
      <c r="O537" s="94"/>
      <c r="P537" s="94"/>
      <c r="Q537" s="94">
        <v>427</v>
      </c>
      <c r="R537" s="95">
        <f t="shared" si="102"/>
        <v>10188.511865571263</v>
      </c>
      <c r="S537" s="94">
        <v>6667.4111999999996</v>
      </c>
      <c r="T537" s="94">
        <f t="shared" si="103"/>
        <v>7118.7949382400002</v>
      </c>
      <c r="U537" s="94">
        <f t="shared" si="104"/>
        <v>7528.1256471888009</v>
      </c>
      <c r="V537" s="94">
        <f t="shared" si="105"/>
        <v>7836.025986158822</v>
      </c>
      <c r="W537" s="97">
        <f t="shared" si="106"/>
        <v>8085.2116125186731</v>
      </c>
      <c r="X537" s="97">
        <f t="shared" si="107"/>
        <v>8392.4496537943833</v>
      </c>
      <c r="Y537" s="97">
        <f t="shared" si="111"/>
        <v>8527.5680932204723</v>
      </c>
      <c r="Z537" s="97">
        <f t="shared" si="108"/>
        <v>9006.8174200594622</v>
      </c>
      <c r="AA537" s="97">
        <f t="shared" si="109"/>
        <v>10188.511865571263</v>
      </c>
    </row>
    <row r="538" spans="1:27" x14ac:dyDescent="0.25">
      <c r="A538" s="102" t="s">
        <v>1365</v>
      </c>
      <c r="B538" s="87" t="s">
        <v>1366</v>
      </c>
      <c r="C538" s="88" t="s">
        <v>226</v>
      </c>
      <c r="D538" s="89" t="s">
        <v>227</v>
      </c>
      <c r="E538" s="90">
        <f t="shared" si="112"/>
        <v>39361</v>
      </c>
      <c r="F538" s="90">
        <f t="shared" si="110"/>
        <v>33076.230762592291</v>
      </c>
      <c r="G538" s="91">
        <v>0.19</v>
      </c>
      <c r="H538" s="91" t="s">
        <v>228</v>
      </c>
      <c r="I538" s="91" t="s">
        <v>228</v>
      </c>
      <c r="J538" s="91" t="s">
        <v>228</v>
      </c>
      <c r="K538" s="91" t="s">
        <v>228</v>
      </c>
      <c r="L538" s="92" t="s">
        <v>289</v>
      </c>
      <c r="M538" s="91" t="str">
        <f t="shared" si="101"/>
        <v>VER ARCHIVO ANEXO</v>
      </c>
      <c r="N538" s="93">
        <v>41608</v>
      </c>
      <c r="O538" s="94"/>
      <c r="P538" s="94"/>
      <c r="Q538" s="94">
        <v>428</v>
      </c>
      <c r="R538" s="95">
        <f t="shared" si="102"/>
        <v>33076.230762592291</v>
      </c>
      <c r="S538" s="94">
        <v>21645.244599999998</v>
      </c>
      <c r="T538" s="94">
        <f t="shared" si="103"/>
        <v>23110.627659419999</v>
      </c>
      <c r="U538" s="94">
        <f t="shared" si="104"/>
        <v>24439.488749836652</v>
      </c>
      <c r="V538" s="94">
        <f t="shared" si="105"/>
        <v>25439.06383970497</v>
      </c>
      <c r="W538" s="97">
        <f t="shared" si="106"/>
        <v>26248.026069807591</v>
      </c>
      <c r="X538" s="97">
        <f t="shared" si="107"/>
        <v>27245.45106046028</v>
      </c>
      <c r="Y538" s="97">
        <f t="shared" si="111"/>
        <v>27684.102822533692</v>
      </c>
      <c r="Z538" s="97">
        <f t="shared" si="108"/>
        <v>29239.949401160087</v>
      </c>
      <c r="AA538" s="97">
        <f t="shared" si="109"/>
        <v>33076.230762592291</v>
      </c>
    </row>
    <row r="539" spans="1:27" x14ac:dyDescent="0.25">
      <c r="A539" s="102" t="s">
        <v>1367</v>
      </c>
      <c r="B539" s="87" t="s">
        <v>1368</v>
      </c>
      <c r="C539" s="88" t="s">
        <v>226</v>
      </c>
      <c r="D539" s="89" t="s">
        <v>227</v>
      </c>
      <c r="E539" s="90">
        <f t="shared" si="112"/>
        <v>98020</v>
      </c>
      <c r="F539" s="90">
        <f t="shared" si="110"/>
        <v>82369.809858474153</v>
      </c>
      <c r="G539" s="91">
        <v>0.19</v>
      </c>
      <c r="H539" s="91" t="s">
        <v>228</v>
      </c>
      <c r="I539" s="91" t="s">
        <v>228</v>
      </c>
      <c r="J539" s="91" t="s">
        <v>228</v>
      </c>
      <c r="K539" s="91" t="s">
        <v>228</v>
      </c>
      <c r="L539" s="92" t="s">
        <v>289</v>
      </c>
      <c r="M539" s="91" t="str">
        <f t="shared" si="101"/>
        <v>VER ARCHIVO ANEXO</v>
      </c>
      <c r="N539" s="93">
        <v>41608</v>
      </c>
      <c r="O539" s="94"/>
      <c r="P539" s="94"/>
      <c r="Q539" s="94">
        <v>429</v>
      </c>
      <c r="R539" s="95">
        <f t="shared" si="102"/>
        <v>82369.809858474153</v>
      </c>
      <c r="S539" s="94">
        <v>53903.199999999997</v>
      </c>
      <c r="T539" s="94">
        <f t="shared" si="103"/>
        <v>57552.446640000002</v>
      </c>
      <c r="U539" s="94">
        <f t="shared" si="104"/>
        <v>60861.712321800005</v>
      </c>
      <c r="V539" s="94">
        <f t="shared" si="105"/>
        <v>63350.95635576162</v>
      </c>
      <c r="W539" s="97">
        <f t="shared" si="106"/>
        <v>65365.51676787484</v>
      </c>
      <c r="X539" s="97">
        <f t="shared" si="107"/>
        <v>67849.406405054091</v>
      </c>
      <c r="Y539" s="97">
        <f t="shared" si="111"/>
        <v>68941.781848175466</v>
      </c>
      <c r="Z539" s="97">
        <f t="shared" si="108"/>
        <v>72816.309988042922</v>
      </c>
      <c r="AA539" s="97">
        <f t="shared" si="109"/>
        <v>82369.809858474153</v>
      </c>
    </row>
    <row r="540" spans="1:27" x14ac:dyDescent="0.25">
      <c r="A540" s="102" t="s">
        <v>1369</v>
      </c>
      <c r="B540" s="87" t="s">
        <v>1370</v>
      </c>
      <c r="C540" s="88" t="s">
        <v>226</v>
      </c>
      <c r="D540" s="89" t="s">
        <v>227</v>
      </c>
      <c r="E540" s="90">
        <f t="shared" si="112"/>
        <v>58049</v>
      </c>
      <c r="F540" s="90">
        <f t="shared" si="110"/>
        <v>48780.35181907138</v>
      </c>
      <c r="G540" s="91">
        <v>0.19</v>
      </c>
      <c r="H540" s="91" t="s">
        <v>228</v>
      </c>
      <c r="I540" s="91" t="s">
        <v>228</v>
      </c>
      <c r="J540" s="91" t="s">
        <v>228</v>
      </c>
      <c r="K540" s="91" t="s">
        <v>228</v>
      </c>
      <c r="L540" s="92" t="s">
        <v>289</v>
      </c>
      <c r="M540" s="91" t="str">
        <f t="shared" ref="M540:M604" si="113">+IF(L540="no aplica","no aplica","VER ARCHIVO ANEXO")</f>
        <v>VER ARCHIVO ANEXO</v>
      </c>
      <c r="N540" s="93">
        <v>41608</v>
      </c>
      <c r="O540" s="94"/>
      <c r="P540" s="94"/>
      <c r="Q540" s="94">
        <v>430</v>
      </c>
      <c r="R540" s="95">
        <f t="shared" si="102"/>
        <v>48780.35181907138</v>
      </c>
      <c r="S540" s="94">
        <v>31922.096999999998</v>
      </c>
      <c r="T540" s="94">
        <f t="shared" si="103"/>
        <v>34083.222966900001</v>
      </c>
      <c r="U540" s="94">
        <f t="shared" si="104"/>
        <v>36043.008287496756</v>
      </c>
      <c r="V540" s="94">
        <f t="shared" si="105"/>
        <v>37517.167326455368</v>
      </c>
      <c r="W540" s="97">
        <f t="shared" si="106"/>
        <v>38710.213247436652</v>
      </c>
      <c r="X540" s="97">
        <f t="shared" si="107"/>
        <v>40181.201350839248</v>
      </c>
      <c r="Y540" s="97">
        <f t="shared" si="111"/>
        <v>40828.118692587763</v>
      </c>
      <c r="Z540" s="97">
        <f t="shared" si="108"/>
        <v>43122.658963111193</v>
      </c>
      <c r="AA540" s="97">
        <f t="shared" si="109"/>
        <v>48780.35181907138</v>
      </c>
    </row>
    <row r="541" spans="1:27" x14ac:dyDescent="0.25">
      <c r="A541" s="102" t="s">
        <v>1371</v>
      </c>
      <c r="B541" s="119" t="s">
        <v>1372</v>
      </c>
      <c r="C541" s="88" t="s">
        <v>226</v>
      </c>
      <c r="D541" s="89" t="s">
        <v>262</v>
      </c>
      <c r="E541" s="90">
        <f t="shared" si="112"/>
        <v>38567</v>
      </c>
      <c r="F541" s="90">
        <f t="shared" si="110"/>
        <v>32409.352109699637</v>
      </c>
      <c r="G541" s="91">
        <v>0.19</v>
      </c>
      <c r="H541" s="91" t="s">
        <v>228</v>
      </c>
      <c r="I541" s="91" t="s">
        <v>228</v>
      </c>
      <c r="J541" s="91" t="s">
        <v>228</v>
      </c>
      <c r="K541" s="91" t="s">
        <v>228</v>
      </c>
      <c r="L541" s="92" t="s">
        <v>289</v>
      </c>
      <c r="M541" s="91" t="str">
        <f t="shared" si="113"/>
        <v>VER ARCHIVO ANEXO</v>
      </c>
      <c r="N541" s="93">
        <v>41608</v>
      </c>
      <c r="O541" s="94"/>
      <c r="P541" s="94"/>
      <c r="Q541" s="94">
        <v>431</v>
      </c>
      <c r="R541" s="95">
        <f t="shared" si="102"/>
        <v>32409.352109699637</v>
      </c>
      <c r="S541" s="94">
        <v>21208.835999999999</v>
      </c>
      <c r="T541" s="94">
        <f t="shared" si="103"/>
        <v>22644.674197200002</v>
      </c>
      <c r="U541" s="94">
        <f t="shared" si="104"/>
        <v>23946.742963539004</v>
      </c>
      <c r="V541" s="94">
        <f t="shared" si="105"/>
        <v>24926.164750747746</v>
      </c>
      <c r="W541" s="97">
        <f t="shared" si="106"/>
        <v>25718.816789821525</v>
      </c>
      <c r="X541" s="97">
        <f t="shared" si="107"/>
        <v>26696.131827834743</v>
      </c>
      <c r="Y541" s="97">
        <f t="shared" si="111"/>
        <v>27125.939550262883</v>
      </c>
      <c r="Z541" s="97">
        <f t="shared" si="108"/>
        <v>28650.417352987657</v>
      </c>
      <c r="AA541" s="97">
        <f t="shared" si="109"/>
        <v>32409.352109699637</v>
      </c>
    </row>
    <row r="542" spans="1:27" x14ac:dyDescent="0.25">
      <c r="A542" s="102" t="s">
        <v>1373</v>
      </c>
      <c r="B542" s="119" t="s">
        <v>1374</v>
      </c>
      <c r="C542" s="88" t="s">
        <v>226</v>
      </c>
      <c r="D542" s="89" t="s">
        <v>262</v>
      </c>
      <c r="E542" s="90">
        <f t="shared" si="112"/>
        <v>91647</v>
      </c>
      <c r="F542" s="90">
        <f t="shared" si="110"/>
        <v>77014.188182868384</v>
      </c>
      <c r="G542" s="91">
        <v>0.19</v>
      </c>
      <c r="H542" s="91" t="s">
        <v>228</v>
      </c>
      <c r="I542" s="91" t="s">
        <v>228</v>
      </c>
      <c r="J542" s="91" t="s">
        <v>228</v>
      </c>
      <c r="K542" s="91" t="s">
        <v>228</v>
      </c>
      <c r="L542" s="92" t="s">
        <v>289</v>
      </c>
      <c r="M542" s="91" t="str">
        <f t="shared" si="113"/>
        <v>VER ARCHIVO ANEXO</v>
      </c>
      <c r="N542" s="93">
        <v>41608</v>
      </c>
      <c r="O542" s="94"/>
      <c r="P542" s="94"/>
      <c r="Q542" s="94">
        <v>432</v>
      </c>
      <c r="R542" s="95">
        <f t="shared" si="102"/>
        <v>77014.188182868384</v>
      </c>
      <c r="S542" s="94">
        <v>50398.455399999999</v>
      </c>
      <c r="T542" s="94">
        <f t="shared" si="103"/>
        <v>53810.43083058</v>
      </c>
      <c r="U542" s="94">
        <f t="shared" si="104"/>
        <v>56904.530603338353</v>
      </c>
      <c r="V542" s="94">
        <f t="shared" si="105"/>
        <v>59231.92590501489</v>
      </c>
      <c r="W542" s="97">
        <f t="shared" si="106"/>
        <v>61115.50114879437</v>
      </c>
      <c r="X542" s="97">
        <f t="shared" si="107"/>
        <v>63437.890192448562</v>
      </c>
      <c r="Y542" s="97">
        <f t="shared" si="111"/>
        <v>64459.240224546986</v>
      </c>
      <c r="Z542" s="97">
        <f t="shared" si="108"/>
        <v>68081.84952516653</v>
      </c>
      <c r="AA542" s="97">
        <f t="shared" si="109"/>
        <v>77014.188182868384</v>
      </c>
    </row>
    <row r="543" spans="1:27" x14ac:dyDescent="0.25">
      <c r="A543" s="102" t="s">
        <v>1375</v>
      </c>
      <c r="B543" s="98" t="s">
        <v>1376</v>
      </c>
      <c r="C543" s="99" t="s">
        <v>226</v>
      </c>
      <c r="D543" s="100" t="s">
        <v>262</v>
      </c>
      <c r="E543" s="101">
        <f t="shared" si="112"/>
        <v>13367</v>
      </c>
      <c r="F543" s="90">
        <f t="shared" si="110"/>
        <v>11232.390802046928</v>
      </c>
      <c r="G543" s="91">
        <v>0.19</v>
      </c>
      <c r="H543" s="91" t="s">
        <v>228</v>
      </c>
      <c r="I543" s="91" t="s">
        <v>228</v>
      </c>
      <c r="J543" s="91" t="s">
        <v>228</v>
      </c>
      <c r="K543" s="91" t="s">
        <v>228</v>
      </c>
      <c r="L543" s="92" t="s">
        <v>289</v>
      </c>
      <c r="M543" s="91" t="str">
        <f t="shared" si="113"/>
        <v>VER ARCHIVO ANEXO</v>
      </c>
      <c r="N543" s="93">
        <v>41608</v>
      </c>
      <c r="O543" s="94"/>
      <c r="P543" s="94"/>
      <c r="Q543" s="94">
        <v>433</v>
      </c>
      <c r="R543" s="95">
        <f t="shared" si="102"/>
        <v>11232.390802046928</v>
      </c>
      <c r="S543" s="94">
        <v>7350.5306</v>
      </c>
      <c r="T543" s="94">
        <f t="shared" si="103"/>
        <v>7848.1615216200007</v>
      </c>
      <c r="U543" s="94">
        <f t="shared" si="104"/>
        <v>8299.4308091131516</v>
      </c>
      <c r="V543" s="94">
        <f t="shared" si="105"/>
        <v>8638.8775292058781</v>
      </c>
      <c r="W543" s="97">
        <f t="shared" si="106"/>
        <v>8913.5938346346247</v>
      </c>
      <c r="X543" s="97">
        <f t="shared" si="107"/>
        <v>9252.3104003507415</v>
      </c>
      <c r="Y543" s="97">
        <f t="shared" si="111"/>
        <v>9401.2725977963892</v>
      </c>
      <c r="Z543" s="97">
        <f t="shared" si="108"/>
        <v>9929.6241177925458</v>
      </c>
      <c r="AA543" s="97">
        <f t="shared" si="109"/>
        <v>11232.390802046928</v>
      </c>
    </row>
    <row r="544" spans="1:27" x14ac:dyDescent="0.25">
      <c r="A544" s="86" t="s">
        <v>1377</v>
      </c>
      <c r="B544" s="87" t="s">
        <v>1378</v>
      </c>
      <c r="C544" s="88" t="s">
        <v>226</v>
      </c>
      <c r="D544" s="89" t="s">
        <v>262</v>
      </c>
      <c r="E544" s="90">
        <f t="shared" si="112"/>
        <v>31189</v>
      </c>
      <c r="F544" s="90">
        <f t="shared" si="110"/>
        <v>26209.439883044492</v>
      </c>
      <c r="G544" s="91">
        <v>0.19</v>
      </c>
      <c r="H544" s="91" t="s">
        <v>228</v>
      </c>
      <c r="I544" s="91" t="s">
        <v>228</v>
      </c>
      <c r="J544" s="91" t="s">
        <v>228</v>
      </c>
      <c r="K544" s="91" t="s">
        <v>228</v>
      </c>
      <c r="L544" s="92" t="s">
        <v>1379</v>
      </c>
      <c r="M544" s="91" t="str">
        <f t="shared" si="113"/>
        <v>VER ARCHIVO ANEXO</v>
      </c>
      <c r="N544" s="93">
        <v>41608</v>
      </c>
      <c r="O544" s="94"/>
      <c r="P544" s="94"/>
      <c r="Q544" s="94">
        <v>434</v>
      </c>
      <c r="R544" s="95">
        <f t="shared" si="102"/>
        <v>26209.439883044492</v>
      </c>
      <c r="S544" s="94">
        <v>17151.583599999998</v>
      </c>
      <c r="T544" s="94">
        <f t="shared" si="103"/>
        <v>18312.74580972</v>
      </c>
      <c r="U544" s="94">
        <f t="shared" si="104"/>
        <v>19365.728693778903</v>
      </c>
      <c r="V544" s="94">
        <f t="shared" si="105"/>
        <v>20157.786997354458</v>
      </c>
      <c r="W544" s="97">
        <f t="shared" si="106"/>
        <v>20798.804623870332</v>
      </c>
      <c r="X544" s="97">
        <f t="shared" si="107"/>
        <v>21589.159199577407</v>
      </c>
      <c r="Y544" s="97">
        <f t="shared" si="111"/>
        <v>21936.744662690602</v>
      </c>
      <c r="Z544" s="97">
        <f t="shared" si="108"/>
        <v>23169.589712733814</v>
      </c>
      <c r="AA544" s="97">
        <f t="shared" si="109"/>
        <v>26209.439883044492</v>
      </c>
    </row>
    <row r="545" spans="1:27" x14ac:dyDescent="0.25">
      <c r="A545" s="86" t="s">
        <v>1380</v>
      </c>
      <c r="B545" s="98" t="s">
        <v>1381</v>
      </c>
      <c r="C545" s="99" t="s">
        <v>226</v>
      </c>
      <c r="D545" s="100" t="s">
        <v>227</v>
      </c>
      <c r="E545" s="101">
        <f t="shared" si="112"/>
        <v>12852</v>
      </c>
      <c r="F545" s="90">
        <f t="shared" si="110"/>
        <v>10799.949300289938</v>
      </c>
      <c r="G545" s="91">
        <v>0.19</v>
      </c>
      <c r="H545" s="91" t="s">
        <v>228</v>
      </c>
      <c r="I545" s="91" t="s">
        <v>228</v>
      </c>
      <c r="J545" s="91" t="s">
        <v>228</v>
      </c>
      <c r="K545" s="91" t="s">
        <v>228</v>
      </c>
      <c r="L545" s="92" t="s">
        <v>1379</v>
      </c>
      <c r="M545" s="91" t="str">
        <f t="shared" si="113"/>
        <v>VER ARCHIVO ANEXO</v>
      </c>
      <c r="N545" s="93">
        <v>41608</v>
      </c>
      <c r="O545" s="94"/>
      <c r="P545" s="94"/>
      <c r="Q545" s="94">
        <v>435</v>
      </c>
      <c r="R545" s="95">
        <f t="shared" si="102"/>
        <v>10799.949300289938</v>
      </c>
      <c r="S545" s="94">
        <v>7067.5387999999994</v>
      </c>
      <c r="T545" s="94">
        <f t="shared" si="103"/>
        <v>7546.0111767600001</v>
      </c>
      <c r="U545" s="94">
        <f t="shared" si="104"/>
        <v>7979.9068194237007</v>
      </c>
      <c r="V545" s="94">
        <f t="shared" si="105"/>
        <v>8306.285008338129</v>
      </c>
      <c r="W545" s="97">
        <f t="shared" si="106"/>
        <v>8570.4248716032816</v>
      </c>
      <c r="X545" s="97">
        <f t="shared" si="107"/>
        <v>8896.1010167242075</v>
      </c>
      <c r="Y545" s="97">
        <f t="shared" si="111"/>
        <v>9039.3282430934669</v>
      </c>
      <c r="Z545" s="97">
        <f t="shared" si="108"/>
        <v>9547.3384903553197</v>
      </c>
      <c r="AA545" s="97">
        <f t="shared" si="109"/>
        <v>10799.949300289938</v>
      </c>
    </row>
    <row r="546" spans="1:27" x14ac:dyDescent="0.25">
      <c r="A546" s="86" t="s">
        <v>1382</v>
      </c>
      <c r="B546" s="87" t="s">
        <v>1383</v>
      </c>
      <c r="C546" s="88" t="s">
        <v>226</v>
      </c>
      <c r="D546" s="89" t="s">
        <v>262</v>
      </c>
      <c r="E546" s="90">
        <f t="shared" si="112"/>
        <v>34275</v>
      </c>
      <c r="F546" s="90">
        <f t="shared" si="110"/>
        <v>28802.504858781456</v>
      </c>
      <c r="G546" s="91">
        <v>0.19</v>
      </c>
      <c r="H546" s="91" t="s">
        <v>228</v>
      </c>
      <c r="I546" s="91" t="s">
        <v>228</v>
      </c>
      <c r="J546" s="91" t="s">
        <v>228</v>
      </c>
      <c r="K546" s="91" t="s">
        <v>228</v>
      </c>
      <c r="L546" s="92" t="s">
        <v>1379</v>
      </c>
      <c r="M546" s="91" t="str">
        <f t="shared" si="113"/>
        <v>VER ARCHIVO ANEXO</v>
      </c>
      <c r="N546" s="93">
        <v>41608</v>
      </c>
      <c r="O546" s="94"/>
      <c r="P546" s="94"/>
      <c r="Q546" s="94">
        <v>436</v>
      </c>
      <c r="R546" s="95">
        <f t="shared" si="102"/>
        <v>28802.504858781456</v>
      </c>
      <c r="S546" s="94">
        <v>18848.497800000001</v>
      </c>
      <c r="T546" s="94">
        <f t="shared" si="103"/>
        <v>20124.541101060004</v>
      </c>
      <c r="U546" s="94">
        <f t="shared" si="104"/>
        <v>21281.702214370955</v>
      </c>
      <c r="V546" s="94">
        <f t="shared" si="105"/>
        <v>22152.123834938724</v>
      </c>
      <c r="W546" s="97">
        <f t="shared" si="106"/>
        <v>22856.561372889777</v>
      </c>
      <c r="X546" s="97">
        <f t="shared" si="107"/>
        <v>23725.110705059589</v>
      </c>
      <c r="Y546" s="97">
        <f t="shared" si="111"/>
        <v>24107.08498741105</v>
      </c>
      <c r="Z546" s="97">
        <f t="shared" si="108"/>
        <v>25461.903163703551</v>
      </c>
      <c r="AA546" s="97">
        <f t="shared" si="109"/>
        <v>28802.504858781456</v>
      </c>
    </row>
    <row r="547" spans="1:27" x14ac:dyDescent="0.25">
      <c r="A547" s="86" t="s">
        <v>1384</v>
      </c>
      <c r="B547" s="98" t="s">
        <v>1385</v>
      </c>
      <c r="C547" s="99" t="s">
        <v>226</v>
      </c>
      <c r="D547" s="100" t="s">
        <v>227</v>
      </c>
      <c r="E547" s="101">
        <f t="shared" si="112"/>
        <v>10795</v>
      </c>
      <c r="F547" s="90">
        <f t="shared" si="110"/>
        <v>9071.7673280669533</v>
      </c>
      <c r="G547" s="91">
        <v>0.19</v>
      </c>
      <c r="H547" s="91" t="s">
        <v>228</v>
      </c>
      <c r="I547" s="91" t="s">
        <v>228</v>
      </c>
      <c r="J547" s="91" t="s">
        <v>228</v>
      </c>
      <c r="K547" s="91" t="s">
        <v>228</v>
      </c>
      <c r="L547" s="92" t="s">
        <v>1379</v>
      </c>
      <c r="M547" s="91" t="str">
        <f t="shared" si="113"/>
        <v>VER ARCHIVO ANEXO</v>
      </c>
      <c r="N547" s="93">
        <v>41608</v>
      </c>
      <c r="O547" s="94"/>
      <c r="P547" s="94"/>
      <c r="Q547" s="94">
        <v>437</v>
      </c>
      <c r="R547" s="95">
        <f t="shared" si="102"/>
        <v>9071.7673280669533</v>
      </c>
      <c r="S547" s="94">
        <v>5936.6081999999997</v>
      </c>
      <c r="T547" s="94">
        <f t="shared" si="103"/>
        <v>6338.51657514</v>
      </c>
      <c r="U547" s="94">
        <f t="shared" si="104"/>
        <v>6702.981278210551</v>
      </c>
      <c r="V547" s="94">
        <f t="shared" si="105"/>
        <v>6977.1332124893624</v>
      </c>
      <c r="W547" s="97">
        <f t="shared" si="106"/>
        <v>7199.0060486465245</v>
      </c>
      <c r="X547" s="97">
        <f t="shared" si="107"/>
        <v>7472.5682784950923</v>
      </c>
      <c r="Y547" s="97">
        <f t="shared" si="111"/>
        <v>7592.8766277788636</v>
      </c>
      <c r="Z547" s="97">
        <f t="shared" si="108"/>
        <v>8019.5962942600363</v>
      </c>
      <c r="AA547" s="97">
        <f t="shared" si="109"/>
        <v>9071.7673280669533</v>
      </c>
    </row>
    <row r="548" spans="1:27" x14ac:dyDescent="0.25">
      <c r="A548" s="102" t="s">
        <v>1386</v>
      </c>
      <c r="B548" s="87" t="s">
        <v>1387</v>
      </c>
      <c r="C548" s="88" t="s">
        <v>226</v>
      </c>
      <c r="D548" s="89" t="s">
        <v>262</v>
      </c>
      <c r="E548" s="90">
        <f t="shared" si="112"/>
        <v>2532</v>
      </c>
      <c r="F548" s="90">
        <f t="shared" si="110"/>
        <v>2127.3587430755924</v>
      </c>
      <c r="G548" s="91">
        <v>0.19</v>
      </c>
      <c r="H548" s="91" t="s">
        <v>228</v>
      </c>
      <c r="I548" s="91" t="s">
        <v>228</v>
      </c>
      <c r="J548" s="91" t="s">
        <v>228</v>
      </c>
      <c r="K548" s="91" t="s">
        <v>228</v>
      </c>
      <c r="L548" s="92" t="s">
        <v>1379</v>
      </c>
      <c r="M548" s="91" t="str">
        <f t="shared" si="113"/>
        <v>VER ARCHIVO ANEXO</v>
      </c>
      <c r="N548" s="93">
        <v>41608</v>
      </c>
      <c r="O548" s="94"/>
      <c r="P548" s="94"/>
      <c r="Q548" s="94">
        <v>438</v>
      </c>
      <c r="R548" s="95">
        <f t="shared" si="102"/>
        <v>2127.3587430755924</v>
      </c>
      <c r="S548" s="94">
        <v>1392.1538</v>
      </c>
      <c r="T548" s="94">
        <f t="shared" si="103"/>
        <v>1486.4026122600001</v>
      </c>
      <c r="U548" s="94">
        <f t="shared" si="104"/>
        <v>1571.8707624649503</v>
      </c>
      <c r="V548" s="94">
        <f t="shared" si="105"/>
        <v>1636.1602766497667</v>
      </c>
      <c r="W548" s="97">
        <f t="shared" si="106"/>
        <v>1688.1901734472294</v>
      </c>
      <c r="X548" s="97">
        <f t="shared" si="107"/>
        <v>1752.3414000382243</v>
      </c>
      <c r="Y548" s="97">
        <f t="shared" si="111"/>
        <v>1780.5540965788398</v>
      </c>
      <c r="Z548" s="97">
        <f t="shared" si="108"/>
        <v>1880.6212368065706</v>
      </c>
      <c r="AA548" s="97">
        <f t="shared" si="109"/>
        <v>2127.3587430755924</v>
      </c>
    </row>
    <row r="549" spans="1:27" x14ac:dyDescent="0.25">
      <c r="A549" s="102" t="s">
        <v>1388</v>
      </c>
      <c r="B549" s="87" t="s">
        <v>1389</v>
      </c>
      <c r="C549" s="88" t="s">
        <v>226</v>
      </c>
      <c r="D549" s="89" t="s">
        <v>227</v>
      </c>
      <c r="E549" s="90">
        <f t="shared" si="112"/>
        <v>15436</v>
      </c>
      <c r="F549" s="90">
        <f t="shared" si="110"/>
        <v>12971.661017904709</v>
      </c>
      <c r="G549" s="91">
        <v>0.19</v>
      </c>
      <c r="H549" s="91" t="s">
        <v>228</v>
      </c>
      <c r="I549" s="91" t="s">
        <v>228</v>
      </c>
      <c r="J549" s="91" t="s">
        <v>228</v>
      </c>
      <c r="K549" s="91" t="s">
        <v>228</v>
      </c>
      <c r="L549" s="92" t="s">
        <v>1379</v>
      </c>
      <c r="M549" s="91" t="str">
        <f t="shared" si="113"/>
        <v>VER ARCHIVO ANEXO</v>
      </c>
      <c r="N549" s="93">
        <v>41608</v>
      </c>
      <c r="O549" s="94"/>
      <c r="P549" s="94"/>
      <c r="Q549" s="94">
        <v>439</v>
      </c>
      <c r="R549" s="95">
        <f t="shared" si="102"/>
        <v>12971.661017904709</v>
      </c>
      <c r="S549" s="94">
        <v>8488.7173999999995</v>
      </c>
      <c r="T549" s="94">
        <f t="shared" si="103"/>
        <v>9063.4035679799999</v>
      </c>
      <c r="U549" s="94">
        <f t="shared" si="104"/>
        <v>9584.5492731388513</v>
      </c>
      <c r="V549" s="94">
        <f t="shared" si="105"/>
        <v>9976.5573384102299</v>
      </c>
      <c r="W549" s="97">
        <f t="shared" si="106"/>
        <v>10293.811861771675</v>
      </c>
      <c r="X549" s="97">
        <f t="shared" si="107"/>
        <v>10684.976712518999</v>
      </c>
      <c r="Y549" s="97">
        <f t="shared" si="111"/>
        <v>10857.004837590555</v>
      </c>
      <c r="Z549" s="97">
        <f t="shared" si="108"/>
        <v>11467.168509463145</v>
      </c>
      <c r="AA549" s="97">
        <f t="shared" si="109"/>
        <v>12971.661017904709</v>
      </c>
    </row>
    <row r="550" spans="1:27" x14ac:dyDescent="0.25">
      <c r="A550" s="102" t="s">
        <v>1390</v>
      </c>
      <c r="B550" s="98" t="s">
        <v>1391</v>
      </c>
      <c r="C550" s="99" t="s">
        <v>226</v>
      </c>
      <c r="D550" s="100" t="s">
        <v>255</v>
      </c>
      <c r="E550" s="101">
        <f t="shared" si="112"/>
        <v>4797</v>
      </c>
      <c r="F550" s="90">
        <f t="shared" si="110"/>
        <v>4031.3685786503224</v>
      </c>
      <c r="G550" s="91">
        <v>0.19</v>
      </c>
      <c r="H550" s="91" t="s">
        <v>228</v>
      </c>
      <c r="I550" s="91" t="s">
        <v>228</v>
      </c>
      <c r="J550" s="91" t="s">
        <v>228</v>
      </c>
      <c r="K550" s="91" t="s">
        <v>228</v>
      </c>
      <c r="L550" s="92" t="s">
        <v>289</v>
      </c>
      <c r="M550" s="91" t="str">
        <f t="shared" si="113"/>
        <v>VER ARCHIVO ANEXO</v>
      </c>
      <c r="N550" s="93">
        <v>41608</v>
      </c>
      <c r="O550" s="94"/>
      <c r="P550" s="94"/>
      <c r="Q550" s="94">
        <v>440</v>
      </c>
      <c r="R550" s="95">
        <f t="shared" si="102"/>
        <v>4031.3685786503224</v>
      </c>
      <c r="S550" s="94">
        <v>2638.1469999999999</v>
      </c>
      <c r="T550" s="94">
        <f t="shared" si="103"/>
        <v>2816.7495519000004</v>
      </c>
      <c r="U550" s="94">
        <f t="shared" si="104"/>
        <v>2978.7126511342508</v>
      </c>
      <c r="V550" s="94">
        <f t="shared" si="105"/>
        <v>3100.5419985656413</v>
      </c>
      <c r="W550" s="97">
        <f t="shared" si="106"/>
        <v>3199.139234120029</v>
      </c>
      <c r="X550" s="97">
        <f t="shared" si="107"/>
        <v>3320.7065250165901</v>
      </c>
      <c r="Y550" s="97">
        <f t="shared" si="111"/>
        <v>3374.1699000693575</v>
      </c>
      <c r="Z550" s="97">
        <f t="shared" si="108"/>
        <v>3563.7982484532554</v>
      </c>
      <c r="AA550" s="97">
        <f t="shared" si="109"/>
        <v>4031.3685786503224</v>
      </c>
    </row>
    <row r="551" spans="1:27" x14ac:dyDescent="0.25">
      <c r="A551" s="102" t="s">
        <v>1392</v>
      </c>
      <c r="B551" s="87" t="s">
        <v>1393</v>
      </c>
      <c r="C551" s="88" t="s">
        <v>226</v>
      </c>
      <c r="D551" s="89" t="s">
        <v>227</v>
      </c>
      <c r="E551" s="90">
        <f t="shared" si="112"/>
        <v>17791</v>
      </c>
      <c r="F551" s="90">
        <f t="shared" si="110"/>
        <v>14950.12048931306</v>
      </c>
      <c r="G551" s="91">
        <v>0.19</v>
      </c>
      <c r="H551" s="91" t="s">
        <v>228</v>
      </c>
      <c r="I551" s="91" t="s">
        <v>228</v>
      </c>
      <c r="J551" s="91" t="s">
        <v>228</v>
      </c>
      <c r="K551" s="91" t="s">
        <v>228</v>
      </c>
      <c r="L551" s="92" t="s">
        <v>289</v>
      </c>
      <c r="M551" s="91" t="str">
        <f t="shared" si="113"/>
        <v>VER ARCHIVO ANEXO</v>
      </c>
      <c r="N551" s="93">
        <v>41608</v>
      </c>
      <c r="O551" s="94"/>
      <c r="P551" s="94"/>
      <c r="Q551" s="94">
        <v>441</v>
      </c>
      <c r="R551" s="95">
        <f t="shared" si="102"/>
        <v>14950.12048931306</v>
      </c>
      <c r="S551" s="94">
        <v>9783.4308000000001</v>
      </c>
      <c r="T551" s="94">
        <f t="shared" si="103"/>
        <v>10445.769065160001</v>
      </c>
      <c r="U551" s="94">
        <f t="shared" si="104"/>
        <v>11046.400786406703</v>
      </c>
      <c r="V551" s="94">
        <f t="shared" si="105"/>
        <v>11498.198578570737</v>
      </c>
      <c r="W551" s="97">
        <f t="shared" si="106"/>
        <v>11863.841293369287</v>
      </c>
      <c r="X551" s="97">
        <f t="shared" si="107"/>
        <v>12314.66726251732</v>
      </c>
      <c r="Y551" s="97">
        <f t="shared" si="111"/>
        <v>12512.933405443848</v>
      </c>
      <c r="Z551" s="97">
        <f t="shared" si="108"/>
        <v>13216.160262829791</v>
      </c>
      <c r="AA551" s="97">
        <f t="shared" si="109"/>
        <v>14950.12048931306</v>
      </c>
    </row>
    <row r="552" spans="1:27" x14ac:dyDescent="0.25">
      <c r="A552" s="102" t="s">
        <v>1394</v>
      </c>
      <c r="B552" s="87" t="s">
        <v>1395</v>
      </c>
      <c r="C552" s="88" t="s">
        <v>226</v>
      </c>
      <c r="D552" s="89" t="s">
        <v>227</v>
      </c>
      <c r="E552" s="90">
        <f t="shared" si="112"/>
        <v>23059</v>
      </c>
      <c r="F552" s="90">
        <f t="shared" si="110"/>
        <v>19377.497769206049</v>
      </c>
      <c r="G552" s="91">
        <v>0.19</v>
      </c>
      <c r="H552" s="91" t="s">
        <v>228</v>
      </c>
      <c r="I552" s="91" t="s">
        <v>228</v>
      </c>
      <c r="J552" s="91" t="s">
        <v>228</v>
      </c>
      <c r="K552" s="91" t="s">
        <v>228</v>
      </c>
      <c r="L552" s="92" t="s">
        <v>289</v>
      </c>
      <c r="M552" s="91" t="str">
        <f t="shared" si="113"/>
        <v>VER ARCHIVO ANEXO</v>
      </c>
      <c r="N552" s="93">
        <v>41608</v>
      </c>
      <c r="O552" s="94"/>
      <c r="P552" s="94"/>
      <c r="Q552" s="94">
        <v>442</v>
      </c>
      <c r="R552" s="95">
        <f t="shared" si="102"/>
        <v>19377.497769206049</v>
      </c>
      <c r="S552" s="94">
        <v>12680.727799999999</v>
      </c>
      <c r="T552" s="94">
        <f t="shared" si="103"/>
        <v>13539.21307206</v>
      </c>
      <c r="U552" s="94">
        <f t="shared" si="104"/>
        <v>14317.717823703451</v>
      </c>
      <c r="V552" s="94">
        <f t="shared" si="105"/>
        <v>14903.312482692922</v>
      </c>
      <c r="W552" s="97">
        <f t="shared" si="106"/>
        <v>15377.237819642558</v>
      </c>
      <c r="X552" s="97">
        <f t="shared" si="107"/>
        <v>15961.572856788976</v>
      </c>
      <c r="Y552" s="97">
        <f t="shared" si="111"/>
        <v>16218.554179783279</v>
      </c>
      <c r="Z552" s="97">
        <f t="shared" si="108"/>
        <v>17130.036924687101</v>
      </c>
      <c r="AA552" s="97">
        <f t="shared" si="109"/>
        <v>19377.497769206049</v>
      </c>
    </row>
    <row r="553" spans="1:27" x14ac:dyDescent="0.25">
      <c r="A553" s="102" t="s">
        <v>1396</v>
      </c>
      <c r="B553" s="87" t="s">
        <v>1397</v>
      </c>
      <c r="C553" s="88" t="s">
        <v>226</v>
      </c>
      <c r="D553" s="89" t="s">
        <v>255</v>
      </c>
      <c r="E553" s="90">
        <f t="shared" si="112"/>
        <v>6339</v>
      </c>
      <c r="F553" s="90">
        <f t="shared" si="110"/>
        <v>5327.1090491163204</v>
      </c>
      <c r="G553" s="91">
        <v>0.19</v>
      </c>
      <c r="H553" s="91" t="s">
        <v>228</v>
      </c>
      <c r="I553" s="91" t="s">
        <v>228</v>
      </c>
      <c r="J553" s="91" t="s">
        <v>228</v>
      </c>
      <c r="K553" s="91" t="s">
        <v>228</v>
      </c>
      <c r="L553" s="92" t="s">
        <v>302</v>
      </c>
      <c r="M553" s="91" t="str">
        <f t="shared" si="113"/>
        <v>no aplica</v>
      </c>
      <c r="N553" s="93">
        <v>41608</v>
      </c>
      <c r="O553" s="94"/>
      <c r="P553" s="94"/>
      <c r="Q553" s="94">
        <v>443</v>
      </c>
      <c r="R553" s="95">
        <f t="shared" si="102"/>
        <v>5327.1090491163204</v>
      </c>
      <c r="S553" s="94">
        <v>3486.0857999999998</v>
      </c>
      <c r="T553" s="94">
        <f t="shared" si="103"/>
        <v>3722.0938086600004</v>
      </c>
      <c r="U553" s="94">
        <f t="shared" si="104"/>
        <v>3936.114202657951</v>
      </c>
      <c r="V553" s="94">
        <f t="shared" si="105"/>
        <v>4097.1012735466611</v>
      </c>
      <c r="W553" s="97">
        <f t="shared" si="106"/>
        <v>4227.3890940454448</v>
      </c>
      <c r="X553" s="97">
        <f t="shared" si="107"/>
        <v>4388.0298796191719</v>
      </c>
      <c r="Y553" s="97">
        <f t="shared" si="111"/>
        <v>4458.6771606810407</v>
      </c>
      <c r="Z553" s="97">
        <f t="shared" si="108"/>
        <v>4709.2548171113158</v>
      </c>
      <c r="AA553" s="97">
        <f t="shared" si="109"/>
        <v>5327.1090491163204</v>
      </c>
    </row>
    <row r="554" spans="1:27" x14ac:dyDescent="0.25">
      <c r="A554" s="102" t="s">
        <v>1398</v>
      </c>
      <c r="B554" s="87" t="s">
        <v>1399</v>
      </c>
      <c r="C554" s="88" t="s">
        <v>226</v>
      </c>
      <c r="D554" s="89" t="s">
        <v>262</v>
      </c>
      <c r="E554" s="90">
        <f t="shared" si="112"/>
        <v>59983</v>
      </c>
      <c r="F554" s="90">
        <f t="shared" si="110"/>
        <v>50405.571528971283</v>
      </c>
      <c r="G554" s="91">
        <v>0.19</v>
      </c>
      <c r="H554" s="91" t="s">
        <v>228</v>
      </c>
      <c r="I554" s="91" t="s">
        <v>228</v>
      </c>
      <c r="J554" s="91" t="s">
        <v>228</v>
      </c>
      <c r="K554" s="91" t="s">
        <v>228</v>
      </c>
      <c r="L554" s="92" t="s">
        <v>769</v>
      </c>
      <c r="M554" s="91" t="str">
        <f t="shared" si="113"/>
        <v>VER ARCHIVO ANEXO</v>
      </c>
      <c r="N554" s="93">
        <v>41608</v>
      </c>
      <c r="O554" s="94"/>
      <c r="P554" s="94"/>
      <c r="Q554" s="94">
        <v>444</v>
      </c>
      <c r="R554" s="95">
        <f t="shared" si="102"/>
        <v>50405.571528971283</v>
      </c>
      <c r="S554" s="94">
        <v>32985.6486</v>
      </c>
      <c r="T554" s="94">
        <f t="shared" si="103"/>
        <v>35218.777010220001</v>
      </c>
      <c r="U554" s="94">
        <f t="shared" si="104"/>
        <v>37243.856688307656</v>
      </c>
      <c r="V554" s="94">
        <f t="shared" si="105"/>
        <v>38767.130426859439</v>
      </c>
      <c r="W554" s="97">
        <f t="shared" si="106"/>
        <v>39999.925174433571</v>
      </c>
      <c r="X554" s="97">
        <f t="shared" si="107"/>
        <v>41519.922331062051</v>
      </c>
      <c r="Y554" s="97">
        <f t="shared" si="111"/>
        <v>42188.393080592148</v>
      </c>
      <c r="Z554" s="97">
        <f t="shared" si="108"/>
        <v>44559.380771721429</v>
      </c>
      <c r="AA554" s="97">
        <f t="shared" si="109"/>
        <v>50405.571528971283</v>
      </c>
    </row>
    <row r="555" spans="1:27" x14ac:dyDescent="0.25">
      <c r="A555" s="102" t="s">
        <v>1400</v>
      </c>
      <c r="B555" s="87" t="s">
        <v>1401</v>
      </c>
      <c r="C555" s="88" t="s">
        <v>226</v>
      </c>
      <c r="D555" s="89" t="s">
        <v>262</v>
      </c>
      <c r="E555" s="90">
        <f t="shared" si="112"/>
        <v>42844</v>
      </c>
      <c r="F555" s="90">
        <f t="shared" si="110"/>
        <v>36003.527082178058</v>
      </c>
      <c r="G555" s="91">
        <v>0.19</v>
      </c>
      <c r="H555" s="91" t="s">
        <v>228</v>
      </c>
      <c r="I555" s="91" t="s">
        <v>228</v>
      </c>
      <c r="J555" s="91" t="s">
        <v>228</v>
      </c>
      <c r="K555" s="91" t="s">
        <v>228</v>
      </c>
      <c r="L555" s="92" t="s">
        <v>769</v>
      </c>
      <c r="M555" s="91" t="str">
        <f t="shared" si="113"/>
        <v>VER ARCHIVO ANEXO</v>
      </c>
      <c r="N555" s="93">
        <v>41608</v>
      </c>
      <c r="O555" s="94"/>
      <c r="P555" s="94"/>
      <c r="Q555" s="94">
        <v>445</v>
      </c>
      <c r="R555" s="95">
        <f t="shared" si="102"/>
        <v>36003.527082178058</v>
      </c>
      <c r="S555" s="94">
        <v>23560.881399999998</v>
      </c>
      <c r="T555" s="94">
        <f t="shared" si="103"/>
        <v>25155.95307078</v>
      </c>
      <c r="U555" s="94">
        <f t="shared" si="104"/>
        <v>26602.420372349854</v>
      </c>
      <c r="V555" s="94">
        <f t="shared" si="105"/>
        <v>27690.459365578961</v>
      </c>
      <c r="W555" s="97">
        <f t="shared" si="106"/>
        <v>28571.015973404374</v>
      </c>
      <c r="X555" s="97">
        <f t="shared" si="107"/>
        <v>29656.714580393742</v>
      </c>
      <c r="Y555" s="97">
        <f t="shared" si="111"/>
        <v>30134.18768513808</v>
      </c>
      <c r="Z555" s="97">
        <f t="shared" si="108"/>
        <v>31827.72903304284</v>
      </c>
      <c r="AA555" s="97">
        <f t="shared" si="109"/>
        <v>36003.527082178058</v>
      </c>
    </row>
    <row r="556" spans="1:27" x14ac:dyDescent="0.25">
      <c r="A556" s="102" t="s">
        <v>1402</v>
      </c>
      <c r="B556" s="87" t="s">
        <v>1403</v>
      </c>
      <c r="C556" s="88" t="s">
        <v>226</v>
      </c>
      <c r="D556" s="89" t="s">
        <v>262</v>
      </c>
      <c r="E556" s="90">
        <f t="shared" si="112"/>
        <v>26563</v>
      </c>
      <c r="F556" s="90">
        <f t="shared" si="110"/>
        <v>22322.218471646498</v>
      </c>
      <c r="G556" s="91">
        <v>0.19</v>
      </c>
      <c r="H556" s="91" t="s">
        <v>228</v>
      </c>
      <c r="I556" s="91" t="s">
        <v>228</v>
      </c>
      <c r="J556" s="91" t="s">
        <v>228</v>
      </c>
      <c r="K556" s="91" t="s">
        <v>228</v>
      </c>
      <c r="L556" s="92" t="s">
        <v>769</v>
      </c>
      <c r="M556" s="91" t="str">
        <f t="shared" si="113"/>
        <v>VER ARCHIVO ANEXO</v>
      </c>
      <c r="N556" s="93">
        <v>41608</v>
      </c>
      <c r="O556" s="94"/>
      <c r="P556" s="94"/>
      <c r="Q556" s="94">
        <v>446</v>
      </c>
      <c r="R556" s="95">
        <f t="shared" si="102"/>
        <v>22322.218471646498</v>
      </c>
      <c r="S556" s="94">
        <v>14607.7672</v>
      </c>
      <c r="T556" s="94">
        <f t="shared" si="103"/>
        <v>15596.713039440001</v>
      </c>
      <c r="U556" s="94">
        <f t="shared" si="104"/>
        <v>16493.524039207801</v>
      </c>
      <c r="V556" s="94">
        <f t="shared" si="105"/>
        <v>17168.109172411398</v>
      </c>
      <c r="W556" s="97">
        <f t="shared" si="106"/>
        <v>17714.055044094082</v>
      </c>
      <c r="X556" s="97">
        <f t="shared" si="107"/>
        <v>18387.189135769659</v>
      </c>
      <c r="Y556" s="97">
        <f t="shared" si="111"/>
        <v>18683.222880855552</v>
      </c>
      <c r="Z556" s="97">
        <f t="shared" si="108"/>
        <v>19733.220006759635</v>
      </c>
      <c r="AA556" s="97">
        <f t="shared" si="109"/>
        <v>22322.218471646498</v>
      </c>
    </row>
    <row r="557" spans="1:27" x14ac:dyDescent="0.25">
      <c r="A557" s="102" t="s">
        <v>1404</v>
      </c>
      <c r="B557" s="87" t="s">
        <v>1405</v>
      </c>
      <c r="C557" s="88" t="s">
        <v>226</v>
      </c>
      <c r="D557" s="89" t="s">
        <v>255</v>
      </c>
      <c r="E557" s="90">
        <f t="shared" si="112"/>
        <v>3770</v>
      </c>
      <c r="F557" s="90">
        <f t="shared" si="110"/>
        <v>3168.0696099413135</v>
      </c>
      <c r="G557" s="91">
        <v>0.19</v>
      </c>
      <c r="H557" s="91" t="s">
        <v>228</v>
      </c>
      <c r="I557" s="91" t="s">
        <v>228</v>
      </c>
      <c r="J557" s="91" t="s">
        <v>228</v>
      </c>
      <c r="K557" s="91" t="s">
        <v>228</v>
      </c>
      <c r="L557" s="92" t="s">
        <v>302</v>
      </c>
      <c r="M557" s="91" t="str">
        <f t="shared" si="113"/>
        <v>no aplica</v>
      </c>
      <c r="N557" s="93">
        <v>41608</v>
      </c>
      <c r="O557" s="94"/>
      <c r="P557" s="94"/>
      <c r="Q557" s="94">
        <v>447</v>
      </c>
      <c r="R557" s="95">
        <f t="shared" si="102"/>
        <v>3168.0696099413135</v>
      </c>
      <c r="S557" s="94">
        <v>2073.1999999999998</v>
      </c>
      <c r="T557" s="94">
        <f t="shared" si="103"/>
        <v>2213.55564</v>
      </c>
      <c r="U557" s="94">
        <f t="shared" si="104"/>
        <v>2340.8350893000002</v>
      </c>
      <c r="V557" s="94">
        <f t="shared" si="105"/>
        <v>2436.57524445237</v>
      </c>
      <c r="W557" s="97">
        <f t="shared" si="106"/>
        <v>2514.0583372259557</v>
      </c>
      <c r="X557" s="97">
        <f t="shared" si="107"/>
        <v>2609.5925540405419</v>
      </c>
      <c r="Y557" s="97">
        <f t="shared" si="111"/>
        <v>2651.6069941605947</v>
      </c>
      <c r="Z557" s="97">
        <f t="shared" si="108"/>
        <v>2800.6273072324202</v>
      </c>
      <c r="AA557" s="97">
        <f t="shared" si="109"/>
        <v>3168.0696099413135</v>
      </c>
    </row>
    <row r="558" spans="1:27" x14ac:dyDescent="0.25">
      <c r="A558" s="86" t="s">
        <v>1406</v>
      </c>
      <c r="B558" s="87" t="s">
        <v>1407</v>
      </c>
      <c r="C558" s="88" t="s">
        <v>226</v>
      </c>
      <c r="D558" s="89" t="s">
        <v>4</v>
      </c>
      <c r="E558" s="90">
        <f t="shared" si="112"/>
        <v>85690</v>
      </c>
      <c r="F558" s="90">
        <f t="shared" si="110"/>
        <v>72008.638199161098</v>
      </c>
      <c r="G558" s="91">
        <v>0.19</v>
      </c>
      <c r="H558" s="91" t="s">
        <v>228</v>
      </c>
      <c r="I558" s="91" t="s">
        <v>228</v>
      </c>
      <c r="J558" s="91" t="s">
        <v>228</v>
      </c>
      <c r="K558" s="91" t="s">
        <v>228</v>
      </c>
      <c r="L558" s="92" t="s">
        <v>302</v>
      </c>
      <c r="M558" s="91" t="str">
        <f t="shared" si="113"/>
        <v>no aplica</v>
      </c>
      <c r="N558" s="93">
        <v>41608</v>
      </c>
      <c r="O558" s="94"/>
      <c r="P558" s="94"/>
      <c r="Q558" s="94">
        <v>448</v>
      </c>
      <c r="R558" s="95">
        <f t="shared" si="102"/>
        <v>72008.638199161098</v>
      </c>
      <c r="S558" s="94">
        <v>47122.799399999996</v>
      </c>
      <c r="T558" s="94">
        <f t="shared" si="103"/>
        <v>50313.012919380002</v>
      </c>
      <c r="U558" s="94">
        <f t="shared" si="104"/>
        <v>53206.011162244358</v>
      </c>
      <c r="V558" s="94">
        <f t="shared" si="105"/>
        <v>55382.137018780151</v>
      </c>
      <c r="W558" s="97">
        <f t="shared" si="106"/>
        <v>57143.288975977361</v>
      </c>
      <c r="X558" s="97">
        <f t="shared" si="107"/>
        <v>59314.733957064505</v>
      </c>
      <c r="Y558" s="97">
        <f t="shared" si="111"/>
        <v>60269.701173773246</v>
      </c>
      <c r="Z558" s="97">
        <f t="shared" si="108"/>
        <v>63656.858379739308</v>
      </c>
      <c r="AA558" s="97">
        <f t="shared" si="109"/>
        <v>72008.638199161098</v>
      </c>
    </row>
    <row r="559" spans="1:27" x14ac:dyDescent="0.25">
      <c r="A559" s="102" t="s">
        <v>1408</v>
      </c>
      <c r="B559" s="87" t="s">
        <v>1409</v>
      </c>
      <c r="C559" s="88" t="s">
        <v>226</v>
      </c>
      <c r="D559" s="89" t="s">
        <v>262</v>
      </c>
      <c r="E559" s="90">
        <f t="shared" si="112"/>
        <v>308490</v>
      </c>
      <c r="F559" s="90">
        <f t="shared" si="110"/>
        <v>259235.21600747289</v>
      </c>
      <c r="G559" s="91">
        <v>0.19</v>
      </c>
      <c r="H559" s="91" t="s">
        <v>228</v>
      </c>
      <c r="I559" s="91" t="s">
        <v>228</v>
      </c>
      <c r="J559" s="91" t="s">
        <v>228</v>
      </c>
      <c r="K559" s="91" t="s">
        <v>228</v>
      </c>
      <c r="L559" s="92" t="s">
        <v>302</v>
      </c>
      <c r="M559" s="91" t="str">
        <f t="shared" si="113"/>
        <v>no aplica</v>
      </c>
      <c r="N559" s="93">
        <v>41608</v>
      </c>
      <c r="O559" s="94"/>
      <c r="P559" s="94"/>
      <c r="Q559" s="94">
        <v>449</v>
      </c>
      <c r="R559" s="95">
        <f t="shared" si="102"/>
        <v>259235.21600747289</v>
      </c>
      <c r="S559" s="94">
        <v>169644.77299999999</v>
      </c>
      <c r="T559" s="94">
        <f t="shared" si="103"/>
        <v>181129.7241321</v>
      </c>
      <c r="U559" s="94">
        <f t="shared" si="104"/>
        <v>191544.68326969579</v>
      </c>
      <c r="V559" s="94">
        <f t="shared" si="105"/>
        <v>199378.86081542633</v>
      </c>
      <c r="W559" s="97">
        <f t="shared" si="106"/>
        <v>205719.10858935691</v>
      </c>
      <c r="X559" s="97">
        <f t="shared" si="107"/>
        <v>213536.43471575249</v>
      </c>
      <c r="Y559" s="97">
        <f t="shared" si="111"/>
        <v>216974.3713146761</v>
      </c>
      <c r="Z559" s="97">
        <f t="shared" si="108"/>
        <v>229168.3309825609</v>
      </c>
      <c r="AA559" s="97">
        <f t="shared" si="109"/>
        <v>259235.21600747289</v>
      </c>
    </row>
    <row r="560" spans="1:27" x14ac:dyDescent="0.25">
      <c r="A560" s="102" t="s">
        <v>1410</v>
      </c>
      <c r="B560" s="87" t="s">
        <v>1411</v>
      </c>
      <c r="C560" s="88" t="s">
        <v>226</v>
      </c>
      <c r="D560" s="89" t="s">
        <v>262</v>
      </c>
      <c r="E560" s="90">
        <f t="shared" si="112"/>
        <v>171381</v>
      </c>
      <c r="F560" s="90">
        <f t="shared" si="110"/>
        <v>144017.2763983222</v>
      </c>
      <c r="G560" s="91">
        <v>0.19</v>
      </c>
      <c r="H560" s="91" t="s">
        <v>228</v>
      </c>
      <c r="I560" s="91" t="s">
        <v>228</v>
      </c>
      <c r="J560" s="91" t="s">
        <v>228</v>
      </c>
      <c r="K560" s="91" t="s">
        <v>228</v>
      </c>
      <c r="L560" s="92" t="s">
        <v>302</v>
      </c>
      <c r="M560" s="91" t="str">
        <f t="shared" si="113"/>
        <v>no aplica</v>
      </c>
      <c r="N560" s="93">
        <v>41608</v>
      </c>
      <c r="O560" s="94"/>
      <c r="P560" s="94"/>
      <c r="Q560" s="94">
        <v>450</v>
      </c>
      <c r="R560" s="95">
        <f t="shared" si="102"/>
        <v>144017.2763983222</v>
      </c>
      <c r="S560" s="94">
        <v>94245.598799999992</v>
      </c>
      <c r="T560" s="94">
        <f t="shared" si="103"/>
        <v>100626.02583876</v>
      </c>
      <c r="U560" s="94">
        <f t="shared" si="104"/>
        <v>106412.02232448872</v>
      </c>
      <c r="V560" s="94">
        <f t="shared" si="105"/>
        <v>110764.2740375603</v>
      </c>
      <c r="W560" s="97">
        <f t="shared" si="106"/>
        <v>114286.57795195472</v>
      </c>
      <c r="X560" s="97">
        <f t="shared" si="107"/>
        <v>118629.46791412901</v>
      </c>
      <c r="Y560" s="97">
        <f t="shared" si="111"/>
        <v>120539.40234754649</v>
      </c>
      <c r="Z560" s="97">
        <f t="shared" si="108"/>
        <v>127313.71675947862</v>
      </c>
      <c r="AA560" s="97">
        <f t="shared" si="109"/>
        <v>144017.2763983222</v>
      </c>
    </row>
    <row r="561" spans="1:27" x14ac:dyDescent="0.25">
      <c r="A561" s="102" t="s">
        <v>1412</v>
      </c>
      <c r="B561" s="87" t="s">
        <v>1413</v>
      </c>
      <c r="C561" s="88" t="s">
        <v>226</v>
      </c>
      <c r="D561" s="89" t="s">
        <v>262</v>
      </c>
      <c r="E561" s="90">
        <f>+ROUND(F561*(1+G561),0)</f>
        <v>313215</v>
      </c>
      <c r="F561" s="90">
        <f>R561</f>
        <v>263205.71265389788</v>
      </c>
      <c r="G561" s="91">
        <v>0.19</v>
      </c>
      <c r="H561" s="91" t="s">
        <v>228</v>
      </c>
      <c r="I561" s="91" t="s">
        <v>228</v>
      </c>
      <c r="J561" s="91" t="s">
        <v>228</v>
      </c>
      <c r="K561" s="91" t="s">
        <v>228</v>
      </c>
      <c r="L561" s="92" t="s">
        <v>302</v>
      </c>
      <c r="M561" s="91" t="str">
        <f>+IF(L561="no aplica","no aplica","VER ARCHIVO ANEXO")</f>
        <v>no aplica</v>
      </c>
      <c r="N561" s="93">
        <v>43937</v>
      </c>
      <c r="O561" s="94"/>
      <c r="P561" s="94"/>
      <c r="Q561" s="94"/>
      <c r="R561" s="95">
        <f t="shared" si="102"/>
        <v>263205.71265389788</v>
      </c>
      <c r="S561" s="94"/>
      <c r="T561" s="94"/>
      <c r="U561" s="94"/>
      <c r="V561" s="94"/>
      <c r="W561" s="97"/>
      <c r="X561" s="97">
        <v>216807</v>
      </c>
      <c r="Y561" s="97">
        <f t="shared" si="111"/>
        <v>220297.59270000001</v>
      </c>
      <c r="Z561" s="97">
        <f t="shared" si="108"/>
        <v>232678.31740974</v>
      </c>
      <c r="AA561" s="97">
        <f t="shared" si="109"/>
        <v>263205.71265389788</v>
      </c>
    </row>
    <row r="562" spans="1:27" x14ac:dyDescent="0.25">
      <c r="A562" s="102" t="s">
        <v>1414</v>
      </c>
      <c r="B562" s="87" t="s">
        <v>1415</v>
      </c>
      <c r="C562" s="88" t="s">
        <v>226</v>
      </c>
      <c r="D562" s="89" t="s">
        <v>262</v>
      </c>
      <c r="E562" s="90">
        <f t="shared" si="112"/>
        <v>51413</v>
      </c>
      <c r="F562" s="90">
        <f t="shared" si="110"/>
        <v>43204.549305574656</v>
      </c>
      <c r="G562" s="91">
        <v>0.19</v>
      </c>
      <c r="H562" s="91" t="s">
        <v>228</v>
      </c>
      <c r="I562" s="91" t="s">
        <v>228</v>
      </c>
      <c r="J562" s="91" t="s">
        <v>228</v>
      </c>
      <c r="K562" s="91" t="s">
        <v>228</v>
      </c>
      <c r="L562" s="92" t="s">
        <v>302</v>
      </c>
      <c r="M562" s="91" t="str">
        <f t="shared" si="113"/>
        <v>no aplica</v>
      </c>
      <c r="N562" s="93">
        <v>41608</v>
      </c>
      <c r="O562" s="94"/>
      <c r="P562" s="94"/>
      <c r="Q562" s="94">
        <v>451</v>
      </c>
      <c r="R562" s="95">
        <f t="shared" si="102"/>
        <v>43204.549305574656</v>
      </c>
      <c r="S562" s="94">
        <v>28273.264999999999</v>
      </c>
      <c r="T562" s="94">
        <f t="shared" si="103"/>
        <v>30187.365040500001</v>
      </c>
      <c r="U562" s="94">
        <f t="shared" si="104"/>
        <v>31923.138530328753</v>
      </c>
      <c r="V562" s="94">
        <f t="shared" si="105"/>
        <v>33228.794896219195</v>
      </c>
      <c r="W562" s="97">
        <f t="shared" si="106"/>
        <v>34285.470573918967</v>
      </c>
      <c r="X562" s="97">
        <f t="shared" si="107"/>
        <v>35588.318455727887</v>
      </c>
      <c r="Y562" s="97">
        <f t="shared" si="111"/>
        <v>36161.290382865103</v>
      </c>
      <c r="Z562" s="97">
        <f t="shared" si="108"/>
        <v>38193.554902382122</v>
      </c>
      <c r="AA562" s="97">
        <f t="shared" si="109"/>
        <v>43204.549305574656</v>
      </c>
    </row>
    <row r="563" spans="1:27" x14ac:dyDescent="0.25">
      <c r="A563" s="102" t="s">
        <v>1416</v>
      </c>
      <c r="B563" s="87" t="s">
        <v>1417</v>
      </c>
      <c r="C563" s="88" t="s">
        <v>226</v>
      </c>
      <c r="D563" s="89" t="s">
        <v>255</v>
      </c>
      <c r="E563" s="90">
        <f t="shared" si="112"/>
        <v>136</v>
      </c>
      <c r="F563" s="90">
        <f t="shared" si="110"/>
        <v>114.05050595788728</v>
      </c>
      <c r="G563" s="91">
        <v>0.19</v>
      </c>
      <c r="H563" s="91" t="s">
        <v>228</v>
      </c>
      <c r="I563" s="91" t="s">
        <v>228</v>
      </c>
      <c r="J563" s="91" t="s">
        <v>228</v>
      </c>
      <c r="K563" s="91" t="s">
        <v>228</v>
      </c>
      <c r="L563" s="92" t="s">
        <v>302</v>
      </c>
      <c r="M563" s="91" t="str">
        <f t="shared" si="113"/>
        <v>no aplica</v>
      </c>
      <c r="N563" s="93">
        <v>41608</v>
      </c>
      <c r="O563" s="94"/>
      <c r="P563" s="94"/>
      <c r="Q563" s="94">
        <v>452</v>
      </c>
      <c r="R563" s="95">
        <f t="shared" si="102"/>
        <v>114.05050595788728</v>
      </c>
      <c r="S563" s="94">
        <v>74.635199999999998</v>
      </c>
      <c r="T563" s="94">
        <f t="shared" si="103"/>
        <v>79.688003039999998</v>
      </c>
      <c r="U563" s="94">
        <f t="shared" si="104"/>
        <v>84.270063214800004</v>
      </c>
      <c r="V563" s="94">
        <f t="shared" si="105"/>
        <v>87.716708800285318</v>
      </c>
      <c r="W563" s="97">
        <f t="shared" si="106"/>
        <v>90.506100140134393</v>
      </c>
      <c r="X563" s="97">
        <f t="shared" si="107"/>
        <v>93.9453319454595</v>
      </c>
      <c r="Y563" s="97">
        <f t="shared" si="111"/>
        <v>95.457851789781401</v>
      </c>
      <c r="Z563" s="97">
        <f t="shared" si="108"/>
        <v>100.82258306036712</v>
      </c>
      <c r="AA563" s="97">
        <f t="shared" si="109"/>
        <v>114.05050595788728</v>
      </c>
    </row>
    <row r="564" spans="1:27" x14ac:dyDescent="0.25">
      <c r="A564" s="102" t="s">
        <v>1418</v>
      </c>
      <c r="B564" s="87" t="s">
        <v>1419</v>
      </c>
      <c r="C564" s="88" t="s">
        <v>226</v>
      </c>
      <c r="D564" s="89" t="s">
        <v>255</v>
      </c>
      <c r="E564" s="90">
        <f t="shared" si="112"/>
        <v>34275</v>
      </c>
      <c r="F564" s="90">
        <f t="shared" si="110"/>
        <v>28802.504858781456</v>
      </c>
      <c r="G564" s="91">
        <v>0.19</v>
      </c>
      <c r="H564" s="91" t="s">
        <v>228</v>
      </c>
      <c r="I564" s="91" t="s">
        <v>228</v>
      </c>
      <c r="J564" s="91" t="s">
        <v>228</v>
      </c>
      <c r="K564" s="91" t="s">
        <v>228</v>
      </c>
      <c r="L564" s="92" t="s">
        <v>302</v>
      </c>
      <c r="M564" s="91" t="str">
        <f t="shared" si="113"/>
        <v>no aplica</v>
      </c>
      <c r="N564" s="93">
        <v>41608</v>
      </c>
      <c r="O564" s="94"/>
      <c r="P564" s="94"/>
      <c r="Q564" s="94">
        <v>453</v>
      </c>
      <c r="R564" s="95">
        <f t="shared" si="102"/>
        <v>28802.504858781456</v>
      </c>
      <c r="S564" s="94">
        <v>18848.497800000001</v>
      </c>
      <c r="T564" s="94">
        <f t="shared" si="103"/>
        <v>20124.541101060004</v>
      </c>
      <c r="U564" s="94">
        <f t="shared" si="104"/>
        <v>21281.702214370955</v>
      </c>
      <c r="V564" s="94">
        <f t="shared" si="105"/>
        <v>22152.123834938724</v>
      </c>
      <c r="W564" s="97">
        <f t="shared" si="106"/>
        <v>22856.561372889777</v>
      </c>
      <c r="X564" s="97">
        <f t="shared" si="107"/>
        <v>23725.110705059589</v>
      </c>
      <c r="Y564" s="97">
        <f t="shared" si="111"/>
        <v>24107.08498741105</v>
      </c>
      <c r="Z564" s="97">
        <f t="shared" si="108"/>
        <v>25461.903163703551</v>
      </c>
      <c r="AA564" s="97">
        <f t="shared" si="109"/>
        <v>28802.504858781456</v>
      </c>
    </row>
    <row r="565" spans="1:27" x14ac:dyDescent="0.25">
      <c r="A565" s="102" t="s">
        <v>1420</v>
      </c>
      <c r="B565" s="87" t="s">
        <v>1421</v>
      </c>
      <c r="C565" s="88" t="s">
        <v>226</v>
      </c>
      <c r="D565" s="89" t="s">
        <v>255</v>
      </c>
      <c r="E565" s="90">
        <f t="shared" si="112"/>
        <v>11994</v>
      </c>
      <c r="F565" s="90">
        <f t="shared" si="110"/>
        <v>10079.213464028289</v>
      </c>
      <c r="G565" s="91">
        <v>0.19</v>
      </c>
      <c r="H565" s="91" t="s">
        <v>228</v>
      </c>
      <c r="I565" s="91" t="s">
        <v>228</v>
      </c>
      <c r="J565" s="91" t="s">
        <v>228</v>
      </c>
      <c r="K565" s="91" t="s">
        <v>228</v>
      </c>
      <c r="L565" s="92" t="s">
        <v>302</v>
      </c>
      <c r="M565" s="91" t="str">
        <f t="shared" si="113"/>
        <v>no aplica</v>
      </c>
      <c r="N565" s="93">
        <v>41608</v>
      </c>
      <c r="O565" s="94"/>
      <c r="P565" s="94"/>
      <c r="Q565" s="94">
        <v>454</v>
      </c>
      <c r="R565" s="95">
        <f t="shared" si="102"/>
        <v>10079.213464028289</v>
      </c>
      <c r="S565" s="94">
        <v>6595.8858</v>
      </c>
      <c r="T565" s="94">
        <f t="shared" si="103"/>
        <v>7042.4272686600007</v>
      </c>
      <c r="U565" s="94">
        <f t="shared" si="104"/>
        <v>7447.3668366079519</v>
      </c>
      <c r="V565" s="94">
        <f t="shared" si="105"/>
        <v>7751.9641402252164</v>
      </c>
      <c r="W565" s="97">
        <f t="shared" si="106"/>
        <v>7998.4765998843786</v>
      </c>
      <c r="X565" s="97">
        <f t="shared" si="107"/>
        <v>8302.4187106799855</v>
      </c>
      <c r="Y565" s="97">
        <f t="shared" si="111"/>
        <v>8436.0876519219328</v>
      </c>
      <c r="Z565" s="97">
        <f t="shared" si="108"/>
        <v>8910.1957779599452</v>
      </c>
      <c r="AA565" s="97">
        <f t="shared" si="109"/>
        <v>10079.213464028289</v>
      </c>
    </row>
    <row r="566" spans="1:27" x14ac:dyDescent="0.25">
      <c r="A566" s="102" t="s">
        <v>1422</v>
      </c>
      <c r="B566" s="87" t="s">
        <v>1423</v>
      </c>
      <c r="C566" s="88" t="s">
        <v>226</v>
      </c>
      <c r="D566" s="89" t="s">
        <v>4</v>
      </c>
      <c r="E566" s="90">
        <f t="shared" si="112"/>
        <v>2741</v>
      </c>
      <c r="F566" s="90">
        <f t="shared" si="110"/>
        <v>2303.1866064273354</v>
      </c>
      <c r="G566" s="91">
        <v>0.19</v>
      </c>
      <c r="H566" s="91" t="s">
        <v>228</v>
      </c>
      <c r="I566" s="91" t="s">
        <v>228</v>
      </c>
      <c r="J566" s="91" t="s">
        <v>228</v>
      </c>
      <c r="K566" s="91" t="s">
        <v>228</v>
      </c>
      <c r="L566" s="92" t="s">
        <v>302</v>
      </c>
      <c r="M566" s="91" t="str">
        <f t="shared" si="113"/>
        <v>no aplica</v>
      </c>
      <c r="N566" s="93">
        <v>41608</v>
      </c>
      <c r="O566" s="94"/>
      <c r="P566" s="94"/>
      <c r="Q566" s="94">
        <v>455</v>
      </c>
      <c r="R566" s="95">
        <f t="shared" si="102"/>
        <v>2303.1866064273354</v>
      </c>
      <c r="S566" s="94">
        <v>1507.2164</v>
      </c>
      <c r="T566" s="94">
        <f t="shared" si="103"/>
        <v>1609.2549502800002</v>
      </c>
      <c r="U566" s="94">
        <f t="shared" si="104"/>
        <v>1701.7871099211004</v>
      </c>
      <c r="V566" s="94">
        <f t="shared" si="105"/>
        <v>1771.3902027168733</v>
      </c>
      <c r="W566" s="97">
        <f t="shared" si="106"/>
        <v>1827.72041116327</v>
      </c>
      <c r="X566" s="97">
        <f t="shared" si="107"/>
        <v>1897.1737867874742</v>
      </c>
      <c r="Y566" s="97">
        <f t="shared" si="111"/>
        <v>1927.7182847547526</v>
      </c>
      <c r="Z566" s="97">
        <f t="shared" si="108"/>
        <v>2036.0560523579697</v>
      </c>
      <c r="AA566" s="97">
        <f t="shared" si="109"/>
        <v>2303.1866064273354</v>
      </c>
    </row>
    <row r="567" spans="1:27" x14ac:dyDescent="0.25">
      <c r="A567" s="102" t="s">
        <v>1424</v>
      </c>
      <c r="B567" s="87" t="s">
        <v>1425</v>
      </c>
      <c r="C567" s="88" t="s">
        <v>226</v>
      </c>
      <c r="D567" s="89" t="s">
        <v>4</v>
      </c>
      <c r="E567" s="90">
        <f t="shared" si="112"/>
        <v>3084</v>
      </c>
      <c r="F567" s="90">
        <f t="shared" si="110"/>
        <v>2591.4809409319955</v>
      </c>
      <c r="G567" s="91">
        <v>0.19</v>
      </c>
      <c r="H567" s="91" t="s">
        <v>228</v>
      </c>
      <c r="I567" s="91" t="s">
        <v>228</v>
      </c>
      <c r="J567" s="91" t="s">
        <v>228</v>
      </c>
      <c r="K567" s="91" t="s">
        <v>228</v>
      </c>
      <c r="L567" s="92" t="s">
        <v>302</v>
      </c>
      <c r="M567" s="91" t="str">
        <f t="shared" si="113"/>
        <v>no aplica</v>
      </c>
      <c r="N567" s="93">
        <v>41608</v>
      </c>
      <c r="O567" s="94"/>
      <c r="P567" s="94"/>
      <c r="Q567" s="94">
        <v>456</v>
      </c>
      <c r="R567" s="95">
        <f t="shared" si="102"/>
        <v>2591.4809409319955</v>
      </c>
      <c r="S567" s="94">
        <v>1695.8776</v>
      </c>
      <c r="T567" s="94">
        <f t="shared" si="103"/>
        <v>1810.6885135200002</v>
      </c>
      <c r="U567" s="94">
        <f t="shared" si="104"/>
        <v>1914.8031030474006</v>
      </c>
      <c r="V567" s="94">
        <f t="shared" si="105"/>
        <v>1993.1185499620392</v>
      </c>
      <c r="W567" s="97">
        <f t="shared" si="106"/>
        <v>2056.4997198508322</v>
      </c>
      <c r="X567" s="97">
        <f t="shared" si="107"/>
        <v>2134.6467092051639</v>
      </c>
      <c r="Y567" s="97">
        <f t="shared" si="111"/>
        <v>2169.014521223367</v>
      </c>
      <c r="Z567" s="97">
        <f t="shared" si="108"/>
        <v>2290.9131373161204</v>
      </c>
      <c r="AA567" s="97">
        <f t="shared" si="109"/>
        <v>2591.4809409319955</v>
      </c>
    </row>
    <row r="568" spans="1:27" x14ac:dyDescent="0.25">
      <c r="A568" s="102" t="s">
        <v>1426</v>
      </c>
      <c r="B568" s="87" t="s">
        <v>1427</v>
      </c>
      <c r="C568" s="88" t="s">
        <v>226</v>
      </c>
      <c r="D568" s="89" t="s">
        <v>262</v>
      </c>
      <c r="E568" s="90">
        <f t="shared" si="112"/>
        <v>9749</v>
      </c>
      <c r="F568" s="90">
        <f t="shared" si="110"/>
        <v>8192.6280113082375</v>
      </c>
      <c r="G568" s="91">
        <v>0.19</v>
      </c>
      <c r="H568" s="91"/>
      <c r="I568" s="91" t="s">
        <v>228</v>
      </c>
      <c r="J568" s="91"/>
      <c r="K568" s="91"/>
      <c r="L568" s="92" t="s">
        <v>302</v>
      </c>
      <c r="M568" s="91" t="str">
        <f t="shared" si="113"/>
        <v>no aplica</v>
      </c>
      <c r="N568" s="93">
        <v>41608</v>
      </c>
      <c r="O568" s="94"/>
      <c r="P568" s="94"/>
      <c r="Q568" s="94">
        <v>457</v>
      </c>
      <c r="R568" s="95">
        <f t="shared" si="102"/>
        <v>8192.6280113082375</v>
      </c>
      <c r="S568" s="94">
        <v>5361.2951999999996</v>
      </c>
      <c r="T568" s="94">
        <f t="shared" si="103"/>
        <v>5724.2548850399999</v>
      </c>
      <c r="U568" s="94">
        <f t="shared" si="104"/>
        <v>6053.3995409298004</v>
      </c>
      <c r="V568" s="94">
        <f t="shared" si="105"/>
        <v>6300.983582153829</v>
      </c>
      <c r="W568" s="97">
        <f t="shared" si="106"/>
        <v>6501.3548600663207</v>
      </c>
      <c r="X568" s="97">
        <f t="shared" si="107"/>
        <v>6748.4063447488415</v>
      </c>
      <c r="Y568" s="97">
        <f t="shared" si="111"/>
        <v>6857.0556868992981</v>
      </c>
      <c r="Z568" s="97">
        <f t="shared" si="108"/>
        <v>7242.4222165030387</v>
      </c>
      <c r="AA568" s="97">
        <f t="shared" si="109"/>
        <v>8192.6280113082375</v>
      </c>
    </row>
    <row r="569" spans="1:27" x14ac:dyDescent="0.25">
      <c r="A569" s="86" t="s">
        <v>1428</v>
      </c>
      <c r="B569" s="87" t="s">
        <v>1429</v>
      </c>
      <c r="C569" s="88" t="s">
        <v>226</v>
      </c>
      <c r="D569" s="89" t="s">
        <v>262</v>
      </c>
      <c r="E569" s="90">
        <f t="shared" si="112"/>
        <v>1159276</v>
      </c>
      <c r="F569" s="90">
        <f t="shared" si="110"/>
        <v>974181.40505695401</v>
      </c>
      <c r="G569" s="91">
        <v>0.19</v>
      </c>
      <c r="H569" s="91"/>
      <c r="I569" s="91" t="s">
        <v>228</v>
      </c>
      <c r="J569" s="91"/>
      <c r="K569" s="91"/>
      <c r="L569" s="92" t="s">
        <v>279</v>
      </c>
      <c r="M569" s="91" t="str">
        <f t="shared" si="113"/>
        <v>VER ARCHIVO ANEXO</v>
      </c>
      <c r="N569" s="93">
        <v>41608</v>
      </c>
      <c r="O569" s="94"/>
      <c r="P569" s="94"/>
      <c r="Q569" s="94">
        <v>458</v>
      </c>
      <c r="R569" s="95">
        <f t="shared" si="102"/>
        <v>974181.40505695401</v>
      </c>
      <c r="S569" s="94">
        <v>637509</v>
      </c>
      <c r="T569" s="94">
        <f t="shared" si="103"/>
        <v>680668.35930000001</v>
      </c>
      <c r="U569" s="94">
        <f t="shared" si="104"/>
        <v>719806.78995975014</v>
      </c>
      <c r="V569" s="94">
        <f t="shared" si="105"/>
        <v>749246.88766910392</v>
      </c>
      <c r="W569" s="97">
        <f t="shared" si="106"/>
        <v>773072.93869698141</v>
      </c>
      <c r="X569" s="97">
        <f t="shared" si="107"/>
        <v>802449.71036746667</v>
      </c>
      <c r="Y569" s="97">
        <f t="shared" si="111"/>
        <v>815369.15070438292</v>
      </c>
      <c r="Z569" s="97">
        <f t="shared" si="108"/>
        <v>861192.8969739693</v>
      </c>
      <c r="AA569" s="97">
        <f t="shared" si="109"/>
        <v>974181.40505695401</v>
      </c>
    </row>
    <row r="570" spans="1:27" x14ac:dyDescent="0.25">
      <c r="A570" s="86" t="s">
        <v>1430</v>
      </c>
      <c r="B570" s="87" t="s">
        <v>1431</v>
      </c>
      <c r="C570" s="88" t="s">
        <v>226</v>
      </c>
      <c r="D570" s="89" t="s">
        <v>262</v>
      </c>
      <c r="E570" s="90">
        <f t="shared" si="112"/>
        <v>565500</v>
      </c>
      <c r="F570" s="90">
        <f t="shared" si="110"/>
        <v>475210.4414911971</v>
      </c>
      <c r="G570" s="91">
        <v>0.19</v>
      </c>
      <c r="H570" s="91"/>
      <c r="I570" s="91" t="s">
        <v>228</v>
      </c>
      <c r="J570" s="91"/>
      <c r="K570" s="91"/>
      <c r="L570" s="92" t="s">
        <v>279</v>
      </c>
      <c r="M570" s="91" t="str">
        <f t="shared" si="113"/>
        <v>VER ARCHIVO ANEXO</v>
      </c>
      <c r="N570" s="93">
        <v>41608</v>
      </c>
      <c r="O570" s="94"/>
      <c r="P570" s="94"/>
      <c r="Q570" s="94">
        <v>459</v>
      </c>
      <c r="R570" s="95">
        <f t="shared" si="102"/>
        <v>475210.4414911971</v>
      </c>
      <c r="S570" s="94">
        <v>310980</v>
      </c>
      <c r="T570" s="94">
        <f t="shared" si="103"/>
        <v>332033.34600000002</v>
      </c>
      <c r="U570" s="94">
        <f t="shared" si="104"/>
        <v>351125.26339500007</v>
      </c>
      <c r="V570" s="94">
        <f t="shared" si="105"/>
        <v>365486.28666785557</v>
      </c>
      <c r="W570" s="97">
        <f t="shared" si="106"/>
        <v>377108.75058389339</v>
      </c>
      <c r="X570" s="97">
        <f t="shared" si="107"/>
        <v>391438.88310608134</v>
      </c>
      <c r="Y570" s="97">
        <f t="shared" si="111"/>
        <v>397741.04912408924</v>
      </c>
      <c r="Z570" s="97">
        <f t="shared" si="108"/>
        <v>420094.09608486306</v>
      </c>
      <c r="AA570" s="97">
        <f t="shared" si="109"/>
        <v>475210.4414911971</v>
      </c>
    </row>
    <row r="571" spans="1:27" x14ac:dyDescent="0.25">
      <c r="A571" s="86" t="s">
        <v>1432</v>
      </c>
      <c r="B571" s="87" t="s">
        <v>1433</v>
      </c>
      <c r="C571" s="88" t="s">
        <v>226</v>
      </c>
      <c r="D571" s="89" t="s">
        <v>262</v>
      </c>
      <c r="E571" s="90">
        <f t="shared" si="112"/>
        <v>237510</v>
      </c>
      <c r="F571" s="90">
        <f t="shared" si="110"/>
        <v>199588.38542630276</v>
      </c>
      <c r="G571" s="91">
        <v>0.19</v>
      </c>
      <c r="H571" s="91"/>
      <c r="I571" s="91" t="s">
        <v>228</v>
      </c>
      <c r="J571" s="91"/>
      <c r="K571" s="91"/>
      <c r="L571" s="92" t="s">
        <v>279</v>
      </c>
      <c r="M571" s="91" t="str">
        <f t="shared" si="113"/>
        <v>VER ARCHIVO ANEXO</v>
      </c>
      <c r="N571" s="93">
        <v>41608</v>
      </c>
      <c r="O571" s="94"/>
      <c r="P571" s="94"/>
      <c r="Q571" s="94">
        <v>460</v>
      </c>
      <c r="R571" s="95">
        <f t="shared" si="102"/>
        <v>199588.38542630276</v>
      </c>
      <c r="S571" s="94">
        <v>130611.59999999999</v>
      </c>
      <c r="T571" s="94">
        <f t="shared" si="103"/>
        <v>139454.00532</v>
      </c>
      <c r="U571" s="94">
        <f t="shared" si="104"/>
        <v>147472.61062590001</v>
      </c>
      <c r="V571" s="94">
        <f t="shared" si="105"/>
        <v>153504.24040049932</v>
      </c>
      <c r="W571" s="97">
        <f t="shared" si="106"/>
        <v>158385.67524523521</v>
      </c>
      <c r="X571" s="97">
        <f t="shared" si="107"/>
        <v>164404.33090455414</v>
      </c>
      <c r="Y571" s="97">
        <f t="shared" si="111"/>
        <v>167051.24063211746</v>
      </c>
      <c r="Z571" s="97">
        <f t="shared" si="108"/>
        <v>176439.52035564248</v>
      </c>
      <c r="AA571" s="97">
        <f t="shared" si="109"/>
        <v>199588.38542630276</v>
      </c>
    </row>
    <row r="572" spans="1:27" x14ac:dyDescent="0.25">
      <c r="A572" s="86" t="s">
        <v>1434</v>
      </c>
      <c r="B572" s="87" t="s">
        <v>1435</v>
      </c>
      <c r="C572" s="88" t="s">
        <v>226</v>
      </c>
      <c r="D572" s="89" t="s">
        <v>262</v>
      </c>
      <c r="E572" s="90">
        <f t="shared" si="112"/>
        <v>207350</v>
      </c>
      <c r="F572" s="90">
        <f t="shared" si="110"/>
        <v>174243.8285467723</v>
      </c>
      <c r="G572" s="91">
        <v>0.19</v>
      </c>
      <c r="H572" s="91"/>
      <c r="I572" s="91" t="s">
        <v>228</v>
      </c>
      <c r="J572" s="91"/>
      <c r="K572" s="91"/>
      <c r="L572" s="92" t="s">
        <v>279</v>
      </c>
      <c r="M572" s="91" t="str">
        <f t="shared" si="113"/>
        <v>VER ARCHIVO ANEXO</v>
      </c>
      <c r="N572" s="93">
        <v>41608</v>
      </c>
      <c r="O572" s="94"/>
      <c r="P572" s="94"/>
      <c r="Q572" s="94">
        <v>461</v>
      </c>
      <c r="R572" s="95">
        <f t="shared" si="102"/>
        <v>174243.8285467723</v>
      </c>
      <c r="S572" s="94">
        <v>114026</v>
      </c>
      <c r="T572" s="94">
        <f t="shared" si="103"/>
        <v>121745.56020000001</v>
      </c>
      <c r="U572" s="94">
        <f t="shared" si="104"/>
        <v>128745.92991150002</v>
      </c>
      <c r="V572" s="94">
        <f t="shared" si="105"/>
        <v>134011.63844488037</v>
      </c>
      <c r="W572" s="97">
        <f t="shared" si="106"/>
        <v>138273.20854742758</v>
      </c>
      <c r="X572" s="97">
        <f t="shared" si="107"/>
        <v>143527.59047222984</v>
      </c>
      <c r="Y572" s="97">
        <f t="shared" si="111"/>
        <v>145838.38467883275</v>
      </c>
      <c r="Z572" s="97">
        <f t="shared" si="108"/>
        <v>154034.50189778316</v>
      </c>
      <c r="AA572" s="97">
        <f t="shared" si="109"/>
        <v>174243.8285467723</v>
      </c>
    </row>
    <row r="573" spans="1:27" x14ac:dyDescent="0.25">
      <c r="A573" s="86" t="s">
        <v>1436</v>
      </c>
      <c r="B573" s="87" t="s">
        <v>1437</v>
      </c>
      <c r="C573" s="88" t="s">
        <v>226</v>
      </c>
      <c r="D573" s="89" t="s">
        <v>262</v>
      </c>
      <c r="E573" s="90">
        <f t="shared" si="112"/>
        <v>290875</v>
      </c>
      <c r="F573" s="90">
        <f t="shared" si="110"/>
        <v>244432.41075502208</v>
      </c>
      <c r="G573" s="91">
        <v>0.19</v>
      </c>
      <c r="H573" s="91"/>
      <c r="I573" s="91" t="s">
        <v>228</v>
      </c>
      <c r="J573" s="91"/>
      <c r="K573" s="91"/>
      <c r="L573" s="92" t="s">
        <v>279</v>
      </c>
      <c r="M573" s="91" t="str">
        <f t="shared" si="113"/>
        <v>VER ARCHIVO ANEXO</v>
      </c>
      <c r="N573" s="93">
        <v>41608</v>
      </c>
      <c r="O573" s="94"/>
      <c r="P573" s="94"/>
      <c r="Q573" s="94">
        <v>462</v>
      </c>
      <c r="R573" s="95">
        <f t="shared" si="102"/>
        <v>244432.41075502208</v>
      </c>
      <c r="S573" s="94">
        <v>159957.74599999998</v>
      </c>
      <c r="T573" s="94">
        <f t="shared" si="103"/>
        <v>170786.8854042</v>
      </c>
      <c r="U573" s="94">
        <f t="shared" si="104"/>
        <v>180607.13131494151</v>
      </c>
      <c r="V573" s="94">
        <f t="shared" si="105"/>
        <v>187993.96298572261</v>
      </c>
      <c r="W573" s="97">
        <f t="shared" si="106"/>
        <v>193972.17100866861</v>
      </c>
      <c r="X573" s="97">
        <f t="shared" si="107"/>
        <v>201343.11350699802</v>
      </c>
      <c r="Y573" s="97">
        <f t="shared" si="111"/>
        <v>204584.7376344607</v>
      </c>
      <c r="Z573" s="97">
        <f t="shared" si="108"/>
        <v>216082.3998895174</v>
      </c>
      <c r="AA573" s="97">
        <f t="shared" si="109"/>
        <v>244432.41075502208</v>
      </c>
    </row>
    <row r="574" spans="1:27" x14ac:dyDescent="0.25">
      <c r="A574" s="86" t="s">
        <v>1438</v>
      </c>
      <c r="B574" s="87" t="s">
        <v>1439</v>
      </c>
      <c r="C574" s="88" t="s">
        <v>226</v>
      </c>
      <c r="D574" s="89" t="s">
        <v>4</v>
      </c>
      <c r="E574" s="90">
        <f t="shared" si="112"/>
        <v>216775</v>
      </c>
      <c r="F574" s="90">
        <f t="shared" si="110"/>
        <v>182164.00257162552</v>
      </c>
      <c r="G574" s="91">
        <v>0.19</v>
      </c>
      <c r="H574" s="91"/>
      <c r="I574" s="91" t="s">
        <v>228</v>
      </c>
      <c r="J574" s="91"/>
      <c r="K574" s="91"/>
      <c r="L574" s="92" t="s">
        <v>279</v>
      </c>
      <c r="M574" s="91" t="str">
        <f t="shared" si="113"/>
        <v>VER ARCHIVO ANEXO</v>
      </c>
      <c r="N574" s="93">
        <v>41608</v>
      </c>
      <c r="O574" s="94"/>
      <c r="P574" s="94"/>
      <c r="Q574" s="94">
        <v>463</v>
      </c>
      <c r="R574" s="95">
        <f t="shared" si="102"/>
        <v>182164.00257162552</v>
      </c>
      <c r="S574" s="94">
        <v>119209</v>
      </c>
      <c r="T574" s="94">
        <f t="shared" si="103"/>
        <v>127279.44930000001</v>
      </c>
      <c r="U574" s="94">
        <f t="shared" si="104"/>
        <v>134598.01763475002</v>
      </c>
      <c r="V574" s="94">
        <f t="shared" si="105"/>
        <v>140103.07655601128</v>
      </c>
      <c r="W574" s="97">
        <f t="shared" si="106"/>
        <v>144558.35439049243</v>
      </c>
      <c r="X574" s="97">
        <f t="shared" si="107"/>
        <v>150051.57185733115</v>
      </c>
      <c r="Y574" s="97">
        <f t="shared" si="111"/>
        <v>152467.40216423417</v>
      </c>
      <c r="Z574" s="97">
        <f t="shared" si="108"/>
        <v>161036.07016586413</v>
      </c>
      <c r="AA574" s="97">
        <f t="shared" si="109"/>
        <v>182164.00257162552</v>
      </c>
    </row>
    <row r="575" spans="1:27" x14ac:dyDescent="0.25">
      <c r="A575" s="86" t="s">
        <v>1440</v>
      </c>
      <c r="B575" s="87" t="s">
        <v>1441</v>
      </c>
      <c r="C575" s="88" t="s">
        <v>226</v>
      </c>
      <c r="D575" s="89" t="s">
        <v>262</v>
      </c>
      <c r="E575" s="90">
        <f t="shared" si="112"/>
        <v>71530</v>
      </c>
      <c r="F575" s="90">
        <f t="shared" si="110"/>
        <v>60109.368744221516</v>
      </c>
      <c r="G575" s="91">
        <v>0.19</v>
      </c>
      <c r="H575" s="91"/>
      <c r="I575" s="91" t="s">
        <v>228</v>
      </c>
      <c r="J575" s="91"/>
      <c r="K575" s="91"/>
      <c r="L575" s="92" t="s">
        <v>1442</v>
      </c>
      <c r="M575" s="91" t="str">
        <f t="shared" si="113"/>
        <v>VER ARCHIVO ANEXO</v>
      </c>
      <c r="N575" s="93">
        <v>41608</v>
      </c>
      <c r="O575" s="94">
        <v>75951</v>
      </c>
      <c r="P575" s="94" t="s">
        <v>1443</v>
      </c>
      <c r="Q575" s="94">
        <v>464</v>
      </c>
      <c r="R575" s="95">
        <f t="shared" si="102"/>
        <v>60109.368744221516</v>
      </c>
      <c r="S575" s="94">
        <v>39335.860199999996</v>
      </c>
      <c r="T575" s="94">
        <f t="shared" si="103"/>
        <v>41998.897935540001</v>
      </c>
      <c r="U575" s="94">
        <f t="shared" si="104"/>
        <v>44413.834566833553</v>
      </c>
      <c r="V575" s="94">
        <f t="shared" si="105"/>
        <v>46230.360400617043</v>
      </c>
      <c r="W575" s="97">
        <f t="shared" si="106"/>
        <v>47700.485861356668</v>
      </c>
      <c r="X575" s="97">
        <f t="shared" si="107"/>
        <v>49513.104324088221</v>
      </c>
      <c r="Y575" s="97">
        <f t="shared" si="111"/>
        <v>50310.265303706045</v>
      </c>
      <c r="Z575" s="97">
        <f t="shared" si="108"/>
        <v>53137.702213774326</v>
      </c>
      <c r="AA575" s="97">
        <f t="shared" si="109"/>
        <v>60109.368744221516</v>
      </c>
    </row>
    <row r="576" spans="1:27" x14ac:dyDescent="0.25">
      <c r="A576" s="86" t="s">
        <v>1444</v>
      </c>
      <c r="B576" s="87" t="s">
        <v>1445</v>
      </c>
      <c r="C576" s="88" t="s">
        <v>226</v>
      </c>
      <c r="D576" s="89" t="s">
        <v>262</v>
      </c>
      <c r="E576" s="90">
        <f t="shared" si="112"/>
        <v>77813</v>
      </c>
      <c r="F576" s="90">
        <f t="shared" si="110"/>
        <v>65388.956749188714</v>
      </c>
      <c r="G576" s="91">
        <v>0.19</v>
      </c>
      <c r="H576" s="91"/>
      <c r="I576" s="91" t="s">
        <v>228</v>
      </c>
      <c r="J576" s="91"/>
      <c r="K576" s="91"/>
      <c r="L576" s="92" t="s">
        <v>1442</v>
      </c>
      <c r="M576" s="91" t="str">
        <f t="shared" si="113"/>
        <v>VER ARCHIVO ANEXO</v>
      </c>
      <c r="N576" s="93">
        <v>41608</v>
      </c>
      <c r="O576" s="94">
        <v>82621</v>
      </c>
      <c r="P576" s="94" t="s">
        <v>1443</v>
      </c>
      <c r="Q576" s="94">
        <v>465</v>
      </c>
      <c r="R576" s="95">
        <f t="shared" si="102"/>
        <v>65388.956749188714</v>
      </c>
      <c r="S576" s="94">
        <v>42790.847999999998</v>
      </c>
      <c r="T576" s="94">
        <f t="shared" si="103"/>
        <v>45687.788409600005</v>
      </c>
      <c r="U576" s="94">
        <f t="shared" si="104"/>
        <v>48314.836243152007</v>
      </c>
      <c r="V576" s="94">
        <f t="shared" si="105"/>
        <v>50290.91304549692</v>
      </c>
      <c r="W576" s="97">
        <f t="shared" si="106"/>
        <v>51890.164080343726</v>
      </c>
      <c r="X576" s="97">
        <f t="shared" si="107"/>
        <v>53861.99031539679</v>
      </c>
      <c r="Y576" s="97">
        <f t="shared" si="111"/>
        <v>54729.168359474679</v>
      </c>
      <c r="Z576" s="97">
        <f t="shared" si="108"/>
        <v>57804.947621277155</v>
      </c>
      <c r="AA576" s="97">
        <f t="shared" si="109"/>
        <v>65388.956749188714</v>
      </c>
    </row>
    <row r="577" spans="1:27" x14ac:dyDescent="0.25">
      <c r="A577" s="86" t="s">
        <v>1446</v>
      </c>
      <c r="B577" s="87" t="s">
        <v>1447</v>
      </c>
      <c r="C577" s="88" t="s">
        <v>226</v>
      </c>
      <c r="D577" s="89" t="s">
        <v>262</v>
      </c>
      <c r="E577" s="90">
        <f t="shared" si="112"/>
        <v>85777</v>
      </c>
      <c r="F577" s="90">
        <f t="shared" si="110"/>
        <v>72081.503800189748</v>
      </c>
      <c r="G577" s="91">
        <v>0.19</v>
      </c>
      <c r="H577" s="91"/>
      <c r="I577" s="91" t="s">
        <v>228</v>
      </c>
      <c r="J577" s="91"/>
      <c r="K577" s="91"/>
      <c r="L577" s="92" t="s">
        <v>1442</v>
      </c>
      <c r="M577" s="91" t="str">
        <f t="shared" si="113"/>
        <v>VER ARCHIVO ANEXO</v>
      </c>
      <c r="N577" s="93">
        <v>41608</v>
      </c>
      <c r="O577" s="94">
        <v>91076</v>
      </c>
      <c r="P577" s="94" t="s">
        <v>1443</v>
      </c>
      <c r="Q577" s="94">
        <v>466</v>
      </c>
      <c r="R577" s="95">
        <f t="shared" si="102"/>
        <v>72081.503800189748</v>
      </c>
      <c r="S577" s="94">
        <v>47170.483</v>
      </c>
      <c r="T577" s="94">
        <f t="shared" si="103"/>
        <v>50363.924699100004</v>
      </c>
      <c r="U577" s="94">
        <f t="shared" si="104"/>
        <v>53259.850369298256</v>
      </c>
      <c r="V577" s="94">
        <f t="shared" si="105"/>
        <v>55438.178249402554</v>
      </c>
      <c r="W577" s="97">
        <f t="shared" si="106"/>
        <v>57201.112317733561</v>
      </c>
      <c r="X577" s="97">
        <f t="shared" si="107"/>
        <v>59374.754585807437</v>
      </c>
      <c r="Y577" s="97">
        <f t="shared" si="111"/>
        <v>60330.688134638935</v>
      </c>
      <c r="Z577" s="97">
        <f t="shared" si="108"/>
        <v>63721.272807805646</v>
      </c>
      <c r="AA577" s="97">
        <f t="shared" si="109"/>
        <v>72081.503800189748</v>
      </c>
    </row>
    <row r="578" spans="1:27" x14ac:dyDescent="0.25">
      <c r="A578" s="86" t="s">
        <v>1448</v>
      </c>
      <c r="B578" s="87" t="s">
        <v>1449</v>
      </c>
      <c r="C578" s="88" t="s">
        <v>226</v>
      </c>
      <c r="D578" s="89" t="s">
        <v>262</v>
      </c>
      <c r="E578" s="90">
        <f t="shared" si="112"/>
        <v>91671</v>
      </c>
      <c r="F578" s="90">
        <f t="shared" si="110"/>
        <v>77034.78063533298</v>
      </c>
      <c r="G578" s="91">
        <v>0.19</v>
      </c>
      <c r="H578" s="91"/>
      <c r="I578" s="91" t="s">
        <v>228</v>
      </c>
      <c r="J578" s="91"/>
      <c r="K578" s="91"/>
      <c r="L578" s="92" t="s">
        <v>1442</v>
      </c>
      <c r="M578" s="91" t="str">
        <f t="shared" si="113"/>
        <v>VER ARCHIVO ANEXO</v>
      </c>
      <c r="N578" s="93">
        <v>41608</v>
      </c>
      <c r="O578" s="94">
        <v>97337</v>
      </c>
      <c r="P578" s="94" t="s">
        <v>1443</v>
      </c>
      <c r="Q578" s="94">
        <v>467</v>
      </c>
      <c r="R578" s="95">
        <f t="shared" si="102"/>
        <v>77034.78063533298</v>
      </c>
      <c r="S578" s="94">
        <v>50411.931199999999</v>
      </c>
      <c r="T578" s="94">
        <f t="shared" si="103"/>
        <v>53824.818942240003</v>
      </c>
      <c r="U578" s="94">
        <f t="shared" si="104"/>
        <v>56919.746031418807</v>
      </c>
      <c r="V578" s="94">
        <f t="shared" si="105"/>
        <v>59247.763644103834</v>
      </c>
      <c r="W578" s="97">
        <f t="shared" si="106"/>
        <v>61131.842527986337</v>
      </c>
      <c r="X578" s="97">
        <f t="shared" si="107"/>
        <v>63454.85254404982</v>
      </c>
      <c r="Y578" s="97">
        <f t="shared" si="111"/>
        <v>64476.475670009022</v>
      </c>
      <c r="Z578" s="97">
        <f t="shared" si="108"/>
        <v>68100.053602663524</v>
      </c>
      <c r="AA578" s="97">
        <f t="shared" si="109"/>
        <v>77034.78063533298</v>
      </c>
    </row>
    <row r="579" spans="1:27" x14ac:dyDescent="0.25">
      <c r="A579" s="86" t="s">
        <v>1450</v>
      </c>
      <c r="B579" s="87" t="s">
        <v>1451</v>
      </c>
      <c r="C579" s="88" t="s">
        <v>226</v>
      </c>
      <c r="D579" s="89" t="s">
        <v>262</v>
      </c>
      <c r="E579" s="90">
        <f t="shared" si="112"/>
        <v>103240</v>
      </c>
      <c r="F579" s="90">
        <f t="shared" si="110"/>
        <v>86756.002233437903</v>
      </c>
      <c r="G579" s="91">
        <v>0.19</v>
      </c>
      <c r="H579" s="91"/>
      <c r="I579" s="91" t="s">
        <v>228</v>
      </c>
      <c r="J579" s="91"/>
      <c r="K579" s="91"/>
      <c r="L579" s="92" t="s">
        <v>1442</v>
      </c>
      <c r="M579" s="91" t="str">
        <f t="shared" si="113"/>
        <v>VER ARCHIVO ANEXO</v>
      </c>
      <c r="N579" s="93">
        <v>41608</v>
      </c>
      <c r="O579" s="94">
        <v>109619</v>
      </c>
      <c r="P579" s="94" t="s">
        <v>1443</v>
      </c>
      <c r="Q579" s="94">
        <v>468</v>
      </c>
      <c r="R579" s="95">
        <f t="shared" si="102"/>
        <v>86756.002233437903</v>
      </c>
      <c r="S579" s="94">
        <v>56773.545399999995</v>
      </c>
      <c r="T579" s="94">
        <f t="shared" si="103"/>
        <v>60617.114423580002</v>
      </c>
      <c r="U579" s="94">
        <f t="shared" si="104"/>
        <v>64102.598502935856</v>
      </c>
      <c r="V579" s="94">
        <f t="shared" si="105"/>
        <v>66724.394781705923</v>
      </c>
      <c r="W579" s="97">
        <f t="shared" si="106"/>
        <v>68846.230535764174</v>
      </c>
      <c r="X579" s="97">
        <f t="shared" si="107"/>
        <v>71462.387296123212</v>
      </c>
      <c r="Y579" s="97">
        <f t="shared" si="111"/>
        <v>72612.931731590797</v>
      </c>
      <c r="Z579" s="97">
        <f t="shared" si="108"/>
        <v>76693.778494906204</v>
      </c>
      <c r="AA579" s="97">
        <f t="shared" si="109"/>
        <v>86756.002233437903</v>
      </c>
    </row>
    <row r="580" spans="1:27" x14ac:dyDescent="0.25">
      <c r="A580" s="86" t="s">
        <v>1452</v>
      </c>
      <c r="B580" s="87" t="s">
        <v>1453</v>
      </c>
      <c r="C580" s="88" t="s">
        <v>226</v>
      </c>
      <c r="D580" s="89" t="s">
        <v>262</v>
      </c>
      <c r="E580" s="90">
        <f t="shared" si="112"/>
        <v>111126</v>
      </c>
      <c r="F580" s="90">
        <f t="shared" si="110"/>
        <v>93383.603857435141</v>
      </c>
      <c r="G580" s="91">
        <v>0.19</v>
      </c>
      <c r="H580" s="91"/>
      <c r="I580" s="91" t="s">
        <v>228</v>
      </c>
      <c r="J580" s="91"/>
      <c r="K580" s="91"/>
      <c r="L580" s="92" t="s">
        <v>1442</v>
      </c>
      <c r="M580" s="91" t="str">
        <f t="shared" si="113"/>
        <v>VER ARCHIVO ANEXO</v>
      </c>
      <c r="N580" s="93">
        <v>41608</v>
      </c>
      <c r="O580" s="94">
        <v>117993</v>
      </c>
      <c r="P580" s="94" t="s">
        <v>1443</v>
      </c>
      <c r="Q580" s="94">
        <v>469</v>
      </c>
      <c r="R580" s="95">
        <f t="shared" si="102"/>
        <v>93383.603857435141</v>
      </c>
      <c r="S580" s="94">
        <v>61110.679799999998</v>
      </c>
      <c r="T580" s="94">
        <f t="shared" si="103"/>
        <v>65247.872822460005</v>
      </c>
      <c r="U580" s="94">
        <f t="shared" si="104"/>
        <v>68999.625509751466</v>
      </c>
      <c r="V580" s="94">
        <f t="shared" si="105"/>
        <v>71821.710193100298</v>
      </c>
      <c r="W580" s="97">
        <f t="shared" si="106"/>
        <v>74105.640577240891</v>
      </c>
      <c r="X580" s="97">
        <f t="shared" si="107"/>
        <v>76921.654919176042</v>
      </c>
      <c r="Y580" s="97">
        <f t="shared" si="111"/>
        <v>78160.093563374772</v>
      </c>
      <c r="Z580" s="97">
        <f t="shared" si="108"/>
        <v>82552.690821636439</v>
      </c>
      <c r="AA580" s="97">
        <f t="shared" si="109"/>
        <v>93383.603857435141</v>
      </c>
    </row>
    <row r="581" spans="1:27" x14ac:dyDescent="0.25">
      <c r="A581" s="86" t="s">
        <v>1454</v>
      </c>
      <c r="B581" s="87" t="s">
        <v>1455</v>
      </c>
      <c r="C581" s="88" t="s">
        <v>226</v>
      </c>
      <c r="D581" s="89" t="s">
        <v>262</v>
      </c>
      <c r="E581" s="90">
        <f t="shared" si="112"/>
        <v>124391</v>
      </c>
      <c r="F581" s="90">
        <f t="shared" si="110"/>
        <v>104530.45678001367</v>
      </c>
      <c r="G581" s="91">
        <v>0.19</v>
      </c>
      <c r="H581" s="91"/>
      <c r="I581" s="91" t="s">
        <v>228</v>
      </c>
      <c r="J581" s="91"/>
      <c r="K581" s="91"/>
      <c r="L581" s="92" t="s">
        <v>1442</v>
      </c>
      <c r="M581" s="91" t="str">
        <f t="shared" si="113"/>
        <v>VER ARCHIVO ANEXO</v>
      </c>
      <c r="N581" s="93">
        <v>41608</v>
      </c>
      <c r="O581" s="94">
        <v>132078</v>
      </c>
      <c r="P581" s="94" t="s">
        <v>1443</v>
      </c>
      <c r="Q581" s="94">
        <v>470</v>
      </c>
      <c r="R581" s="95">
        <f t="shared" si="102"/>
        <v>104530.45678001367</v>
      </c>
      <c r="S581" s="94">
        <v>68405.233999999997</v>
      </c>
      <c r="T581" s="94">
        <f t="shared" si="103"/>
        <v>73036.268341800009</v>
      </c>
      <c r="U581" s="94">
        <f t="shared" si="104"/>
        <v>77235.85377145352</v>
      </c>
      <c r="V581" s="94">
        <f t="shared" si="105"/>
        <v>80394.800190705966</v>
      </c>
      <c r="W581" s="97">
        <f t="shared" si="106"/>
        <v>82951.354836770421</v>
      </c>
      <c r="X581" s="97">
        <f t="shared" si="107"/>
        <v>86103.5063205677</v>
      </c>
      <c r="Y581" s="97">
        <f t="shared" si="111"/>
        <v>87489.772772328841</v>
      </c>
      <c r="Z581" s="97">
        <f t="shared" si="108"/>
        <v>92406.698002133722</v>
      </c>
      <c r="AA581" s="97">
        <f t="shared" si="109"/>
        <v>104530.45678001367</v>
      </c>
    </row>
    <row r="582" spans="1:27" x14ac:dyDescent="0.25">
      <c r="A582" s="86" t="s">
        <v>1456</v>
      </c>
      <c r="B582" s="87" t="s">
        <v>1457</v>
      </c>
      <c r="C582" s="88" t="s">
        <v>226</v>
      </c>
      <c r="D582" s="89" t="s">
        <v>262</v>
      </c>
      <c r="E582" s="90">
        <f t="shared" si="112"/>
        <v>135681</v>
      </c>
      <c r="F582" s="90">
        <f t="shared" si="110"/>
        <v>114017.24122698291</v>
      </c>
      <c r="G582" s="91">
        <v>0.19</v>
      </c>
      <c r="H582" s="91"/>
      <c r="I582" s="91" t="s">
        <v>228</v>
      </c>
      <c r="J582" s="91"/>
      <c r="K582" s="91"/>
      <c r="L582" s="92" t="s">
        <v>1442</v>
      </c>
      <c r="M582" s="91" t="str">
        <f t="shared" si="113"/>
        <v>VER ARCHIVO ANEXO</v>
      </c>
      <c r="N582" s="93">
        <v>41608</v>
      </c>
      <c r="O582" s="94">
        <v>136993</v>
      </c>
      <c r="P582" s="94" t="s">
        <v>1443</v>
      </c>
      <c r="Q582" s="94">
        <v>471</v>
      </c>
      <c r="R582" s="95">
        <f t="shared" si="102"/>
        <v>114017.24122698291</v>
      </c>
      <c r="S582" s="94">
        <v>74613.431400000001</v>
      </c>
      <c r="T582" s="94">
        <f t="shared" si="103"/>
        <v>79664.760705780005</v>
      </c>
      <c r="U582" s="94">
        <f t="shared" si="104"/>
        <v>84245.484446362359</v>
      </c>
      <c r="V582" s="94">
        <f t="shared" si="105"/>
        <v>87691.124760218576</v>
      </c>
      <c r="W582" s="97">
        <f t="shared" si="106"/>
        <v>90479.70252759353</v>
      </c>
      <c r="X582" s="97">
        <f t="shared" si="107"/>
        <v>93917.931223642081</v>
      </c>
      <c r="Y582" s="97">
        <f t="shared" si="111"/>
        <v>95430.009916342722</v>
      </c>
      <c r="Z582" s="97">
        <f t="shared" si="108"/>
        <v>100793.17647364119</v>
      </c>
      <c r="AA582" s="97">
        <f t="shared" si="109"/>
        <v>114017.24122698291</v>
      </c>
    </row>
    <row r="583" spans="1:27" x14ac:dyDescent="0.25">
      <c r="A583" s="86" t="s">
        <v>1458</v>
      </c>
      <c r="B583" s="87" t="s">
        <v>1459</v>
      </c>
      <c r="C583" s="88" t="s">
        <v>226</v>
      </c>
      <c r="D583" s="89" t="s">
        <v>262</v>
      </c>
      <c r="E583" s="90">
        <f t="shared" si="112"/>
        <v>135681</v>
      </c>
      <c r="F583" s="90">
        <f t="shared" si="110"/>
        <v>114017.24122698291</v>
      </c>
      <c r="G583" s="91">
        <v>0.19</v>
      </c>
      <c r="H583" s="91"/>
      <c r="I583" s="91" t="s">
        <v>228</v>
      </c>
      <c r="J583" s="91"/>
      <c r="K583" s="91"/>
      <c r="L583" s="92" t="s">
        <v>1442</v>
      </c>
      <c r="M583" s="91" t="str">
        <f t="shared" si="113"/>
        <v>VER ARCHIVO ANEXO</v>
      </c>
      <c r="N583" s="93">
        <v>41608</v>
      </c>
      <c r="O583" s="94">
        <v>136993</v>
      </c>
      <c r="P583" s="94" t="s">
        <v>1443</v>
      </c>
      <c r="Q583" s="94">
        <v>472</v>
      </c>
      <c r="R583" s="95">
        <f t="shared" ref="R583:R646" si="114">+AA583</f>
        <v>114017.24122698291</v>
      </c>
      <c r="S583" s="94">
        <v>74613.431400000001</v>
      </c>
      <c r="T583" s="94">
        <f t="shared" si="103"/>
        <v>79664.760705780005</v>
      </c>
      <c r="U583" s="94">
        <f t="shared" si="104"/>
        <v>84245.484446362359</v>
      </c>
      <c r="V583" s="94">
        <f t="shared" si="105"/>
        <v>87691.124760218576</v>
      </c>
      <c r="W583" s="97">
        <f t="shared" si="106"/>
        <v>90479.70252759353</v>
      </c>
      <c r="X583" s="97">
        <f t="shared" si="107"/>
        <v>93917.931223642081</v>
      </c>
      <c r="Y583" s="97">
        <f t="shared" si="111"/>
        <v>95430.009916342722</v>
      </c>
      <c r="Z583" s="97">
        <f t="shared" ref="Z583:Z646" si="115">+Y583*(1+$Z$4)</f>
        <v>100793.17647364119</v>
      </c>
      <c r="AA583" s="97">
        <f t="shared" ref="AA583:AA646" si="116">+Z583*(1+$AA$4)</f>
        <v>114017.24122698291</v>
      </c>
    </row>
    <row r="584" spans="1:27" x14ac:dyDescent="0.25">
      <c r="A584" s="86" t="s">
        <v>1460</v>
      </c>
      <c r="B584" s="87" t="s">
        <v>1461</v>
      </c>
      <c r="C584" s="88" t="s">
        <v>226</v>
      </c>
      <c r="D584" s="89" t="s">
        <v>262</v>
      </c>
      <c r="E584" s="90">
        <f t="shared" si="112"/>
        <v>140114</v>
      </c>
      <c r="F584" s="90">
        <f t="shared" si="110"/>
        <v>117742.8910882739</v>
      </c>
      <c r="G584" s="91">
        <v>0.19</v>
      </c>
      <c r="H584" s="91"/>
      <c r="I584" s="91" t="s">
        <v>228</v>
      </c>
      <c r="J584" s="91"/>
      <c r="K584" s="91"/>
      <c r="L584" s="92" t="s">
        <v>1442</v>
      </c>
      <c r="M584" s="91" t="str">
        <f t="shared" si="113"/>
        <v>VER ARCHIVO ANEXO</v>
      </c>
      <c r="N584" s="93">
        <v>41608</v>
      </c>
      <c r="O584" s="94">
        <v>141470</v>
      </c>
      <c r="P584" s="94" t="s">
        <v>1443</v>
      </c>
      <c r="Q584" s="94">
        <v>473</v>
      </c>
      <c r="R584" s="95">
        <f t="shared" si="114"/>
        <v>117742.8910882739</v>
      </c>
      <c r="S584" s="94">
        <v>77051.514599999995</v>
      </c>
      <c r="T584" s="94">
        <f t="shared" ref="T584:T647" si="117">+S584*1.0677</f>
        <v>82267.902138420002</v>
      </c>
      <c r="U584" s="94">
        <f t="shared" ref="U584:U647" si="118">+T584*(1+$U$4)</f>
        <v>86998.306511379167</v>
      </c>
      <c r="V584" s="94">
        <f t="shared" ref="V584:V647" si="119">+U584*(1+$V$4)</f>
        <v>90556.537247694563</v>
      </c>
      <c r="W584" s="97">
        <f t="shared" ref="W584:W647" si="120">+V584*(1+$W$4)</f>
        <v>93436.235132171249</v>
      </c>
      <c r="X584" s="97">
        <f t="shared" ref="X584:X647" si="121">+W584*(1+$X$4)</f>
        <v>96986.812067193765</v>
      </c>
      <c r="Y584" s="97">
        <f t="shared" ref="Y584:Y647" si="122">+X584*(1+$Y$4)</f>
        <v>98548.299741475581</v>
      </c>
      <c r="Z584" s="97">
        <f t="shared" si="115"/>
        <v>104086.71418694651</v>
      </c>
      <c r="AA584" s="97">
        <f t="shared" si="116"/>
        <v>117742.8910882739</v>
      </c>
    </row>
    <row r="585" spans="1:27" x14ac:dyDescent="0.25">
      <c r="A585" s="86" t="s">
        <v>1462</v>
      </c>
      <c r="B585" s="87" t="s">
        <v>1463</v>
      </c>
      <c r="C585" s="88" t="s">
        <v>226</v>
      </c>
      <c r="D585" s="89" t="s">
        <v>262</v>
      </c>
      <c r="E585" s="90">
        <f t="shared" si="112"/>
        <v>151021</v>
      </c>
      <c r="F585" s="90">
        <f t="shared" ref="F585:F648" si="123">R585</f>
        <v>126908.11646983412</v>
      </c>
      <c r="G585" s="91">
        <v>0.19</v>
      </c>
      <c r="H585" s="91"/>
      <c r="I585" s="91" t="s">
        <v>228</v>
      </c>
      <c r="J585" s="91"/>
      <c r="K585" s="91"/>
      <c r="L585" s="92" t="s">
        <v>1442</v>
      </c>
      <c r="M585" s="91" t="str">
        <f t="shared" si="113"/>
        <v>VER ARCHIVO ANEXO</v>
      </c>
      <c r="N585" s="93">
        <v>41608</v>
      </c>
      <c r="O585" s="94">
        <v>152482</v>
      </c>
      <c r="P585" s="94" t="s">
        <v>1443</v>
      </c>
      <c r="Q585" s="94">
        <v>474</v>
      </c>
      <c r="R585" s="95">
        <f t="shared" si="114"/>
        <v>126908.11646983412</v>
      </c>
      <c r="S585" s="94">
        <v>83049.282200000001</v>
      </c>
      <c r="T585" s="94">
        <f t="shared" si="117"/>
        <v>88671.718604940004</v>
      </c>
      <c r="U585" s="94">
        <f t="shared" si="118"/>
        <v>93770.342424724062</v>
      </c>
      <c r="V585" s="94">
        <f t="shared" si="119"/>
        <v>97605.549429895269</v>
      </c>
      <c r="W585" s="97">
        <f t="shared" si="120"/>
        <v>100709.40590176595</v>
      </c>
      <c r="X585" s="97">
        <f t="shared" si="121"/>
        <v>104536.36332603305</v>
      </c>
      <c r="Y585" s="97">
        <f t="shared" si="122"/>
        <v>106219.39877558219</v>
      </c>
      <c r="Z585" s="97">
        <f t="shared" si="115"/>
        <v>112188.92898676991</v>
      </c>
      <c r="AA585" s="97">
        <f t="shared" si="116"/>
        <v>126908.11646983412</v>
      </c>
    </row>
    <row r="586" spans="1:27" x14ac:dyDescent="0.25">
      <c r="A586" s="86" t="s">
        <v>1464</v>
      </c>
      <c r="B586" s="87" t="s">
        <v>1465</v>
      </c>
      <c r="C586" s="88" t="s">
        <v>226</v>
      </c>
      <c r="D586" s="89" t="s">
        <v>262</v>
      </c>
      <c r="E586" s="90">
        <f t="shared" ref="E586:E649" si="124">+ROUND(F586*(1+G586),0)</f>
        <v>166702</v>
      </c>
      <c r="F586" s="90">
        <f t="shared" si="123"/>
        <v>140085.70201238501</v>
      </c>
      <c r="G586" s="91">
        <v>0.19</v>
      </c>
      <c r="H586" s="91"/>
      <c r="I586" s="91" t="s">
        <v>228</v>
      </c>
      <c r="J586" s="91"/>
      <c r="K586" s="91"/>
      <c r="L586" s="92" t="s">
        <v>1442</v>
      </c>
      <c r="M586" s="91" t="str">
        <f t="shared" si="113"/>
        <v>VER ARCHIVO ANEXO</v>
      </c>
      <c r="N586" s="93">
        <v>41608</v>
      </c>
      <c r="O586" s="94">
        <v>168317</v>
      </c>
      <c r="P586" s="94" t="s">
        <v>1443</v>
      </c>
      <c r="Q586" s="94">
        <v>475</v>
      </c>
      <c r="R586" s="95">
        <f t="shared" si="114"/>
        <v>140085.70201238501</v>
      </c>
      <c r="S586" s="94">
        <v>91672.757599999997</v>
      </c>
      <c r="T586" s="94">
        <f t="shared" si="117"/>
        <v>97879.003289519998</v>
      </c>
      <c r="U586" s="94">
        <f t="shared" si="118"/>
        <v>103507.0459786674</v>
      </c>
      <c r="V586" s="94">
        <f t="shared" si="119"/>
        <v>107740.48415919489</v>
      </c>
      <c r="W586" s="97">
        <f t="shared" si="120"/>
        <v>111166.63155545729</v>
      </c>
      <c r="X586" s="97">
        <f t="shared" si="121"/>
        <v>115390.96355456467</v>
      </c>
      <c r="Y586" s="97">
        <f t="shared" si="122"/>
        <v>117248.75806779317</v>
      </c>
      <c r="Z586" s="97">
        <f t="shared" si="115"/>
        <v>123838.13827120315</v>
      </c>
      <c r="AA586" s="97">
        <f t="shared" si="116"/>
        <v>140085.70201238501</v>
      </c>
    </row>
    <row r="587" spans="1:27" x14ac:dyDescent="0.25">
      <c r="A587" s="86" t="s">
        <v>1466</v>
      </c>
      <c r="B587" s="87" t="s">
        <v>1467</v>
      </c>
      <c r="C587" s="88" t="s">
        <v>226</v>
      </c>
      <c r="D587" s="89" t="s">
        <v>262</v>
      </c>
      <c r="E587" s="90">
        <f t="shared" si="124"/>
        <v>166702</v>
      </c>
      <c r="F587" s="90">
        <f t="shared" si="123"/>
        <v>140085.70201238501</v>
      </c>
      <c r="G587" s="91">
        <v>0.19</v>
      </c>
      <c r="H587" s="91"/>
      <c r="I587" s="91" t="s">
        <v>228</v>
      </c>
      <c r="J587" s="91"/>
      <c r="K587" s="91"/>
      <c r="L587" s="92" t="s">
        <v>1442</v>
      </c>
      <c r="M587" s="91" t="str">
        <f t="shared" si="113"/>
        <v>VER ARCHIVO ANEXO</v>
      </c>
      <c r="N587" s="93">
        <v>41608</v>
      </c>
      <c r="O587" s="94"/>
      <c r="P587" s="94"/>
      <c r="Q587" s="94">
        <v>476</v>
      </c>
      <c r="R587" s="95">
        <f t="shared" si="114"/>
        <v>140085.70201238501</v>
      </c>
      <c r="S587" s="94">
        <v>91672.757599999997</v>
      </c>
      <c r="T587" s="94">
        <f t="shared" si="117"/>
        <v>97879.003289519998</v>
      </c>
      <c r="U587" s="94">
        <f t="shared" si="118"/>
        <v>103507.0459786674</v>
      </c>
      <c r="V587" s="94">
        <f t="shared" si="119"/>
        <v>107740.48415919489</v>
      </c>
      <c r="W587" s="97">
        <f t="shared" si="120"/>
        <v>111166.63155545729</v>
      </c>
      <c r="X587" s="97">
        <f t="shared" si="121"/>
        <v>115390.96355456467</v>
      </c>
      <c r="Y587" s="97">
        <f t="shared" si="122"/>
        <v>117248.75806779317</v>
      </c>
      <c r="Z587" s="97">
        <f t="shared" si="115"/>
        <v>123838.13827120315</v>
      </c>
      <c r="AA587" s="97">
        <f t="shared" si="116"/>
        <v>140085.70201238501</v>
      </c>
    </row>
    <row r="588" spans="1:27" x14ac:dyDescent="0.25">
      <c r="A588" s="86" t="s">
        <v>1468</v>
      </c>
      <c r="B588" s="87" t="s">
        <v>1469</v>
      </c>
      <c r="C588" s="88" t="s">
        <v>226</v>
      </c>
      <c r="D588" s="89" t="s">
        <v>262</v>
      </c>
      <c r="E588" s="90">
        <f t="shared" si="124"/>
        <v>3427</v>
      </c>
      <c r="F588" s="90">
        <f t="shared" si="123"/>
        <v>2879.7752754366547</v>
      </c>
      <c r="G588" s="91">
        <v>0.19</v>
      </c>
      <c r="H588" s="91"/>
      <c r="I588" s="91" t="s">
        <v>228</v>
      </c>
      <c r="J588" s="91"/>
      <c r="K588" s="91"/>
      <c r="L588" s="92" t="s">
        <v>302</v>
      </c>
      <c r="M588" s="91" t="str">
        <f t="shared" si="113"/>
        <v>no aplica</v>
      </c>
      <c r="N588" s="93">
        <v>41608</v>
      </c>
      <c r="O588" s="94"/>
      <c r="P588" s="94"/>
      <c r="Q588" s="94">
        <v>477</v>
      </c>
      <c r="R588" s="95">
        <f t="shared" si="114"/>
        <v>2879.7752754366547</v>
      </c>
      <c r="S588" s="94">
        <v>1884.5388</v>
      </c>
      <c r="T588" s="94">
        <f t="shared" si="117"/>
        <v>2012.1220767600003</v>
      </c>
      <c r="U588" s="94">
        <f t="shared" si="118"/>
        <v>2127.8190961737005</v>
      </c>
      <c r="V588" s="94">
        <f t="shared" si="119"/>
        <v>2214.8468972072046</v>
      </c>
      <c r="W588" s="97">
        <f t="shared" si="120"/>
        <v>2285.279028538394</v>
      </c>
      <c r="X588" s="97">
        <f t="shared" si="121"/>
        <v>2372.1196316228529</v>
      </c>
      <c r="Y588" s="97">
        <f t="shared" si="122"/>
        <v>2410.3107576919811</v>
      </c>
      <c r="Z588" s="97">
        <f t="shared" si="115"/>
        <v>2545.7702222742705</v>
      </c>
      <c r="AA588" s="97">
        <f t="shared" si="116"/>
        <v>2879.7752754366547</v>
      </c>
    </row>
    <row r="589" spans="1:27" x14ac:dyDescent="0.25">
      <c r="A589" s="102" t="s">
        <v>1470</v>
      </c>
      <c r="B589" s="98" t="s">
        <v>1471</v>
      </c>
      <c r="C589" s="99" t="s">
        <v>226</v>
      </c>
      <c r="D589" s="100" t="s">
        <v>262</v>
      </c>
      <c r="E589" s="101">
        <f t="shared" si="124"/>
        <v>40624</v>
      </c>
      <c r="F589" s="90">
        <f t="shared" si="123"/>
        <v>34137.534081922633</v>
      </c>
      <c r="G589" s="91">
        <v>0.19</v>
      </c>
      <c r="H589" s="91" t="s">
        <v>228</v>
      </c>
      <c r="I589" s="91" t="s">
        <v>228</v>
      </c>
      <c r="J589" s="91" t="s">
        <v>228</v>
      </c>
      <c r="K589" s="91" t="s">
        <v>228</v>
      </c>
      <c r="L589" s="92" t="s">
        <v>302</v>
      </c>
      <c r="M589" s="91" t="str">
        <f t="shared" si="113"/>
        <v>no aplica</v>
      </c>
      <c r="N589" s="93">
        <v>41608</v>
      </c>
      <c r="O589" s="94"/>
      <c r="P589" s="94"/>
      <c r="Q589" s="94">
        <v>478</v>
      </c>
      <c r="R589" s="95">
        <f t="shared" si="114"/>
        <v>34137.534081922633</v>
      </c>
      <c r="S589" s="94">
        <v>22339.766599999999</v>
      </c>
      <c r="T589" s="94">
        <f t="shared" si="117"/>
        <v>23852.168798820003</v>
      </c>
      <c r="U589" s="94">
        <f t="shared" si="118"/>
        <v>25223.668504752157</v>
      </c>
      <c r="V589" s="94">
        <f t="shared" si="119"/>
        <v>26255.316546596518</v>
      </c>
      <c r="W589" s="97">
        <f t="shared" si="120"/>
        <v>27090.235612778288</v>
      </c>
      <c r="X589" s="97">
        <f t="shared" si="121"/>
        <v>28119.664566063864</v>
      </c>
      <c r="Y589" s="97">
        <f t="shared" si="122"/>
        <v>28572.391165577494</v>
      </c>
      <c r="Z589" s="97">
        <f t="shared" si="115"/>
        <v>30178.15954908295</v>
      </c>
      <c r="AA589" s="97">
        <f t="shared" si="116"/>
        <v>34137.534081922633</v>
      </c>
    </row>
    <row r="590" spans="1:27" x14ac:dyDescent="0.25">
      <c r="A590" s="102" t="s">
        <v>1472</v>
      </c>
      <c r="B590" s="87" t="s">
        <v>1473</v>
      </c>
      <c r="C590" s="88" t="s">
        <v>226</v>
      </c>
      <c r="D590" s="89" t="s">
        <v>255</v>
      </c>
      <c r="E590" s="90">
        <f t="shared" si="124"/>
        <v>6032</v>
      </c>
      <c r="F590" s="90">
        <f t="shared" si="123"/>
        <v>5068.9113759061011</v>
      </c>
      <c r="G590" s="91">
        <v>0.19</v>
      </c>
      <c r="H590" s="91"/>
      <c r="I590" s="91" t="s">
        <v>228</v>
      </c>
      <c r="J590" s="91"/>
      <c r="K590" s="91"/>
      <c r="L590" s="92" t="s">
        <v>302</v>
      </c>
      <c r="M590" s="91" t="str">
        <f t="shared" si="113"/>
        <v>no aplica</v>
      </c>
      <c r="N590" s="93">
        <v>41608</v>
      </c>
      <c r="O590" s="94"/>
      <c r="P590" s="94"/>
      <c r="Q590" s="94">
        <v>479</v>
      </c>
      <c r="R590" s="95">
        <f t="shared" si="114"/>
        <v>5068.9113759061011</v>
      </c>
      <c r="S590" s="94">
        <v>3317.12</v>
      </c>
      <c r="T590" s="94">
        <f t="shared" si="117"/>
        <v>3541.6890240000002</v>
      </c>
      <c r="U590" s="94">
        <f t="shared" si="118"/>
        <v>3745.3361428800008</v>
      </c>
      <c r="V590" s="94">
        <f t="shared" si="119"/>
        <v>3898.5203911237927</v>
      </c>
      <c r="W590" s="97">
        <f t="shared" si="120"/>
        <v>4022.4933395615294</v>
      </c>
      <c r="X590" s="97">
        <f t="shared" si="121"/>
        <v>4175.3480864648673</v>
      </c>
      <c r="Y590" s="97">
        <f t="shared" si="122"/>
        <v>4242.5711906569513</v>
      </c>
      <c r="Z590" s="97">
        <f t="shared" si="115"/>
        <v>4481.003691571872</v>
      </c>
      <c r="AA590" s="97">
        <f t="shared" si="116"/>
        <v>5068.9113759061011</v>
      </c>
    </row>
    <row r="591" spans="1:27" x14ac:dyDescent="0.25">
      <c r="A591" s="102" t="s">
        <v>1474</v>
      </c>
      <c r="B591" s="87" t="s">
        <v>1475</v>
      </c>
      <c r="C591" s="88" t="s">
        <v>226</v>
      </c>
      <c r="D591" s="89" t="s">
        <v>227</v>
      </c>
      <c r="E591" s="90">
        <f t="shared" si="124"/>
        <v>28111</v>
      </c>
      <c r="F591" s="90">
        <f t="shared" si="123"/>
        <v>23622.711046527409</v>
      </c>
      <c r="G591" s="91">
        <v>0.19</v>
      </c>
      <c r="H591" s="91"/>
      <c r="I591" s="91" t="s">
        <v>228</v>
      </c>
      <c r="J591" s="91"/>
      <c r="K591" s="91"/>
      <c r="L591" s="92" t="s">
        <v>1476</v>
      </c>
      <c r="M591" s="91" t="str">
        <f t="shared" si="113"/>
        <v>VER ARCHIVO ANEXO</v>
      </c>
      <c r="N591" s="93">
        <v>41608</v>
      </c>
      <c r="O591" s="94"/>
      <c r="P591" s="94"/>
      <c r="Q591" s="94">
        <v>480</v>
      </c>
      <c r="R591" s="95">
        <f t="shared" si="114"/>
        <v>23622.711046527409</v>
      </c>
      <c r="S591" s="94">
        <v>15458.8158</v>
      </c>
      <c r="T591" s="94">
        <f t="shared" si="117"/>
        <v>16505.377629660001</v>
      </c>
      <c r="U591" s="94">
        <f t="shared" si="118"/>
        <v>17454.436843365453</v>
      </c>
      <c r="V591" s="94">
        <f t="shared" si="119"/>
        <v>18168.3233102591</v>
      </c>
      <c r="W591" s="97">
        <f t="shared" si="120"/>
        <v>18746.07599152534</v>
      </c>
      <c r="X591" s="97">
        <f t="shared" si="121"/>
        <v>19458.426879203304</v>
      </c>
      <c r="Y591" s="97">
        <f t="shared" si="122"/>
        <v>19771.707551958476</v>
      </c>
      <c r="Z591" s="97">
        <f t="shared" si="115"/>
        <v>20882.877516378543</v>
      </c>
      <c r="AA591" s="97">
        <f t="shared" si="116"/>
        <v>23622.711046527409</v>
      </c>
    </row>
    <row r="592" spans="1:27" x14ac:dyDescent="0.25">
      <c r="A592" s="102" t="s">
        <v>1477</v>
      </c>
      <c r="B592" s="87" t="s">
        <v>1478</v>
      </c>
      <c r="C592" s="88" t="s">
        <v>226</v>
      </c>
      <c r="D592" s="89" t="s">
        <v>227</v>
      </c>
      <c r="E592" s="90">
        <f t="shared" si="124"/>
        <v>4224</v>
      </c>
      <c r="F592" s="90">
        <f t="shared" si="123"/>
        <v>3549.821997939242</v>
      </c>
      <c r="G592" s="91">
        <v>0.19</v>
      </c>
      <c r="H592" s="91"/>
      <c r="I592" s="91" t="s">
        <v>228</v>
      </c>
      <c r="J592" s="91"/>
      <c r="K592" s="91"/>
      <c r="L592" s="92" t="s">
        <v>1354</v>
      </c>
      <c r="M592" s="91" t="str">
        <f t="shared" si="113"/>
        <v>VER ARCHIVO ANEXO</v>
      </c>
      <c r="N592" s="93">
        <v>41608</v>
      </c>
      <c r="O592" s="94"/>
      <c r="P592" s="94"/>
      <c r="Q592" s="94">
        <v>481</v>
      </c>
      <c r="R592" s="95">
        <f t="shared" si="114"/>
        <v>3549.821997939242</v>
      </c>
      <c r="S592" s="94">
        <v>2323.0205999999998</v>
      </c>
      <c r="T592" s="94">
        <f t="shared" si="117"/>
        <v>2480.28909462</v>
      </c>
      <c r="U592" s="94">
        <f t="shared" si="118"/>
        <v>2622.9057175606504</v>
      </c>
      <c r="V592" s="94">
        <f t="shared" si="119"/>
        <v>2730.1825614088807</v>
      </c>
      <c r="W592" s="97">
        <f t="shared" si="120"/>
        <v>2817.0023668616832</v>
      </c>
      <c r="X592" s="97">
        <f t="shared" si="121"/>
        <v>2924.0484568024272</v>
      </c>
      <c r="Y592" s="97">
        <f t="shared" si="122"/>
        <v>2971.1256369569464</v>
      </c>
      <c r="Z592" s="97">
        <f t="shared" si="115"/>
        <v>3138.1028977539268</v>
      </c>
      <c r="AA592" s="97">
        <f t="shared" si="116"/>
        <v>3549.821997939242</v>
      </c>
    </row>
    <row r="593" spans="1:27" x14ac:dyDescent="0.25">
      <c r="A593" s="102" t="s">
        <v>1479</v>
      </c>
      <c r="B593" s="87" t="s">
        <v>1480</v>
      </c>
      <c r="C593" s="88" t="s">
        <v>226</v>
      </c>
      <c r="D593" s="89" t="s">
        <v>262</v>
      </c>
      <c r="E593" s="90">
        <f t="shared" si="124"/>
        <v>16802512</v>
      </c>
      <c r="F593" s="90">
        <f t="shared" si="123"/>
        <v>14119758.356303809</v>
      </c>
      <c r="G593" s="91">
        <v>0.19</v>
      </c>
      <c r="H593" s="91"/>
      <c r="I593" s="91" t="s">
        <v>228</v>
      </c>
      <c r="J593" s="91"/>
      <c r="K593" s="91"/>
      <c r="L593" s="92" t="s">
        <v>289</v>
      </c>
      <c r="M593" s="91" t="str">
        <f t="shared" si="113"/>
        <v>VER ARCHIVO ANEXO</v>
      </c>
      <c r="N593" s="93">
        <v>41608</v>
      </c>
      <c r="O593" s="94"/>
      <c r="P593" s="94"/>
      <c r="Q593" s="94">
        <v>482</v>
      </c>
      <c r="R593" s="95">
        <f t="shared" si="114"/>
        <v>14119758.356303809</v>
      </c>
      <c r="S593" s="94">
        <v>9240037.8237999994</v>
      </c>
      <c r="T593" s="94">
        <f t="shared" si="117"/>
        <v>9865588.38447126</v>
      </c>
      <c r="U593" s="94">
        <f t="shared" si="118"/>
        <v>10432859.716578359</v>
      </c>
      <c r="V593" s="94">
        <f t="shared" si="119"/>
        <v>10859563.678986413</v>
      </c>
      <c r="W593" s="97">
        <f t="shared" si="120"/>
        <v>11204897.803978182</v>
      </c>
      <c r="X593" s="97">
        <f t="shared" si="121"/>
        <v>11630683.920529354</v>
      </c>
      <c r="Y593" s="97">
        <f t="shared" si="122"/>
        <v>11817937.931649877</v>
      </c>
      <c r="Z593" s="97">
        <f t="shared" si="115"/>
        <v>12482106.043408601</v>
      </c>
      <c r="AA593" s="97">
        <f t="shared" si="116"/>
        <v>14119758.356303809</v>
      </c>
    </row>
    <row r="594" spans="1:27" x14ac:dyDescent="0.25">
      <c r="A594" s="102" t="s">
        <v>1481</v>
      </c>
      <c r="B594" s="87" t="s">
        <v>1482</v>
      </c>
      <c r="C594" s="88" t="s">
        <v>226</v>
      </c>
      <c r="D594" s="89" t="s">
        <v>1328</v>
      </c>
      <c r="E594" s="90">
        <f t="shared" si="124"/>
        <v>121875</v>
      </c>
      <c r="F594" s="90">
        <f t="shared" si="123"/>
        <v>102415.77031537781</v>
      </c>
      <c r="G594" s="91">
        <v>0.19</v>
      </c>
      <c r="H594" s="91"/>
      <c r="I594" s="91" t="s">
        <v>228</v>
      </c>
      <c r="J594" s="91"/>
      <c r="K594" s="91"/>
      <c r="L594" s="92" t="s">
        <v>302</v>
      </c>
      <c r="M594" s="91" t="str">
        <f t="shared" si="113"/>
        <v>no aplica</v>
      </c>
      <c r="N594" s="93">
        <v>41608</v>
      </c>
      <c r="O594" s="94"/>
      <c r="P594" s="94"/>
      <c r="Q594" s="94">
        <v>483</v>
      </c>
      <c r="R594" s="95">
        <f t="shared" si="114"/>
        <v>102415.77031537781</v>
      </c>
      <c r="S594" s="94">
        <v>67021.372999999992</v>
      </c>
      <c r="T594" s="94">
        <f t="shared" si="117"/>
        <v>71558.7199521</v>
      </c>
      <c r="U594" s="94">
        <f t="shared" si="118"/>
        <v>75673.346349345753</v>
      </c>
      <c r="V594" s="94">
        <f t="shared" si="119"/>
        <v>78768.386215033985</v>
      </c>
      <c r="W594" s="97">
        <f t="shared" si="120"/>
        <v>81273.220896672065</v>
      </c>
      <c r="X594" s="97">
        <f t="shared" si="121"/>
        <v>84361.60329074561</v>
      </c>
      <c r="Y594" s="97">
        <f t="shared" si="122"/>
        <v>85719.825103726616</v>
      </c>
      <c r="Z594" s="97">
        <f t="shared" si="115"/>
        <v>90537.279274556058</v>
      </c>
      <c r="AA594" s="97">
        <f t="shared" si="116"/>
        <v>102415.77031537781</v>
      </c>
    </row>
    <row r="595" spans="1:27" x14ac:dyDescent="0.25">
      <c r="A595" s="102" t="s">
        <v>1483</v>
      </c>
      <c r="B595" s="87" t="s">
        <v>1484</v>
      </c>
      <c r="C595" s="88" t="s">
        <v>226</v>
      </c>
      <c r="D595" s="89" t="s">
        <v>262</v>
      </c>
      <c r="E595" s="90">
        <f t="shared" si="124"/>
        <v>991251</v>
      </c>
      <c r="F595" s="90">
        <f t="shared" si="123"/>
        <v>832983.71061147971</v>
      </c>
      <c r="G595" s="91">
        <v>0.19</v>
      </c>
      <c r="H595" s="91"/>
      <c r="I595" s="91" t="s">
        <v>228</v>
      </c>
      <c r="J595" s="91"/>
      <c r="K595" s="91"/>
      <c r="L595" s="92" t="s">
        <v>302</v>
      </c>
      <c r="M595" s="91" t="str">
        <f t="shared" si="113"/>
        <v>no aplica</v>
      </c>
      <c r="N595" s="93">
        <v>41608</v>
      </c>
      <c r="O595" s="94"/>
      <c r="P595" s="94"/>
      <c r="Q595" s="94">
        <v>484</v>
      </c>
      <c r="R595" s="95">
        <f t="shared" si="114"/>
        <v>832983.71061147971</v>
      </c>
      <c r="S595" s="94">
        <v>545108.54920000001</v>
      </c>
      <c r="T595" s="94">
        <f t="shared" si="117"/>
        <v>582012.39798084006</v>
      </c>
      <c r="U595" s="94">
        <f t="shared" si="118"/>
        <v>615478.11086473847</v>
      </c>
      <c r="V595" s="94">
        <f t="shared" si="119"/>
        <v>640651.16559910623</v>
      </c>
      <c r="W595" s="97">
        <f t="shared" si="120"/>
        <v>661023.87266515789</v>
      </c>
      <c r="X595" s="97">
        <f t="shared" si="121"/>
        <v>686142.77982643386</v>
      </c>
      <c r="Y595" s="97">
        <f t="shared" si="122"/>
        <v>697189.67858163943</v>
      </c>
      <c r="Z595" s="97">
        <f t="shared" si="115"/>
        <v>736371.73851792759</v>
      </c>
      <c r="AA595" s="97">
        <f t="shared" si="116"/>
        <v>832983.71061147971</v>
      </c>
    </row>
    <row r="596" spans="1:27" x14ac:dyDescent="0.25">
      <c r="A596" s="102" t="s">
        <v>1485</v>
      </c>
      <c r="B596" s="87" t="s">
        <v>1486</v>
      </c>
      <c r="C596" s="88" t="s">
        <v>226</v>
      </c>
      <c r="D596" s="89" t="s">
        <v>262</v>
      </c>
      <c r="E596" s="90">
        <f t="shared" si="124"/>
        <v>8124</v>
      </c>
      <c r="F596" s="90">
        <f t="shared" si="123"/>
        <v>6827.1900094235316</v>
      </c>
      <c r="G596" s="91">
        <v>0.19</v>
      </c>
      <c r="H596" s="91"/>
      <c r="I596" s="91" t="s">
        <v>228</v>
      </c>
      <c r="J596" s="91"/>
      <c r="K596" s="91"/>
      <c r="L596" s="92" t="s">
        <v>302</v>
      </c>
      <c r="M596" s="91" t="str">
        <f t="shared" si="113"/>
        <v>no aplica</v>
      </c>
      <c r="N596" s="93">
        <v>41608</v>
      </c>
      <c r="O596" s="94"/>
      <c r="P596" s="94"/>
      <c r="Q596" s="94">
        <v>485</v>
      </c>
      <c r="R596" s="95">
        <f t="shared" si="114"/>
        <v>6827.1900094235316</v>
      </c>
      <c r="S596" s="94">
        <v>4467.7460000000001</v>
      </c>
      <c r="T596" s="94">
        <f t="shared" si="117"/>
        <v>4770.2124042000005</v>
      </c>
      <c r="U596" s="94">
        <f t="shared" si="118"/>
        <v>5044.499617441501</v>
      </c>
      <c r="V596" s="94">
        <f t="shared" si="119"/>
        <v>5250.8196517948581</v>
      </c>
      <c r="W596" s="97">
        <f t="shared" si="120"/>
        <v>5417.7957167219347</v>
      </c>
      <c r="X596" s="97">
        <f t="shared" si="121"/>
        <v>5623.6719539573687</v>
      </c>
      <c r="Y596" s="97">
        <f t="shared" si="122"/>
        <v>5714.2130724160825</v>
      </c>
      <c r="Z596" s="97">
        <f t="shared" si="115"/>
        <v>6035.3518470858662</v>
      </c>
      <c r="AA596" s="97">
        <f t="shared" si="116"/>
        <v>6827.1900094235316</v>
      </c>
    </row>
    <row r="597" spans="1:27" x14ac:dyDescent="0.25">
      <c r="A597" s="102" t="s">
        <v>1487</v>
      </c>
      <c r="B597" s="87" t="s">
        <v>1488</v>
      </c>
      <c r="C597" s="88" t="s">
        <v>226</v>
      </c>
      <c r="D597" s="89" t="s">
        <v>262</v>
      </c>
      <c r="E597" s="90">
        <f t="shared" si="124"/>
        <v>61668796</v>
      </c>
      <c r="F597" s="90">
        <f t="shared" si="123"/>
        <v>51822517.590609215</v>
      </c>
      <c r="G597" s="91">
        <v>0.19</v>
      </c>
      <c r="H597" s="91"/>
      <c r="I597" s="91" t="s">
        <v>228</v>
      </c>
      <c r="J597" s="91"/>
      <c r="K597" s="91"/>
      <c r="L597" s="92" t="s">
        <v>302</v>
      </c>
      <c r="M597" s="91" t="str">
        <f t="shared" si="113"/>
        <v>no aplica</v>
      </c>
      <c r="N597" s="93">
        <v>41608</v>
      </c>
      <c r="O597" s="94"/>
      <c r="P597" s="94"/>
      <c r="Q597" s="94">
        <v>486</v>
      </c>
      <c r="R597" s="95">
        <f t="shared" si="114"/>
        <v>51822517.590609215</v>
      </c>
      <c r="S597" s="94">
        <v>33912904.922200002</v>
      </c>
      <c r="T597" s="94">
        <f t="shared" si="117"/>
        <v>36208808.585432947</v>
      </c>
      <c r="U597" s="94">
        <f t="shared" si="118"/>
        <v>38290815.079095341</v>
      </c>
      <c r="V597" s="94">
        <f t="shared" si="119"/>
        <v>39856909.415830337</v>
      </c>
      <c r="W597" s="97">
        <f t="shared" si="120"/>
        <v>41124359.135253742</v>
      </c>
      <c r="X597" s="97">
        <f t="shared" si="121"/>
        <v>42687084.782393388</v>
      </c>
      <c r="Y597" s="97">
        <f t="shared" si="122"/>
        <v>43374346.847389922</v>
      </c>
      <c r="Z597" s="97">
        <f t="shared" si="115"/>
        <v>45811985.140213236</v>
      </c>
      <c r="AA597" s="97">
        <f t="shared" si="116"/>
        <v>51822517.590609215</v>
      </c>
    </row>
    <row r="598" spans="1:27" x14ac:dyDescent="0.25">
      <c r="A598" s="102" t="s">
        <v>1489</v>
      </c>
      <c r="B598" s="87" t="s">
        <v>1490</v>
      </c>
      <c r="C598" s="88" t="s">
        <v>226</v>
      </c>
      <c r="D598" s="89" t="s">
        <v>262</v>
      </c>
      <c r="E598" s="90">
        <f t="shared" si="124"/>
        <v>15436</v>
      </c>
      <c r="F598" s="90">
        <f t="shared" si="123"/>
        <v>12971.661017904709</v>
      </c>
      <c r="G598" s="91">
        <v>0.19</v>
      </c>
      <c r="H598" s="91" t="s">
        <v>228</v>
      </c>
      <c r="I598" s="91" t="s">
        <v>228</v>
      </c>
      <c r="J598" s="91" t="s">
        <v>228</v>
      </c>
      <c r="K598" s="91" t="s">
        <v>228</v>
      </c>
      <c r="L598" s="92" t="s">
        <v>302</v>
      </c>
      <c r="M598" s="91" t="str">
        <f t="shared" si="113"/>
        <v>no aplica</v>
      </c>
      <c r="N598" s="93">
        <v>41608</v>
      </c>
      <c r="O598" s="94"/>
      <c r="P598" s="94"/>
      <c r="Q598" s="94">
        <v>487</v>
      </c>
      <c r="R598" s="95">
        <f t="shared" si="114"/>
        <v>12971.661017904709</v>
      </c>
      <c r="S598" s="94">
        <v>8488.7173999999995</v>
      </c>
      <c r="T598" s="94">
        <f t="shared" si="117"/>
        <v>9063.4035679799999</v>
      </c>
      <c r="U598" s="94">
        <f t="shared" si="118"/>
        <v>9584.5492731388513</v>
      </c>
      <c r="V598" s="94">
        <f t="shared" si="119"/>
        <v>9976.5573384102299</v>
      </c>
      <c r="W598" s="97">
        <f t="shared" si="120"/>
        <v>10293.811861771675</v>
      </c>
      <c r="X598" s="97">
        <f t="shared" si="121"/>
        <v>10684.976712518999</v>
      </c>
      <c r="Y598" s="97">
        <f t="shared" si="122"/>
        <v>10857.004837590555</v>
      </c>
      <c r="Z598" s="97">
        <f t="shared" si="115"/>
        <v>11467.168509463145</v>
      </c>
      <c r="AA598" s="97">
        <f t="shared" si="116"/>
        <v>12971.661017904709</v>
      </c>
    </row>
    <row r="599" spans="1:27" x14ac:dyDescent="0.25">
      <c r="A599" s="102" t="s">
        <v>1491</v>
      </c>
      <c r="B599" s="87" t="s">
        <v>1492</v>
      </c>
      <c r="C599" s="88" t="s">
        <v>226</v>
      </c>
      <c r="D599" s="89" t="s">
        <v>262</v>
      </c>
      <c r="E599" s="90">
        <f t="shared" si="124"/>
        <v>6598</v>
      </c>
      <c r="F599" s="90">
        <f t="shared" si="123"/>
        <v>5544.1218173973002</v>
      </c>
      <c r="G599" s="91">
        <v>0.19</v>
      </c>
      <c r="H599" s="91"/>
      <c r="I599" s="91" t="s">
        <v>228</v>
      </c>
      <c r="J599" s="91"/>
      <c r="K599" s="91"/>
      <c r="L599" s="92" t="s">
        <v>302</v>
      </c>
      <c r="M599" s="91" t="str">
        <f t="shared" si="113"/>
        <v>no aplica</v>
      </c>
      <c r="N599" s="93">
        <v>41608</v>
      </c>
      <c r="O599" s="94"/>
      <c r="P599" s="94"/>
      <c r="Q599" s="94">
        <v>488</v>
      </c>
      <c r="R599" s="95">
        <f t="shared" si="114"/>
        <v>5544.1218173973002</v>
      </c>
      <c r="S599" s="94">
        <v>3628.1</v>
      </c>
      <c r="T599" s="94">
        <f t="shared" si="117"/>
        <v>3873.7223700000004</v>
      </c>
      <c r="U599" s="94">
        <f t="shared" si="118"/>
        <v>4096.4614062750006</v>
      </c>
      <c r="V599" s="94">
        <f t="shared" si="119"/>
        <v>4264.0066777916481</v>
      </c>
      <c r="W599" s="97">
        <f t="shared" si="120"/>
        <v>4399.6020901454231</v>
      </c>
      <c r="X599" s="97">
        <f t="shared" si="121"/>
        <v>4566.7869695709496</v>
      </c>
      <c r="Y599" s="97">
        <f t="shared" si="122"/>
        <v>4640.3122397810421</v>
      </c>
      <c r="Z599" s="97">
        <f t="shared" si="115"/>
        <v>4901.0977876567367</v>
      </c>
      <c r="AA599" s="97">
        <f t="shared" si="116"/>
        <v>5544.1218173973002</v>
      </c>
    </row>
    <row r="600" spans="1:27" x14ac:dyDescent="0.25">
      <c r="A600" s="102" t="s">
        <v>1493</v>
      </c>
      <c r="B600" s="87" t="s">
        <v>1494</v>
      </c>
      <c r="C600" s="88" t="s">
        <v>226</v>
      </c>
      <c r="D600" s="89" t="s">
        <v>292</v>
      </c>
      <c r="E600" s="90">
        <f t="shared" si="124"/>
        <v>1885</v>
      </c>
      <c r="F600" s="90">
        <f t="shared" si="123"/>
        <v>1584.0348049706568</v>
      </c>
      <c r="G600" s="91">
        <v>0.19</v>
      </c>
      <c r="H600" s="91"/>
      <c r="I600" s="91" t="s">
        <v>228</v>
      </c>
      <c r="J600" s="91"/>
      <c r="K600" s="91"/>
      <c r="L600" s="92" t="s">
        <v>302</v>
      </c>
      <c r="M600" s="91" t="str">
        <f t="shared" si="113"/>
        <v>no aplica</v>
      </c>
      <c r="N600" s="93">
        <v>41608</v>
      </c>
      <c r="O600" s="94"/>
      <c r="P600" s="94"/>
      <c r="Q600" s="94">
        <v>489</v>
      </c>
      <c r="R600" s="95">
        <f t="shared" si="114"/>
        <v>1584.0348049706568</v>
      </c>
      <c r="S600" s="94">
        <v>1036.5999999999999</v>
      </c>
      <c r="T600" s="94">
        <f t="shared" si="117"/>
        <v>1106.77782</v>
      </c>
      <c r="U600" s="94">
        <f t="shared" si="118"/>
        <v>1170.4175446500001</v>
      </c>
      <c r="V600" s="94">
        <f t="shared" si="119"/>
        <v>1218.287622226185</v>
      </c>
      <c r="W600" s="97">
        <f t="shared" si="120"/>
        <v>1257.0291686129779</v>
      </c>
      <c r="X600" s="97">
        <f t="shared" si="121"/>
        <v>1304.796277020271</v>
      </c>
      <c r="Y600" s="97">
        <f t="shared" si="122"/>
        <v>1325.8034970802973</v>
      </c>
      <c r="Z600" s="97">
        <f t="shared" si="115"/>
        <v>1400.3136536162101</v>
      </c>
      <c r="AA600" s="97">
        <f t="shared" si="116"/>
        <v>1584.0348049706568</v>
      </c>
    </row>
    <row r="601" spans="1:27" x14ac:dyDescent="0.25">
      <c r="A601" s="102" t="s">
        <v>1495</v>
      </c>
      <c r="B601" s="87" t="s">
        <v>1496</v>
      </c>
      <c r="C601" s="88" t="s">
        <v>226</v>
      </c>
      <c r="D601" s="89" t="s">
        <v>227</v>
      </c>
      <c r="E601" s="90">
        <f t="shared" si="124"/>
        <v>7917</v>
      </c>
      <c r="F601" s="90">
        <f t="shared" si="123"/>
        <v>6652.9461808767601</v>
      </c>
      <c r="G601" s="91">
        <v>0.19</v>
      </c>
      <c r="H601" s="91"/>
      <c r="I601" s="91" t="s">
        <v>228</v>
      </c>
      <c r="J601" s="91"/>
      <c r="K601" s="91"/>
      <c r="L601" s="92" t="s">
        <v>302</v>
      </c>
      <c r="M601" s="91" t="str">
        <f t="shared" si="113"/>
        <v>no aplica</v>
      </c>
      <c r="N601" s="93">
        <v>41608</v>
      </c>
      <c r="O601" s="94"/>
      <c r="P601" s="94"/>
      <c r="Q601" s="94">
        <v>490</v>
      </c>
      <c r="R601" s="95">
        <f t="shared" si="114"/>
        <v>6652.9461808767601</v>
      </c>
      <c r="S601" s="94">
        <v>4353.72</v>
      </c>
      <c r="T601" s="94">
        <f t="shared" si="117"/>
        <v>4648.4668440000005</v>
      </c>
      <c r="U601" s="94">
        <f t="shared" si="118"/>
        <v>4915.7536875300011</v>
      </c>
      <c r="V601" s="94">
        <f t="shared" si="119"/>
        <v>5116.808013349978</v>
      </c>
      <c r="W601" s="97">
        <f t="shared" si="120"/>
        <v>5279.5225081745075</v>
      </c>
      <c r="X601" s="97">
        <f t="shared" si="121"/>
        <v>5480.1443634851394</v>
      </c>
      <c r="Y601" s="97">
        <f t="shared" si="122"/>
        <v>5568.3746877372505</v>
      </c>
      <c r="Z601" s="97">
        <f t="shared" si="115"/>
        <v>5881.3173451880839</v>
      </c>
      <c r="AA601" s="97">
        <f t="shared" si="116"/>
        <v>6652.9461808767601</v>
      </c>
    </row>
    <row r="602" spans="1:27" x14ac:dyDescent="0.25">
      <c r="A602" s="102" t="s">
        <v>1497</v>
      </c>
      <c r="B602" s="87" t="s">
        <v>1498</v>
      </c>
      <c r="C602" s="88" t="s">
        <v>226</v>
      </c>
      <c r="D602" s="89" t="s">
        <v>301</v>
      </c>
      <c r="E602" s="90">
        <f t="shared" si="124"/>
        <v>848</v>
      </c>
      <c r="F602" s="90">
        <f t="shared" si="123"/>
        <v>712.81566223679567</v>
      </c>
      <c r="G602" s="91">
        <v>0.19</v>
      </c>
      <c r="H602" s="91"/>
      <c r="I602" s="91" t="s">
        <v>228</v>
      </c>
      <c r="J602" s="91"/>
      <c r="K602" s="91"/>
      <c r="L602" s="92" t="s">
        <v>1274</v>
      </c>
      <c r="M602" s="91" t="str">
        <f t="shared" si="113"/>
        <v>VER ARCHIVO ANEXO</v>
      </c>
      <c r="N602" s="93">
        <v>41608</v>
      </c>
      <c r="O602" s="94"/>
      <c r="P602" s="94"/>
      <c r="Q602" s="94">
        <v>491</v>
      </c>
      <c r="R602" s="95">
        <f t="shared" si="114"/>
        <v>712.81566223679567</v>
      </c>
      <c r="S602" s="94">
        <v>466.46999999999997</v>
      </c>
      <c r="T602" s="94">
        <f t="shared" si="117"/>
        <v>498.05001900000002</v>
      </c>
      <c r="U602" s="94">
        <f t="shared" si="118"/>
        <v>526.68789509250007</v>
      </c>
      <c r="V602" s="94">
        <f t="shared" si="119"/>
        <v>548.22943000178327</v>
      </c>
      <c r="W602" s="97">
        <f t="shared" si="120"/>
        <v>565.66312587584002</v>
      </c>
      <c r="X602" s="97">
        <f t="shared" si="121"/>
        <v>587.15832465912194</v>
      </c>
      <c r="Y602" s="97">
        <f t="shared" si="122"/>
        <v>596.61157368613385</v>
      </c>
      <c r="Z602" s="97">
        <f t="shared" si="115"/>
        <v>630.14114412729464</v>
      </c>
      <c r="AA602" s="97">
        <f t="shared" si="116"/>
        <v>712.81566223679567</v>
      </c>
    </row>
    <row r="603" spans="1:27" x14ac:dyDescent="0.25">
      <c r="A603" s="102" t="s">
        <v>1499</v>
      </c>
      <c r="B603" s="87" t="s">
        <v>1500</v>
      </c>
      <c r="C603" s="88" t="s">
        <v>226</v>
      </c>
      <c r="D603" s="89" t="s">
        <v>262</v>
      </c>
      <c r="E603" s="90">
        <f t="shared" si="124"/>
        <v>170</v>
      </c>
      <c r="F603" s="90">
        <f t="shared" si="123"/>
        <v>142.56313244735912</v>
      </c>
      <c r="G603" s="91">
        <v>0.19</v>
      </c>
      <c r="H603" s="91"/>
      <c r="I603" s="91" t="s">
        <v>228</v>
      </c>
      <c r="J603" s="91"/>
      <c r="K603" s="91"/>
      <c r="L603" s="92" t="s">
        <v>302</v>
      </c>
      <c r="M603" s="91" t="str">
        <f t="shared" si="113"/>
        <v>no aplica</v>
      </c>
      <c r="N603" s="93">
        <v>41608</v>
      </c>
      <c r="O603" s="94"/>
      <c r="P603" s="94"/>
      <c r="Q603" s="94">
        <v>492</v>
      </c>
      <c r="R603" s="95">
        <f t="shared" si="114"/>
        <v>142.56313244735912</v>
      </c>
      <c r="S603" s="94">
        <v>93.293999999999997</v>
      </c>
      <c r="T603" s="94">
        <f t="shared" si="117"/>
        <v>99.610003800000001</v>
      </c>
      <c r="U603" s="94">
        <f t="shared" si="118"/>
        <v>105.33757901850001</v>
      </c>
      <c r="V603" s="94">
        <f t="shared" si="119"/>
        <v>109.64588600035665</v>
      </c>
      <c r="W603" s="97">
        <f t="shared" si="120"/>
        <v>113.132625175168</v>
      </c>
      <c r="X603" s="97">
        <f t="shared" si="121"/>
        <v>117.43166493182439</v>
      </c>
      <c r="Y603" s="97">
        <f t="shared" si="122"/>
        <v>119.32231473722676</v>
      </c>
      <c r="Z603" s="97">
        <f t="shared" si="115"/>
        <v>126.02822882545891</v>
      </c>
      <c r="AA603" s="97">
        <f t="shared" si="116"/>
        <v>142.56313244735912</v>
      </c>
    </row>
    <row r="604" spans="1:27" x14ac:dyDescent="0.25">
      <c r="A604" s="102" t="s">
        <v>1501</v>
      </c>
      <c r="B604" s="87" t="s">
        <v>1502</v>
      </c>
      <c r="C604" s="88" t="s">
        <v>226</v>
      </c>
      <c r="D604" s="89" t="s">
        <v>301</v>
      </c>
      <c r="E604" s="90">
        <f t="shared" si="124"/>
        <v>4336</v>
      </c>
      <c r="F604" s="90">
        <f t="shared" si="123"/>
        <v>3643.2800514325118</v>
      </c>
      <c r="G604" s="91">
        <v>0.19</v>
      </c>
      <c r="H604" s="91"/>
      <c r="I604" s="91" t="s">
        <v>228</v>
      </c>
      <c r="J604" s="91"/>
      <c r="K604" s="91"/>
      <c r="L604" s="92" t="s">
        <v>302</v>
      </c>
      <c r="M604" s="91" t="str">
        <f t="shared" si="113"/>
        <v>no aplica</v>
      </c>
      <c r="N604" s="93">
        <v>41608</v>
      </c>
      <c r="O604" s="94"/>
      <c r="P604" s="94"/>
      <c r="Q604" s="94">
        <v>493</v>
      </c>
      <c r="R604" s="95">
        <f t="shared" si="114"/>
        <v>3643.2800514325118</v>
      </c>
      <c r="S604" s="94">
        <v>2384.1799999999998</v>
      </c>
      <c r="T604" s="94">
        <f t="shared" si="117"/>
        <v>2545.5889860000002</v>
      </c>
      <c r="U604" s="94">
        <f t="shared" si="118"/>
        <v>2691.9603526950004</v>
      </c>
      <c r="V604" s="94">
        <f t="shared" si="119"/>
        <v>2802.0615311202259</v>
      </c>
      <c r="W604" s="97">
        <f t="shared" si="120"/>
        <v>2891.1670878098494</v>
      </c>
      <c r="X604" s="97">
        <f t="shared" si="121"/>
        <v>3001.0314371466238</v>
      </c>
      <c r="Y604" s="97">
        <f t="shared" si="122"/>
        <v>3049.3480432846845</v>
      </c>
      <c r="Z604" s="97">
        <f t="shared" si="115"/>
        <v>3220.7214033172841</v>
      </c>
      <c r="AA604" s="97">
        <f t="shared" si="116"/>
        <v>3643.2800514325118</v>
      </c>
    </row>
    <row r="605" spans="1:27" x14ac:dyDescent="0.25">
      <c r="A605" s="102" t="s">
        <v>1503</v>
      </c>
      <c r="B605" s="87" t="s">
        <v>1504</v>
      </c>
      <c r="C605" s="88" t="s">
        <v>226</v>
      </c>
      <c r="D605" s="89" t="s">
        <v>4</v>
      </c>
      <c r="E605" s="90">
        <f t="shared" si="124"/>
        <v>2639</v>
      </c>
      <c r="F605" s="90">
        <f t="shared" si="123"/>
        <v>2217.6487269589197</v>
      </c>
      <c r="G605" s="91">
        <v>0.19</v>
      </c>
      <c r="H605" s="91"/>
      <c r="I605" s="91" t="s">
        <v>228</v>
      </c>
      <c r="J605" s="91"/>
      <c r="K605" s="91"/>
      <c r="L605" s="92" t="s">
        <v>302</v>
      </c>
      <c r="M605" s="91" t="str">
        <f t="shared" ref="M605:M615" si="125">+IF(L605="no aplica","no aplica","VER ARCHIVO ANEXO")</f>
        <v>no aplica</v>
      </c>
      <c r="N605" s="93">
        <v>41608</v>
      </c>
      <c r="O605" s="94"/>
      <c r="P605" s="94"/>
      <c r="Q605" s="94">
        <v>494</v>
      </c>
      <c r="R605" s="95">
        <f t="shared" si="114"/>
        <v>2217.6487269589197</v>
      </c>
      <c r="S605" s="94">
        <v>1451.24</v>
      </c>
      <c r="T605" s="94">
        <f t="shared" si="117"/>
        <v>1549.4889480000002</v>
      </c>
      <c r="U605" s="94">
        <f t="shared" si="118"/>
        <v>1638.5845625100003</v>
      </c>
      <c r="V605" s="94">
        <f t="shared" si="119"/>
        <v>1705.6026711166592</v>
      </c>
      <c r="W605" s="97">
        <f t="shared" si="120"/>
        <v>1759.8408360581691</v>
      </c>
      <c r="X605" s="97">
        <f t="shared" si="121"/>
        <v>1826.7147878283795</v>
      </c>
      <c r="Y605" s="97">
        <f t="shared" si="122"/>
        <v>1856.1248959124164</v>
      </c>
      <c r="Z605" s="97">
        <f t="shared" si="115"/>
        <v>1960.4391150626943</v>
      </c>
      <c r="AA605" s="97">
        <f t="shared" si="116"/>
        <v>2217.6487269589197</v>
      </c>
    </row>
    <row r="606" spans="1:27" x14ac:dyDescent="0.25">
      <c r="A606" s="102" t="s">
        <v>1505</v>
      </c>
      <c r="B606" s="87" t="s">
        <v>1506</v>
      </c>
      <c r="C606" s="88" t="s">
        <v>226</v>
      </c>
      <c r="D606" s="89" t="s">
        <v>4</v>
      </c>
      <c r="E606" s="90">
        <f t="shared" si="124"/>
        <v>2451</v>
      </c>
      <c r="F606" s="90">
        <f t="shared" si="123"/>
        <v>2059.2452464618536</v>
      </c>
      <c r="G606" s="91">
        <v>0.19</v>
      </c>
      <c r="H606" s="91"/>
      <c r="I606" s="91" t="s">
        <v>228</v>
      </c>
      <c r="J606" s="91"/>
      <c r="K606" s="91"/>
      <c r="L606" s="92" t="s">
        <v>302</v>
      </c>
      <c r="M606" s="91" t="str">
        <f t="shared" si="125"/>
        <v>no aplica</v>
      </c>
      <c r="N606" s="93">
        <v>41608</v>
      </c>
      <c r="O606" s="94"/>
      <c r="P606" s="94"/>
      <c r="Q606" s="94">
        <v>495</v>
      </c>
      <c r="R606" s="95">
        <f t="shared" si="114"/>
        <v>2059.2452464618536</v>
      </c>
      <c r="S606" s="94">
        <v>1347.58</v>
      </c>
      <c r="T606" s="94">
        <f t="shared" si="117"/>
        <v>1438.811166</v>
      </c>
      <c r="U606" s="94">
        <f t="shared" si="118"/>
        <v>1521.5428080450001</v>
      </c>
      <c r="V606" s="94">
        <f t="shared" si="119"/>
        <v>1583.7739088940405</v>
      </c>
      <c r="W606" s="97">
        <f t="shared" si="120"/>
        <v>1634.1379191968711</v>
      </c>
      <c r="X606" s="97">
        <f t="shared" si="121"/>
        <v>1696.2351601263522</v>
      </c>
      <c r="Y606" s="97">
        <f t="shared" si="122"/>
        <v>1723.5445462043865</v>
      </c>
      <c r="Z606" s="97">
        <f t="shared" si="115"/>
        <v>1820.407749701073</v>
      </c>
      <c r="AA606" s="97">
        <f t="shared" si="116"/>
        <v>2059.2452464618536</v>
      </c>
    </row>
    <row r="607" spans="1:27" x14ac:dyDescent="0.25">
      <c r="A607" s="102" t="s">
        <v>1507</v>
      </c>
      <c r="B607" s="87" t="s">
        <v>1508</v>
      </c>
      <c r="C607" s="88" t="s">
        <v>226</v>
      </c>
      <c r="D607" s="89" t="s">
        <v>4</v>
      </c>
      <c r="E607" s="90">
        <f t="shared" si="124"/>
        <v>2451</v>
      </c>
      <c r="F607" s="90">
        <f t="shared" si="123"/>
        <v>2059.2452464618536</v>
      </c>
      <c r="G607" s="91">
        <v>0.19</v>
      </c>
      <c r="H607" s="91"/>
      <c r="I607" s="91" t="s">
        <v>228</v>
      </c>
      <c r="J607" s="91"/>
      <c r="K607" s="91"/>
      <c r="L607" s="92" t="s">
        <v>302</v>
      </c>
      <c r="M607" s="91" t="str">
        <f t="shared" si="125"/>
        <v>no aplica</v>
      </c>
      <c r="N607" s="93">
        <v>41608</v>
      </c>
      <c r="O607" s="94"/>
      <c r="P607" s="94"/>
      <c r="Q607" s="94">
        <v>496</v>
      </c>
      <c r="R607" s="95">
        <f t="shared" si="114"/>
        <v>2059.2452464618536</v>
      </c>
      <c r="S607" s="94">
        <v>1347.58</v>
      </c>
      <c r="T607" s="94">
        <f t="shared" si="117"/>
        <v>1438.811166</v>
      </c>
      <c r="U607" s="94">
        <f t="shared" si="118"/>
        <v>1521.5428080450001</v>
      </c>
      <c r="V607" s="94">
        <f t="shared" si="119"/>
        <v>1583.7739088940405</v>
      </c>
      <c r="W607" s="97">
        <f t="shared" si="120"/>
        <v>1634.1379191968711</v>
      </c>
      <c r="X607" s="97">
        <f t="shared" si="121"/>
        <v>1696.2351601263522</v>
      </c>
      <c r="Y607" s="97">
        <f t="shared" si="122"/>
        <v>1723.5445462043865</v>
      </c>
      <c r="Z607" s="97">
        <f t="shared" si="115"/>
        <v>1820.407749701073</v>
      </c>
      <c r="AA607" s="97">
        <f t="shared" si="116"/>
        <v>2059.2452464618536</v>
      </c>
    </row>
    <row r="608" spans="1:27" x14ac:dyDescent="0.25">
      <c r="A608" s="102" t="s">
        <v>1509</v>
      </c>
      <c r="B608" s="87" t="s">
        <v>1510</v>
      </c>
      <c r="C608" s="88" t="s">
        <v>226</v>
      </c>
      <c r="D608" s="89" t="s">
        <v>262</v>
      </c>
      <c r="E608" s="90">
        <f t="shared" si="124"/>
        <v>5655</v>
      </c>
      <c r="F608" s="90">
        <f t="shared" si="123"/>
        <v>4752.1044149119698</v>
      </c>
      <c r="G608" s="91">
        <v>0.19</v>
      </c>
      <c r="H608" s="91"/>
      <c r="I608" s="91" t="s">
        <v>228</v>
      </c>
      <c r="J608" s="91"/>
      <c r="K608" s="91"/>
      <c r="L608" s="92" t="s">
        <v>302</v>
      </c>
      <c r="M608" s="91" t="str">
        <f t="shared" si="125"/>
        <v>no aplica</v>
      </c>
      <c r="N608" s="93">
        <v>41608</v>
      </c>
      <c r="O608" s="94"/>
      <c r="P608" s="94"/>
      <c r="Q608" s="94">
        <v>497</v>
      </c>
      <c r="R608" s="95">
        <f t="shared" si="114"/>
        <v>4752.1044149119698</v>
      </c>
      <c r="S608" s="94">
        <v>3109.7999999999997</v>
      </c>
      <c r="T608" s="94">
        <f t="shared" si="117"/>
        <v>3320.3334599999998</v>
      </c>
      <c r="U608" s="94">
        <f t="shared" si="118"/>
        <v>3511.25263395</v>
      </c>
      <c r="V608" s="94">
        <f t="shared" si="119"/>
        <v>3654.8628666785548</v>
      </c>
      <c r="W608" s="97">
        <f t="shared" si="120"/>
        <v>3771.0875058389329</v>
      </c>
      <c r="X608" s="97">
        <f t="shared" si="121"/>
        <v>3914.3888310608127</v>
      </c>
      <c r="Y608" s="97">
        <f t="shared" si="122"/>
        <v>3977.4104912408916</v>
      </c>
      <c r="Z608" s="97">
        <f t="shared" si="115"/>
        <v>4200.9409608486294</v>
      </c>
      <c r="AA608" s="97">
        <f t="shared" si="116"/>
        <v>4752.1044149119698</v>
      </c>
    </row>
    <row r="609" spans="1:27" x14ac:dyDescent="0.25">
      <c r="A609" s="102" t="s">
        <v>1511</v>
      </c>
      <c r="B609" s="87" t="s">
        <v>1512</v>
      </c>
      <c r="C609" s="88" t="s">
        <v>226</v>
      </c>
      <c r="D609" s="89" t="s">
        <v>262</v>
      </c>
      <c r="E609" s="90">
        <f t="shared" si="124"/>
        <v>73515</v>
      </c>
      <c r="F609" s="90">
        <f t="shared" si="123"/>
        <v>61777.357393855622</v>
      </c>
      <c r="G609" s="91">
        <v>0.19</v>
      </c>
      <c r="H609" s="91"/>
      <c r="I609" s="91" t="s">
        <v>228</v>
      </c>
      <c r="J609" s="91"/>
      <c r="K609" s="91"/>
      <c r="L609" s="92" t="s">
        <v>302</v>
      </c>
      <c r="M609" s="91" t="str">
        <f t="shared" si="125"/>
        <v>no aplica</v>
      </c>
      <c r="N609" s="93">
        <v>41608</v>
      </c>
      <c r="O609" s="94"/>
      <c r="P609" s="94"/>
      <c r="Q609" s="94">
        <v>498</v>
      </c>
      <c r="R609" s="95">
        <f t="shared" si="114"/>
        <v>61777.357393855622</v>
      </c>
      <c r="S609" s="94">
        <v>40427.4</v>
      </c>
      <c r="T609" s="94">
        <f t="shared" si="117"/>
        <v>43164.334980000007</v>
      </c>
      <c r="U609" s="94">
        <f t="shared" si="118"/>
        <v>45646.284241350011</v>
      </c>
      <c r="V609" s="94">
        <f t="shared" si="119"/>
        <v>47513.217266821222</v>
      </c>
      <c r="W609" s="97">
        <f t="shared" si="120"/>
        <v>49024.137575906141</v>
      </c>
      <c r="X609" s="97">
        <f t="shared" si="121"/>
        <v>50887.054803790576</v>
      </c>
      <c r="Y609" s="97">
        <f t="shared" si="122"/>
        <v>51706.336386131603</v>
      </c>
      <c r="Z609" s="97">
        <f t="shared" si="115"/>
        <v>54612.232491032199</v>
      </c>
      <c r="AA609" s="97">
        <f t="shared" si="116"/>
        <v>61777.357393855622</v>
      </c>
    </row>
    <row r="610" spans="1:27" x14ac:dyDescent="0.25">
      <c r="A610" s="102" t="s">
        <v>1513</v>
      </c>
      <c r="B610" s="87" t="s">
        <v>1514</v>
      </c>
      <c r="C610" s="88" t="s">
        <v>226</v>
      </c>
      <c r="D610" s="89" t="s">
        <v>262</v>
      </c>
      <c r="E610" s="90">
        <f t="shared" si="124"/>
        <v>393831</v>
      </c>
      <c r="F610" s="90">
        <f t="shared" si="123"/>
        <v>330950.80776771432</v>
      </c>
      <c r="G610" s="91">
        <v>0.19</v>
      </c>
      <c r="H610" s="91" t="s">
        <v>228</v>
      </c>
      <c r="I610" s="91" t="s">
        <v>228</v>
      </c>
      <c r="J610" s="91" t="s">
        <v>228</v>
      </c>
      <c r="K610" s="91" t="s">
        <v>228</v>
      </c>
      <c r="L610" s="92" t="s">
        <v>302</v>
      </c>
      <c r="M610" s="91" t="str">
        <f t="shared" si="125"/>
        <v>no aplica</v>
      </c>
      <c r="N610" s="93">
        <v>41608</v>
      </c>
      <c r="O610" s="94"/>
      <c r="P610" s="94"/>
      <c r="Q610" s="94">
        <v>499</v>
      </c>
      <c r="R610" s="95">
        <f t="shared" si="114"/>
        <v>330950.80776771432</v>
      </c>
      <c r="S610" s="94">
        <v>216575.8014</v>
      </c>
      <c r="T610" s="94">
        <f t="shared" si="117"/>
        <v>231237.98315478003</v>
      </c>
      <c r="U610" s="94">
        <f t="shared" si="118"/>
        <v>244534.1671861799</v>
      </c>
      <c r="V610" s="94">
        <f t="shared" si="119"/>
        <v>254535.61462409463</v>
      </c>
      <c r="W610" s="97">
        <f t="shared" si="120"/>
        <v>262629.84716914082</v>
      </c>
      <c r="X610" s="97">
        <f t="shared" si="121"/>
        <v>272609.7813615682</v>
      </c>
      <c r="Y610" s="97">
        <f t="shared" si="122"/>
        <v>276998.79884148942</v>
      </c>
      <c r="Z610" s="97">
        <f t="shared" si="115"/>
        <v>292566.13133638114</v>
      </c>
      <c r="AA610" s="97">
        <f t="shared" si="116"/>
        <v>330950.80776771432</v>
      </c>
    </row>
    <row r="611" spans="1:27" x14ac:dyDescent="0.25">
      <c r="A611" s="102" t="s">
        <v>1515</v>
      </c>
      <c r="B611" s="87" t="s">
        <v>1516</v>
      </c>
      <c r="C611" s="88" t="s">
        <v>226</v>
      </c>
      <c r="D611" s="89" t="s">
        <v>262</v>
      </c>
      <c r="E611" s="90">
        <f t="shared" si="124"/>
        <v>622590</v>
      </c>
      <c r="F611" s="90">
        <f t="shared" si="123"/>
        <v>523184.51959453837</v>
      </c>
      <c r="G611" s="91">
        <v>0.19</v>
      </c>
      <c r="H611" s="91" t="s">
        <v>228</v>
      </c>
      <c r="I611" s="91" t="s">
        <v>228</v>
      </c>
      <c r="J611" s="91" t="s">
        <v>228</v>
      </c>
      <c r="K611" s="91" t="s">
        <v>228</v>
      </c>
      <c r="L611" s="92" t="s">
        <v>302</v>
      </c>
      <c r="M611" s="91" t="str">
        <f t="shared" si="125"/>
        <v>no aplica</v>
      </c>
      <c r="N611" s="93">
        <v>41608</v>
      </c>
      <c r="O611" s="94"/>
      <c r="P611" s="94"/>
      <c r="Q611" s="94">
        <v>500</v>
      </c>
      <c r="R611" s="95">
        <f t="shared" si="114"/>
        <v>523184.51959453837</v>
      </c>
      <c r="S611" s="94">
        <v>342374.46759999997</v>
      </c>
      <c r="T611" s="94">
        <f t="shared" si="117"/>
        <v>365553.21905652003</v>
      </c>
      <c r="U611" s="94">
        <f t="shared" si="118"/>
        <v>386572.52915226994</v>
      </c>
      <c r="V611" s="94">
        <f t="shared" si="119"/>
        <v>402383.34559459775</v>
      </c>
      <c r="W611" s="97">
        <f t="shared" si="120"/>
        <v>415179.13598450599</v>
      </c>
      <c r="X611" s="97">
        <f t="shared" si="121"/>
        <v>430955.94315191725</v>
      </c>
      <c r="Y611" s="97">
        <f t="shared" si="122"/>
        <v>437894.33383666311</v>
      </c>
      <c r="Z611" s="97">
        <f t="shared" si="115"/>
        <v>462503.99539828359</v>
      </c>
      <c r="AA611" s="97">
        <f t="shared" si="116"/>
        <v>523184.51959453837</v>
      </c>
    </row>
    <row r="612" spans="1:27" x14ac:dyDescent="0.25">
      <c r="A612" s="102" t="s">
        <v>1517</v>
      </c>
      <c r="B612" s="87" t="s">
        <v>1518</v>
      </c>
      <c r="C612" s="88" t="s">
        <v>226</v>
      </c>
      <c r="D612" s="89" t="s">
        <v>262</v>
      </c>
      <c r="E612" s="90">
        <f t="shared" si="124"/>
        <v>915302</v>
      </c>
      <c r="F612" s="90">
        <f t="shared" si="123"/>
        <v>769161.364284407</v>
      </c>
      <c r="G612" s="91">
        <v>0.19</v>
      </c>
      <c r="H612" s="91" t="s">
        <v>228</v>
      </c>
      <c r="I612" s="91" t="s">
        <v>228</v>
      </c>
      <c r="J612" s="91" t="s">
        <v>228</v>
      </c>
      <c r="K612" s="91" t="s">
        <v>228</v>
      </c>
      <c r="L612" s="92" t="s">
        <v>1519</v>
      </c>
      <c r="M612" s="91" t="str">
        <f t="shared" si="125"/>
        <v>VER ARCHIVO ANEXO</v>
      </c>
      <c r="N612" s="93">
        <v>41608</v>
      </c>
      <c r="O612" s="94"/>
      <c r="P612" s="94"/>
      <c r="Q612" s="94">
        <v>501</v>
      </c>
      <c r="R612" s="95">
        <f t="shared" si="114"/>
        <v>769161.364284407</v>
      </c>
      <c r="S612" s="94">
        <v>503342.89859999996</v>
      </c>
      <c r="T612" s="94">
        <f t="shared" si="117"/>
        <v>537419.21283522004</v>
      </c>
      <c r="U612" s="94">
        <f t="shared" si="118"/>
        <v>568320.81757324527</v>
      </c>
      <c r="V612" s="94">
        <f t="shared" si="119"/>
        <v>591565.13901199098</v>
      </c>
      <c r="W612" s="97">
        <f t="shared" si="120"/>
        <v>610376.91043257236</v>
      </c>
      <c r="X612" s="97">
        <f t="shared" si="121"/>
        <v>633571.23302901012</v>
      </c>
      <c r="Y612" s="97">
        <f t="shared" si="122"/>
        <v>643771.72988077719</v>
      </c>
      <c r="Z612" s="97">
        <f t="shared" si="115"/>
        <v>679951.7011000769</v>
      </c>
      <c r="AA612" s="97">
        <f t="shared" si="116"/>
        <v>769161.364284407</v>
      </c>
    </row>
    <row r="613" spans="1:27" x14ac:dyDescent="0.25">
      <c r="A613" s="86" t="s">
        <v>1520</v>
      </c>
      <c r="B613" s="87" t="s">
        <v>1521</v>
      </c>
      <c r="C613" s="112" t="s">
        <v>1522</v>
      </c>
      <c r="D613" s="89" t="s">
        <v>262</v>
      </c>
      <c r="E613" s="90">
        <f t="shared" si="124"/>
        <v>59378</v>
      </c>
      <c r="F613" s="90">
        <f t="shared" si="123"/>
        <v>49897.09635657569</v>
      </c>
      <c r="G613" s="91">
        <v>0.19</v>
      </c>
      <c r="H613" s="91" t="s">
        <v>228</v>
      </c>
      <c r="I613" s="91" t="s">
        <v>228</v>
      </c>
      <c r="J613" s="91" t="s">
        <v>228</v>
      </c>
      <c r="K613" s="91" t="s">
        <v>228</v>
      </c>
      <c r="L613" s="92" t="s">
        <v>302</v>
      </c>
      <c r="M613" s="91" t="str">
        <f t="shared" si="125"/>
        <v>no aplica</v>
      </c>
      <c r="N613" s="93">
        <v>41608</v>
      </c>
      <c r="O613" s="94"/>
      <c r="P613" s="94"/>
      <c r="Q613" s="94">
        <v>502</v>
      </c>
      <c r="R613" s="95">
        <f t="shared" si="114"/>
        <v>49897.09635657569</v>
      </c>
      <c r="S613" s="94">
        <v>32652.899999999998</v>
      </c>
      <c r="T613" s="94">
        <f t="shared" si="117"/>
        <v>34863.501329999999</v>
      </c>
      <c r="U613" s="94">
        <f t="shared" si="118"/>
        <v>36868.152656475002</v>
      </c>
      <c r="V613" s="94">
        <f t="shared" si="119"/>
        <v>38376.060100124829</v>
      </c>
      <c r="W613" s="97">
        <f t="shared" si="120"/>
        <v>39596.418811308802</v>
      </c>
      <c r="X613" s="97">
        <f t="shared" si="121"/>
        <v>41101.082726138535</v>
      </c>
      <c r="Y613" s="97">
        <f t="shared" si="122"/>
        <v>41762.810158029366</v>
      </c>
      <c r="Z613" s="97">
        <f t="shared" si="115"/>
        <v>44109.880088910621</v>
      </c>
      <c r="AA613" s="97">
        <f t="shared" si="116"/>
        <v>49897.09635657569</v>
      </c>
    </row>
    <row r="614" spans="1:27" x14ac:dyDescent="0.25">
      <c r="A614" s="102" t="s">
        <v>1523</v>
      </c>
      <c r="B614" s="87" t="s">
        <v>1524</v>
      </c>
      <c r="C614" s="112" t="s">
        <v>1522</v>
      </c>
      <c r="D614" s="89" t="s">
        <v>262</v>
      </c>
      <c r="E614" s="90">
        <f t="shared" si="124"/>
        <v>18850</v>
      </c>
      <c r="F614" s="90">
        <f t="shared" si="123"/>
        <v>15840.348049706568</v>
      </c>
      <c r="G614" s="91">
        <v>0.19</v>
      </c>
      <c r="H614" s="91" t="s">
        <v>228</v>
      </c>
      <c r="I614" s="91" t="s">
        <v>228</v>
      </c>
      <c r="J614" s="91" t="s">
        <v>228</v>
      </c>
      <c r="K614" s="91" t="s">
        <v>228</v>
      </c>
      <c r="L614" s="92" t="s">
        <v>302</v>
      </c>
      <c r="M614" s="91" t="str">
        <f t="shared" si="125"/>
        <v>no aplica</v>
      </c>
      <c r="N614" s="93">
        <v>41608</v>
      </c>
      <c r="O614" s="94"/>
      <c r="P614" s="94"/>
      <c r="Q614" s="94">
        <v>503</v>
      </c>
      <c r="R614" s="95">
        <f t="shared" si="114"/>
        <v>15840.348049706568</v>
      </c>
      <c r="S614" s="94">
        <v>10366</v>
      </c>
      <c r="T614" s="94">
        <f t="shared" si="117"/>
        <v>11067.778200000001</v>
      </c>
      <c r="U614" s="94">
        <f t="shared" si="118"/>
        <v>11704.175446500001</v>
      </c>
      <c r="V614" s="94">
        <f t="shared" si="119"/>
        <v>12182.87622226185</v>
      </c>
      <c r="W614" s="97">
        <f t="shared" si="120"/>
        <v>12570.291686129778</v>
      </c>
      <c r="X614" s="97">
        <f t="shared" si="121"/>
        <v>13047.96277020271</v>
      </c>
      <c r="Y614" s="97">
        <f t="shared" si="122"/>
        <v>13258.034970802973</v>
      </c>
      <c r="Z614" s="97">
        <f t="shared" si="115"/>
        <v>14003.136536162101</v>
      </c>
      <c r="AA614" s="97">
        <f t="shared" si="116"/>
        <v>15840.348049706568</v>
      </c>
    </row>
    <row r="615" spans="1:27" x14ac:dyDescent="0.25">
      <c r="A615" s="102" t="s">
        <v>1525</v>
      </c>
      <c r="B615" s="126" t="s">
        <v>1526</v>
      </c>
      <c r="C615" s="88" t="s">
        <v>226</v>
      </c>
      <c r="D615" s="89" t="s">
        <v>262</v>
      </c>
      <c r="E615" s="90">
        <f t="shared" si="124"/>
        <v>3770</v>
      </c>
      <c r="F615" s="90">
        <f t="shared" si="123"/>
        <v>3168.0696099413135</v>
      </c>
      <c r="G615" s="91">
        <v>0.19</v>
      </c>
      <c r="H615" s="91" t="s">
        <v>228</v>
      </c>
      <c r="I615" s="91"/>
      <c r="J615" s="91" t="s">
        <v>228</v>
      </c>
      <c r="K615" s="91"/>
      <c r="L615" s="92" t="s">
        <v>302</v>
      </c>
      <c r="M615" s="91" t="str">
        <f t="shared" si="125"/>
        <v>no aplica</v>
      </c>
      <c r="N615" s="93">
        <v>41608</v>
      </c>
      <c r="O615" s="109"/>
      <c r="P615" s="109"/>
      <c r="Q615" s="94">
        <v>504</v>
      </c>
      <c r="R615" s="95">
        <f t="shared" si="114"/>
        <v>3168.0696099413135</v>
      </c>
      <c r="S615" s="109">
        <v>2073.1999999999998</v>
      </c>
      <c r="T615" s="94">
        <f t="shared" si="117"/>
        <v>2213.55564</v>
      </c>
      <c r="U615" s="94">
        <f t="shared" si="118"/>
        <v>2340.8350893000002</v>
      </c>
      <c r="V615" s="94">
        <f t="shared" si="119"/>
        <v>2436.57524445237</v>
      </c>
      <c r="W615" s="97">
        <f t="shared" si="120"/>
        <v>2514.0583372259557</v>
      </c>
      <c r="X615" s="97">
        <f t="shared" si="121"/>
        <v>2609.5925540405419</v>
      </c>
      <c r="Y615" s="97">
        <f t="shared" si="122"/>
        <v>2651.6069941605947</v>
      </c>
      <c r="Z615" s="97">
        <f t="shared" si="115"/>
        <v>2800.6273072324202</v>
      </c>
      <c r="AA615" s="97">
        <f t="shared" si="116"/>
        <v>3168.0696099413135</v>
      </c>
    </row>
    <row r="616" spans="1:27" x14ac:dyDescent="0.25">
      <c r="A616" s="105" t="s">
        <v>1527</v>
      </c>
      <c r="B616" s="77" t="s">
        <v>1528</v>
      </c>
      <c r="C616" s="107"/>
      <c r="D616" s="108"/>
      <c r="E616" s="90">
        <f t="shared" si="124"/>
        <v>0</v>
      </c>
      <c r="F616" s="90">
        <f t="shared" si="123"/>
        <v>0</v>
      </c>
      <c r="G616" s="81"/>
      <c r="H616" s="81"/>
      <c r="I616" s="81"/>
      <c r="J616" s="81"/>
      <c r="K616" s="81"/>
      <c r="L616" s="92"/>
      <c r="M616" s="91"/>
      <c r="N616" s="93"/>
      <c r="O616" s="109"/>
      <c r="P616" s="109"/>
      <c r="Q616" s="109">
        <v>0</v>
      </c>
      <c r="R616" s="95">
        <f t="shared" si="114"/>
        <v>0</v>
      </c>
      <c r="S616" s="109">
        <v>0</v>
      </c>
      <c r="T616" s="94">
        <f t="shared" si="117"/>
        <v>0</v>
      </c>
      <c r="U616" s="94">
        <f t="shared" si="118"/>
        <v>0</v>
      </c>
      <c r="V616" s="94">
        <f t="shared" si="119"/>
        <v>0</v>
      </c>
      <c r="W616" s="97">
        <f t="shared" si="120"/>
        <v>0</v>
      </c>
      <c r="X616" s="97">
        <f t="shared" si="121"/>
        <v>0</v>
      </c>
      <c r="Y616" s="97">
        <f t="shared" si="122"/>
        <v>0</v>
      </c>
      <c r="Z616" s="97">
        <f t="shared" si="115"/>
        <v>0</v>
      </c>
      <c r="AA616" s="97">
        <f t="shared" si="116"/>
        <v>0</v>
      </c>
    </row>
    <row r="617" spans="1:27" x14ac:dyDescent="0.25">
      <c r="A617" s="102" t="s">
        <v>1529</v>
      </c>
      <c r="B617" s="87" t="s">
        <v>1530</v>
      </c>
      <c r="C617" s="88" t="s">
        <v>1031</v>
      </c>
      <c r="D617" s="89" t="s">
        <v>1032</v>
      </c>
      <c r="E617" s="122">
        <f t="shared" si="124"/>
        <v>113</v>
      </c>
      <c r="F617" s="90">
        <f t="shared" si="123"/>
        <v>94.742579498534383</v>
      </c>
      <c r="G617" s="91">
        <v>0.19</v>
      </c>
      <c r="H617" s="91" t="s">
        <v>228</v>
      </c>
      <c r="I617" s="91" t="s">
        <v>228</v>
      </c>
      <c r="J617" s="91" t="s">
        <v>228</v>
      </c>
      <c r="K617" s="91" t="s">
        <v>228</v>
      </c>
      <c r="L617" s="92" t="s">
        <v>302</v>
      </c>
      <c r="M617" s="91" t="str">
        <f t="shared" ref="M617:M642" si="126">+IF(L617="no aplica","no aplica","VER ARCHIVO ANEXO")</f>
        <v>no aplica</v>
      </c>
      <c r="N617" s="93">
        <v>41608</v>
      </c>
      <c r="O617" s="94"/>
      <c r="P617" s="94"/>
      <c r="Q617" s="94">
        <v>93</v>
      </c>
      <c r="R617" s="95">
        <f t="shared" si="114"/>
        <v>94.742579498534383</v>
      </c>
      <c r="S617" s="94">
        <v>62</v>
      </c>
      <c r="T617" s="94">
        <f t="shared" si="117"/>
        <v>66.197400000000002</v>
      </c>
      <c r="U617" s="94">
        <f t="shared" si="118"/>
        <v>70.00375050000001</v>
      </c>
      <c r="V617" s="94">
        <f t="shared" si="119"/>
        <v>72.866903895450008</v>
      </c>
      <c r="W617" s="97">
        <f t="shared" si="120"/>
        <v>75.184071439325322</v>
      </c>
      <c r="X617" s="97">
        <f t="shared" si="121"/>
        <v>78.041066154019688</v>
      </c>
      <c r="Y617" s="97">
        <f t="shared" si="122"/>
        <v>79.297527319099402</v>
      </c>
      <c r="Z617" s="97">
        <f t="shared" si="115"/>
        <v>83.754048354432797</v>
      </c>
      <c r="AA617" s="97">
        <f t="shared" si="116"/>
        <v>94.742579498534383</v>
      </c>
    </row>
    <row r="618" spans="1:27" x14ac:dyDescent="0.25">
      <c r="A618" s="102" t="s">
        <v>1531</v>
      </c>
      <c r="B618" s="87" t="s">
        <v>1532</v>
      </c>
      <c r="C618" s="88" t="s">
        <v>1031</v>
      </c>
      <c r="D618" s="89" t="s">
        <v>1032</v>
      </c>
      <c r="E618" s="122">
        <f t="shared" si="124"/>
        <v>145</v>
      </c>
      <c r="F618" s="90">
        <f t="shared" si="123"/>
        <v>122.24848967552825</v>
      </c>
      <c r="G618" s="91">
        <v>0.19</v>
      </c>
      <c r="H618" s="91" t="s">
        <v>228</v>
      </c>
      <c r="I618" s="91" t="s">
        <v>228</v>
      </c>
      <c r="J618" s="91" t="s">
        <v>228</v>
      </c>
      <c r="K618" s="91" t="s">
        <v>228</v>
      </c>
      <c r="L618" s="92" t="s">
        <v>302</v>
      </c>
      <c r="M618" s="91" t="str">
        <f t="shared" si="126"/>
        <v>no aplica</v>
      </c>
      <c r="N618" s="93">
        <v>41608</v>
      </c>
      <c r="O618" s="94"/>
      <c r="P618" s="94"/>
      <c r="Q618" s="94">
        <v>94</v>
      </c>
      <c r="R618" s="95">
        <f t="shared" si="114"/>
        <v>122.24848967552825</v>
      </c>
      <c r="S618" s="94">
        <v>80</v>
      </c>
      <c r="T618" s="94">
        <f t="shared" si="117"/>
        <v>85.416000000000011</v>
      </c>
      <c r="U618" s="94">
        <f t="shared" si="118"/>
        <v>90.327420000000018</v>
      </c>
      <c r="V618" s="94">
        <f t="shared" si="119"/>
        <v>94.021811478000018</v>
      </c>
      <c r="W618" s="97">
        <f t="shared" si="120"/>
        <v>97.011705083000422</v>
      </c>
      <c r="X618" s="97">
        <f t="shared" si="121"/>
        <v>100.69814987615445</v>
      </c>
      <c r="Y618" s="97">
        <f t="shared" si="122"/>
        <v>102.31939008916054</v>
      </c>
      <c r="Z618" s="97">
        <f t="shared" si="115"/>
        <v>108.06973981217136</v>
      </c>
      <c r="AA618" s="97">
        <f t="shared" si="116"/>
        <v>122.24848967552825</v>
      </c>
    </row>
    <row r="619" spans="1:27" x14ac:dyDescent="0.25">
      <c r="A619" s="102" t="s">
        <v>1533</v>
      </c>
      <c r="B619" s="87" t="s">
        <v>1534</v>
      </c>
      <c r="C619" s="88" t="s">
        <v>1031</v>
      </c>
      <c r="D619" s="89" t="s">
        <v>4</v>
      </c>
      <c r="E619" s="90">
        <f t="shared" si="124"/>
        <v>57918</v>
      </c>
      <c r="F619" s="90">
        <f t="shared" si="123"/>
        <v>48670.179952069666</v>
      </c>
      <c r="G619" s="91">
        <v>0.19</v>
      </c>
      <c r="H619" s="91" t="s">
        <v>228</v>
      </c>
      <c r="I619" s="91" t="s">
        <v>228</v>
      </c>
      <c r="J619" s="91" t="s">
        <v>228</v>
      </c>
      <c r="K619" s="91" t="s">
        <v>228</v>
      </c>
      <c r="L619" s="92" t="s">
        <v>302</v>
      </c>
      <c r="M619" s="91" t="str">
        <f t="shared" si="126"/>
        <v>no aplica</v>
      </c>
      <c r="N619" s="93">
        <v>41608</v>
      </c>
      <c r="O619" s="94"/>
      <c r="P619" s="94"/>
      <c r="Q619" s="94">
        <v>95</v>
      </c>
      <c r="R619" s="95">
        <f t="shared" si="114"/>
        <v>48670.179952069666</v>
      </c>
      <c r="S619" s="94">
        <v>31850</v>
      </c>
      <c r="T619" s="94">
        <f t="shared" si="117"/>
        <v>34006.245000000003</v>
      </c>
      <c r="U619" s="94">
        <f t="shared" si="118"/>
        <v>35961.604087500004</v>
      </c>
      <c r="V619" s="94">
        <f t="shared" si="119"/>
        <v>37432.433694678752</v>
      </c>
      <c r="W619" s="97">
        <f t="shared" si="120"/>
        <v>38622.785086169541</v>
      </c>
      <c r="X619" s="97">
        <f t="shared" si="121"/>
        <v>40090.450919443982</v>
      </c>
      <c r="Y619" s="97">
        <f t="shared" si="122"/>
        <v>40735.907179247028</v>
      </c>
      <c r="Z619" s="97">
        <f t="shared" si="115"/>
        <v>43025.265162720709</v>
      </c>
      <c r="AA619" s="97">
        <f t="shared" si="116"/>
        <v>48670.179952069666</v>
      </c>
    </row>
    <row r="620" spans="1:27" x14ac:dyDescent="0.25">
      <c r="A620" s="102" t="s">
        <v>1535</v>
      </c>
      <c r="B620" s="87" t="s">
        <v>1536</v>
      </c>
      <c r="C620" s="88" t="s">
        <v>1031</v>
      </c>
      <c r="D620" s="89" t="s">
        <v>4</v>
      </c>
      <c r="E620" s="90">
        <f t="shared" si="124"/>
        <v>56576</v>
      </c>
      <c r="F620" s="90">
        <f t="shared" si="123"/>
        <v>47542.437634812937</v>
      </c>
      <c r="G620" s="91">
        <v>0.19</v>
      </c>
      <c r="H620" s="91" t="s">
        <v>228</v>
      </c>
      <c r="I620" s="91" t="s">
        <v>228</v>
      </c>
      <c r="J620" s="91" t="s">
        <v>228</v>
      </c>
      <c r="K620" s="91" t="s">
        <v>228</v>
      </c>
      <c r="L620" s="92" t="s">
        <v>302</v>
      </c>
      <c r="M620" s="91" t="str">
        <f t="shared" si="126"/>
        <v>no aplica</v>
      </c>
      <c r="N620" s="93">
        <v>41608</v>
      </c>
      <c r="O620" s="94"/>
      <c r="P620" s="94"/>
      <c r="Q620" s="94">
        <v>96</v>
      </c>
      <c r="R620" s="95">
        <f t="shared" si="114"/>
        <v>47542.437634812937</v>
      </c>
      <c r="S620" s="94">
        <v>31112</v>
      </c>
      <c r="T620" s="94">
        <f t="shared" si="117"/>
        <v>33218.282400000004</v>
      </c>
      <c r="U620" s="94">
        <f t="shared" si="118"/>
        <v>35128.333638000011</v>
      </c>
      <c r="V620" s="94">
        <f t="shared" si="119"/>
        <v>36565.082483794213</v>
      </c>
      <c r="W620" s="97">
        <f t="shared" si="120"/>
        <v>37727.852106778868</v>
      </c>
      <c r="X620" s="97">
        <f t="shared" si="121"/>
        <v>39161.510486836465</v>
      </c>
      <c r="Y620" s="97">
        <f t="shared" si="122"/>
        <v>39792.01080567453</v>
      </c>
      <c r="Z620" s="97">
        <f t="shared" si="115"/>
        <v>42028.321812953443</v>
      </c>
      <c r="AA620" s="97">
        <f t="shared" si="116"/>
        <v>47542.437634812937</v>
      </c>
    </row>
    <row r="621" spans="1:27" x14ac:dyDescent="0.25">
      <c r="A621" s="102" t="s">
        <v>1537</v>
      </c>
      <c r="B621" s="87" t="s">
        <v>1538</v>
      </c>
      <c r="C621" s="88" t="s">
        <v>1031</v>
      </c>
      <c r="D621" s="89" t="s">
        <v>4</v>
      </c>
      <c r="E621" s="90">
        <f t="shared" si="124"/>
        <v>55999</v>
      </c>
      <c r="F621" s="90">
        <f t="shared" si="123"/>
        <v>47058.027994473654</v>
      </c>
      <c r="G621" s="91">
        <v>0.19</v>
      </c>
      <c r="H621" s="91" t="s">
        <v>228</v>
      </c>
      <c r="I621" s="91" t="s">
        <v>228</v>
      </c>
      <c r="J621" s="91" t="s">
        <v>228</v>
      </c>
      <c r="K621" s="91" t="s">
        <v>228</v>
      </c>
      <c r="L621" s="92" t="s">
        <v>302</v>
      </c>
      <c r="M621" s="91" t="str">
        <f t="shared" si="126"/>
        <v>no aplica</v>
      </c>
      <c r="N621" s="93">
        <v>41608</v>
      </c>
      <c r="O621" s="94"/>
      <c r="P621" s="94"/>
      <c r="Q621" s="94">
        <v>97</v>
      </c>
      <c r="R621" s="95">
        <f t="shared" si="114"/>
        <v>47058.027994473654</v>
      </c>
      <c r="S621" s="94">
        <v>30795</v>
      </c>
      <c r="T621" s="94">
        <f t="shared" si="117"/>
        <v>32879.821500000005</v>
      </c>
      <c r="U621" s="94">
        <f t="shared" si="118"/>
        <v>34770.411236250009</v>
      </c>
      <c r="V621" s="94">
        <f t="shared" si="119"/>
        <v>36192.521055812635</v>
      </c>
      <c r="W621" s="97">
        <f t="shared" si="120"/>
        <v>37343.443225387477</v>
      </c>
      <c r="X621" s="97">
        <f t="shared" si="121"/>
        <v>38762.494067952204</v>
      </c>
      <c r="Y621" s="97">
        <f t="shared" si="122"/>
        <v>39386.570222446237</v>
      </c>
      <c r="Z621" s="97">
        <f t="shared" si="115"/>
        <v>41600.095468947715</v>
      </c>
      <c r="AA621" s="97">
        <f t="shared" si="116"/>
        <v>47058.027994473654</v>
      </c>
    </row>
    <row r="622" spans="1:27" x14ac:dyDescent="0.25">
      <c r="A622" s="102" t="s">
        <v>1539</v>
      </c>
      <c r="B622" s="87" t="s">
        <v>1540</v>
      </c>
      <c r="C622" s="88" t="s">
        <v>1031</v>
      </c>
      <c r="D622" s="89" t="s">
        <v>4</v>
      </c>
      <c r="E622" s="90">
        <f t="shared" si="124"/>
        <v>55808</v>
      </c>
      <c r="F622" s="90">
        <f t="shared" si="123"/>
        <v>46897.576851774502</v>
      </c>
      <c r="G622" s="91">
        <v>0.19</v>
      </c>
      <c r="H622" s="91" t="s">
        <v>228</v>
      </c>
      <c r="I622" s="91" t="s">
        <v>228</v>
      </c>
      <c r="J622" s="91" t="s">
        <v>228</v>
      </c>
      <c r="K622" s="91" t="s">
        <v>228</v>
      </c>
      <c r="L622" s="92" t="s">
        <v>302</v>
      </c>
      <c r="M622" s="91" t="str">
        <f t="shared" si="126"/>
        <v>no aplica</v>
      </c>
      <c r="N622" s="93">
        <v>41608</v>
      </c>
      <c r="O622" s="94"/>
      <c r="P622" s="94"/>
      <c r="Q622" s="94">
        <v>98</v>
      </c>
      <c r="R622" s="95">
        <f t="shared" si="114"/>
        <v>46897.576851774502</v>
      </c>
      <c r="S622" s="94">
        <v>30690</v>
      </c>
      <c r="T622" s="94">
        <f t="shared" si="117"/>
        <v>32767.713000000003</v>
      </c>
      <c r="U622" s="94">
        <f t="shared" si="118"/>
        <v>34651.856497500004</v>
      </c>
      <c r="V622" s="94">
        <f t="shared" si="119"/>
        <v>36069.117428247751</v>
      </c>
      <c r="W622" s="97">
        <f t="shared" si="120"/>
        <v>37216.115362466029</v>
      </c>
      <c r="X622" s="97">
        <f t="shared" si="121"/>
        <v>38630.327746239738</v>
      </c>
      <c r="Y622" s="97">
        <f t="shared" si="122"/>
        <v>39252.276022954196</v>
      </c>
      <c r="Z622" s="97">
        <f t="shared" si="115"/>
        <v>41458.25393544422</v>
      </c>
      <c r="AA622" s="97">
        <f t="shared" si="116"/>
        <v>46897.576851774502</v>
      </c>
    </row>
    <row r="623" spans="1:27" x14ac:dyDescent="0.25">
      <c r="A623" s="102" t="s">
        <v>1541</v>
      </c>
      <c r="B623" s="87" t="s">
        <v>1542</v>
      </c>
      <c r="C623" s="88" t="s">
        <v>1031</v>
      </c>
      <c r="D623" s="89" t="s">
        <v>1032</v>
      </c>
      <c r="E623" s="90">
        <f t="shared" si="124"/>
        <v>182</v>
      </c>
      <c r="F623" s="90">
        <f t="shared" si="123"/>
        <v>152.81061209441029</v>
      </c>
      <c r="G623" s="91">
        <v>0.19</v>
      </c>
      <c r="H623" s="91" t="s">
        <v>228</v>
      </c>
      <c r="I623" s="91" t="s">
        <v>228</v>
      </c>
      <c r="J623" s="91" t="s">
        <v>228</v>
      </c>
      <c r="K623" s="91" t="s">
        <v>228</v>
      </c>
      <c r="L623" s="92" t="s">
        <v>302</v>
      </c>
      <c r="M623" s="91" t="str">
        <f t="shared" si="126"/>
        <v>no aplica</v>
      </c>
      <c r="N623" s="93">
        <v>41608</v>
      </c>
      <c r="O623" s="94"/>
      <c r="P623" s="94"/>
      <c r="Q623" s="94">
        <v>99</v>
      </c>
      <c r="R623" s="95">
        <f t="shared" si="114"/>
        <v>152.81061209441029</v>
      </c>
      <c r="S623" s="94">
        <v>100</v>
      </c>
      <c r="T623" s="94">
        <f t="shared" si="117"/>
        <v>106.77000000000001</v>
      </c>
      <c r="U623" s="94">
        <f t="shared" si="118"/>
        <v>112.90927500000002</v>
      </c>
      <c r="V623" s="94">
        <f t="shared" si="119"/>
        <v>117.52726434750002</v>
      </c>
      <c r="W623" s="97">
        <f t="shared" si="120"/>
        <v>121.26463135375053</v>
      </c>
      <c r="X623" s="97">
        <f t="shared" si="121"/>
        <v>125.87268734519306</v>
      </c>
      <c r="Y623" s="97">
        <f t="shared" si="122"/>
        <v>127.89923761145067</v>
      </c>
      <c r="Z623" s="97">
        <f t="shared" si="115"/>
        <v>135.0871747652142</v>
      </c>
      <c r="AA623" s="97">
        <f t="shared" si="116"/>
        <v>152.81061209441029</v>
      </c>
    </row>
    <row r="624" spans="1:27" x14ac:dyDescent="0.25">
      <c r="A624" s="102" t="s">
        <v>1543</v>
      </c>
      <c r="B624" s="87" t="s">
        <v>1544</v>
      </c>
      <c r="C624" s="88" t="s">
        <v>1031</v>
      </c>
      <c r="D624" s="89" t="s">
        <v>1545</v>
      </c>
      <c r="E624" s="90">
        <f t="shared" si="124"/>
        <v>8614</v>
      </c>
      <c r="F624" s="90">
        <f t="shared" si="123"/>
        <v>7238.6386949122161</v>
      </c>
      <c r="G624" s="91">
        <v>0.19</v>
      </c>
      <c r="H624" s="91" t="s">
        <v>228</v>
      </c>
      <c r="I624" s="91" t="s">
        <v>228</v>
      </c>
      <c r="J624" s="91" t="s">
        <v>228</v>
      </c>
      <c r="K624" s="91" t="s">
        <v>228</v>
      </c>
      <c r="L624" s="92" t="s">
        <v>302</v>
      </c>
      <c r="M624" s="91" t="str">
        <f t="shared" si="126"/>
        <v>no aplica</v>
      </c>
      <c r="N624" s="93">
        <v>41608</v>
      </c>
      <c r="O624" s="94"/>
      <c r="P624" s="94"/>
      <c r="Q624" s="94">
        <v>100</v>
      </c>
      <c r="R624" s="95">
        <f t="shared" si="114"/>
        <v>7238.6386949122161</v>
      </c>
      <c r="S624" s="94">
        <v>4737</v>
      </c>
      <c r="T624" s="94">
        <f t="shared" si="117"/>
        <v>5057.6949000000004</v>
      </c>
      <c r="U624" s="94">
        <f t="shared" si="118"/>
        <v>5348.5123567500013</v>
      </c>
      <c r="V624" s="94">
        <f t="shared" si="119"/>
        <v>5567.2665121410764</v>
      </c>
      <c r="W624" s="97">
        <f t="shared" si="120"/>
        <v>5744.3055872271625</v>
      </c>
      <c r="X624" s="97">
        <f t="shared" si="121"/>
        <v>5962.5891995417951</v>
      </c>
      <c r="Y624" s="97">
        <f t="shared" si="122"/>
        <v>6058.5868856544184</v>
      </c>
      <c r="Z624" s="97">
        <f t="shared" si="115"/>
        <v>6399.079468628197</v>
      </c>
      <c r="AA624" s="97">
        <f t="shared" si="116"/>
        <v>7238.6386949122161</v>
      </c>
    </row>
    <row r="625" spans="1:27" x14ac:dyDescent="0.25">
      <c r="A625" s="102" t="s">
        <v>1546</v>
      </c>
      <c r="B625" s="87" t="s">
        <v>1547</v>
      </c>
      <c r="C625" s="88" t="s">
        <v>1031</v>
      </c>
      <c r="D625" s="89" t="s">
        <v>1545</v>
      </c>
      <c r="E625" s="90">
        <f t="shared" si="124"/>
        <v>9390</v>
      </c>
      <c r="F625" s="90">
        <f t="shared" si="123"/>
        <v>7891.1400085553478</v>
      </c>
      <c r="G625" s="91">
        <v>0.19</v>
      </c>
      <c r="H625" s="91" t="s">
        <v>228</v>
      </c>
      <c r="I625" s="91" t="s">
        <v>228</v>
      </c>
      <c r="J625" s="91" t="s">
        <v>228</v>
      </c>
      <c r="K625" s="91" t="s">
        <v>228</v>
      </c>
      <c r="L625" s="92" t="s">
        <v>302</v>
      </c>
      <c r="M625" s="91" t="str">
        <f t="shared" si="126"/>
        <v>no aplica</v>
      </c>
      <c r="N625" s="93">
        <v>41608</v>
      </c>
      <c r="O625" s="94"/>
      <c r="P625" s="94"/>
      <c r="Q625" s="94">
        <v>101</v>
      </c>
      <c r="R625" s="95">
        <f t="shared" si="114"/>
        <v>7891.1400085553478</v>
      </c>
      <c r="S625" s="94">
        <v>5164</v>
      </c>
      <c r="T625" s="94">
        <f t="shared" si="117"/>
        <v>5513.6028000000006</v>
      </c>
      <c r="U625" s="94">
        <f t="shared" si="118"/>
        <v>5830.6349610000016</v>
      </c>
      <c r="V625" s="94">
        <f t="shared" si="119"/>
        <v>6069.107930904901</v>
      </c>
      <c r="W625" s="97">
        <f t="shared" si="120"/>
        <v>6262.105563107677</v>
      </c>
      <c r="X625" s="97">
        <f t="shared" si="121"/>
        <v>6500.0655745057693</v>
      </c>
      <c r="Y625" s="97">
        <f t="shared" si="122"/>
        <v>6604.7166302553123</v>
      </c>
      <c r="Z625" s="97">
        <f t="shared" si="115"/>
        <v>6975.9017048756614</v>
      </c>
      <c r="AA625" s="97">
        <f t="shared" si="116"/>
        <v>7891.1400085553478</v>
      </c>
    </row>
    <row r="626" spans="1:27" x14ac:dyDescent="0.25">
      <c r="A626" s="102" t="s">
        <v>1548</v>
      </c>
      <c r="B626" s="87" t="s">
        <v>1549</v>
      </c>
      <c r="C626" s="88" t="s">
        <v>1031</v>
      </c>
      <c r="D626" s="89" t="s">
        <v>1545</v>
      </c>
      <c r="E626" s="90">
        <f t="shared" si="124"/>
        <v>9047</v>
      </c>
      <c r="F626" s="90">
        <f t="shared" si="123"/>
        <v>7602.3279516969124</v>
      </c>
      <c r="G626" s="91">
        <v>0.19</v>
      </c>
      <c r="H626" s="91" t="s">
        <v>228</v>
      </c>
      <c r="I626" s="91" t="s">
        <v>228</v>
      </c>
      <c r="J626" s="91" t="s">
        <v>228</v>
      </c>
      <c r="K626" s="91" t="s">
        <v>228</v>
      </c>
      <c r="L626" s="92" t="s">
        <v>302</v>
      </c>
      <c r="M626" s="91" t="str">
        <f t="shared" si="126"/>
        <v>no aplica</v>
      </c>
      <c r="N626" s="93">
        <v>41608</v>
      </c>
      <c r="O626" s="94"/>
      <c r="P626" s="94"/>
      <c r="Q626" s="94">
        <v>102</v>
      </c>
      <c r="R626" s="95">
        <f t="shared" si="114"/>
        <v>7602.3279516969124</v>
      </c>
      <c r="S626" s="94">
        <v>4975</v>
      </c>
      <c r="T626" s="94">
        <f t="shared" si="117"/>
        <v>5311.8075000000008</v>
      </c>
      <c r="U626" s="94">
        <f t="shared" si="118"/>
        <v>5617.2364312500013</v>
      </c>
      <c r="V626" s="94">
        <f t="shared" si="119"/>
        <v>5846.9814012881261</v>
      </c>
      <c r="W626" s="97">
        <f t="shared" si="120"/>
        <v>6032.915409849089</v>
      </c>
      <c r="X626" s="97">
        <f t="shared" si="121"/>
        <v>6262.1661954233541</v>
      </c>
      <c r="Y626" s="97">
        <f t="shared" si="122"/>
        <v>6362.9870711696703</v>
      </c>
      <c r="Z626" s="97">
        <f t="shared" si="115"/>
        <v>6720.5869445694061</v>
      </c>
      <c r="AA626" s="97">
        <f t="shared" si="116"/>
        <v>7602.3279516969124</v>
      </c>
    </row>
    <row r="627" spans="1:27" x14ac:dyDescent="0.25">
      <c r="A627" s="102" t="s">
        <v>1550</v>
      </c>
      <c r="B627" s="87" t="s">
        <v>1551</v>
      </c>
      <c r="C627" s="88" t="s">
        <v>1031</v>
      </c>
      <c r="D627" s="89" t="s">
        <v>1032</v>
      </c>
      <c r="E627" s="90">
        <f t="shared" si="124"/>
        <v>1791</v>
      </c>
      <c r="F627" s="90">
        <f t="shared" si="123"/>
        <v>1505.1845291299412</v>
      </c>
      <c r="G627" s="91">
        <v>0.19</v>
      </c>
      <c r="H627" s="91" t="s">
        <v>228</v>
      </c>
      <c r="I627" s="91" t="s">
        <v>228</v>
      </c>
      <c r="J627" s="91" t="s">
        <v>228</v>
      </c>
      <c r="K627" s="91" t="s">
        <v>228</v>
      </c>
      <c r="L627" s="92" t="s">
        <v>302</v>
      </c>
      <c r="M627" s="91" t="str">
        <f t="shared" si="126"/>
        <v>no aplica</v>
      </c>
      <c r="N627" s="93">
        <v>41608</v>
      </c>
      <c r="O627" s="94"/>
      <c r="P627" s="94"/>
      <c r="Q627" s="94">
        <v>103</v>
      </c>
      <c r="R627" s="95">
        <f t="shared" si="114"/>
        <v>1505.1845291299412</v>
      </c>
      <c r="S627" s="94">
        <v>985</v>
      </c>
      <c r="T627" s="94">
        <f t="shared" si="117"/>
        <v>1051.6845000000001</v>
      </c>
      <c r="U627" s="94">
        <f t="shared" si="118"/>
        <v>1112.1563587500002</v>
      </c>
      <c r="V627" s="94">
        <f t="shared" si="119"/>
        <v>1157.6435538228752</v>
      </c>
      <c r="W627" s="97">
        <f t="shared" si="120"/>
        <v>1194.4566188344427</v>
      </c>
      <c r="X627" s="97">
        <f t="shared" si="121"/>
        <v>1239.8459703501514</v>
      </c>
      <c r="Y627" s="97">
        <f t="shared" si="122"/>
        <v>1259.8074904727889</v>
      </c>
      <c r="Z627" s="97">
        <f t="shared" si="115"/>
        <v>1330.6086714373596</v>
      </c>
      <c r="AA627" s="97">
        <f t="shared" si="116"/>
        <v>1505.1845291299412</v>
      </c>
    </row>
    <row r="628" spans="1:27" x14ac:dyDescent="0.25">
      <c r="A628" s="102" t="s">
        <v>1552</v>
      </c>
      <c r="B628" s="87" t="s">
        <v>1553</v>
      </c>
      <c r="C628" s="88" t="s">
        <v>1031</v>
      </c>
      <c r="D628" s="89" t="s">
        <v>1032</v>
      </c>
      <c r="E628" s="90">
        <f t="shared" si="124"/>
        <v>420</v>
      </c>
      <c r="F628" s="90">
        <f t="shared" si="123"/>
        <v>352.99251393808777</v>
      </c>
      <c r="G628" s="91">
        <v>0.19</v>
      </c>
      <c r="H628" s="91" t="s">
        <v>228</v>
      </c>
      <c r="I628" s="91" t="s">
        <v>228</v>
      </c>
      <c r="J628" s="91" t="s">
        <v>228</v>
      </c>
      <c r="K628" s="91" t="s">
        <v>228</v>
      </c>
      <c r="L628" s="92" t="s">
        <v>302</v>
      </c>
      <c r="M628" s="91" t="str">
        <f t="shared" si="126"/>
        <v>no aplica</v>
      </c>
      <c r="N628" s="93">
        <v>41608</v>
      </c>
      <c r="O628" s="94"/>
      <c r="P628" s="94"/>
      <c r="Q628" s="94">
        <v>104</v>
      </c>
      <c r="R628" s="95">
        <f t="shared" si="114"/>
        <v>352.99251393808777</v>
      </c>
      <c r="S628" s="94">
        <v>231</v>
      </c>
      <c r="T628" s="94">
        <f t="shared" si="117"/>
        <v>246.63870000000003</v>
      </c>
      <c r="U628" s="94">
        <f t="shared" si="118"/>
        <v>260.82042525000008</v>
      </c>
      <c r="V628" s="94">
        <f t="shared" si="119"/>
        <v>271.48798064272506</v>
      </c>
      <c r="W628" s="97">
        <f t="shared" si="120"/>
        <v>280.12129842716371</v>
      </c>
      <c r="X628" s="97">
        <f t="shared" si="121"/>
        <v>290.76590776739596</v>
      </c>
      <c r="Y628" s="97">
        <f t="shared" si="122"/>
        <v>295.44723888245102</v>
      </c>
      <c r="Z628" s="97">
        <f t="shared" si="115"/>
        <v>312.05137370764476</v>
      </c>
      <c r="AA628" s="97">
        <f t="shared" si="116"/>
        <v>352.99251393808777</v>
      </c>
    </row>
    <row r="629" spans="1:27" x14ac:dyDescent="0.25">
      <c r="A629" s="102" t="s">
        <v>1554</v>
      </c>
      <c r="B629" s="87" t="s">
        <v>1555</v>
      </c>
      <c r="C629" s="88" t="s">
        <v>1031</v>
      </c>
      <c r="D629" s="89" t="s">
        <v>1032</v>
      </c>
      <c r="E629" s="90">
        <f t="shared" si="124"/>
        <v>124</v>
      </c>
      <c r="F629" s="90">
        <f t="shared" si="123"/>
        <v>103.91121622419898</v>
      </c>
      <c r="G629" s="91">
        <v>0.19</v>
      </c>
      <c r="H629" s="91" t="s">
        <v>228</v>
      </c>
      <c r="I629" s="91" t="s">
        <v>228</v>
      </c>
      <c r="J629" s="91" t="s">
        <v>228</v>
      </c>
      <c r="K629" s="91" t="s">
        <v>228</v>
      </c>
      <c r="L629" s="92" t="s">
        <v>302</v>
      </c>
      <c r="M629" s="91" t="str">
        <f t="shared" si="126"/>
        <v>no aplica</v>
      </c>
      <c r="N629" s="93">
        <v>41608</v>
      </c>
      <c r="O629" s="94"/>
      <c r="P629" s="94"/>
      <c r="Q629" s="94">
        <v>105</v>
      </c>
      <c r="R629" s="95">
        <f t="shared" si="114"/>
        <v>103.91121622419898</v>
      </c>
      <c r="S629" s="94">
        <v>68</v>
      </c>
      <c r="T629" s="94">
        <f t="shared" si="117"/>
        <v>72.6036</v>
      </c>
      <c r="U629" s="94">
        <f t="shared" si="118"/>
        <v>76.778307000000012</v>
      </c>
      <c r="V629" s="94">
        <f t="shared" si="119"/>
        <v>79.918539756300007</v>
      </c>
      <c r="W629" s="97">
        <f t="shared" si="120"/>
        <v>82.459949320550351</v>
      </c>
      <c r="X629" s="97">
        <f t="shared" si="121"/>
        <v>85.593427394731265</v>
      </c>
      <c r="Y629" s="97">
        <f t="shared" si="122"/>
        <v>86.971481575786441</v>
      </c>
      <c r="Z629" s="97">
        <f t="shared" si="115"/>
        <v>91.859278840345638</v>
      </c>
      <c r="AA629" s="97">
        <f t="shared" si="116"/>
        <v>103.91121622419898</v>
      </c>
    </row>
    <row r="630" spans="1:27" x14ac:dyDescent="0.25">
      <c r="A630" s="102" t="s">
        <v>1556</v>
      </c>
      <c r="B630" s="87" t="s">
        <v>1557</v>
      </c>
      <c r="C630" s="88" t="s">
        <v>1031</v>
      </c>
      <c r="D630" s="89" t="s">
        <v>1032</v>
      </c>
      <c r="E630" s="90">
        <f t="shared" si="124"/>
        <v>160</v>
      </c>
      <c r="F630" s="90">
        <f t="shared" si="123"/>
        <v>134.47333864308106</v>
      </c>
      <c r="G630" s="91">
        <v>0.19</v>
      </c>
      <c r="H630" s="91" t="s">
        <v>228</v>
      </c>
      <c r="I630" s="91" t="s">
        <v>228</v>
      </c>
      <c r="J630" s="91" t="s">
        <v>228</v>
      </c>
      <c r="K630" s="91" t="s">
        <v>228</v>
      </c>
      <c r="L630" s="92" t="s">
        <v>302</v>
      </c>
      <c r="M630" s="91" t="str">
        <f t="shared" si="126"/>
        <v>no aplica</v>
      </c>
      <c r="N630" s="93">
        <v>41608</v>
      </c>
      <c r="O630" s="94"/>
      <c r="P630" s="94"/>
      <c r="Q630" s="94">
        <v>106</v>
      </c>
      <c r="R630" s="95">
        <f t="shared" si="114"/>
        <v>134.47333864308106</v>
      </c>
      <c r="S630" s="94">
        <v>88</v>
      </c>
      <c r="T630" s="94">
        <f t="shared" si="117"/>
        <v>93.957600000000014</v>
      </c>
      <c r="U630" s="94">
        <f t="shared" si="118"/>
        <v>99.360162000000031</v>
      </c>
      <c r="V630" s="94">
        <f t="shared" si="119"/>
        <v>103.42399262580003</v>
      </c>
      <c r="W630" s="97">
        <f t="shared" si="120"/>
        <v>106.71287559130047</v>
      </c>
      <c r="X630" s="97">
        <f t="shared" si="121"/>
        <v>110.76796486376989</v>
      </c>
      <c r="Y630" s="97">
        <f t="shared" si="122"/>
        <v>112.55132909807659</v>
      </c>
      <c r="Z630" s="97">
        <f t="shared" si="115"/>
        <v>118.8767137933885</v>
      </c>
      <c r="AA630" s="97">
        <f t="shared" si="116"/>
        <v>134.47333864308106</v>
      </c>
    </row>
    <row r="631" spans="1:27" x14ac:dyDescent="0.25">
      <c r="A631" s="102" t="s">
        <v>1558</v>
      </c>
      <c r="B631" s="87" t="s">
        <v>1559</v>
      </c>
      <c r="C631" s="88" t="s">
        <v>1031</v>
      </c>
      <c r="D631" s="89" t="s">
        <v>1032</v>
      </c>
      <c r="E631" s="90">
        <f t="shared" si="124"/>
        <v>247</v>
      </c>
      <c r="F631" s="90">
        <f t="shared" si="123"/>
        <v>207.82243244839796</v>
      </c>
      <c r="G631" s="91">
        <v>0.19</v>
      </c>
      <c r="H631" s="91" t="s">
        <v>228</v>
      </c>
      <c r="I631" s="91" t="s">
        <v>228</v>
      </c>
      <c r="J631" s="91" t="s">
        <v>228</v>
      </c>
      <c r="K631" s="91" t="s">
        <v>228</v>
      </c>
      <c r="L631" s="92" t="s">
        <v>302</v>
      </c>
      <c r="M631" s="91" t="str">
        <f t="shared" si="126"/>
        <v>no aplica</v>
      </c>
      <c r="N631" s="93">
        <v>41608</v>
      </c>
      <c r="O631" s="94"/>
      <c r="P631" s="94"/>
      <c r="Q631" s="94">
        <v>107</v>
      </c>
      <c r="R631" s="95">
        <f t="shared" si="114"/>
        <v>207.82243244839796</v>
      </c>
      <c r="S631" s="94">
        <v>136</v>
      </c>
      <c r="T631" s="94">
        <f t="shared" si="117"/>
        <v>145.2072</v>
      </c>
      <c r="U631" s="94">
        <f t="shared" si="118"/>
        <v>153.55661400000002</v>
      </c>
      <c r="V631" s="94">
        <f t="shared" si="119"/>
        <v>159.83707951260001</v>
      </c>
      <c r="W631" s="97">
        <f t="shared" si="120"/>
        <v>164.9198986411007</v>
      </c>
      <c r="X631" s="97">
        <f t="shared" si="121"/>
        <v>171.18685478946253</v>
      </c>
      <c r="Y631" s="97">
        <f t="shared" si="122"/>
        <v>173.94296315157288</v>
      </c>
      <c r="Z631" s="97">
        <f t="shared" si="115"/>
        <v>183.71855768069128</v>
      </c>
      <c r="AA631" s="97">
        <f t="shared" si="116"/>
        <v>207.82243244839796</v>
      </c>
    </row>
    <row r="632" spans="1:27" x14ac:dyDescent="0.25">
      <c r="A632" s="102" t="s">
        <v>1560</v>
      </c>
      <c r="B632" s="87" t="s">
        <v>1561</v>
      </c>
      <c r="C632" s="88" t="s">
        <v>1031</v>
      </c>
      <c r="D632" s="89" t="s">
        <v>1032</v>
      </c>
      <c r="E632" s="90">
        <f t="shared" si="124"/>
        <v>207</v>
      </c>
      <c r="F632" s="90">
        <f t="shared" si="123"/>
        <v>174.20409778762775</v>
      </c>
      <c r="G632" s="91">
        <v>0.19</v>
      </c>
      <c r="H632" s="91" t="s">
        <v>228</v>
      </c>
      <c r="I632" s="91" t="s">
        <v>228</v>
      </c>
      <c r="J632" s="91" t="s">
        <v>228</v>
      </c>
      <c r="K632" s="91" t="s">
        <v>228</v>
      </c>
      <c r="L632" s="92" t="s">
        <v>302</v>
      </c>
      <c r="M632" s="91" t="str">
        <f t="shared" si="126"/>
        <v>no aplica</v>
      </c>
      <c r="N632" s="93">
        <v>41608</v>
      </c>
      <c r="O632" s="94"/>
      <c r="P632" s="94"/>
      <c r="Q632" s="94">
        <v>108</v>
      </c>
      <c r="R632" s="95">
        <f t="shared" si="114"/>
        <v>174.20409778762775</v>
      </c>
      <c r="S632" s="94">
        <v>114</v>
      </c>
      <c r="T632" s="94">
        <f t="shared" si="117"/>
        <v>121.71780000000001</v>
      </c>
      <c r="U632" s="94">
        <f t="shared" si="118"/>
        <v>128.71657350000004</v>
      </c>
      <c r="V632" s="94">
        <f t="shared" si="119"/>
        <v>133.98108135615004</v>
      </c>
      <c r="W632" s="97">
        <f t="shared" si="120"/>
        <v>138.24167974327563</v>
      </c>
      <c r="X632" s="97">
        <f t="shared" si="121"/>
        <v>143.49486357352009</v>
      </c>
      <c r="Y632" s="97">
        <f t="shared" si="122"/>
        <v>145.80513087705376</v>
      </c>
      <c r="Z632" s="97">
        <f t="shared" si="115"/>
        <v>153.99937923234418</v>
      </c>
      <c r="AA632" s="97">
        <f t="shared" si="116"/>
        <v>174.20409778762775</v>
      </c>
    </row>
    <row r="633" spans="1:27" x14ac:dyDescent="0.25">
      <c r="A633" s="102" t="s">
        <v>1562</v>
      </c>
      <c r="B633" s="127" t="s">
        <v>1563</v>
      </c>
      <c r="C633" s="88" t="s">
        <v>1031</v>
      </c>
      <c r="D633" s="89" t="s">
        <v>4</v>
      </c>
      <c r="E633" s="90">
        <f t="shared" si="124"/>
        <v>9261</v>
      </c>
      <c r="F633" s="90">
        <f t="shared" si="123"/>
        <v>7782.6444739683175</v>
      </c>
      <c r="G633" s="91">
        <v>0.19</v>
      </c>
      <c r="H633" s="91" t="s">
        <v>228</v>
      </c>
      <c r="I633" s="91" t="s">
        <v>228</v>
      </c>
      <c r="J633" s="91" t="s">
        <v>228</v>
      </c>
      <c r="K633" s="91" t="s">
        <v>228</v>
      </c>
      <c r="L633" s="92" t="s">
        <v>302</v>
      </c>
      <c r="M633" s="91" t="str">
        <f t="shared" si="126"/>
        <v>no aplica</v>
      </c>
      <c r="N633" s="93">
        <v>41608</v>
      </c>
      <c r="O633" s="94"/>
      <c r="P633" s="94"/>
      <c r="Q633" s="94">
        <v>109</v>
      </c>
      <c r="R633" s="95">
        <f t="shared" si="114"/>
        <v>7782.6444739683175</v>
      </c>
      <c r="S633" s="94">
        <v>5093</v>
      </c>
      <c r="T633" s="94">
        <f t="shared" si="117"/>
        <v>5437.7961000000005</v>
      </c>
      <c r="U633" s="94">
        <f t="shared" si="118"/>
        <v>5750.4693757500008</v>
      </c>
      <c r="V633" s="94">
        <f t="shared" si="119"/>
        <v>5985.6635732181758</v>
      </c>
      <c r="W633" s="97">
        <f t="shared" si="120"/>
        <v>6176.0076748465144</v>
      </c>
      <c r="X633" s="97">
        <f t="shared" si="121"/>
        <v>6410.6959664906826</v>
      </c>
      <c r="Y633" s="97">
        <f t="shared" si="122"/>
        <v>6513.9081715511829</v>
      </c>
      <c r="Z633" s="97">
        <f t="shared" si="115"/>
        <v>6879.98981079236</v>
      </c>
      <c r="AA633" s="97">
        <f t="shared" si="116"/>
        <v>7782.6444739683175</v>
      </c>
    </row>
    <row r="634" spans="1:27" x14ac:dyDescent="0.25">
      <c r="A634" s="102" t="s">
        <v>1564</v>
      </c>
      <c r="B634" s="87" t="s">
        <v>1565</v>
      </c>
      <c r="C634" s="88" t="s">
        <v>1031</v>
      </c>
      <c r="D634" s="89" t="s">
        <v>262</v>
      </c>
      <c r="E634" s="122">
        <f t="shared" si="124"/>
        <v>15628</v>
      </c>
      <c r="F634" s="90">
        <f t="shared" si="123"/>
        <v>13132.544003393621</v>
      </c>
      <c r="G634" s="91">
        <v>0.19</v>
      </c>
      <c r="H634" s="91" t="s">
        <v>228</v>
      </c>
      <c r="I634" s="91" t="s">
        <v>228</v>
      </c>
      <c r="J634" s="91" t="s">
        <v>228</v>
      </c>
      <c r="K634" s="91" t="s">
        <v>228</v>
      </c>
      <c r="L634" s="92" t="s">
        <v>302</v>
      </c>
      <c r="M634" s="91" t="str">
        <f t="shared" si="126"/>
        <v>no aplica</v>
      </c>
      <c r="N634" s="93">
        <v>41608</v>
      </c>
      <c r="O634" s="94"/>
      <c r="P634" s="94"/>
      <c r="Q634" s="94">
        <v>110</v>
      </c>
      <c r="R634" s="95">
        <f t="shared" si="114"/>
        <v>13132.544003393621</v>
      </c>
      <c r="S634" s="94">
        <v>8594</v>
      </c>
      <c r="T634" s="94">
        <f t="shared" si="117"/>
        <v>9175.8137999999999</v>
      </c>
      <c r="U634" s="94">
        <f t="shared" si="118"/>
        <v>9703.4230935000014</v>
      </c>
      <c r="V634" s="94">
        <f t="shared" si="119"/>
        <v>10100.293098024151</v>
      </c>
      <c r="W634" s="97">
        <f t="shared" si="120"/>
        <v>10421.48241854132</v>
      </c>
      <c r="X634" s="97">
        <f t="shared" si="121"/>
        <v>10817.498750445891</v>
      </c>
      <c r="Y634" s="97">
        <f t="shared" si="122"/>
        <v>10991.66048032807</v>
      </c>
      <c r="Z634" s="97">
        <f t="shared" si="115"/>
        <v>11609.391799322508</v>
      </c>
      <c r="AA634" s="97">
        <f t="shared" si="116"/>
        <v>13132.544003393621</v>
      </c>
    </row>
    <row r="635" spans="1:27" x14ac:dyDescent="0.25">
      <c r="A635" s="102" t="s">
        <v>1566</v>
      </c>
      <c r="B635" s="87" t="s">
        <v>1567</v>
      </c>
      <c r="C635" s="88" t="s">
        <v>1031</v>
      </c>
      <c r="D635" s="89" t="s">
        <v>262</v>
      </c>
      <c r="E635" s="90">
        <f t="shared" si="124"/>
        <v>4959</v>
      </c>
      <c r="F635" s="90">
        <f t="shared" si="123"/>
        <v>4167.1453918145689</v>
      </c>
      <c r="G635" s="91">
        <v>0.19</v>
      </c>
      <c r="H635" s="91" t="s">
        <v>228</v>
      </c>
      <c r="I635" s="91" t="s">
        <v>228</v>
      </c>
      <c r="J635" s="91" t="s">
        <v>228</v>
      </c>
      <c r="K635" s="91" t="s">
        <v>228</v>
      </c>
      <c r="L635" s="92" t="s">
        <v>302</v>
      </c>
      <c r="M635" s="91" t="str">
        <f t="shared" si="126"/>
        <v>no aplica</v>
      </c>
      <c r="N635" s="93">
        <v>41608</v>
      </c>
      <c r="O635" s="94"/>
      <c r="P635" s="94"/>
      <c r="Q635" s="94">
        <v>111</v>
      </c>
      <c r="R635" s="95">
        <f t="shared" si="114"/>
        <v>4167.1453918145689</v>
      </c>
      <c r="S635" s="94">
        <v>2727</v>
      </c>
      <c r="T635" s="94">
        <f t="shared" si="117"/>
        <v>2911.6179000000002</v>
      </c>
      <c r="U635" s="94">
        <f t="shared" si="118"/>
        <v>3079.0359292500007</v>
      </c>
      <c r="V635" s="94">
        <f t="shared" si="119"/>
        <v>3204.9684987563255</v>
      </c>
      <c r="W635" s="97">
        <f t="shared" si="120"/>
        <v>3306.886497016777</v>
      </c>
      <c r="X635" s="97">
        <f t="shared" si="121"/>
        <v>3432.5481839034146</v>
      </c>
      <c r="Y635" s="97">
        <f t="shared" si="122"/>
        <v>3487.8122096642596</v>
      </c>
      <c r="Z635" s="97">
        <f t="shared" si="115"/>
        <v>3683.8272558473909</v>
      </c>
      <c r="AA635" s="97">
        <f t="shared" si="116"/>
        <v>4167.1453918145689</v>
      </c>
    </row>
    <row r="636" spans="1:27" x14ac:dyDescent="0.25">
      <c r="A636" s="102" t="s">
        <v>1568</v>
      </c>
      <c r="B636" s="87" t="s">
        <v>1569</v>
      </c>
      <c r="C636" s="88" t="s">
        <v>1031</v>
      </c>
      <c r="D636" s="89" t="s">
        <v>262</v>
      </c>
      <c r="E636" s="90">
        <f t="shared" si="124"/>
        <v>1568</v>
      </c>
      <c r="F636" s="90">
        <f t="shared" si="123"/>
        <v>1317.2274762538168</v>
      </c>
      <c r="G636" s="91">
        <v>0.19</v>
      </c>
      <c r="H636" s="91" t="s">
        <v>228</v>
      </c>
      <c r="I636" s="91" t="s">
        <v>228</v>
      </c>
      <c r="J636" s="91" t="s">
        <v>228</v>
      </c>
      <c r="K636" s="91" t="s">
        <v>228</v>
      </c>
      <c r="L636" s="92" t="s">
        <v>302</v>
      </c>
      <c r="M636" s="91" t="str">
        <f t="shared" si="126"/>
        <v>no aplica</v>
      </c>
      <c r="N636" s="93">
        <v>41608</v>
      </c>
      <c r="O636" s="94"/>
      <c r="P636" s="94"/>
      <c r="Q636" s="94">
        <v>112</v>
      </c>
      <c r="R636" s="95">
        <f t="shared" si="114"/>
        <v>1317.2274762538168</v>
      </c>
      <c r="S636" s="94">
        <v>862</v>
      </c>
      <c r="T636" s="94">
        <f t="shared" si="117"/>
        <v>920.3574000000001</v>
      </c>
      <c r="U636" s="94">
        <f t="shared" si="118"/>
        <v>973.2779505000002</v>
      </c>
      <c r="V636" s="94">
        <f t="shared" si="119"/>
        <v>1013.0850186754501</v>
      </c>
      <c r="W636" s="97">
        <f t="shared" si="120"/>
        <v>1045.3011222693294</v>
      </c>
      <c r="X636" s="97">
        <f t="shared" si="121"/>
        <v>1085.0225649155641</v>
      </c>
      <c r="Y636" s="97">
        <f t="shared" si="122"/>
        <v>1102.4914282107047</v>
      </c>
      <c r="Z636" s="97">
        <f t="shared" si="115"/>
        <v>1164.4514464761464</v>
      </c>
      <c r="AA636" s="97">
        <f t="shared" si="116"/>
        <v>1317.2274762538168</v>
      </c>
    </row>
    <row r="637" spans="1:27" x14ac:dyDescent="0.25">
      <c r="A637" s="102" t="s">
        <v>1570</v>
      </c>
      <c r="B637" s="87" t="s">
        <v>1571</v>
      </c>
      <c r="C637" s="88" t="s">
        <v>1031</v>
      </c>
      <c r="D637" s="89" t="s">
        <v>1032</v>
      </c>
      <c r="E637" s="90">
        <f t="shared" si="124"/>
        <v>3291</v>
      </c>
      <c r="F637" s="90">
        <f t="shared" si="123"/>
        <v>2765.8720789088266</v>
      </c>
      <c r="G637" s="91">
        <v>0.19</v>
      </c>
      <c r="H637" s="91" t="s">
        <v>228</v>
      </c>
      <c r="I637" s="91" t="s">
        <v>228</v>
      </c>
      <c r="J637" s="91" t="s">
        <v>228</v>
      </c>
      <c r="K637" s="91" t="s">
        <v>228</v>
      </c>
      <c r="L637" s="92" t="s">
        <v>302</v>
      </c>
      <c r="M637" s="91" t="str">
        <f t="shared" si="126"/>
        <v>no aplica</v>
      </c>
      <c r="N637" s="93">
        <v>41608</v>
      </c>
      <c r="O637" s="94"/>
      <c r="P637" s="94"/>
      <c r="Q637" s="94">
        <v>113</v>
      </c>
      <c r="R637" s="95">
        <f t="shared" si="114"/>
        <v>2765.8720789088266</v>
      </c>
      <c r="S637" s="94">
        <v>1810</v>
      </c>
      <c r="T637" s="94">
        <f t="shared" si="117"/>
        <v>1932.5370000000003</v>
      </c>
      <c r="U637" s="94">
        <f t="shared" si="118"/>
        <v>2043.6578775000005</v>
      </c>
      <c r="V637" s="94">
        <f t="shared" si="119"/>
        <v>2127.2434846897504</v>
      </c>
      <c r="W637" s="97">
        <f t="shared" si="120"/>
        <v>2194.8898275028846</v>
      </c>
      <c r="X637" s="97">
        <f t="shared" si="121"/>
        <v>2278.2956409479943</v>
      </c>
      <c r="Y637" s="97">
        <f t="shared" si="122"/>
        <v>2314.9762007672571</v>
      </c>
      <c r="Z637" s="97">
        <f t="shared" si="115"/>
        <v>2445.077863250377</v>
      </c>
      <c r="AA637" s="97">
        <f t="shared" si="116"/>
        <v>2765.8720789088266</v>
      </c>
    </row>
    <row r="638" spans="1:27" x14ac:dyDescent="0.25">
      <c r="A638" s="102" t="s">
        <v>1572</v>
      </c>
      <c r="B638" s="87" t="s">
        <v>1573</v>
      </c>
      <c r="C638" s="88" t="s">
        <v>1031</v>
      </c>
      <c r="D638" s="89" t="s">
        <v>1032</v>
      </c>
      <c r="E638" s="90">
        <f t="shared" si="124"/>
        <v>21821</v>
      </c>
      <c r="F638" s="90">
        <f t="shared" si="123"/>
        <v>18337.273451329234</v>
      </c>
      <c r="G638" s="91">
        <v>0.19</v>
      </c>
      <c r="H638" s="91" t="s">
        <v>228</v>
      </c>
      <c r="I638" s="91" t="s">
        <v>228</v>
      </c>
      <c r="J638" s="91" t="s">
        <v>228</v>
      </c>
      <c r="K638" s="91" t="s">
        <v>228</v>
      </c>
      <c r="L638" s="92" t="s">
        <v>302</v>
      </c>
      <c r="M638" s="91" t="str">
        <f t="shared" si="126"/>
        <v>no aplica</v>
      </c>
      <c r="N638" s="93">
        <v>41608</v>
      </c>
      <c r="O638" s="94"/>
      <c r="P638" s="94"/>
      <c r="Q638" s="94">
        <v>114</v>
      </c>
      <c r="R638" s="95">
        <f t="shared" si="114"/>
        <v>18337.273451329234</v>
      </c>
      <c r="S638" s="94">
        <v>12000</v>
      </c>
      <c r="T638" s="94">
        <f t="shared" si="117"/>
        <v>12812.400000000001</v>
      </c>
      <c r="U638" s="94">
        <f t="shared" si="118"/>
        <v>13549.113000000003</v>
      </c>
      <c r="V638" s="94">
        <f t="shared" si="119"/>
        <v>14103.271721700003</v>
      </c>
      <c r="W638" s="97">
        <f t="shared" si="120"/>
        <v>14551.755762450064</v>
      </c>
      <c r="X638" s="97">
        <f t="shared" si="121"/>
        <v>15104.722481423167</v>
      </c>
      <c r="Y638" s="97">
        <f t="shared" si="122"/>
        <v>15347.908513374079</v>
      </c>
      <c r="Z638" s="97">
        <f t="shared" si="115"/>
        <v>16210.460971825703</v>
      </c>
      <c r="AA638" s="97">
        <f t="shared" si="116"/>
        <v>18337.273451329234</v>
      </c>
    </row>
    <row r="639" spans="1:27" x14ac:dyDescent="0.25">
      <c r="A639" s="102" t="s">
        <v>1574</v>
      </c>
      <c r="B639" s="87" t="s">
        <v>1575</v>
      </c>
      <c r="C639" s="88" t="s">
        <v>1031</v>
      </c>
      <c r="D639" s="89" t="s">
        <v>262</v>
      </c>
      <c r="E639" s="90">
        <f t="shared" si="124"/>
        <v>155193</v>
      </c>
      <c r="F639" s="90">
        <f t="shared" si="123"/>
        <v>130414.68878585352</v>
      </c>
      <c r="G639" s="91">
        <v>0.19</v>
      </c>
      <c r="H639" s="91" t="s">
        <v>228</v>
      </c>
      <c r="I639" s="91" t="s">
        <v>228</v>
      </c>
      <c r="J639" s="91" t="s">
        <v>228</v>
      </c>
      <c r="K639" s="91" t="s">
        <v>228</v>
      </c>
      <c r="L639" s="92" t="s">
        <v>302</v>
      </c>
      <c r="M639" s="91" t="str">
        <f t="shared" si="126"/>
        <v>no aplica</v>
      </c>
      <c r="N639" s="93">
        <v>41608</v>
      </c>
      <c r="O639" s="94"/>
      <c r="P639" s="94"/>
      <c r="Q639" s="94">
        <v>115</v>
      </c>
      <c r="R639" s="95">
        <f t="shared" si="114"/>
        <v>130414.68878585352</v>
      </c>
      <c r="S639" s="94">
        <v>85344</v>
      </c>
      <c r="T639" s="94">
        <f t="shared" si="117"/>
        <v>91121.788800000009</v>
      </c>
      <c r="U639" s="94">
        <f t="shared" si="118"/>
        <v>96361.291656000016</v>
      </c>
      <c r="V639" s="94">
        <f t="shared" si="119"/>
        <v>100302.46848473042</v>
      </c>
      <c r="W639" s="97">
        <f t="shared" si="120"/>
        <v>103492.08698254485</v>
      </c>
      <c r="X639" s="97">
        <f t="shared" si="121"/>
        <v>107424.78628788155</v>
      </c>
      <c r="Y639" s="97">
        <f t="shared" si="122"/>
        <v>109154.32534711645</v>
      </c>
      <c r="Z639" s="97">
        <f t="shared" si="115"/>
        <v>115288.7984316244</v>
      </c>
      <c r="AA639" s="97">
        <f t="shared" si="116"/>
        <v>130414.68878585352</v>
      </c>
    </row>
    <row r="640" spans="1:27" x14ac:dyDescent="0.25">
      <c r="A640" s="102" t="s">
        <v>1576</v>
      </c>
      <c r="B640" s="87" t="s">
        <v>1577</v>
      </c>
      <c r="C640" s="88" t="s">
        <v>1031</v>
      </c>
      <c r="D640" s="89" t="s">
        <v>262</v>
      </c>
      <c r="E640" s="90">
        <f t="shared" si="124"/>
        <v>4389353</v>
      </c>
      <c r="F640" s="90">
        <f t="shared" si="123"/>
        <v>3688531.8579920288</v>
      </c>
      <c r="G640" s="91">
        <v>0.19</v>
      </c>
      <c r="H640" s="91" t="s">
        <v>228</v>
      </c>
      <c r="I640" s="91" t="s">
        <v>228</v>
      </c>
      <c r="J640" s="91" t="s">
        <v>228</v>
      </c>
      <c r="K640" s="91" t="s">
        <v>228</v>
      </c>
      <c r="L640" s="92" t="s">
        <v>302</v>
      </c>
      <c r="M640" s="91" t="str">
        <f t="shared" si="126"/>
        <v>no aplica</v>
      </c>
      <c r="N640" s="93">
        <v>41608</v>
      </c>
      <c r="O640" s="94"/>
      <c r="P640" s="94"/>
      <c r="Q640" s="94">
        <v>116</v>
      </c>
      <c r="R640" s="95">
        <f t="shared" si="114"/>
        <v>3688531.8579920288</v>
      </c>
      <c r="S640" s="94">
        <v>2413793</v>
      </c>
      <c r="T640" s="94">
        <f t="shared" si="117"/>
        <v>2577206.7861000001</v>
      </c>
      <c r="U640" s="94">
        <f t="shared" si="118"/>
        <v>2725396.1763007506</v>
      </c>
      <c r="V640" s="94">
        <f t="shared" si="119"/>
        <v>2836864.8799114511</v>
      </c>
      <c r="W640" s="97">
        <f t="shared" si="120"/>
        <v>2927077.1830926356</v>
      </c>
      <c r="X640" s="97">
        <f t="shared" si="121"/>
        <v>3038306.1160501558</v>
      </c>
      <c r="Y640" s="97">
        <f t="shared" si="122"/>
        <v>3087222.8445185632</v>
      </c>
      <c r="Z640" s="97">
        <f t="shared" si="115"/>
        <v>3260724.7683805064</v>
      </c>
      <c r="AA640" s="97">
        <f t="shared" si="116"/>
        <v>3688531.8579920288</v>
      </c>
    </row>
    <row r="641" spans="1:27" x14ac:dyDescent="0.25">
      <c r="A641" s="102" t="s">
        <v>1578</v>
      </c>
      <c r="B641" s="87" t="s">
        <v>1579</v>
      </c>
      <c r="C641" s="88" t="s">
        <v>1031</v>
      </c>
      <c r="D641" s="89" t="s">
        <v>1032</v>
      </c>
      <c r="E641" s="90">
        <f t="shared" si="124"/>
        <v>182</v>
      </c>
      <c r="F641" s="90">
        <f t="shared" si="123"/>
        <v>152.81061209441029</v>
      </c>
      <c r="G641" s="91">
        <v>0.19</v>
      </c>
      <c r="H641" s="91" t="s">
        <v>228</v>
      </c>
      <c r="I641" s="91" t="s">
        <v>228</v>
      </c>
      <c r="J641" s="91" t="s">
        <v>228</v>
      </c>
      <c r="K641" s="91" t="s">
        <v>228</v>
      </c>
      <c r="L641" s="92" t="s">
        <v>302</v>
      </c>
      <c r="M641" s="91" t="str">
        <f t="shared" si="126"/>
        <v>no aplica</v>
      </c>
      <c r="N641" s="93">
        <v>41608</v>
      </c>
      <c r="O641" s="94"/>
      <c r="P641" s="94"/>
      <c r="Q641" s="94">
        <v>117</v>
      </c>
      <c r="R641" s="95">
        <f t="shared" si="114"/>
        <v>152.81061209441029</v>
      </c>
      <c r="S641" s="94">
        <v>100</v>
      </c>
      <c r="T641" s="94">
        <f t="shared" si="117"/>
        <v>106.77000000000001</v>
      </c>
      <c r="U641" s="94">
        <f t="shared" si="118"/>
        <v>112.90927500000002</v>
      </c>
      <c r="V641" s="94">
        <f t="shared" si="119"/>
        <v>117.52726434750002</v>
      </c>
      <c r="W641" s="97">
        <f t="shared" si="120"/>
        <v>121.26463135375053</v>
      </c>
      <c r="X641" s="97">
        <f t="shared" si="121"/>
        <v>125.87268734519306</v>
      </c>
      <c r="Y641" s="97">
        <f t="shared" si="122"/>
        <v>127.89923761145067</v>
      </c>
      <c r="Z641" s="97">
        <f t="shared" si="115"/>
        <v>135.0871747652142</v>
      </c>
      <c r="AA641" s="97">
        <f t="shared" si="116"/>
        <v>152.81061209441029</v>
      </c>
    </row>
    <row r="642" spans="1:27" x14ac:dyDescent="0.25">
      <c r="A642" s="102" t="s">
        <v>1580</v>
      </c>
      <c r="B642" s="87" t="s">
        <v>1581</v>
      </c>
      <c r="C642" s="88" t="s">
        <v>226</v>
      </c>
      <c r="D642" s="89" t="s">
        <v>262</v>
      </c>
      <c r="E642" s="90">
        <f t="shared" si="124"/>
        <v>82654</v>
      </c>
      <c r="F642" s="90">
        <f t="shared" si="123"/>
        <v>69456.758128353365</v>
      </c>
      <c r="G642" s="91">
        <v>0.19</v>
      </c>
      <c r="H642" s="91" t="s">
        <v>228</v>
      </c>
      <c r="I642" s="91" t="s">
        <v>228</v>
      </c>
      <c r="J642" s="91" t="s">
        <v>228</v>
      </c>
      <c r="K642" s="91" t="s">
        <v>228</v>
      </c>
      <c r="L642" s="92" t="s">
        <v>302</v>
      </c>
      <c r="M642" s="91" t="str">
        <f t="shared" si="126"/>
        <v>no aplica</v>
      </c>
      <c r="N642" s="93">
        <v>41608</v>
      </c>
      <c r="O642" s="94"/>
      <c r="P642" s="94"/>
      <c r="Q642" s="94">
        <v>505</v>
      </c>
      <c r="R642" s="95">
        <f t="shared" si="114"/>
        <v>69456.758128353365</v>
      </c>
      <c r="S642" s="94">
        <v>45452.836799999997</v>
      </c>
      <c r="T642" s="94">
        <f t="shared" si="117"/>
        <v>48529.993851359999</v>
      </c>
      <c r="U642" s="94">
        <f t="shared" si="118"/>
        <v>51320.468497813206</v>
      </c>
      <c r="V642" s="94">
        <f t="shared" si="119"/>
        <v>53419.475659373762</v>
      </c>
      <c r="W642" s="97">
        <f t="shared" si="120"/>
        <v>55118.214985341852</v>
      </c>
      <c r="X642" s="97">
        <f t="shared" si="121"/>
        <v>57212.707154784846</v>
      </c>
      <c r="Y642" s="97">
        <f t="shared" si="122"/>
        <v>58133.831739976886</v>
      </c>
      <c r="Z642" s="97">
        <f t="shared" si="115"/>
        <v>61400.95308376359</v>
      </c>
      <c r="AA642" s="97">
        <f t="shared" si="116"/>
        <v>69456.758128353365</v>
      </c>
    </row>
    <row r="643" spans="1:27" x14ac:dyDescent="0.25">
      <c r="A643" s="102" t="s">
        <v>1582</v>
      </c>
      <c r="B643" s="87" t="s">
        <v>1583</v>
      </c>
      <c r="C643" s="88" t="s">
        <v>226</v>
      </c>
      <c r="D643" s="89" t="s">
        <v>255</v>
      </c>
      <c r="E643" s="90">
        <f t="shared" si="124"/>
        <v>1508</v>
      </c>
      <c r="F643" s="90">
        <f t="shared" si="123"/>
        <v>1267.2278439765253</v>
      </c>
      <c r="G643" s="91">
        <v>0.19</v>
      </c>
      <c r="H643" s="91" t="s">
        <v>228</v>
      </c>
      <c r="I643" s="91" t="s">
        <v>228</v>
      </c>
      <c r="J643" s="91" t="s">
        <v>228</v>
      </c>
      <c r="K643" s="91" t="s">
        <v>228</v>
      </c>
      <c r="L643" s="92" t="s">
        <v>302</v>
      </c>
      <c r="M643" s="91"/>
      <c r="N643" s="93"/>
      <c r="O643" s="94"/>
      <c r="P643" s="94"/>
      <c r="Q643" s="94">
        <v>506</v>
      </c>
      <c r="R643" s="95">
        <f t="shared" si="114"/>
        <v>1267.2278439765253</v>
      </c>
      <c r="S643" s="94">
        <v>829.28</v>
      </c>
      <c r="T643" s="94">
        <f t="shared" si="117"/>
        <v>885.42225600000006</v>
      </c>
      <c r="U643" s="94">
        <f t="shared" si="118"/>
        <v>936.3340357200002</v>
      </c>
      <c r="V643" s="94">
        <f t="shared" si="119"/>
        <v>974.63009778094818</v>
      </c>
      <c r="W643" s="97">
        <f t="shared" si="120"/>
        <v>1005.6233348903824</v>
      </c>
      <c r="X643" s="97">
        <f t="shared" si="121"/>
        <v>1043.8370216162168</v>
      </c>
      <c r="Y643" s="97">
        <f t="shared" si="122"/>
        <v>1060.6427976642378</v>
      </c>
      <c r="Z643" s="97">
        <f t="shared" si="115"/>
        <v>1120.250922892968</v>
      </c>
      <c r="AA643" s="97">
        <f t="shared" si="116"/>
        <v>1267.2278439765253</v>
      </c>
    </row>
    <row r="644" spans="1:27" x14ac:dyDescent="0.25">
      <c r="A644" s="105" t="s">
        <v>1584</v>
      </c>
      <c r="B644" s="106" t="s">
        <v>1585</v>
      </c>
      <c r="C644" s="107"/>
      <c r="D644" s="108"/>
      <c r="E644" s="90">
        <f t="shared" si="124"/>
        <v>0</v>
      </c>
      <c r="F644" s="90">
        <f t="shared" si="123"/>
        <v>0</v>
      </c>
      <c r="G644" s="81"/>
      <c r="H644" s="81"/>
      <c r="I644" s="81"/>
      <c r="J644" s="81"/>
      <c r="K644" s="81"/>
      <c r="L644" s="92"/>
      <c r="M644" s="91"/>
      <c r="N644" s="93">
        <v>41608</v>
      </c>
      <c r="O644" s="109"/>
      <c r="P644" s="109"/>
      <c r="Q644" s="109">
        <v>0</v>
      </c>
      <c r="R644" s="95">
        <f t="shared" si="114"/>
        <v>0</v>
      </c>
      <c r="S644" s="109">
        <v>0</v>
      </c>
      <c r="T644" s="94">
        <f t="shared" si="117"/>
        <v>0</v>
      </c>
      <c r="U644" s="94">
        <f t="shared" si="118"/>
        <v>0</v>
      </c>
      <c r="V644" s="94">
        <f t="shared" si="119"/>
        <v>0</v>
      </c>
      <c r="W644" s="97">
        <f t="shared" si="120"/>
        <v>0</v>
      </c>
      <c r="X644" s="97">
        <f t="shared" si="121"/>
        <v>0</v>
      </c>
      <c r="Y644" s="97">
        <f t="shared" si="122"/>
        <v>0</v>
      </c>
      <c r="Z644" s="97">
        <f t="shared" si="115"/>
        <v>0</v>
      </c>
      <c r="AA644" s="97">
        <f t="shared" si="116"/>
        <v>0</v>
      </c>
    </row>
    <row r="645" spans="1:27" x14ac:dyDescent="0.25">
      <c r="A645" s="102" t="s">
        <v>1586</v>
      </c>
      <c r="B645" s="116" t="s">
        <v>1587</v>
      </c>
      <c r="C645" s="88" t="s">
        <v>226</v>
      </c>
      <c r="D645" s="89" t="s">
        <v>255</v>
      </c>
      <c r="E645" s="90">
        <f t="shared" si="124"/>
        <v>18686</v>
      </c>
      <c r="F645" s="90">
        <f t="shared" si="123"/>
        <v>15702.537021674123</v>
      </c>
      <c r="G645" s="91">
        <v>0.19</v>
      </c>
      <c r="H645" s="91" t="s">
        <v>228</v>
      </c>
      <c r="I645" s="91" t="s">
        <v>228</v>
      </c>
      <c r="J645" s="91" t="s">
        <v>228</v>
      </c>
      <c r="K645" s="91"/>
      <c r="L645" s="92" t="s">
        <v>1588</v>
      </c>
      <c r="M645" s="91" t="str">
        <f t="shared" ref="M645:M654" si="127">+IF(L645="no aplica","no aplica","VER ARCHIVO ANEXO")</f>
        <v>VER ARCHIVO ANEXO</v>
      </c>
      <c r="N645" s="93">
        <v>41608</v>
      </c>
      <c r="O645" s="94"/>
      <c r="P645" s="94"/>
      <c r="Q645" s="94">
        <v>507</v>
      </c>
      <c r="R645" s="95">
        <f t="shared" si="114"/>
        <v>15702.537021674123</v>
      </c>
      <c r="S645" s="94">
        <v>10275.8158</v>
      </c>
      <c r="T645" s="94">
        <f t="shared" si="117"/>
        <v>10971.48852966</v>
      </c>
      <c r="U645" s="94">
        <f t="shared" si="118"/>
        <v>11602.349120115452</v>
      </c>
      <c r="V645" s="94">
        <f t="shared" si="119"/>
        <v>12076.885199128174</v>
      </c>
      <c r="W645" s="97">
        <f t="shared" si="120"/>
        <v>12460.930148460449</v>
      </c>
      <c r="X645" s="97">
        <f t="shared" si="121"/>
        <v>12934.445494101947</v>
      </c>
      <c r="Y645" s="97">
        <f t="shared" si="122"/>
        <v>13142.690066556988</v>
      </c>
      <c r="Z645" s="97">
        <f t="shared" si="115"/>
        <v>13881.309248297492</v>
      </c>
      <c r="AA645" s="97">
        <f t="shared" si="116"/>
        <v>15702.537021674123</v>
      </c>
    </row>
    <row r="646" spans="1:27" x14ac:dyDescent="0.25">
      <c r="A646" s="102" t="s">
        <v>1589</v>
      </c>
      <c r="B646" s="116" t="s">
        <v>1590</v>
      </c>
      <c r="C646" s="88" t="s">
        <v>226</v>
      </c>
      <c r="D646" s="89" t="s">
        <v>255</v>
      </c>
      <c r="E646" s="90">
        <f t="shared" si="124"/>
        <v>65468</v>
      </c>
      <c r="F646" s="90">
        <f t="shared" si="123"/>
        <v>55015.11281143588</v>
      </c>
      <c r="G646" s="91">
        <v>0.19</v>
      </c>
      <c r="H646" s="91" t="s">
        <v>228</v>
      </c>
      <c r="I646" s="91" t="s">
        <v>228</v>
      </c>
      <c r="J646" s="91" t="s">
        <v>228</v>
      </c>
      <c r="K646" s="91"/>
      <c r="L646" s="92" t="s">
        <v>1588</v>
      </c>
      <c r="M646" s="91" t="str">
        <f t="shared" si="127"/>
        <v>VER ARCHIVO ANEXO</v>
      </c>
      <c r="N646" s="93">
        <v>41608</v>
      </c>
      <c r="O646" s="94"/>
      <c r="P646" s="94"/>
      <c r="Q646" s="94">
        <v>508</v>
      </c>
      <c r="R646" s="95">
        <f t="shared" si="114"/>
        <v>55015.11281143588</v>
      </c>
      <c r="S646" s="94">
        <v>36002.154600000002</v>
      </c>
      <c r="T646" s="94">
        <f t="shared" si="117"/>
        <v>38439.500466420002</v>
      </c>
      <c r="U646" s="94">
        <f t="shared" si="118"/>
        <v>40649.771743239158</v>
      </c>
      <c r="V646" s="94">
        <f t="shared" si="119"/>
        <v>42312.347407537636</v>
      </c>
      <c r="W646" s="97">
        <f t="shared" si="120"/>
        <v>43657.880055097332</v>
      </c>
      <c r="X646" s="97">
        <f t="shared" si="121"/>
        <v>45316.879497191032</v>
      </c>
      <c r="Y646" s="97">
        <f t="shared" si="122"/>
        <v>46046.481257095809</v>
      </c>
      <c r="Z646" s="97">
        <f t="shared" si="115"/>
        <v>48634.293503744593</v>
      </c>
      <c r="AA646" s="97">
        <f t="shared" si="116"/>
        <v>55015.11281143588</v>
      </c>
    </row>
    <row r="647" spans="1:27" x14ac:dyDescent="0.25">
      <c r="A647" s="102" t="s">
        <v>1591</v>
      </c>
      <c r="B647" s="116" t="s">
        <v>1592</v>
      </c>
      <c r="C647" s="88" t="s">
        <v>226</v>
      </c>
      <c r="D647" s="89" t="s">
        <v>255</v>
      </c>
      <c r="E647" s="90">
        <f t="shared" si="124"/>
        <v>53807</v>
      </c>
      <c r="F647" s="90">
        <f t="shared" si="123"/>
        <v>45216.273507887388</v>
      </c>
      <c r="G647" s="91">
        <v>0.19</v>
      </c>
      <c r="H647" s="91" t="s">
        <v>228</v>
      </c>
      <c r="I647" s="91" t="s">
        <v>228</v>
      </c>
      <c r="J647" s="91" t="s">
        <v>228</v>
      </c>
      <c r="K647" s="91"/>
      <c r="L647" s="92" t="s">
        <v>1588</v>
      </c>
      <c r="M647" s="91" t="str">
        <f t="shared" si="127"/>
        <v>VER ARCHIVO ANEXO</v>
      </c>
      <c r="N647" s="93">
        <v>41608</v>
      </c>
      <c r="O647" s="94"/>
      <c r="P647" s="94"/>
      <c r="Q647" s="94">
        <v>509</v>
      </c>
      <c r="R647" s="95">
        <f t="shared" ref="R647:R710" si="128">+AA647</f>
        <v>45216.273507887388</v>
      </c>
      <c r="S647" s="94">
        <v>29589.746999999999</v>
      </c>
      <c r="T647" s="94">
        <f t="shared" si="117"/>
        <v>31592.972871900001</v>
      </c>
      <c r="U647" s="94">
        <f t="shared" si="118"/>
        <v>33409.568812034253</v>
      </c>
      <c r="V647" s="94">
        <f t="shared" si="119"/>
        <v>34776.020176446451</v>
      </c>
      <c r="W647" s="97">
        <f t="shared" si="120"/>
        <v>35881.897618057446</v>
      </c>
      <c r="X647" s="97">
        <f t="shared" si="121"/>
        <v>37245.409727543629</v>
      </c>
      <c r="Y647" s="97">
        <f t="shared" si="122"/>
        <v>37845.060824157081</v>
      </c>
      <c r="Z647" s="97">
        <f t="shared" ref="Z647:Z710" si="129">+Y647*(1+$Z$4)</f>
        <v>39971.953242474709</v>
      </c>
      <c r="AA647" s="97">
        <f t="shared" ref="AA647:AA710" si="130">+Z647*(1+$AA$4)</f>
        <v>45216.273507887388</v>
      </c>
    </row>
    <row r="648" spans="1:27" x14ac:dyDescent="0.25">
      <c r="A648" s="102" t="s">
        <v>1593</v>
      </c>
      <c r="B648" s="116" t="s">
        <v>1594</v>
      </c>
      <c r="C648" s="88" t="s">
        <v>226</v>
      </c>
      <c r="D648" s="89" t="s">
        <v>255</v>
      </c>
      <c r="E648" s="90">
        <f t="shared" si="124"/>
        <v>85790</v>
      </c>
      <c r="F648" s="90">
        <f t="shared" si="123"/>
        <v>72092.592043824523</v>
      </c>
      <c r="G648" s="91">
        <v>0.19</v>
      </c>
      <c r="H648" s="91" t="s">
        <v>228</v>
      </c>
      <c r="I648" s="91" t="s">
        <v>228</v>
      </c>
      <c r="J648" s="91" t="s">
        <v>228</v>
      </c>
      <c r="K648" s="91"/>
      <c r="L648" s="92" t="s">
        <v>1588</v>
      </c>
      <c r="M648" s="91" t="str">
        <f t="shared" si="127"/>
        <v>VER ARCHIVO ANEXO</v>
      </c>
      <c r="N648" s="93">
        <v>41608</v>
      </c>
      <c r="O648" s="94"/>
      <c r="P648" s="94"/>
      <c r="Q648" s="94">
        <v>510</v>
      </c>
      <c r="R648" s="95">
        <f t="shared" si="128"/>
        <v>72092.592043824523</v>
      </c>
      <c r="S648" s="94">
        <v>47177.739199999996</v>
      </c>
      <c r="T648" s="94">
        <f t="shared" ref="T648:T711" si="131">+S648*1.0677</f>
        <v>50371.672143839998</v>
      </c>
      <c r="U648" s="94">
        <f t="shared" ref="U648:U711" si="132">+T648*(1+$U$4)</f>
        <v>53268.0432921108</v>
      </c>
      <c r="V648" s="94">
        <f t="shared" ref="V648:V711" si="133">+U648*(1+$V$4)</f>
        <v>55446.706262758125</v>
      </c>
      <c r="W648" s="97">
        <f t="shared" ref="W648:W711" si="134">+V648*(1+$W$4)</f>
        <v>57209.911521913833</v>
      </c>
      <c r="X648" s="97">
        <f t="shared" ref="X648:X711" si="135">+W648*(1+$X$4)</f>
        <v>59383.888159746559</v>
      </c>
      <c r="Y648" s="97">
        <f t="shared" ref="Y648:Y709" si="136">+X648*(1+$Y$4)</f>
        <v>60339.968759118477</v>
      </c>
      <c r="Z648" s="97">
        <f t="shared" si="129"/>
        <v>63731.075003380938</v>
      </c>
      <c r="AA648" s="97">
        <f t="shared" si="130"/>
        <v>72092.592043824523</v>
      </c>
    </row>
    <row r="649" spans="1:27" x14ac:dyDescent="0.25">
      <c r="A649" s="102" t="s">
        <v>1595</v>
      </c>
      <c r="B649" s="87" t="s">
        <v>1596</v>
      </c>
      <c r="C649" s="88" t="s">
        <v>226</v>
      </c>
      <c r="D649" s="89" t="s">
        <v>4</v>
      </c>
      <c r="E649" s="90">
        <f t="shared" si="124"/>
        <v>5319</v>
      </c>
      <c r="F649" s="90">
        <f t="shared" ref="F649:F712" si="137">R649</f>
        <v>4470.1462196271941</v>
      </c>
      <c r="G649" s="91">
        <v>0.19</v>
      </c>
      <c r="H649" s="91" t="s">
        <v>228</v>
      </c>
      <c r="I649" s="91" t="s">
        <v>228</v>
      </c>
      <c r="J649" s="91" t="s">
        <v>228</v>
      </c>
      <c r="K649" s="91"/>
      <c r="L649" s="92" t="s">
        <v>1597</v>
      </c>
      <c r="M649" s="91" t="str">
        <f t="shared" si="127"/>
        <v>VER ARCHIVO ANEXO</v>
      </c>
      <c r="N649" s="93">
        <v>41608</v>
      </c>
      <c r="O649" s="94"/>
      <c r="P649" s="94"/>
      <c r="Q649" s="94">
        <v>511</v>
      </c>
      <c r="R649" s="95">
        <f t="shared" si="128"/>
        <v>4470.1462196271941</v>
      </c>
      <c r="S649" s="94">
        <v>2925.2851999999998</v>
      </c>
      <c r="T649" s="94">
        <f t="shared" si="131"/>
        <v>3123.3270080400002</v>
      </c>
      <c r="U649" s="94">
        <f t="shared" si="132"/>
        <v>3302.9183110023005</v>
      </c>
      <c r="V649" s="94">
        <f t="shared" si="133"/>
        <v>3438.0076699222946</v>
      </c>
      <c r="W649" s="97">
        <f t="shared" si="134"/>
        <v>3547.3363138258237</v>
      </c>
      <c r="X649" s="97">
        <f t="shared" si="135"/>
        <v>3682.1350937512052</v>
      </c>
      <c r="Y649" s="97">
        <f t="shared" si="136"/>
        <v>3741.4174687605996</v>
      </c>
      <c r="Z649" s="97">
        <f t="shared" si="129"/>
        <v>3951.6851305049454</v>
      </c>
      <c r="AA649" s="97">
        <f t="shared" si="130"/>
        <v>4470.1462196271941</v>
      </c>
    </row>
    <row r="650" spans="1:27" x14ac:dyDescent="0.25">
      <c r="A650" s="102" t="s">
        <v>1598</v>
      </c>
      <c r="B650" s="87" t="s">
        <v>1599</v>
      </c>
      <c r="C650" s="88" t="s">
        <v>226</v>
      </c>
      <c r="D650" s="89" t="s">
        <v>4</v>
      </c>
      <c r="E650" s="90">
        <f t="shared" ref="E650:E713" si="138">+ROUND(F650*(1+G650),0)</f>
        <v>7540</v>
      </c>
      <c r="F650" s="90">
        <f t="shared" si="137"/>
        <v>6336.139219882627</v>
      </c>
      <c r="G650" s="91">
        <v>0.19</v>
      </c>
      <c r="H650" s="91" t="s">
        <v>228</v>
      </c>
      <c r="I650" s="91" t="s">
        <v>228</v>
      </c>
      <c r="J650" s="91" t="s">
        <v>228</v>
      </c>
      <c r="K650" s="91"/>
      <c r="L650" s="92" t="s">
        <v>1597</v>
      </c>
      <c r="M650" s="91" t="str">
        <f t="shared" si="127"/>
        <v>VER ARCHIVO ANEXO</v>
      </c>
      <c r="N650" s="93">
        <v>41608</v>
      </c>
      <c r="O650" s="94"/>
      <c r="P650" s="94"/>
      <c r="Q650" s="94">
        <v>512</v>
      </c>
      <c r="R650" s="95">
        <f t="shared" si="128"/>
        <v>6336.139219882627</v>
      </c>
      <c r="S650" s="94">
        <v>4146.3999999999996</v>
      </c>
      <c r="T650" s="94">
        <f t="shared" si="131"/>
        <v>4427.1112800000001</v>
      </c>
      <c r="U650" s="94">
        <f t="shared" si="132"/>
        <v>4681.6701786000003</v>
      </c>
      <c r="V650" s="94">
        <f t="shared" si="133"/>
        <v>4873.1504889047401</v>
      </c>
      <c r="W650" s="97">
        <f t="shared" si="134"/>
        <v>5028.1166744519114</v>
      </c>
      <c r="X650" s="97">
        <f t="shared" si="135"/>
        <v>5219.1851080810839</v>
      </c>
      <c r="Y650" s="97">
        <f t="shared" si="136"/>
        <v>5303.2139883211894</v>
      </c>
      <c r="Z650" s="97">
        <f t="shared" si="129"/>
        <v>5601.2546144648404</v>
      </c>
      <c r="AA650" s="97">
        <f t="shared" si="130"/>
        <v>6336.139219882627</v>
      </c>
    </row>
    <row r="651" spans="1:27" x14ac:dyDescent="0.25">
      <c r="A651" s="102" t="s">
        <v>1600</v>
      </c>
      <c r="B651" s="87" t="s">
        <v>1601</v>
      </c>
      <c r="C651" s="88" t="s">
        <v>226</v>
      </c>
      <c r="D651" s="89" t="s">
        <v>4</v>
      </c>
      <c r="E651" s="90">
        <f t="shared" si="138"/>
        <v>8820</v>
      </c>
      <c r="F651" s="90">
        <f t="shared" si="137"/>
        <v>7411.6988524577037</v>
      </c>
      <c r="G651" s="91">
        <v>0.19</v>
      </c>
      <c r="H651" s="91" t="s">
        <v>228</v>
      </c>
      <c r="I651" s="91" t="s">
        <v>228</v>
      </c>
      <c r="J651" s="91" t="s">
        <v>228</v>
      </c>
      <c r="K651" s="91"/>
      <c r="L651" s="92" t="s">
        <v>1597</v>
      </c>
      <c r="M651" s="91" t="str">
        <f t="shared" si="127"/>
        <v>VER ARCHIVO ANEXO</v>
      </c>
      <c r="N651" s="93">
        <v>41608</v>
      </c>
      <c r="O651" s="94"/>
      <c r="P651" s="94"/>
      <c r="Q651" s="94">
        <v>513</v>
      </c>
      <c r="R651" s="95">
        <f t="shared" si="128"/>
        <v>7411.6988524577037</v>
      </c>
      <c r="S651" s="94">
        <v>4850.2514000000001</v>
      </c>
      <c r="T651" s="94">
        <f t="shared" si="131"/>
        <v>5178.6134197800002</v>
      </c>
      <c r="U651" s="94">
        <f t="shared" si="132"/>
        <v>5476.3836914173507</v>
      </c>
      <c r="V651" s="94">
        <f t="shared" si="133"/>
        <v>5700.3677843963196</v>
      </c>
      <c r="W651" s="97">
        <f t="shared" si="134"/>
        <v>5881.6394799401232</v>
      </c>
      <c r="X651" s="97">
        <f t="shared" si="135"/>
        <v>6105.141780177848</v>
      </c>
      <c r="Y651" s="97">
        <f t="shared" si="136"/>
        <v>6203.4345628387109</v>
      </c>
      <c r="Z651" s="97">
        <f t="shared" si="129"/>
        <v>6552.067585270247</v>
      </c>
      <c r="AA651" s="97">
        <f t="shared" si="130"/>
        <v>7411.6988524577037</v>
      </c>
    </row>
    <row r="652" spans="1:27" x14ac:dyDescent="0.25">
      <c r="A652" s="102" t="s">
        <v>1602</v>
      </c>
      <c r="B652" s="116" t="s">
        <v>1603</v>
      </c>
      <c r="C652" s="88" t="s">
        <v>226</v>
      </c>
      <c r="D652" s="89" t="s">
        <v>4</v>
      </c>
      <c r="E652" s="90">
        <f t="shared" si="138"/>
        <v>9587</v>
      </c>
      <c r="F652" s="90">
        <f t="shared" si="137"/>
        <v>8056.4010180807636</v>
      </c>
      <c r="G652" s="91">
        <v>0.19</v>
      </c>
      <c r="H652" s="91" t="s">
        <v>228</v>
      </c>
      <c r="I652" s="91" t="s">
        <v>228</v>
      </c>
      <c r="J652" s="91" t="s">
        <v>228</v>
      </c>
      <c r="K652" s="91"/>
      <c r="L652" s="92" t="s">
        <v>1597</v>
      </c>
      <c r="M652" s="91" t="str">
        <f t="shared" si="127"/>
        <v>VER ARCHIVO ANEXO</v>
      </c>
      <c r="N652" s="93">
        <v>41608</v>
      </c>
      <c r="O652" s="94"/>
      <c r="P652" s="94"/>
      <c r="Q652" s="94">
        <v>514</v>
      </c>
      <c r="R652" s="95">
        <f t="shared" si="128"/>
        <v>8056.4010180807636</v>
      </c>
      <c r="S652" s="94">
        <v>5272.1476000000002</v>
      </c>
      <c r="T652" s="94">
        <f t="shared" si="131"/>
        <v>5629.071992520001</v>
      </c>
      <c r="U652" s="94">
        <f t="shared" si="132"/>
        <v>5952.7436320899014</v>
      </c>
      <c r="V652" s="94">
        <f t="shared" si="133"/>
        <v>6196.2108466423779</v>
      </c>
      <c r="W652" s="97">
        <f t="shared" si="134"/>
        <v>6393.2503515656063</v>
      </c>
      <c r="X652" s="97">
        <f t="shared" si="135"/>
        <v>6636.1938649250997</v>
      </c>
      <c r="Y652" s="97">
        <f t="shared" si="136"/>
        <v>6743.0365861503942</v>
      </c>
      <c r="Z652" s="97">
        <f t="shared" si="129"/>
        <v>7121.9952422920469</v>
      </c>
      <c r="AA652" s="97">
        <f t="shared" si="130"/>
        <v>8056.4010180807636</v>
      </c>
    </row>
    <row r="653" spans="1:27" x14ac:dyDescent="0.25">
      <c r="A653" s="102" t="s">
        <v>1604</v>
      </c>
      <c r="B653" s="87" t="s">
        <v>1605</v>
      </c>
      <c r="C653" s="88" t="s">
        <v>226</v>
      </c>
      <c r="D653" s="89" t="s">
        <v>4</v>
      </c>
      <c r="E653" s="90">
        <f t="shared" si="138"/>
        <v>18686</v>
      </c>
      <c r="F653" s="90">
        <f t="shared" si="137"/>
        <v>15702.537021674123</v>
      </c>
      <c r="G653" s="91">
        <v>0.19</v>
      </c>
      <c r="H653" s="91" t="s">
        <v>228</v>
      </c>
      <c r="I653" s="91" t="s">
        <v>228</v>
      </c>
      <c r="J653" s="91" t="s">
        <v>228</v>
      </c>
      <c r="K653" s="91"/>
      <c r="L653" s="92" t="s">
        <v>1597</v>
      </c>
      <c r="M653" s="91" t="str">
        <f t="shared" si="127"/>
        <v>VER ARCHIVO ANEXO</v>
      </c>
      <c r="N653" s="93">
        <v>41608</v>
      </c>
      <c r="O653" s="94"/>
      <c r="P653" s="94"/>
      <c r="Q653" s="94">
        <v>515</v>
      </c>
      <c r="R653" s="95">
        <f t="shared" si="128"/>
        <v>15702.537021674123</v>
      </c>
      <c r="S653" s="94">
        <v>10275.8158</v>
      </c>
      <c r="T653" s="94">
        <f t="shared" si="131"/>
        <v>10971.48852966</v>
      </c>
      <c r="U653" s="94">
        <f t="shared" si="132"/>
        <v>11602.349120115452</v>
      </c>
      <c r="V653" s="94">
        <f t="shared" si="133"/>
        <v>12076.885199128174</v>
      </c>
      <c r="W653" s="97">
        <f t="shared" si="134"/>
        <v>12460.930148460449</v>
      </c>
      <c r="X653" s="97">
        <f t="shared" si="135"/>
        <v>12934.445494101947</v>
      </c>
      <c r="Y653" s="97">
        <f t="shared" si="136"/>
        <v>13142.690066556988</v>
      </c>
      <c r="Z653" s="97">
        <f t="shared" si="129"/>
        <v>13881.309248297492</v>
      </c>
      <c r="AA653" s="97">
        <f t="shared" si="130"/>
        <v>15702.537021674123</v>
      </c>
    </row>
    <row r="654" spans="1:27" x14ac:dyDescent="0.25">
      <c r="A654" s="102" t="s">
        <v>1606</v>
      </c>
      <c r="B654" s="87" t="s">
        <v>1607</v>
      </c>
      <c r="C654" s="88" t="s">
        <v>226</v>
      </c>
      <c r="D654" s="89" t="s">
        <v>4</v>
      </c>
      <c r="E654" s="90">
        <f t="shared" si="138"/>
        <v>67438</v>
      </c>
      <c r="F654" s="90">
        <f t="shared" si="137"/>
        <v>56670.21069507092</v>
      </c>
      <c r="G654" s="91">
        <v>0.19</v>
      </c>
      <c r="H654" s="91" t="s">
        <v>228</v>
      </c>
      <c r="I654" s="91" t="s">
        <v>228</v>
      </c>
      <c r="J654" s="91" t="s">
        <v>228</v>
      </c>
      <c r="K654" s="91"/>
      <c r="L654" s="92" t="s">
        <v>1608</v>
      </c>
      <c r="M654" s="91" t="str">
        <f t="shared" si="127"/>
        <v>VER ARCHIVO ANEXO</v>
      </c>
      <c r="N654" s="93">
        <v>41608</v>
      </c>
      <c r="O654" s="94"/>
      <c r="P654" s="94"/>
      <c r="Q654" s="94">
        <v>516</v>
      </c>
      <c r="R654" s="95">
        <f t="shared" si="128"/>
        <v>56670.21069507092</v>
      </c>
      <c r="S654" s="94">
        <v>37085.258620689659</v>
      </c>
      <c r="T654" s="94">
        <f t="shared" si="131"/>
        <v>39595.930629310351</v>
      </c>
      <c r="U654" s="94">
        <f t="shared" si="132"/>
        <v>41872.696640495698</v>
      </c>
      <c r="V654" s="94">
        <f t="shared" si="133"/>
        <v>43585.289933091968</v>
      </c>
      <c r="W654" s="97">
        <f t="shared" si="134"/>
        <v>44971.302152964294</v>
      </c>
      <c r="X654" s="97">
        <f t="shared" si="135"/>
        <v>46680.211634776941</v>
      </c>
      <c r="Y654" s="97">
        <f t="shared" si="136"/>
        <v>47431.763042096849</v>
      </c>
      <c r="Z654" s="97">
        <f t="shared" si="129"/>
        <v>50097.428125062695</v>
      </c>
      <c r="AA654" s="97">
        <f t="shared" si="130"/>
        <v>56670.21069507092</v>
      </c>
    </row>
    <row r="655" spans="1:27" x14ac:dyDescent="0.25">
      <c r="A655" s="105" t="s">
        <v>1609</v>
      </c>
      <c r="B655" s="106" t="s">
        <v>1610</v>
      </c>
      <c r="C655" s="107"/>
      <c r="D655" s="108"/>
      <c r="E655" s="90">
        <f t="shared" si="138"/>
        <v>0</v>
      </c>
      <c r="F655" s="90">
        <f t="shared" si="137"/>
        <v>0</v>
      </c>
      <c r="G655" s="81"/>
      <c r="H655" s="81"/>
      <c r="I655" s="81"/>
      <c r="J655" s="81"/>
      <c r="K655" s="81"/>
      <c r="L655" s="92"/>
      <c r="M655" s="91"/>
      <c r="N655" s="93">
        <v>41608</v>
      </c>
      <c r="O655" s="109"/>
      <c r="P655" s="109"/>
      <c r="Q655" s="109">
        <v>0</v>
      </c>
      <c r="R655" s="95">
        <f t="shared" si="128"/>
        <v>0</v>
      </c>
      <c r="S655" s="109">
        <v>0</v>
      </c>
      <c r="T655" s="94">
        <f t="shared" si="131"/>
        <v>0</v>
      </c>
      <c r="U655" s="94">
        <f t="shared" si="132"/>
        <v>0</v>
      </c>
      <c r="V655" s="94">
        <f t="shared" si="133"/>
        <v>0</v>
      </c>
      <c r="W655" s="97">
        <f t="shared" si="134"/>
        <v>0</v>
      </c>
      <c r="X655" s="97">
        <f t="shared" si="135"/>
        <v>0</v>
      </c>
      <c r="Y655" s="97">
        <f t="shared" si="136"/>
        <v>0</v>
      </c>
      <c r="Z655" s="97">
        <f t="shared" si="129"/>
        <v>0</v>
      </c>
      <c r="AA655" s="97">
        <f t="shared" si="130"/>
        <v>0</v>
      </c>
    </row>
    <row r="656" spans="1:27" x14ac:dyDescent="0.25">
      <c r="A656" s="102" t="s">
        <v>1611</v>
      </c>
      <c r="B656" s="87" t="s">
        <v>1612</v>
      </c>
      <c r="C656" s="88" t="s">
        <v>226</v>
      </c>
      <c r="D656" s="89" t="s">
        <v>4</v>
      </c>
      <c r="E656" s="90">
        <f t="shared" si="138"/>
        <v>27120</v>
      </c>
      <c r="F656" s="90">
        <f t="shared" si="137"/>
        <v>22789.508739112836</v>
      </c>
      <c r="G656" s="91">
        <v>0.19</v>
      </c>
      <c r="H656" s="91" t="s">
        <v>228</v>
      </c>
      <c r="I656" s="91"/>
      <c r="J656" s="91"/>
      <c r="K656" s="91" t="s">
        <v>228</v>
      </c>
      <c r="L656" s="92" t="s">
        <v>302</v>
      </c>
      <c r="M656" s="91" t="str">
        <f>+IF(L656="no aplica","no aplica","VER ARCHIVO ANEXO")</f>
        <v>no aplica</v>
      </c>
      <c r="N656" s="93">
        <v>41608</v>
      </c>
      <c r="O656" s="94"/>
      <c r="P656" s="94"/>
      <c r="Q656" s="94">
        <v>517</v>
      </c>
      <c r="R656" s="95">
        <f t="shared" si="128"/>
        <v>22789.508739112836</v>
      </c>
      <c r="S656" s="94">
        <v>14913.564199999999</v>
      </c>
      <c r="T656" s="94">
        <f t="shared" si="131"/>
        <v>15923.21249634</v>
      </c>
      <c r="U656" s="94">
        <f t="shared" si="132"/>
        <v>16838.797214879552</v>
      </c>
      <c r="V656" s="94">
        <f t="shared" si="133"/>
        <v>17527.504020968125</v>
      </c>
      <c r="W656" s="97">
        <f t="shared" si="134"/>
        <v>18084.878648834911</v>
      </c>
      <c r="X656" s="97">
        <f t="shared" si="135"/>
        <v>18772.104037490637</v>
      </c>
      <c r="Y656" s="97">
        <f t="shared" si="136"/>
        <v>19074.334912494236</v>
      </c>
      <c r="Z656" s="97">
        <f t="shared" si="129"/>
        <v>20146.312534576413</v>
      </c>
      <c r="AA656" s="97">
        <f t="shared" si="130"/>
        <v>22789.508739112836</v>
      </c>
    </row>
    <row r="657" spans="1:27" x14ac:dyDescent="0.25">
      <c r="A657" s="102" t="s">
        <v>1613</v>
      </c>
      <c r="B657" s="87" t="s">
        <v>1614</v>
      </c>
      <c r="C657" s="88" t="s">
        <v>226</v>
      </c>
      <c r="D657" s="89" t="s">
        <v>4</v>
      </c>
      <c r="E657" s="90">
        <f t="shared" si="138"/>
        <v>29502</v>
      </c>
      <c r="F657" s="90">
        <f t="shared" si="137"/>
        <v>24791.728732595755</v>
      </c>
      <c r="G657" s="91">
        <v>0.19</v>
      </c>
      <c r="H657" s="91" t="s">
        <v>228</v>
      </c>
      <c r="I657" s="91"/>
      <c r="J657" s="91"/>
      <c r="K657" s="91" t="s">
        <v>228</v>
      </c>
      <c r="L657" s="92" t="s">
        <v>302</v>
      </c>
      <c r="M657" s="91" t="str">
        <f>+IF(L657="no aplica","no aplica","VER ARCHIVO ANEXO")</f>
        <v>no aplica</v>
      </c>
      <c r="N657" s="93">
        <v>41608</v>
      </c>
      <c r="O657" s="94"/>
      <c r="P657" s="94"/>
      <c r="Q657" s="94">
        <v>518</v>
      </c>
      <c r="R657" s="95">
        <f t="shared" si="128"/>
        <v>24791.728732595755</v>
      </c>
      <c r="S657" s="94">
        <v>16223.8266</v>
      </c>
      <c r="T657" s="94">
        <f t="shared" si="131"/>
        <v>17322.179660820002</v>
      </c>
      <c r="U657" s="94">
        <f t="shared" si="132"/>
        <v>18318.204991317154</v>
      </c>
      <c r="V657" s="94">
        <f t="shared" si="133"/>
        <v>19067.419575462023</v>
      </c>
      <c r="W657" s="97">
        <f t="shared" si="134"/>
        <v>19673.763517961717</v>
      </c>
      <c r="X657" s="97">
        <f t="shared" si="135"/>
        <v>20421.366531644264</v>
      </c>
      <c r="Y657" s="97">
        <f t="shared" si="136"/>
        <v>20750.150532803738</v>
      </c>
      <c r="Z657" s="97">
        <f t="shared" si="129"/>
        <v>21916.308992747308</v>
      </c>
      <c r="AA657" s="97">
        <f t="shared" si="130"/>
        <v>24791.728732595755</v>
      </c>
    </row>
    <row r="658" spans="1:27" x14ac:dyDescent="0.25">
      <c r="A658" s="102" t="s">
        <v>1615</v>
      </c>
      <c r="B658" s="87" t="s">
        <v>1616</v>
      </c>
      <c r="C658" s="88" t="s">
        <v>226</v>
      </c>
      <c r="D658" s="89" t="s">
        <v>4</v>
      </c>
      <c r="E658" s="90">
        <f t="shared" si="138"/>
        <v>49014</v>
      </c>
      <c r="F658" s="90">
        <f t="shared" si="137"/>
        <v>41188.072998847027</v>
      </c>
      <c r="G658" s="91">
        <v>0.19</v>
      </c>
      <c r="H658" s="91" t="s">
        <v>228</v>
      </c>
      <c r="I658" s="91"/>
      <c r="J658" s="91"/>
      <c r="K658" s="91" t="s">
        <v>228</v>
      </c>
      <c r="L658" s="92" t="s">
        <v>302</v>
      </c>
      <c r="M658" s="91" t="str">
        <f>+IF(L658="no aplica","no aplica","VER ARCHIVO ANEXO")</f>
        <v>no aplica</v>
      </c>
      <c r="N658" s="93">
        <v>41608</v>
      </c>
      <c r="O658" s="94"/>
      <c r="P658" s="94"/>
      <c r="Q658" s="94">
        <v>519</v>
      </c>
      <c r="R658" s="95">
        <f t="shared" si="128"/>
        <v>41188.072998847027</v>
      </c>
      <c r="S658" s="94">
        <v>26953.673199999997</v>
      </c>
      <c r="T658" s="94">
        <f t="shared" si="131"/>
        <v>28778.43687564</v>
      </c>
      <c r="U658" s="94">
        <f t="shared" si="132"/>
        <v>30433.196995989303</v>
      </c>
      <c r="V658" s="94">
        <f t="shared" si="133"/>
        <v>31677.914753125264</v>
      </c>
      <c r="W658" s="97">
        <f t="shared" si="134"/>
        <v>32685.272442274651</v>
      </c>
      <c r="X658" s="97">
        <f t="shared" si="135"/>
        <v>33927.312795081089</v>
      </c>
      <c r="Y658" s="97">
        <f t="shared" si="136"/>
        <v>34473.542531081897</v>
      </c>
      <c r="Z658" s="97">
        <f t="shared" si="129"/>
        <v>36410.9556213287</v>
      </c>
      <c r="AA658" s="97">
        <f t="shared" si="130"/>
        <v>41188.072998847027</v>
      </c>
    </row>
    <row r="659" spans="1:27" x14ac:dyDescent="0.25">
      <c r="A659" s="102" t="s">
        <v>1617</v>
      </c>
      <c r="B659" s="87" t="s">
        <v>1618</v>
      </c>
      <c r="C659" s="88" t="s">
        <v>226</v>
      </c>
      <c r="D659" s="89" t="s">
        <v>4</v>
      </c>
      <c r="E659" s="90">
        <f t="shared" si="138"/>
        <v>14737</v>
      </c>
      <c r="F659" s="90">
        <f t="shared" si="137"/>
        <v>12383.984105260595</v>
      </c>
      <c r="G659" s="91">
        <v>0.19</v>
      </c>
      <c r="H659" s="91" t="s">
        <v>228</v>
      </c>
      <c r="I659" s="91"/>
      <c r="J659" s="91"/>
      <c r="K659" s="91" t="s">
        <v>228</v>
      </c>
      <c r="L659" s="92" t="s">
        <v>302</v>
      </c>
      <c r="M659" s="91" t="str">
        <f>+IF(L659="no aplica","no aplica","VER ARCHIVO ANEXO")</f>
        <v>no aplica</v>
      </c>
      <c r="N659" s="93">
        <v>41608</v>
      </c>
      <c r="O659" s="94"/>
      <c r="P659" s="94"/>
      <c r="Q659" s="94">
        <v>520</v>
      </c>
      <c r="R659" s="95">
        <f t="shared" si="128"/>
        <v>12383.984105260595</v>
      </c>
      <c r="S659" s="94">
        <v>8104.1387999999997</v>
      </c>
      <c r="T659" s="94">
        <f t="shared" si="131"/>
        <v>8652.7889967600004</v>
      </c>
      <c r="U659" s="94">
        <f t="shared" si="132"/>
        <v>9150.3243640737019</v>
      </c>
      <c r="V659" s="94">
        <f t="shared" si="133"/>
        <v>9524.5726305643166</v>
      </c>
      <c r="W659" s="97">
        <f t="shared" si="134"/>
        <v>9827.454040216262</v>
      </c>
      <c r="X659" s="97">
        <f t="shared" si="135"/>
        <v>10200.89729374448</v>
      </c>
      <c r="Y659" s="97">
        <f t="shared" si="136"/>
        <v>10365.131740173765</v>
      </c>
      <c r="Z659" s="97">
        <f t="shared" si="129"/>
        <v>10947.652143971531</v>
      </c>
      <c r="AA659" s="97">
        <f t="shared" si="130"/>
        <v>12383.984105260595</v>
      </c>
    </row>
    <row r="660" spans="1:27" x14ac:dyDescent="0.25">
      <c r="A660" s="105" t="s">
        <v>1619</v>
      </c>
      <c r="B660" s="106" t="s">
        <v>1620</v>
      </c>
      <c r="C660" s="107"/>
      <c r="D660" s="108"/>
      <c r="E660" s="90">
        <f t="shared" si="138"/>
        <v>0</v>
      </c>
      <c r="F660" s="90">
        <f t="shared" si="137"/>
        <v>0</v>
      </c>
      <c r="G660" s="81"/>
      <c r="H660" s="81"/>
      <c r="I660" s="81"/>
      <c r="J660" s="81"/>
      <c r="K660" s="81"/>
      <c r="L660" s="92"/>
      <c r="M660" s="91"/>
      <c r="N660" s="93">
        <v>41608</v>
      </c>
      <c r="O660" s="109"/>
      <c r="P660" s="109"/>
      <c r="Q660" s="109">
        <v>0</v>
      </c>
      <c r="R660" s="95">
        <f t="shared" si="128"/>
        <v>0</v>
      </c>
      <c r="S660" s="109">
        <v>0</v>
      </c>
      <c r="T660" s="94">
        <f t="shared" si="131"/>
        <v>0</v>
      </c>
      <c r="U660" s="94">
        <f t="shared" si="132"/>
        <v>0</v>
      </c>
      <c r="V660" s="94">
        <f t="shared" si="133"/>
        <v>0</v>
      </c>
      <c r="W660" s="97">
        <f t="shared" si="134"/>
        <v>0</v>
      </c>
      <c r="X660" s="97">
        <f t="shared" si="135"/>
        <v>0</v>
      </c>
      <c r="Y660" s="97">
        <f t="shared" si="136"/>
        <v>0</v>
      </c>
      <c r="Z660" s="97">
        <f t="shared" si="129"/>
        <v>0</v>
      </c>
      <c r="AA660" s="97">
        <f t="shared" si="130"/>
        <v>0</v>
      </c>
    </row>
    <row r="661" spans="1:27" x14ac:dyDescent="0.25">
      <c r="A661" s="86" t="s">
        <v>1621</v>
      </c>
      <c r="B661" s="98" t="s">
        <v>1622</v>
      </c>
      <c r="C661" s="99" t="s">
        <v>226</v>
      </c>
      <c r="D661" s="100" t="s">
        <v>262</v>
      </c>
      <c r="E661" s="101">
        <f t="shared" si="138"/>
        <v>2477</v>
      </c>
      <c r="F661" s="90">
        <f t="shared" si="137"/>
        <v>2081.4217337314431</v>
      </c>
      <c r="G661" s="91">
        <v>0.19</v>
      </c>
      <c r="H661" s="91" t="s">
        <v>228</v>
      </c>
      <c r="I661" s="91" t="s">
        <v>228</v>
      </c>
      <c r="J661" s="91"/>
      <c r="K661" s="91" t="s">
        <v>228</v>
      </c>
      <c r="L661" s="92" t="s">
        <v>1623</v>
      </c>
      <c r="M661" s="91" t="str">
        <f t="shared" ref="M661:M724" si="139">+IF(L661="no aplica","no aplica","VER ARCHIVO ANEXO")</f>
        <v>VER ARCHIVO ANEXO</v>
      </c>
      <c r="N661" s="93">
        <v>41608</v>
      </c>
      <c r="O661" s="94"/>
      <c r="P661" s="94"/>
      <c r="Q661" s="94">
        <v>521</v>
      </c>
      <c r="R661" s="95">
        <f t="shared" si="128"/>
        <v>2081.4217337314431</v>
      </c>
      <c r="S661" s="94">
        <v>1362.0924</v>
      </c>
      <c r="T661" s="94">
        <f t="shared" si="131"/>
        <v>1454.3060554800002</v>
      </c>
      <c r="U661" s="94">
        <f t="shared" si="132"/>
        <v>1537.9286536701004</v>
      </c>
      <c r="V661" s="94">
        <f t="shared" si="133"/>
        <v>1600.8299356052073</v>
      </c>
      <c r="W661" s="97">
        <f t="shared" si="134"/>
        <v>1651.736327557453</v>
      </c>
      <c r="X661" s="97">
        <f t="shared" si="135"/>
        <v>1714.5023080046362</v>
      </c>
      <c r="Y661" s="97">
        <f t="shared" si="136"/>
        <v>1742.1057951635109</v>
      </c>
      <c r="Z661" s="97">
        <f t="shared" si="129"/>
        <v>1840.0121408517002</v>
      </c>
      <c r="AA661" s="97">
        <f t="shared" si="130"/>
        <v>2081.4217337314431</v>
      </c>
    </row>
    <row r="662" spans="1:27" x14ac:dyDescent="0.25">
      <c r="A662" s="86" t="s">
        <v>1624</v>
      </c>
      <c r="B662" s="116" t="s">
        <v>1625</v>
      </c>
      <c r="C662" s="88" t="s">
        <v>226</v>
      </c>
      <c r="D662" s="89" t="s">
        <v>262</v>
      </c>
      <c r="E662" s="90">
        <f t="shared" si="138"/>
        <v>5962</v>
      </c>
      <c r="F662" s="90">
        <f t="shared" si="137"/>
        <v>5010.3020881221873</v>
      </c>
      <c r="G662" s="91">
        <v>0.19</v>
      </c>
      <c r="H662" s="91" t="s">
        <v>228</v>
      </c>
      <c r="I662" s="91" t="s">
        <v>228</v>
      </c>
      <c r="J662" s="91"/>
      <c r="K662" s="91" t="s">
        <v>228</v>
      </c>
      <c r="L662" s="92" t="s">
        <v>1623</v>
      </c>
      <c r="M662" s="91" t="str">
        <f t="shared" si="139"/>
        <v>VER ARCHIVO ANEXO</v>
      </c>
      <c r="N662" s="93">
        <v>41608</v>
      </c>
      <c r="O662" s="94"/>
      <c r="P662" s="94"/>
      <c r="Q662" s="94">
        <v>522</v>
      </c>
      <c r="R662" s="95">
        <f t="shared" si="128"/>
        <v>5010.3020881221873</v>
      </c>
      <c r="S662" s="94">
        <v>3278.7657999999997</v>
      </c>
      <c r="T662" s="94">
        <f t="shared" si="131"/>
        <v>3500.73824466</v>
      </c>
      <c r="U662" s="94">
        <f t="shared" si="132"/>
        <v>3702.0306937279502</v>
      </c>
      <c r="V662" s="94">
        <f t="shared" si="133"/>
        <v>3853.4437491014232</v>
      </c>
      <c r="W662" s="97">
        <f t="shared" si="134"/>
        <v>3975.9832603228488</v>
      </c>
      <c r="X662" s="97">
        <f t="shared" si="135"/>
        <v>4127.0706242151173</v>
      </c>
      <c r="Y662" s="97">
        <f t="shared" si="136"/>
        <v>4193.5164612649805</v>
      </c>
      <c r="Z662" s="97">
        <f t="shared" si="129"/>
        <v>4429.1920863880723</v>
      </c>
      <c r="AA662" s="97">
        <f t="shared" si="130"/>
        <v>5010.3020881221873</v>
      </c>
    </row>
    <row r="663" spans="1:27" x14ac:dyDescent="0.25">
      <c r="A663" s="86" t="s">
        <v>1626</v>
      </c>
      <c r="B663" s="98" t="s">
        <v>1627</v>
      </c>
      <c r="C663" s="99" t="s">
        <v>226</v>
      </c>
      <c r="D663" s="100" t="s">
        <v>262</v>
      </c>
      <c r="E663" s="101">
        <f t="shared" si="138"/>
        <v>3817</v>
      </c>
      <c r="F663" s="90">
        <f t="shared" si="137"/>
        <v>3207.6704800655798</v>
      </c>
      <c r="G663" s="91">
        <v>0.19</v>
      </c>
      <c r="H663" s="91" t="s">
        <v>228</v>
      </c>
      <c r="I663" s="91" t="s">
        <v>228</v>
      </c>
      <c r="J663" s="91"/>
      <c r="K663" s="91" t="s">
        <v>228</v>
      </c>
      <c r="L663" s="92" t="s">
        <v>1623</v>
      </c>
      <c r="M663" s="91" t="str">
        <f t="shared" si="139"/>
        <v>VER ARCHIVO ANEXO</v>
      </c>
      <c r="N663" s="93">
        <v>41608</v>
      </c>
      <c r="O663" s="94"/>
      <c r="P663" s="94"/>
      <c r="Q663" s="94">
        <v>523</v>
      </c>
      <c r="R663" s="95">
        <f t="shared" si="128"/>
        <v>3207.6704800655798</v>
      </c>
      <c r="S663" s="94">
        <v>2099.1149999999998</v>
      </c>
      <c r="T663" s="94">
        <f t="shared" si="131"/>
        <v>2241.2250854999998</v>
      </c>
      <c r="U663" s="94">
        <f t="shared" si="132"/>
        <v>2370.0955279162499</v>
      </c>
      <c r="V663" s="94">
        <f t="shared" si="133"/>
        <v>2467.0324350080245</v>
      </c>
      <c r="W663" s="97">
        <f t="shared" si="134"/>
        <v>2545.48406644128</v>
      </c>
      <c r="X663" s="97">
        <f t="shared" si="135"/>
        <v>2642.2124609660486</v>
      </c>
      <c r="Y663" s="97">
        <f t="shared" si="136"/>
        <v>2684.7520815876019</v>
      </c>
      <c r="Z663" s="97">
        <f t="shared" si="129"/>
        <v>2835.6351485728251</v>
      </c>
      <c r="AA663" s="97">
        <f t="shared" si="130"/>
        <v>3207.6704800655798</v>
      </c>
    </row>
    <row r="664" spans="1:27" x14ac:dyDescent="0.25">
      <c r="A664" s="86" t="s">
        <v>1628</v>
      </c>
      <c r="B664" s="87" t="s">
        <v>1629</v>
      </c>
      <c r="C664" s="88" t="s">
        <v>226</v>
      </c>
      <c r="D664" s="89" t="s">
        <v>262</v>
      </c>
      <c r="E664" s="90">
        <f t="shared" si="138"/>
        <v>5467</v>
      </c>
      <c r="F664" s="90">
        <f t="shared" si="137"/>
        <v>4593.7009344149046</v>
      </c>
      <c r="G664" s="91">
        <v>0.19</v>
      </c>
      <c r="H664" s="91" t="s">
        <v>228</v>
      </c>
      <c r="I664" s="91" t="s">
        <v>228</v>
      </c>
      <c r="J664" s="91"/>
      <c r="K664" s="91" t="s">
        <v>228</v>
      </c>
      <c r="L664" s="92" t="s">
        <v>1623</v>
      </c>
      <c r="M664" s="91" t="str">
        <f t="shared" si="139"/>
        <v>VER ARCHIVO ANEXO</v>
      </c>
      <c r="N664" s="93">
        <v>41608</v>
      </c>
      <c r="O664" s="94"/>
      <c r="P664" s="94"/>
      <c r="Q664" s="94">
        <v>524</v>
      </c>
      <c r="R664" s="95">
        <f t="shared" si="128"/>
        <v>4593.7009344149046</v>
      </c>
      <c r="S664" s="94">
        <v>3006.14</v>
      </c>
      <c r="T664" s="94">
        <f t="shared" si="131"/>
        <v>3209.6556780000001</v>
      </c>
      <c r="U664" s="94">
        <f t="shared" si="132"/>
        <v>3394.2108794850005</v>
      </c>
      <c r="V664" s="94">
        <f t="shared" si="133"/>
        <v>3533.0341044559368</v>
      </c>
      <c r="W664" s="97">
        <f t="shared" si="134"/>
        <v>3645.3845889776358</v>
      </c>
      <c r="X664" s="97">
        <f t="shared" si="135"/>
        <v>3783.9092033587858</v>
      </c>
      <c r="Y664" s="97">
        <f t="shared" si="136"/>
        <v>3844.8301415328624</v>
      </c>
      <c r="Z664" s="97">
        <f t="shared" si="129"/>
        <v>4060.9095954870095</v>
      </c>
      <c r="AA664" s="97">
        <f t="shared" si="130"/>
        <v>4593.7009344149046</v>
      </c>
    </row>
    <row r="665" spans="1:27" x14ac:dyDescent="0.25">
      <c r="A665" s="86" t="s">
        <v>1630</v>
      </c>
      <c r="B665" s="98" t="s">
        <v>1631</v>
      </c>
      <c r="C665" s="99" t="s">
        <v>226</v>
      </c>
      <c r="D665" s="100" t="s">
        <v>262</v>
      </c>
      <c r="E665" s="101">
        <f t="shared" si="138"/>
        <v>15431</v>
      </c>
      <c r="F665" s="90">
        <f t="shared" si="137"/>
        <v>12966.908913489799</v>
      </c>
      <c r="G665" s="91">
        <v>0.19</v>
      </c>
      <c r="H665" s="91" t="s">
        <v>228</v>
      </c>
      <c r="I665" s="91" t="s">
        <v>228</v>
      </c>
      <c r="J665" s="91"/>
      <c r="K665" s="91" t="s">
        <v>228</v>
      </c>
      <c r="L665" s="92" t="s">
        <v>1623</v>
      </c>
      <c r="M665" s="91" t="str">
        <f t="shared" si="139"/>
        <v>VER ARCHIVO ANEXO</v>
      </c>
      <c r="N665" s="93">
        <v>41608</v>
      </c>
      <c r="O665" s="94"/>
      <c r="P665" s="94"/>
      <c r="Q665" s="94">
        <v>525</v>
      </c>
      <c r="R665" s="95">
        <f t="shared" si="128"/>
        <v>12966.908913489799</v>
      </c>
      <c r="S665" s="94">
        <v>8485.6075999999994</v>
      </c>
      <c r="T665" s="94">
        <f t="shared" si="131"/>
        <v>9060.0832345199997</v>
      </c>
      <c r="U665" s="94">
        <f t="shared" si="132"/>
        <v>9581.0380205049005</v>
      </c>
      <c r="V665" s="94">
        <f t="shared" si="133"/>
        <v>9972.9024755435512</v>
      </c>
      <c r="W665" s="97">
        <f t="shared" si="134"/>
        <v>10290.040774265837</v>
      </c>
      <c r="X665" s="97">
        <f t="shared" si="135"/>
        <v>10681.06232368794</v>
      </c>
      <c r="Y665" s="97">
        <f t="shared" si="136"/>
        <v>10853.027427099316</v>
      </c>
      <c r="Z665" s="97">
        <f t="shared" si="129"/>
        <v>11462.967568502298</v>
      </c>
      <c r="AA665" s="97">
        <f t="shared" si="130"/>
        <v>12966.908913489799</v>
      </c>
    </row>
    <row r="666" spans="1:27" x14ac:dyDescent="0.25">
      <c r="A666" s="86" t="s">
        <v>1632</v>
      </c>
      <c r="B666" s="98" t="s">
        <v>1633</v>
      </c>
      <c r="C666" s="99" t="s">
        <v>226</v>
      </c>
      <c r="D666" s="100" t="s">
        <v>262</v>
      </c>
      <c r="E666" s="101">
        <f t="shared" si="138"/>
        <v>9862</v>
      </c>
      <c r="F666" s="90">
        <f t="shared" si="137"/>
        <v>8287.6700996064774</v>
      </c>
      <c r="G666" s="91">
        <v>0.19</v>
      </c>
      <c r="H666" s="91" t="s">
        <v>228</v>
      </c>
      <c r="I666" s="91" t="s">
        <v>228</v>
      </c>
      <c r="J666" s="91"/>
      <c r="K666" s="91" t="s">
        <v>228</v>
      </c>
      <c r="L666" s="92" t="s">
        <v>1623</v>
      </c>
      <c r="M666" s="91" t="str">
        <f t="shared" si="139"/>
        <v>VER ARCHIVO ANEXO</v>
      </c>
      <c r="N666" s="93">
        <v>41608</v>
      </c>
      <c r="O666" s="94"/>
      <c r="P666" s="94"/>
      <c r="Q666" s="94">
        <v>526</v>
      </c>
      <c r="R666" s="95">
        <f t="shared" si="128"/>
        <v>8287.6700996064774</v>
      </c>
      <c r="S666" s="94">
        <v>5423.4911999999995</v>
      </c>
      <c r="T666" s="94">
        <f t="shared" si="131"/>
        <v>5790.6615542399995</v>
      </c>
      <c r="U666" s="94">
        <f t="shared" si="132"/>
        <v>6123.6245936087998</v>
      </c>
      <c r="V666" s="94">
        <f t="shared" si="133"/>
        <v>6374.0808394873993</v>
      </c>
      <c r="W666" s="97">
        <f t="shared" si="134"/>
        <v>6576.7766101830994</v>
      </c>
      <c r="X666" s="97">
        <f t="shared" si="135"/>
        <v>6826.6941213700575</v>
      </c>
      <c r="Y666" s="97">
        <f t="shared" si="136"/>
        <v>6936.6038967241157</v>
      </c>
      <c r="Z666" s="97">
        <f t="shared" si="129"/>
        <v>7326.4410357200113</v>
      </c>
      <c r="AA666" s="97">
        <f t="shared" si="130"/>
        <v>8287.6700996064774</v>
      </c>
    </row>
    <row r="667" spans="1:27" x14ac:dyDescent="0.25">
      <c r="A667" s="86" t="s">
        <v>1634</v>
      </c>
      <c r="B667" s="98" t="s">
        <v>1635</v>
      </c>
      <c r="C667" s="99" t="s">
        <v>226</v>
      </c>
      <c r="D667" s="100" t="s">
        <v>262</v>
      </c>
      <c r="E667" s="101">
        <f t="shared" si="138"/>
        <v>4835</v>
      </c>
      <c r="F667" s="90">
        <f t="shared" si="137"/>
        <v>4063.0492747497346</v>
      </c>
      <c r="G667" s="91">
        <v>0.19</v>
      </c>
      <c r="H667" s="91" t="s">
        <v>228</v>
      </c>
      <c r="I667" s="91" t="s">
        <v>228</v>
      </c>
      <c r="J667" s="91"/>
      <c r="K667" s="91" t="s">
        <v>228</v>
      </c>
      <c r="L667" s="92" t="s">
        <v>1623</v>
      </c>
      <c r="M667" s="91" t="str">
        <f t="shared" si="139"/>
        <v>VER ARCHIVO ANEXO</v>
      </c>
      <c r="N667" s="93">
        <v>41608</v>
      </c>
      <c r="O667" s="94"/>
      <c r="P667" s="94"/>
      <c r="Q667" s="94">
        <v>527</v>
      </c>
      <c r="R667" s="95">
        <f t="shared" si="128"/>
        <v>4063.0492747497346</v>
      </c>
      <c r="S667" s="94">
        <v>2658.8789999999999</v>
      </c>
      <c r="T667" s="94">
        <f t="shared" si="131"/>
        <v>2838.8851083</v>
      </c>
      <c r="U667" s="94">
        <f t="shared" si="132"/>
        <v>3002.1210020272501</v>
      </c>
      <c r="V667" s="94">
        <f t="shared" si="133"/>
        <v>3124.9077510101647</v>
      </c>
      <c r="W667" s="97">
        <f t="shared" si="134"/>
        <v>3224.2798174922882</v>
      </c>
      <c r="X667" s="97">
        <f t="shared" si="135"/>
        <v>3346.8024505569952</v>
      </c>
      <c r="Y667" s="97">
        <f t="shared" si="136"/>
        <v>3400.6859700109626</v>
      </c>
      <c r="Z667" s="97">
        <f t="shared" si="129"/>
        <v>3591.8045215255788</v>
      </c>
      <c r="AA667" s="97">
        <f t="shared" si="130"/>
        <v>4063.0492747497346</v>
      </c>
    </row>
    <row r="668" spans="1:27" x14ac:dyDescent="0.25">
      <c r="A668" s="86" t="s">
        <v>1636</v>
      </c>
      <c r="B668" s="98" t="s">
        <v>1637</v>
      </c>
      <c r="C668" s="99" t="s">
        <v>226</v>
      </c>
      <c r="D668" s="100" t="s">
        <v>262</v>
      </c>
      <c r="E668" s="101">
        <f t="shared" si="138"/>
        <v>1587</v>
      </c>
      <c r="F668" s="90">
        <f t="shared" si="137"/>
        <v>1333.7573057852933</v>
      </c>
      <c r="G668" s="91">
        <v>0.19</v>
      </c>
      <c r="H668" s="91" t="s">
        <v>228</v>
      </c>
      <c r="I668" s="91" t="s">
        <v>228</v>
      </c>
      <c r="J668" s="91"/>
      <c r="K668" s="91" t="s">
        <v>228</v>
      </c>
      <c r="L668" s="92" t="s">
        <v>1623</v>
      </c>
      <c r="M668" s="91" t="str">
        <f t="shared" si="139"/>
        <v>VER ARCHIVO ANEXO</v>
      </c>
      <c r="N668" s="93">
        <v>41608</v>
      </c>
      <c r="O668" s="94"/>
      <c r="P668" s="94"/>
      <c r="Q668" s="94">
        <v>528</v>
      </c>
      <c r="R668" s="95">
        <f t="shared" si="128"/>
        <v>1333.7573057852933</v>
      </c>
      <c r="S668" s="94">
        <v>872.81719999999996</v>
      </c>
      <c r="T668" s="94">
        <f t="shared" si="131"/>
        <v>931.90692444000001</v>
      </c>
      <c r="U668" s="94">
        <f t="shared" si="132"/>
        <v>985.49157259530011</v>
      </c>
      <c r="V668" s="94">
        <f t="shared" si="133"/>
        <v>1025.7981779144479</v>
      </c>
      <c r="W668" s="97">
        <f t="shared" si="134"/>
        <v>1058.4185599721275</v>
      </c>
      <c r="X668" s="97">
        <f t="shared" si="135"/>
        <v>1098.6384652510683</v>
      </c>
      <c r="Y668" s="97">
        <f t="shared" si="136"/>
        <v>1116.3265445416105</v>
      </c>
      <c r="Z668" s="97">
        <f t="shared" si="129"/>
        <v>1179.0640963448491</v>
      </c>
      <c r="AA668" s="97">
        <f t="shared" si="130"/>
        <v>1333.7573057852933</v>
      </c>
    </row>
    <row r="669" spans="1:27" x14ac:dyDescent="0.25">
      <c r="A669" s="86" t="s">
        <v>1638</v>
      </c>
      <c r="B669" s="87" t="s">
        <v>1639</v>
      </c>
      <c r="C669" s="88" t="s">
        <v>226</v>
      </c>
      <c r="D669" s="89" t="s">
        <v>262</v>
      </c>
      <c r="E669" s="90">
        <f t="shared" si="138"/>
        <v>73879</v>
      </c>
      <c r="F669" s="90">
        <f t="shared" si="137"/>
        <v>62083.076111214948</v>
      </c>
      <c r="G669" s="91">
        <v>0.19</v>
      </c>
      <c r="H669" s="91" t="s">
        <v>228</v>
      </c>
      <c r="I669" s="91" t="s">
        <v>228</v>
      </c>
      <c r="J669" s="91"/>
      <c r="K669" s="91" t="s">
        <v>228</v>
      </c>
      <c r="L669" s="92" t="s">
        <v>1623</v>
      </c>
      <c r="M669" s="91" t="str">
        <f t="shared" si="139"/>
        <v>VER ARCHIVO ANEXO</v>
      </c>
      <c r="N669" s="93">
        <v>41608</v>
      </c>
      <c r="O669" s="94"/>
      <c r="P669" s="94"/>
      <c r="Q669" s="94">
        <v>529</v>
      </c>
      <c r="R669" s="95">
        <f t="shared" si="128"/>
        <v>62083.076111214948</v>
      </c>
      <c r="S669" s="94">
        <v>40627.463799999998</v>
      </c>
      <c r="T669" s="94">
        <f t="shared" si="131"/>
        <v>43377.943099260003</v>
      </c>
      <c r="U669" s="94">
        <f t="shared" si="132"/>
        <v>45872.174827467461</v>
      </c>
      <c r="V669" s="94">
        <f t="shared" si="133"/>
        <v>47748.346777910876</v>
      </c>
      <c r="W669" s="97">
        <f t="shared" si="134"/>
        <v>49266.744205448442</v>
      </c>
      <c r="X669" s="97">
        <f t="shared" si="135"/>
        <v>51138.880485255482</v>
      </c>
      <c r="Y669" s="97">
        <f t="shared" si="136"/>
        <v>51962.216461068092</v>
      </c>
      <c r="Z669" s="97">
        <f t="shared" si="129"/>
        <v>54882.49302618012</v>
      </c>
      <c r="AA669" s="97">
        <f t="shared" si="130"/>
        <v>62083.076111214948</v>
      </c>
    </row>
    <row r="670" spans="1:27" x14ac:dyDescent="0.25">
      <c r="A670" s="86" t="s">
        <v>1640</v>
      </c>
      <c r="B670" s="87" t="s">
        <v>1641</v>
      </c>
      <c r="C670" s="88" t="s">
        <v>226</v>
      </c>
      <c r="D670" s="89" t="s">
        <v>262</v>
      </c>
      <c r="E670" s="90">
        <f t="shared" si="138"/>
        <v>25084</v>
      </c>
      <c r="F670" s="90">
        <f t="shared" si="137"/>
        <v>21078.75114974453</v>
      </c>
      <c r="G670" s="91">
        <v>0.19</v>
      </c>
      <c r="H670" s="91" t="s">
        <v>228</v>
      </c>
      <c r="I670" s="91" t="s">
        <v>228</v>
      </c>
      <c r="J670" s="91"/>
      <c r="K670" s="91" t="s">
        <v>228</v>
      </c>
      <c r="L670" s="92" t="s">
        <v>1623</v>
      </c>
      <c r="M670" s="91" t="str">
        <f t="shared" si="139"/>
        <v>VER ARCHIVO ANEXO</v>
      </c>
      <c r="N670" s="93">
        <v>41608</v>
      </c>
      <c r="O670" s="94"/>
      <c r="P670" s="94"/>
      <c r="Q670" s="94">
        <v>530</v>
      </c>
      <c r="R670" s="95">
        <f t="shared" si="128"/>
        <v>21078.75114974453</v>
      </c>
      <c r="S670" s="94">
        <v>13794.036199999999</v>
      </c>
      <c r="T670" s="94">
        <f t="shared" si="131"/>
        <v>14727.892450740001</v>
      </c>
      <c r="U670" s="94">
        <f t="shared" si="132"/>
        <v>15574.746266657552</v>
      </c>
      <c r="V670" s="94">
        <f t="shared" si="133"/>
        <v>16211.753388963845</v>
      </c>
      <c r="W670" s="97">
        <f t="shared" si="134"/>
        <v>16727.287146732895</v>
      </c>
      <c r="X670" s="97">
        <f t="shared" si="135"/>
        <v>17362.924058308745</v>
      </c>
      <c r="Y670" s="97">
        <f t="shared" si="136"/>
        <v>17642.467135647516</v>
      </c>
      <c r="Z670" s="97">
        <f t="shared" si="129"/>
        <v>18633.973788670908</v>
      </c>
      <c r="AA670" s="97">
        <f t="shared" si="130"/>
        <v>21078.75114974453</v>
      </c>
    </row>
    <row r="671" spans="1:27" x14ac:dyDescent="0.25">
      <c r="A671" s="86" t="s">
        <v>1642</v>
      </c>
      <c r="B671" s="87" t="s">
        <v>1643</v>
      </c>
      <c r="C671" s="88" t="s">
        <v>226</v>
      </c>
      <c r="D671" s="89" t="s">
        <v>262</v>
      </c>
      <c r="E671" s="90">
        <f t="shared" si="138"/>
        <v>99918</v>
      </c>
      <c r="F671" s="90">
        <f t="shared" si="137"/>
        <v>83964.932907079623</v>
      </c>
      <c r="G671" s="91">
        <v>0.19</v>
      </c>
      <c r="H671" s="91" t="s">
        <v>228</v>
      </c>
      <c r="I671" s="91" t="s">
        <v>228</v>
      </c>
      <c r="J671" s="91"/>
      <c r="K671" s="91" t="s">
        <v>228</v>
      </c>
      <c r="L671" s="92" t="s">
        <v>1623</v>
      </c>
      <c r="M671" s="91" t="str">
        <f t="shared" si="139"/>
        <v>VER ARCHIVO ANEXO</v>
      </c>
      <c r="N671" s="93">
        <v>41608</v>
      </c>
      <c r="O671" s="94"/>
      <c r="P671" s="94"/>
      <c r="Q671" s="94">
        <v>531</v>
      </c>
      <c r="R671" s="95">
        <f t="shared" si="128"/>
        <v>83964.932907079623</v>
      </c>
      <c r="S671" s="94">
        <v>54947.056199999999</v>
      </c>
      <c r="T671" s="94">
        <f t="shared" si="131"/>
        <v>58666.971904740007</v>
      </c>
      <c r="U671" s="94">
        <f t="shared" si="132"/>
        <v>62040.322789262565</v>
      </c>
      <c r="V671" s="94">
        <f t="shared" si="133"/>
        <v>64577.771991343398</v>
      </c>
      <c r="W671" s="97">
        <f t="shared" si="134"/>
        <v>66631.345140668127</v>
      </c>
      <c r="X671" s="97">
        <f t="shared" si="135"/>
        <v>69163.336256013514</v>
      </c>
      <c r="Y671" s="97">
        <f t="shared" si="136"/>
        <v>70276.865969735329</v>
      </c>
      <c r="Z671" s="97">
        <f t="shared" si="129"/>
        <v>74226.425837234463</v>
      </c>
      <c r="AA671" s="97">
        <f t="shared" si="130"/>
        <v>83964.932907079623</v>
      </c>
    </row>
    <row r="672" spans="1:27" x14ac:dyDescent="0.25">
      <c r="A672" s="86" t="s">
        <v>1644</v>
      </c>
      <c r="B672" s="87" t="s">
        <v>1645</v>
      </c>
      <c r="C672" s="88" t="s">
        <v>226</v>
      </c>
      <c r="D672" s="89" t="s">
        <v>262</v>
      </c>
      <c r="E672" s="101">
        <f t="shared" si="138"/>
        <v>2707</v>
      </c>
      <c r="F672" s="90">
        <f t="shared" si="137"/>
        <v>2274.6739799378634</v>
      </c>
      <c r="G672" s="91">
        <v>0.19</v>
      </c>
      <c r="H672" s="91" t="s">
        <v>228</v>
      </c>
      <c r="I672" s="91" t="s">
        <v>228</v>
      </c>
      <c r="J672" s="91"/>
      <c r="K672" s="91" t="s">
        <v>228</v>
      </c>
      <c r="L672" s="92" t="s">
        <v>1623</v>
      </c>
      <c r="M672" s="91" t="str">
        <f t="shared" si="139"/>
        <v>VER ARCHIVO ANEXO</v>
      </c>
      <c r="N672" s="93">
        <v>41608</v>
      </c>
      <c r="O672" s="94"/>
      <c r="P672" s="94"/>
      <c r="Q672" s="94">
        <v>532</v>
      </c>
      <c r="R672" s="95">
        <f t="shared" si="128"/>
        <v>2274.6739799378634</v>
      </c>
      <c r="S672" s="94">
        <v>1488.5575999999999</v>
      </c>
      <c r="T672" s="94">
        <f t="shared" si="131"/>
        <v>1589.3329495200001</v>
      </c>
      <c r="U672" s="94">
        <f t="shared" si="132"/>
        <v>1680.7195941174002</v>
      </c>
      <c r="V672" s="94">
        <f t="shared" si="133"/>
        <v>1749.4610255168018</v>
      </c>
      <c r="W672" s="97">
        <f t="shared" si="134"/>
        <v>1805.0938861282361</v>
      </c>
      <c r="X672" s="97">
        <f t="shared" si="135"/>
        <v>1873.6874538011091</v>
      </c>
      <c r="Y672" s="97">
        <f t="shared" si="136"/>
        <v>1903.853821807307</v>
      </c>
      <c r="Z672" s="97">
        <f t="shared" si="129"/>
        <v>2010.8504065928778</v>
      </c>
      <c r="AA672" s="97">
        <f t="shared" si="130"/>
        <v>2274.6739799378634</v>
      </c>
    </row>
    <row r="673" spans="1:27" x14ac:dyDescent="0.25">
      <c r="A673" s="86" t="s">
        <v>1646</v>
      </c>
      <c r="B673" s="87" t="s">
        <v>1647</v>
      </c>
      <c r="C673" s="88" t="s">
        <v>226</v>
      </c>
      <c r="D673" s="89" t="s">
        <v>262</v>
      </c>
      <c r="E673" s="90">
        <f t="shared" si="138"/>
        <v>207548</v>
      </c>
      <c r="F673" s="90">
        <f t="shared" si="137"/>
        <v>174410.15220129414</v>
      </c>
      <c r="G673" s="91">
        <v>0.19</v>
      </c>
      <c r="H673" s="91" t="s">
        <v>228</v>
      </c>
      <c r="I673" s="91" t="s">
        <v>228</v>
      </c>
      <c r="J673" s="91"/>
      <c r="K673" s="91" t="s">
        <v>228</v>
      </c>
      <c r="L673" s="92" t="s">
        <v>1623</v>
      </c>
      <c r="M673" s="91" t="str">
        <f t="shared" si="139"/>
        <v>VER ARCHIVO ANEXO</v>
      </c>
      <c r="N673" s="93">
        <v>41608</v>
      </c>
      <c r="O673" s="94"/>
      <c r="P673" s="94"/>
      <c r="Q673" s="94">
        <v>533</v>
      </c>
      <c r="R673" s="95">
        <f t="shared" si="128"/>
        <v>174410.15220129414</v>
      </c>
      <c r="S673" s="94">
        <v>114134.84299999999</v>
      </c>
      <c r="T673" s="94">
        <f t="shared" si="131"/>
        <v>121861.77187110001</v>
      </c>
      <c r="U673" s="94">
        <f t="shared" si="132"/>
        <v>128868.82375368827</v>
      </c>
      <c r="V673" s="94">
        <f t="shared" si="133"/>
        <v>134139.5586452141</v>
      </c>
      <c r="W673" s="97">
        <f t="shared" si="134"/>
        <v>138405.19661013191</v>
      </c>
      <c r="X673" s="97">
        <f t="shared" si="135"/>
        <v>143664.59408131693</v>
      </c>
      <c r="Y673" s="97">
        <f t="shared" si="136"/>
        <v>145977.59404602612</v>
      </c>
      <c r="Z673" s="97">
        <f t="shared" si="129"/>
        <v>154181.53483141278</v>
      </c>
      <c r="AA673" s="97">
        <f t="shared" si="130"/>
        <v>174410.15220129414</v>
      </c>
    </row>
    <row r="674" spans="1:27" x14ac:dyDescent="0.25">
      <c r="A674" s="86" t="s">
        <v>1648</v>
      </c>
      <c r="B674" s="98" t="s">
        <v>1649</v>
      </c>
      <c r="C674" s="99" t="s">
        <v>226</v>
      </c>
      <c r="D674" s="100" t="s">
        <v>262</v>
      </c>
      <c r="E674" s="101">
        <f t="shared" si="138"/>
        <v>134845</v>
      </c>
      <c r="F674" s="90">
        <f t="shared" si="137"/>
        <v>113315.51380838091</v>
      </c>
      <c r="G674" s="91">
        <v>0.19</v>
      </c>
      <c r="H674" s="91" t="s">
        <v>228</v>
      </c>
      <c r="I674" s="91" t="s">
        <v>228</v>
      </c>
      <c r="J674" s="91"/>
      <c r="K674" s="91" t="s">
        <v>228</v>
      </c>
      <c r="L674" s="92" t="s">
        <v>1442</v>
      </c>
      <c r="M674" s="91" t="str">
        <f t="shared" si="139"/>
        <v>VER ARCHIVO ANEXO</v>
      </c>
      <c r="N674" s="93">
        <v>41608</v>
      </c>
      <c r="O674" s="94"/>
      <c r="P674" s="94"/>
      <c r="Q674" s="94">
        <v>534</v>
      </c>
      <c r="R674" s="95">
        <f t="shared" si="128"/>
        <v>113315.51380838091</v>
      </c>
      <c r="S674" s="94">
        <v>74154.217600000004</v>
      </c>
      <c r="T674" s="94">
        <f t="shared" si="131"/>
        <v>79174.458131520005</v>
      </c>
      <c r="U674" s="94">
        <f t="shared" si="132"/>
        <v>83726.989474082409</v>
      </c>
      <c r="V674" s="94">
        <f t="shared" si="133"/>
        <v>87151.423343572373</v>
      </c>
      <c r="W674" s="97">
        <f t="shared" si="134"/>
        <v>89922.838605897981</v>
      </c>
      <c r="X674" s="97">
        <f t="shared" si="135"/>
        <v>93339.906472922114</v>
      </c>
      <c r="Y674" s="97">
        <f t="shared" si="136"/>
        <v>94842.678967136162</v>
      </c>
      <c r="Z674" s="97">
        <f t="shared" si="129"/>
        <v>100172.83752508921</v>
      </c>
      <c r="AA674" s="97">
        <f t="shared" si="130"/>
        <v>113315.51380838091</v>
      </c>
    </row>
    <row r="675" spans="1:27" x14ac:dyDescent="0.25">
      <c r="A675" s="86" t="s">
        <v>1650</v>
      </c>
      <c r="B675" s="87" t="s">
        <v>1651</v>
      </c>
      <c r="C675" s="88" t="s">
        <v>226</v>
      </c>
      <c r="D675" s="89" t="s">
        <v>262</v>
      </c>
      <c r="E675" s="90">
        <f t="shared" si="138"/>
        <v>67581</v>
      </c>
      <c r="F675" s="90">
        <f t="shared" si="137"/>
        <v>56790.815827807986</v>
      </c>
      <c r="G675" s="91">
        <v>0.19</v>
      </c>
      <c r="H675" s="91" t="s">
        <v>228</v>
      </c>
      <c r="I675" s="91" t="s">
        <v>228</v>
      </c>
      <c r="J675" s="91"/>
      <c r="K675" s="91" t="s">
        <v>228</v>
      </c>
      <c r="L675" s="92" t="s">
        <v>1442</v>
      </c>
      <c r="M675" s="91" t="str">
        <f t="shared" si="139"/>
        <v>VER ARCHIVO ANEXO</v>
      </c>
      <c r="N675" s="93">
        <v>41608</v>
      </c>
      <c r="O675" s="94"/>
      <c r="P675" s="94"/>
      <c r="Q675" s="94">
        <v>535</v>
      </c>
      <c r="R675" s="95">
        <f t="shared" si="128"/>
        <v>56790.815827807986</v>
      </c>
      <c r="S675" s="94">
        <v>37164.183199999999</v>
      </c>
      <c r="T675" s="94">
        <f t="shared" si="131"/>
        <v>39680.198402640002</v>
      </c>
      <c r="U675" s="94">
        <f t="shared" si="132"/>
        <v>41961.809810791805</v>
      </c>
      <c r="V675" s="94">
        <f t="shared" si="133"/>
        <v>43678.047832053184</v>
      </c>
      <c r="W675" s="97">
        <f t="shared" si="134"/>
        <v>45067.009753112477</v>
      </c>
      <c r="X675" s="97">
        <f t="shared" si="135"/>
        <v>46779.556123730756</v>
      </c>
      <c r="Y675" s="97">
        <f t="shared" si="136"/>
        <v>47532.706977322821</v>
      </c>
      <c r="Z675" s="97">
        <f t="shared" si="129"/>
        <v>50204.045109448365</v>
      </c>
      <c r="AA675" s="97">
        <f t="shared" si="130"/>
        <v>56790.815827807986</v>
      </c>
    </row>
    <row r="676" spans="1:27" x14ac:dyDescent="0.25">
      <c r="A676" s="86" t="s">
        <v>1652</v>
      </c>
      <c r="B676" s="98" t="s">
        <v>1653</v>
      </c>
      <c r="C676" s="99" t="s">
        <v>226</v>
      </c>
      <c r="D676" s="100" t="s">
        <v>262</v>
      </c>
      <c r="E676" s="101">
        <f t="shared" si="138"/>
        <v>4549</v>
      </c>
      <c r="F676" s="90">
        <f t="shared" si="137"/>
        <v>3822.2759843941949</v>
      </c>
      <c r="G676" s="91">
        <v>0.19</v>
      </c>
      <c r="H676" s="91" t="s">
        <v>228</v>
      </c>
      <c r="I676" s="91" t="s">
        <v>228</v>
      </c>
      <c r="J676" s="91"/>
      <c r="K676" s="91" t="s">
        <v>228</v>
      </c>
      <c r="L676" s="92" t="s">
        <v>1623</v>
      </c>
      <c r="M676" s="91" t="str">
        <f t="shared" si="139"/>
        <v>VER ARCHIVO ANEXO</v>
      </c>
      <c r="N676" s="93">
        <v>41608</v>
      </c>
      <c r="O676" s="94"/>
      <c r="P676" s="94"/>
      <c r="Q676" s="94">
        <v>536</v>
      </c>
      <c r="R676" s="95">
        <f t="shared" si="128"/>
        <v>3822.2759843941949</v>
      </c>
      <c r="S676" s="94">
        <v>2501.3157999999999</v>
      </c>
      <c r="T676" s="94">
        <f t="shared" si="131"/>
        <v>2670.65487966</v>
      </c>
      <c r="U676" s="94">
        <f t="shared" si="132"/>
        <v>2824.2175352404502</v>
      </c>
      <c r="V676" s="94">
        <f t="shared" si="133"/>
        <v>2939.7280324317844</v>
      </c>
      <c r="W676" s="97">
        <f t="shared" si="134"/>
        <v>3033.2113838631153</v>
      </c>
      <c r="X676" s="97">
        <f t="shared" si="135"/>
        <v>3148.4734164499137</v>
      </c>
      <c r="Y676" s="97">
        <f t="shared" si="136"/>
        <v>3199.1638384547573</v>
      </c>
      <c r="Z676" s="97">
        <f t="shared" si="129"/>
        <v>3378.956846175915</v>
      </c>
      <c r="AA676" s="97">
        <f t="shared" si="130"/>
        <v>3822.2759843941949</v>
      </c>
    </row>
    <row r="677" spans="1:27" x14ac:dyDescent="0.25">
      <c r="A677" s="86" t="s">
        <v>1654</v>
      </c>
      <c r="B677" s="110" t="s">
        <v>1655</v>
      </c>
      <c r="C677" s="88" t="s">
        <v>226</v>
      </c>
      <c r="D677" s="89" t="s">
        <v>262</v>
      </c>
      <c r="E677" s="90">
        <f t="shared" si="138"/>
        <v>128525</v>
      </c>
      <c r="F677" s="90">
        <f t="shared" si="137"/>
        <v>108004.2451073143</v>
      </c>
      <c r="G677" s="91">
        <v>0.19</v>
      </c>
      <c r="H677" s="91" t="s">
        <v>228</v>
      </c>
      <c r="I677" s="91" t="s">
        <v>228</v>
      </c>
      <c r="J677" s="91"/>
      <c r="K677" s="91" t="s">
        <v>228</v>
      </c>
      <c r="L677" s="92" t="s">
        <v>1623</v>
      </c>
      <c r="M677" s="91" t="str">
        <f t="shared" si="139"/>
        <v>VER ARCHIVO ANEXO</v>
      </c>
      <c r="N677" s="93">
        <v>41608</v>
      </c>
      <c r="O677" s="94"/>
      <c r="P677" s="94"/>
      <c r="Q677" s="94">
        <v>537</v>
      </c>
      <c r="R677" s="95">
        <f t="shared" si="128"/>
        <v>108004.2451073143</v>
      </c>
      <c r="S677" s="94">
        <v>70678.497799999997</v>
      </c>
      <c r="T677" s="94">
        <f t="shared" si="131"/>
        <v>75463.432101060011</v>
      </c>
      <c r="U677" s="94">
        <f t="shared" si="132"/>
        <v>79802.579446870965</v>
      </c>
      <c r="V677" s="94">
        <f t="shared" si="133"/>
        <v>83066.50494624798</v>
      </c>
      <c r="W677" s="97">
        <f t="shared" si="134"/>
        <v>85708.019803538671</v>
      </c>
      <c r="X677" s="97">
        <f t="shared" si="135"/>
        <v>88964.924556073151</v>
      </c>
      <c r="Y677" s="97">
        <f t="shared" si="136"/>
        <v>90397.259841425926</v>
      </c>
      <c r="Z677" s="97">
        <f t="shared" si="129"/>
        <v>95477.585844514062</v>
      </c>
      <c r="AA677" s="97">
        <f t="shared" si="130"/>
        <v>108004.2451073143</v>
      </c>
    </row>
    <row r="678" spans="1:27" x14ac:dyDescent="0.25">
      <c r="A678" s="86" t="s">
        <v>1656</v>
      </c>
      <c r="B678" s="110" t="s">
        <v>1657</v>
      </c>
      <c r="C678" s="88" t="s">
        <v>226</v>
      </c>
      <c r="D678" s="89" t="s">
        <v>262</v>
      </c>
      <c r="E678" s="90">
        <f t="shared" si="138"/>
        <v>247410</v>
      </c>
      <c r="F678" s="90">
        <f t="shared" si="137"/>
        <v>207907.73622200865</v>
      </c>
      <c r="G678" s="91">
        <v>0.19</v>
      </c>
      <c r="H678" s="91" t="s">
        <v>228</v>
      </c>
      <c r="I678" s="91" t="s">
        <v>228</v>
      </c>
      <c r="J678" s="91"/>
      <c r="K678" s="91" t="s">
        <v>228</v>
      </c>
      <c r="L678" s="92" t="s">
        <v>1623</v>
      </c>
      <c r="M678" s="91" t="str">
        <f t="shared" si="139"/>
        <v>VER ARCHIVO ANEXO</v>
      </c>
      <c r="N678" s="93">
        <v>41608</v>
      </c>
      <c r="O678" s="94"/>
      <c r="P678" s="94"/>
      <c r="Q678" s="94">
        <v>538</v>
      </c>
      <c r="R678" s="95">
        <f t="shared" si="128"/>
        <v>207907.73622200865</v>
      </c>
      <c r="S678" s="94">
        <v>136055.82319999998</v>
      </c>
      <c r="T678" s="94">
        <f t="shared" si="131"/>
        <v>145266.80243064</v>
      </c>
      <c r="U678" s="94">
        <f t="shared" si="132"/>
        <v>153619.64357040182</v>
      </c>
      <c r="V678" s="94">
        <f t="shared" si="133"/>
        <v>159902.68699243123</v>
      </c>
      <c r="W678" s="97">
        <f t="shared" si="134"/>
        <v>164987.59243879057</v>
      </c>
      <c r="X678" s="97">
        <f t="shared" si="135"/>
        <v>171257.1209514646</v>
      </c>
      <c r="Y678" s="97">
        <f t="shared" si="136"/>
        <v>174014.36059878318</v>
      </c>
      <c r="Z678" s="97">
        <f t="shared" si="129"/>
        <v>183793.96766443481</v>
      </c>
      <c r="AA678" s="97">
        <f t="shared" si="130"/>
        <v>207907.73622200865</v>
      </c>
    </row>
    <row r="679" spans="1:27" x14ac:dyDescent="0.25">
      <c r="A679" s="86" t="s">
        <v>1658</v>
      </c>
      <c r="B679" s="116" t="s">
        <v>1659</v>
      </c>
      <c r="C679" s="88" t="s">
        <v>226</v>
      </c>
      <c r="D679" s="89" t="s">
        <v>262</v>
      </c>
      <c r="E679" s="90">
        <f t="shared" si="138"/>
        <v>15336</v>
      </c>
      <c r="F679" s="90">
        <f t="shared" si="137"/>
        <v>12887.707173241266</v>
      </c>
      <c r="G679" s="91">
        <v>0.19</v>
      </c>
      <c r="H679" s="91" t="s">
        <v>228</v>
      </c>
      <c r="I679" s="91" t="s">
        <v>228</v>
      </c>
      <c r="J679" s="91"/>
      <c r="K679" s="91" t="s">
        <v>228</v>
      </c>
      <c r="L679" s="92" t="s">
        <v>1442</v>
      </c>
      <c r="M679" s="91" t="str">
        <f t="shared" si="139"/>
        <v>VER ARCHIVO ANEXO</v>
      </c>
      <c r="N679" s="93">
        <v>41608</v>
      </c>
      <c r="O679" s="94">
        <v>12287</v>
      </c>
      <c r="P679" s="94" t="s">
        <v>1443</v>
      </c>
      <c r="Q679" s="94">
        <v>539</v>
      </c>
      <c r="R679" s="95">
        <f t="shared" si="128"/>
        <v>12887.707173241266</v>
      </c>
      <c r="S679" s="94">
        <v>8433.7775999999994</v>
      </c>
      <c r="T679" s="94">
        <f t="shared" si="131"/>
        <v>9004.7443435200003</v>
      </c>
      <c r="U679" s="94">
        <f t="shared" si="132"/>
        <v>9522.5171432724019</v>
      </c>
      <c r="V679" s="94">
        <f t="shared" si="133"/>
        <v>9911.9880944322431</v>
      </c>
      <c r="W679" s="97">
        <f t="shared" si="134"/>
        <v>10227.189315835189</v>
      </c>
      <c r="X679" s="97">
        <f t="shared" si="135"/>
        <v>10615.822509836926</v>
      </c>
      <c r="Y679" s="97">
        <f t="shared" si="136"/>
        <v>10786.737252245301</v>
      </c>
      <c r="Z679" s="97">
        <f t="shared" si="129"/>
        <v>11392.951885821487</v>
      </c>
      <c r="AA679" s="97">
        <f t="shared" si="130"/>
        <v>12887.707173241266</v>
      </c>
    </row>
    <row r="680" spans="1:27" x14ac:dyDescent="0.25">
      <c r="A680" s="86" t="s">
        <v>1660</v>
      </c>
      <c r="B680" s="116" t="s">
        <v>1661</v>
      </c>
      <c r="C680" s="88" t="s">
        <v>226</v>
      </c>
      <c r="D680" s="89" t="s">
        <v>262</v>
      </c>
      <c r="E680" s="90">
        <f t="shared" si="138"/>
        <v>22588</v>
      </c>
      <c r="F680" s="90">
        <f t="shared" si="137"/>
        <v>18981.489067963386</v>
      </c>
      <c r="G680" s="91">
        <v>0.19</v>
      </c>
      <c r="H680" s="91" t="s">
        <v>228</v>
      </c>
      <c r="I680" s="91" t="s">
        <v>228</v>
      </c>
      <c r="J680" s="91"/>
      <c r="K680" s="91" t="s">
        <v>228</v>
      </c>
      <c r="L680" s="92" t="s">
        <v>1662</v>
      </c>
      <c r="M680" s="91" t="str">
        <f t="shared" si="139"/>
        <v>VER ARCHIVO ANEXO</v>
      </c>
      <c r="N680" s="93">
        <v>41608</v>
      </c>
      <c r="O680" s="94">
        <v>18101</v>
      </c>
      <c r="P680" s="94" t="s">
        <v>1443</v>
      </c>
      <c r="Q680" s="94">
        <v>540</v>
      </c>
      <c r="R680" s="95">
        <f t="shared" si="128"/>
        <v>18981.489067963386</v>
      </c>
      <c r="S680" s="94">
        <v>12421.577799999999</v>
      </c>
      <c r="T680" s="94">
        <f t="shared" si="131"/>
        <v>13262.518617060001</v>
      </c>
      <c r="U680" s="94">
        <f t="shared" si="132"/>
        <v>14025.113437540953</v>
      </c>
      <c r="V680" s="94">
        <f t="shared" si="133"/>
        <v>14598.740577136377</v>
      </c>
      <c r="W680" s="97">
        <f t="shared" si="134"/>
        <v>15062.980527489315</v>
      </c>
      <c r="X680" s="97">
        <f t="shared" si="135"/>
        <v>15635.37378753391</v>
      </c>
      <c r="Y680" s="97">
        <f t="shared" si="136"/>
        <v>15887.103305513207</v>
      </c>
      <c r="Z680" s="97">
        <f t="shared" si="129"/>
        <v>16779.95851128305</v>
      </c>
      <c r="AA680" s="97">
        <f t="shared" si="130"/>
        <v>18981.489067963386</v>
      </c>
    </row>
    <row r="681" spans="1:27" x14ac:dyDescent="0.25">
      <c r="A681" s="86" t="s">
        <v>1663</v>
      </c>
      <c r="B681" s="116" t="s">
        <v>1664</v>
      </c>
      <c r="C681" s="88" t="s">
        <v>226</v>
      </c>
      <c r="D681" s="89" t="s">
        <v>262</v>
      </c>
      <c r="E681" s="90">
        <f t="shared" si="138"/>
        <v>64688</v>
      </c>
      <c r="F681" s="90">
        <f t="shared" si="137"/>
        <v>54359.322402178026</v>
      </c>
      <c r="G681" s="91">
        <v>0.19</v>
      </c>
      <c r="H681" s="91" t="s">
        <v>228</v>
      </c>
      <c r="I681" s="91" t="s">
        <v>228</v>
      </c>
      <c r="J681" s="91"/>
      <c r="K681" s="91" t="s">
        <v>228</v>
      </c>
      <c r="L681" s="92" t="s">
        <v>1662</v>
      </c>
      <c r="M681" s="91" t="str">
        <f t="shared" si="139"/>
        <v>VER ARCHIVO ANEXO</v>
      </c>
      <c r="N681" s="93">
        <v>41608</v>
      </c>
      <c r="O681" s="94">
        <v>47551</v>
      </c>
      <c r="P681" s="94" t="s">
        <v>1443</v>
      </c>
      <c r="Q681" s="94">
        <v>541</v>
      </c>
      <c r="R681" s="95">
        <f t="shared" si="128"/>
        <v>54359.322402178026</v>
      </c>
      <c r="S681" s="94">
        <v>35573.002199999995</v>
      </c>
      <c r="T681" s="94">
        <f t="shared" si="131"/>
        <v>37981.294448939996</v>
      </c>
      <c r="U681" s="94">
        <f t="shared" si="132"/>
        <v>40165.218879754051</v>
      </c>
      <c r="V681" s="94">
        <f t="shared" si="133"/>
        <v>41807.976331935992</v>
      </c>
      <c r="W681" s="97">
        <f t="shared" si="134"/>
        <v>43137.469979291556</v>
      </c>
      <c r="X681" s="97">
        <f t="shared" si="135"/>
        <v>44776.693838504638</v>
      </c>
      <c r="Y681" s="97">
        <f t="shared" si="136"/>
        <v>45497.598609304565</v>
      </c>
      <c r="Z681" s="97">
        <f t="shared" si="129"/>
        <v>48054.56365114748</v>
      </c>
      <c r="AA681" s="97">
        <f t="shared" si="130"/>
        <v>54359.322402178026</v>
      </c>
    </row>
    <row r="682" spans="1:27" x14ac:dyDescent="0.25">
      <c r="A682" s="86" t="s">
        <v>1665</v>
      </c>
      <c r="B682" s="87" t="s">
        <v>1666</v>
      </c>
      <c r="C682" s="88" t="s">
        <v>226</v>
      </c>
      <c r="D682" s="89" t="s">
        <v>262</v>
      </c>
      <c r="E682" s="90">
        <f t="shared" si="138"/>
        <v>5020</v>
      </c>
      <c r="F682" s="90">
        <f t="shared" si="137"/>
        <v>4218.3865846080007</v>
      </c>
      <c r="G682" s="91">
        <v>0.19</v>
      </c>
      <c r="H682" s="91" t="s">
        <v>228</v>
      </c>
      <c r="I682" s="91" t="s">
        <v>228</v>
      </c>
      <c r="J682" s="91"/>
      <c r="K682" s="91" t="s">
        <v>228</v>
      </c>
      <c r="L682" s="92" t="s">
        <v>1662</v>
      </c>
      <c r="M682" s="91" t="str">
        <f t="shared" si="139"/>
        <v>VER ARCHIVO ANEXO</v>
      </c>
      <c r="N682" s="93">
        <v>41608</v>
      </c>
      <c r="O682" s="94">
        <v>3418</v>
      </c>
      <c r="P682" s="94" t="s">
        <v>1443</v>
      </c>
      <c r="Q682" s="94">
        <v>542</v>
      </c>
      <c r="R682" s="95">
        <f t="shared" si="128"/>
        <v>4218.3865846080007</v>
      </c>
      <c r="S682" s="94">
        <v>2556.2556</v>
      </c>
      <c r="T682" s="94">
        <f t="shared" si="131"/>
        <v>2729.3141041200001</v>
      </c>
      <c r="U682" s="94">
        <f t="shared" si="132"/>
        <v>2886.2496651069005</v>
      </c>
      <c r="V682" s="94">
        <f t="shared" si="133"/>
        <v>3004.2972764097726</v>
      </c>
      <c r="W682" s="97">
        <f t="shared" si="134"/>
        <v>3099.8339297996035</v>
      </c>
      <c r="X682" s="97">
        <f t="shared" si="135"/>
        <v>3217.6276191319885</v>
      </c>
      <c r="Y682" s="97">
        <v>3530.7000000000003</v>
      </c>
      <c r="Z682" s="97">
        <f t="shared" si="129"/>
        <v>3729.1253400000005</v>
      </c>
      <c r="AA682" s="97">
        <f t="shared" si="130"/>
        <v>4218.3865846080007</v>
      </c>
    </row>
    <row r="683" spans="1:27" x14ac:dyDescent="0.25">
      <c r="A683" s="86" t="s">
        <v>1667</v>
      </c>
      <c r="B683" s="98" t="s">
        <v>1668</v>
      </c>
      <c r="C683" s="99" t="s">
        <v>226</v>
      </c>
      <c r="D683" s="100" t="s">
        <v>262</v>
      </c>
      <c r="E683" s="101">
        <f t="shared" si="138"/>
        <v>4284</v>
      </c>
      <c r="F683" s="90">
        <f t="shared" si="137"/>
        <v>3600.0913294080001</v>
      </c>
      <c r="G683" s="91">
        <v>0.19</v>
      </c>
      <c r="H683" s="91" t="s">
        <v>228</v>
      </c>
      <c r="I683" s="91" t="s">
        <v>228</v>
      </c>
      <c r="J683" s="91"/>
      <c r="K683" s="91" t="s">
        <v>228</v>
      </c>
      <c r="L683" s="92" t="s">
        <v>1662</v>
      </c>
      <c r="M683" s="91" t="str">
        <f t="shared" si="139"/>
        <v>VER ARCHIVO ANEXO</v>
      </c>
      <c r="N683" s="93">
        <v>41608</v>
      </c>
      <c r="O683" s="94">
        <v>2917</v>
      </c>
      <c r="P683" s="94" t="s">
        <v>1443</v>
      </c>
      <c r="Q683" s="94">
        <v>543</v>
      </c>
      <c r="R683" s="95">
        <f t="shared" si="128"/>
        <v>3600.0913294080001</v>
      </c>
      <c r="S683" s="94">
        <v>2181.0063999999998</v>
      </c>
      <c r="T683" s="94">
        <f t="shared" si="131"/>
        <v>2328.66053328</v>
      </c>
      <c r="U683" s="94">
        <f t="shared" si="132"/>
        <v>2462.5585139436002</v>
      </c>
      <c r="V683" s="94">
        <f t="shared" si="133"/>
        <v>2563.2771571638932</v>
      </c>
      <c r="W683" s="97">
        <f t="shared" si="134"/>
        <v>2644.789370761705</v>
      </c>
      <c r="X683" s="97">
        <f t="shared" si="135"/>
        <v>2745.2913668506499</v>
      </c>
      <c r="Y683" s="97">
        <v>3013.2000000000003</v>
      </c>
      <c r="Z683" s="97">
        <f t="shared" si="129"/>
        <v>3182.5418400000003</v>
      </c>
      <c r="AA683" s="97">
        <f t="shared" si="130"/>
        <v>3600.0913294080001</v>
      </c>
    </row>
    <row r="684" spans="1:27" x14ac:dyDescent="0.25">
      <c r="A684" s="86" t="s">
        <v>1669</v>
      </c>
      <c r="B684" s="98" t="s">
        <v>1670</v>
      </c>
      <c r="C684" s="99" t="s">
        <v>226</v>
      </c>
      <c r="D684" s="100" t="s">
        <v>262</v>
      </c>
      <c r="E684" s="101">
        <f t="shared" si="138"/>
        <v>2036</v>
      </c>
      <c r="F684" s="90">
        <f t="shared" si="137"/>
        <v>1710.7960887360002</v>
      </c>
      <c r="G684" s="91">
        <v>0.19</v>
      </c>
      <c r="H684" s="91" t="s">
        <v>228</v>
      </c>
      <c r="I684" s="91" t="s">
        <v>228</v>
      </c>
      <c r="J684" s="91"/>
      <c r="K684" s="91" t="s">
        <v>228</v>
      </c>
      <c r="L684" s="92" t="s">
        <v>1662</v>
      </c>
      <c r="M684" s="91" t="str">
        <f t="shared" si="139"/>
        <v>VER ARCHIVO ANEXO</v>
      </c>
      <c r="N684" s="93">
        <v>41608</v>
      </c>
      <c r="O684" s="94">
        <v>1387</v>
      </c>
      <c r="P684" s="94" t="s">
        <v>1443</v>
      </c>
      <c r="Q684" s="94">
        <v>544</v>
      </c>
      <c r="R684" s="95">
        <f t="shared" si="128"/>
        <v>1710.7960887360002</v>
      </c>
      <c r="S684" s="94">
        <v>1036.5999999999999</v>
      </c>
      <c r="T684" s="94">
        <f t="shared" si="131"/>
        <v>1106.77782</v>
      </c>
      <c r="U684" s="94">
        <f t="shared" si="132"/>
        <v>1170.4175446500001</v>
      </c>
      <c r="V684" s="94">
        <f t="shared" si="133"/>
        <v>1218.287622226185</v>
      </c>
      <c r="W684" s="97">
        <f t="shared" si="134"/>
        <v>1257.0291686129779</v>
      </c>
      <c r="X684" s="97">
        <f t="shared" si="135"/>
        <v>1304.796277020271</v>
      </c>
      <c r="Y684" s="97">
        <v>1431.9</v>
      </c>
      <c r="Z684" s="97">
        <f t="shared" si="129"/>
        <v>1512.3727800000001</v>
      </c>
      <c r="AA684" s="97">
        <f t="shared" si="130"/>
        <v>1710.7960887360002</v>
      </c>
    </row>
    <row r="685" spans="1:27" x14ac:dyDescent="0.25">
      <c r="A685" s="86" t="s">
        <v>1671</v>
      </c>
      <c r="B685" s="98" t="s">
        <v>1672</v>
      </c>
      <c r="C685" s="99" t="s">
        <v>226</v>
      </c>
      <c r="D685" s="100" t="s">
        <v>262</v>
      </c>
      <c r="E685" s="101">
        <f t="shared" si="138"/>
        <v>537</v>
      </c>
      <c r="F685" s="90">
        <f t="shared" si="137"/>
        <v>451.62436031999999</v>
      </c>
      <c r="G685" s="91">
        <v>0.19</v>
      </c>
      <c r="H685" s="91" t="s">
        <v>228</v>
      </c>
      <c r="I685" s="91" t="s">
        <v>228</v>
      </c>
      <c r="J685" s="91"/>
      <c r="K685" s="91" t="s">
        <v>228</v>
      </c>
      <c r="L685" s="92" t="s">
        <v>1662</v>
      </c>
      <c r="M685" s="91" t="str">
        <f t="shared" si="139"/>
        <v>VER ARCHIVO ANEXO</v>
      </c>
      <c r="N685" s="93">
        <v>41608</v>
      </c>
      <c r="O685" s="94">
        <v>366</v>
      </c>
      <c r="P685" s="94" t="s">
        <v>1443</v>
      </c>
      <c r="Q685" s="94">
        <v>545</v>
      </c>
      <c r="R685" s="95">
        <f t="shared" si="128"/>
        <v>451.62436031999999</v>
      </c>
      <c r="S685" s="94">
        <v>271.58920000000001</v>
      </c>
      <c r="T685" s="94">
        <f t="shared" si="131"/>
        <v>289.97578884000001</v>
      </c>
      <c r="U685" s="94">
        <f t="shared" si="132"/>
        <v>306.64939669830005</v>
      </c>
      <c r="V685" s="94">
        <f t="shared" si="133"/>
        <v>319.19135702326048</v>
      </c>
      <c r="W685" s="97">
        <f t="shared" si="134"/>
        <v>329.3416421766002</v>
      </c>
      <c r="X685" s="97">
        <f t="shared" si="135"/>
        <v>341.85662457931102</v>
      </c>
      <c r="Y685" s="97">
        <v>378</v>
      </c>
      <c r="Z685" s="97">
        <f t="shared" si="129"/>
        <v>399.24360000000001</v>
      </c>
      <c r="AA685" s="97">
        <f t="shared" si="130"/>
        <v>451.62436031999999</v>
      </c>
    </row>
    <row r="686" spans="1:27" x14ac:dyDescent="0.25">
      <c r="A686" s="86" t="s">
        <v>1673</v>
      </c>
      <c r="B686" s="87" t="s">
        <v>1674</v>
      </c>
      <c r="C686" s="88" t="s">
        <v>226</v>
      </c>
      <c r="D686" s="89" t="s">
        <v>262</v>
      </c>
      <c r="E686" s="90">
        <f t="shared" si="138"/>
        <v>18646</v>
      </c>
      <c r="F686" s="90">
        <f t="shared" si="137"/>
        <v>15669.214710912001</v>
      </c>
      <c r="G686" s="91">
        <v>0.19</v>
      </c>
      <c r="H686" s="91" t="s">
        <v>228</v>
      </c>
      <c r="I686" s="91" t="s">
        <v>228</v>
      </c>
      <c r="J686" s="91"/>
      <c r="K686" s="91" t="s">
        <v>228</v>
      </c>
      <c r="L686" s="92" t="s">
        <v>1662</v>
      </c>
      <c r="M686" s="91" t="str">
        <f t="shared" si="139"/>
        <v>VER ARCHIVO ANEXO</v>
      </c>
      <c r="N686" s="93">
        <v>41608</v>
      </c>
      <c r="O686" s="94">
        <v>12636</v>
      </c>
      <c r="P686" s="94" t="s">
        <v>1443</v>
      </c>
      <c r="Q686" s="94">
        <v>546</v>
      </c>
      <c r="R686" s="95">
        <f t="shared" si="128"/>
        <v>15669.214710912001</v>
      </c>
      <c r="S686" s="94">
        <v>9497.3292000000001</v>
      </c>
      <c r="T686" s="94">
        <f t="shared" si="131"/>
        <v>10140.298386840001</v>
      </c>
      <c r="U686" s="94">
        <f t="shared" si="132"/>
        <v>10723.365544083301</v>
      </c>
      <c r="V686" s="94">
        <f t="shared" si="133"/>
        <v>11161.951194836307</v>
      </c>
      <c r="W686" s="97">
        <f t="shared" si="134"/>
        <v>11516.901242832102</v>
      </c>
      <c r="X686" s="97">
        <f t="shared" si="135"/>
        <v>11954.543490059723</v>
      </c>
      <c r="Y686" s="97">
        <v>13114.800000000001</v>
      </c>
      <c r="Z686" s="97">
        <f t="shared" si="129"/>
        <v>13851.851760000001</v>
      </c>
      <c r="AA686" s="97">
        <f t="shared" si="130"/>
        <v>15669.214710912001</v>
      </c>
    </row>
    <row r="687" spans="1:27" x14ac:dyDescent="0.25">
      <c r="A687" s="86" t="s">
        <v>1675</v>
      </c>
      <c r="B687" s="87" t="s">
        <v>1676</v>
      </c>
      <c r="C687" s="88" t="s">
        <v>226</v>
      </c>
      <c r="D687" s="89" t="s">
        <v>262</v>
      </c>
      <c r="E687" s="90">
        <f t="shared" si="138"/>
        <v>7172</v>
      </c>
      <c r="F687" s="90">
        <f t="shared" si="137"/>
        <v>6027.0346180799997</v>
      </c>
      <c r="G687" s="91">
        <v>0.19</v>
      </c>
      <c r="H687" s="91" t="s">
        <v>228</v>
      </c>
      <c r="I687" s="91" t="s">
        <v>228</v>
      </c>
      <c r="J687" s="91"/>
      <c r="K687" s="91" t="s">
        <v>228</v>
      </c>
      <c r="L687" s="92" t="s">
        <v>1662</v>
      </c>
      <c r="M687" s="91" t="str">
        <f t="shared" si="139"/>
        <v>VER ARCHIVO ANEXO</v>
      </c>
      <c r="N687" s="93">
        <v>41608</v>
      </c>
      <c r="O687" s="94">
        <v>19195</v>
      </c>
      <c r="P687" s="94" t="s">
        <v>1443</v>
      </c>
      <c r="Q687" s="94">
        <v>547</v>
      </c>
      <c r="R687" s="95">
        <f t="shared" si="128"/>
        <v>6027.0346180799997</v>
      </c>
      <c r="S687" s="94">
        <v>3651.9418000000001</v>
      </c>
      <c r="T687" s="94">
        <f t="shared" si="131"/>
        <v>3899.1782598600003</v>
      </c>
      <c r="U687" s="94">
        <f t="shared" si="132"/>
        <v>4123.3810098019503</v>
      </c>
      <c r="V687" s="94">
        <f t="shared" si="133"/>
        <v>4292.0272931028494</v>
      </c>
      <c r="W687" s="97">
        <f t="shared" si="134"/>
        <v>4428.5137610235206</v>
      </c>
      <c r="X687" s="97">
        <f t="shared" si="135"/>
        <v>4596.7972839424147</v>
      </c>
      <c r="Y687" s="97">
        <v>5044.5</v>
      </c>
      <c r="Z687" s="97">
        <f t="shared" si="129"/>
        <v>5328.0009</v>
      </c>
      <c r="AA687" s="97">
        <f t="shared" si="130"/>
        <v>6027.0346180799997</v>
      </c>
    </row>
    <row r="688" spans="1:27" x14ac:dyDescent="0.25">
      <c r="A688" s="86" t="s">
        <v>1677</v>
      </c>
      <c r="B688" s="87" t="s">
        <v>1678</v>
      </c>
      <c r="C688" s="88" t="s">
        <v>226</v>
      </c>
      <c r="D688" s="89" t="s">
        <v>262</v>
      </c>
      <c r="E688" s="90">
        <f t="shared" si="138"/>
        <v>28191</v>
      </c>
      <c r="F688" s="90">
        <f t="shared" si="137"/>
        <v>23689.848290976002</v>
      </c>
      <c r="G688" s="91">
        <v>0.19</v>
      </c>
      <c r="H688" s="91" t="s">
        <v>228</v>
      </c>
      <c r="I688" s="91" t="s">
        <v>228</v>
      </c>
      <c r="J688" s="91"/>
      <c r="K688" s="91" t="s">
        <v>228</v>
      </c>
      <c r="L688" s="92" t="s">
        <v>1662</v>
      </c>
      <c r="M688" s="91" t="str">
        <f t="shared" si="139"/>
        <v>VER ARCHIVO ANEXO</v>
      </c>
      <c r="N688" s="93">
        <v>41608</v>
      </c>
      <c r="O688" s="94">
        <v>663</v>
      </c>
      <c r="P688" s="94" t="s">
        <v>1443</v>
      </c>
      <c r="Q688" s="94">
        <v>548</v>
      </c>
      <c r="R688" s="95">
        <f t="shared" si="128"/>
        <v>23689.848290976002</v>
      </c>
      <c r="S688" s="94">
        <v>14358.983199999999</v>
      </c>
      <c r="T688" s="94">
        <f t="shared" si="131"/>
        <v>15331.086362640001</v>
      </c>
      <c r="U688" s="94">
        <f t="shared" si="132"/>
        <v>16212.623828491802</v>
      </c>
      <c r="V688" s="94">
        <f t="shared" si="133"/>
        <v>16875.720143077117</v>
      </c>
      <c r="W688" s="97">
        <f t="shared" si="134"/>
        <v>17412.368043626971</v>
      </c>
      <c r="X688" s="97">
        <f t="shared" si="135"/>
        <v>18074.038029284799</v>
      </c>
      <c r="Y688" s="97">
        <v>19827.900000000001</v>
      </c>
      <c r="Z688" s="97">
        <f t="shared" si="129"/>
        <v>20942.227980000003</v>
      </c>
      <c r="AA688" s="97">
        <f t="shared" si="130"/>
        <v>23689.848290976002</v>
      </c>
    </row>
    <row r="689" spans="1:27" x14ac:dyDescent="0.25">
      <c r="A689" s="86" t="s">
        <v>1679</v>
      </c>
      <c r="B689" s="98" t="s">
        <v>1680</v>
      </c>
      <c r="C689" s="99" t="s">
        <v>226</v>
      </c>
      <c r="D689" s="100" t="s">
        <v>262</v>
      </c>
      <c r="E689" s="101">
        <f t="shared" si="138"/>
        <v>975</v>
      </c>
      <c r="F689" s="90">
        <f t="shared" si="137"/>
        <v>819.37562515200011</v>
      </c>
      <c r="G689" s="91">
        <v>0.19</v>
      </c>
      <c r="H689" s="91" t="s">
        <v>228</v>
      </c>
      <c r="I689" s="91" t="s">
        <v>228</v>
      </c>
      <c r="J689" s="91"/>
      <c r="K689" s="91" t="s">
        <v>228</v>
      </c>
      <c r="L689" s="92" t="s">
        <v>1662</v>
      </c>
      <c r="M689" s="91" t="str">
        <f t="shared" si="139"/>
        <v>VER ARCHIVO ANEXO</v>
      </c>
      <c r="N689" s="93">
        <v>41608</v>
      </c>
      <c r="O689" s="94">
        <v>35308</v>
      </c>
      <c r="P689" s="94" t="s">
        <v>1443</v>
      </c>
      <c r="Q689" s="94">
        <v>549</v>
      </c>
      <c r="R689" s="95">
        <f t="shared" si="128"/>
        <v>819.37562515200011</v>
      </c>
      <c r="S689" s="94">
        <v>494.45819999999998</v>
      </c>
      <c r="T689" s="94">
        <f t="shared" si="131"/>
        <v>527.93302014000005</v>
      </c>
      <c r="U689" s="94">
        <f t="shared" si="132"/>
        <v>558.28916879805013</v>
      </c>
      <c r="V689" s="94">
        <f t="shared" si="133"/>
        <v>581.12319580189035</v>
      </c>
      <c r="W689" s="97">
        <f t="shared" si="134"/>
        <v>599.60291342839048</v>
      </c>
      <c r="X689" s="97">
        <f t="shared" si="135"/>
        <v>622.38782413866932</v>
      </c>
      <c r="Y689" s="97">
        <v>685.80000000000007</v>
      </c>
      <c r="Z689" s="97">
        <f t="shared" si="129"/>
        <v>724.34196000000009</v>
      </c>
      <c r="AA689" s="97">
        <f t="shared" si="130"/>
        <v>819.37562515200011</v>
      </c>
    </row>
    <row r="690" spans="1:27" x14ac:dyDescent="0.25">
      <c r="A690" s="86" t="s">
        <v>1681</v>
      </c>
      <c r="B690" s="87" t="s">
        <v>1682</v>
      </c>
      <c r="C690" s="88" t="s">
        <v>226</v>
      </c>
      <c r="D690" s="89" t="s">
        <v>262</v>
      </c>
      <c r="E690" s="90">
        <f t="shared" si="138"/>
        <v>51857</v>
      </c>
      <c r="F690" s="90">
        <f t="shared" si="137"/>
        <v>43577.449586495997</v>
      </c>
      <c r="G690" s="91">
        <v>0.19</v>
      </c>
      <c r="H690" s="91" t="s">
        <v>228</v>
      </c>
      <c r="I690" s="91" t="s">
        <v>228</v>
      </c>
      <c r="J690" s="91"/>
      <c r="K690" s="91" t="s">
        <v>228</v>
      </c>
      <c r="L690" s="92" t="s">
        <v>1662</v>
      </c>
      <c r="M690" s="91" t="str">
        <f t="shared" si="139"/>
        <v>VER ARCHIVO ANEXO</v>
      </c>
      <c r="N690" s="93">
        <v>41608</v>
      </c>
      <c r="O690" s="94"/>
      <c r="P690" s="94"/>
      <c r="Q690" s="94">
        <v>550</v>
      </c>
      <c r="R690" s="95">
        <f t="shared" si="128"/>
        <v>43577.449586495997</v>
      </c>
      <c r="S690" s="94">
        <v>26414.641199999998</v>
      </c>
      <c r="T690" s="94">
        <f t="shared" si="131"/>
        <v>28202.912409240002</v>
      </c>
      <c r="U690" s="94">
        <f t="shared" si="132"/>
        <v>29824.579872771305</v>
      </c>
      <c r="V690" s="94">
        <f t="shared" si="133"/>
        <v>31044.405189567649</v>
      </c>
      <c r="W690" s="97">
        <f t="shared" si="134"/>
        <v>32031.617274595901</v>
      </c>
      <c r="X690" s="97">
        <f t="shared" si="135"/>
        <v>33248.818731030544</v>
      </c>
      <c r="Y690" s="97">
        <v>36473.4</v>
      </c>
      <c r="Z690" s="97">
        <f t="shared" si="129"/>
        <v>38523.20508</v>
      </c>
      <c r="AA690" s="97">
        <f t="shared" si="130"/>
        <v>43577.449586495997</v>
      </c>
    </row>
    <row r="691" spans="1:27" x14ac:dyDescent="0.25">
      <c r="A691" s="86" t="s">
        <v>1683</v>
      </c>
      <c r="B691" s="87" t="s">
        <v>1684</v>
      </c>
      <c r="C691" s="88" t="s">
        <v>226</v>
      </c>
      <c r="D691" s="89" t="s">
        <v>262</v>
      </c>
      <c r="E691" s="90">
        <f t="shared" si="138"/>
        <v>24107</v>
      </c>
      <c r="F691" s="90">
        <f t="shared" si="137"/>
        <v>20258.221120769729</v>
      </c>
      <c r="G691" s="91">
        <v>0.19</v>
      </c>
      <c r="H691" s="91" t="s">
        <v>228</v>
      </c>
      <c r="I691" s="91" t="s">
        <v>228</v>
      </c>
      <c r="J691" s="91"/>
      <c r="K691" s="91" t="s">
        <v>228</v>
      </c>
      <c r="L691" s="92" t="s">
        <v>1662</v>
      </c>
      <c r="M691" s="91" t="str">
        <f t="shared" si="139"/>
        <v>VER ARCHIVO ANEXO</v>
      </c>
      <c r="N691" s="93">
        <v>41608</v>
      </c>
      <c r="O691" s="94"/>
      <c r="P691" s="94"/>
      <c r="Q691" s="94">
        <v>551</v>
      </c>
      <c r="R691" s="95">
        <f t="shared" si="128"/>
        <v>20258.221120769729</v>
      </c>
      <c r="S691" s="94">
        <v>13257.0774</v>
      </c>
      <c r="T691" s="94">
        <f t="shared" si="131"/>
        <v>14154.581539980001</v>
      </c>
      <c r="U691" s="94">
        <f t="shared" si="132"/>
        <v>14968.469978528852</v>
      </c>
      <c r="V691" s="94">
        <f t="shared" si="133"/>
        <v>15580.680400650681</v>
      </c>
      <c r="W691" s="97">
        <f t="shared" si="134"/>
        <v>16076.146037391374</v>
      </c>
      <c r="X691" s="97">
        <f t="shared" si="135"/>
        <v>16687.039586812247</v>
      </c>
      <c r="Y691" s="97">
        <f t="shared" si="136"/>
        <v>16955.700924159923</v>
      </c>
      <c r="Z691" s="97">
        <f t="shared" si="129"/>
        <v>17908.611316097711</v>
      </c>
      <c r="AA691" s="97">
        <f t="shared" si="130"/>
        <v>20258.221120769729</v>
      </c>
    </row>
    <row r="692" spans="1:27" x14ac:dyDescent="0.25">
      <c r="A692" s="86" t="s">
        <v>1685</v>
      </c>
      <c r="B692" s="87" t="s">
        <v>1686</v>
      </c>
      <c r="C692" s="88" t="s">
        <v>226</v>
      </c>
      <c r="D692" s="89" t="s">
        <v>262</v>
      </c>
      <c r="E692" s="90">
        <f t="shared" si="138"/>
        <v>67596</v>
      </c>
      <c r="F692" s="90">
        <f t="shared" si="137"/>
        <v>56803.488106247758</v>
      </c>
      <c r="G692" s="91">
        <v>0.19</v>
      </c>
      <c r="H692" s="91" t="s">
        <v>228</v>
      </c>
      <c r="I692" s="91" t="s">
        <v>228</v>
      </c>
      <c r="J692" s="91"/>
      <c r="K692" s="91" t="s">
        <v>228</v>
      </c>
      <c r="L692" s="92" t="s">
        <v>1442</v>
      </c>
      <c r="M692" s="91" t="str">
        <f t="shared" si="139"/>
        <v>VER ARCHIVO ANEXO</v>
      </c>
      <c r="N692" s="93">
        <v>41608</v>
      </c>
      <c r="O692" s="94"/>
      <c r="P692" s="94"/>
      <c r="Q692" s="94">
        <v>552</v>
      </c>
      <c r="R692" s="95">
        <f t="shared" si="128"/>
        <v>56803.488106247758</v>
      </c>
      <c r="S692" s="94">
        <v>37172.476000000002</v>
      </c>
      <c r="T692" s="94">
        <f t="shared" si="131"/>
        <v>39689.052625200005</v>
      </c>
      <c r="U692" s="94">
        <f t="shared" si="132"/>
        <v>41971.173151149007</v>
      </c>
      <c r="V692" s="94">
        <f t="shared" si="133"/>
        <v>43687.794133030999</v>
      </c>
      <c r="W692" s="97">
        <f t="shared" si="134"/>
        <v>45077.065986461384</v>
      </c>
      <c r="X692" s="97">
        <f t="shared" si="135"/>
        <v>46789.994493946921</v>
      </c>
      <c r="Y692" s="97">
        <f t="shared" si="136"/>
        <v>47543.313405299465</v>
      </c>
      <c r="Z692" s="97">
        <f t="shared" si="129"/>
        <v>50215.247618677298</v>
      </c>
      <c r="AA692" s="97">
        <f t="shared" si="130"/>
        <v>56803.488106247758</v>
      </c>
    </row>
    <row r="693" spans="1:27" x14ac:dyDescent="0.25">
      <c r="A693" s="86" t="s">
        <v>1687</v>
      </c>
      <c r="B693" s="116" t="s">
        <v>1688</v>
      </c>
      <c r="C693" s="128" t="s">
        <v>226</v>
      </c>
      <c r="D693" s="89" t="s">
        <v>262</v>
      </c>
      <c r="E693" s="90">
        <f t="shared" si="138"/>
        <v>246040</v>
      </c>
      <c r="F693" s="90">
        <f t="shared" si="137"/>
        <v>206756.14291879497</v>
      </c>
      <c r="G693" s="91">
        <v>0.19</v>
      </c>
      <c r="H693" s="91" t="s">
        <v>228</v>
      </c>
      <c r="I693" s="91" t="s">
        <v>228</v>
      </c>
      <c r="J693" s="91"/>
      <c r="K693" s="91" t="s">
        <v>228</v>
      </c>
      <c r="L693" s="92" t="s">
        <v>1689</v>
      </c>
      <c r="M693" s="91" t="str">
        <f t="shared" si="139"/>
        <v>VER ARCHIVO ANEXO</v>
      </c>
      <c r="N693" s="93">
        <v>41608</v>
      </c>
      <c r="O693" s="94"/>
      <c r="P693" s="94"/>
      <c r="Q693" s="94">
        <v>553</v>
      </c>
      <c r="R693" s="95">
        <f t="shared" si="128"/>
        <v>206756.14291879497</v>
      </c>
      <c r="S693" s="94">
        <v>135302.215</v>
      </c>
      <c r="T693" s="94">
        <f t="shared" si="131"/>
        <v>144462.1749555</v>
      </c>
      <c r="U693" s="94">
        <f t="shared" si="132"/>
        <v>152768.75001544127</v>
      </c>
      <c r="V693" s="94">
        <f t="shared" si="133"/>
        <v>159016.9918910728</v>
      </c>
      <c r="W693" s="97">
        <f t="shared" si="134"/>
        <v>164073.73223320892</v>
      </c>
      <c r="X693" s="97">
        <f t="shared" si="135"/>
        <v>170308.53405807086</v>
      </c>
      <c r="Y693" s="97">
        <f t="shared" si="136"/>
        <v>173050.50145640579</v>
      </c>
      <c r="Z693" s="97">
        <f t="shared" si="129"/>
        <v>182775.9396382558</v>
      </c>
      <c r="AA693" s="97">
        <f t="shared" si="130"/>
        <v>206756.14291879497</v>
      </c>
    </row>
    <row r="694" spans="1:27" x14ac:dyDescent="0.25">
      <c r="A694" s="86" t="s">
        <v>1690</v>
      </c>
      <c r="B694" s="129" t="s">
        <v>1691</v>
      </c>
      <c r="C694" s="130" t="s">
        <v>226</v>
      </c>
      <c r="D694" s="100" t="s">
        <v>262</v>
      </c>
      <c r="E694" s="101">
        <f t="shared" si="138"/>
        <v>108308</v>
      </c>
      <c r="F694" s="101">
        <f>+R694</f>
        <v>91014.99048749241</v>
      </c>
      <c r="G694" s="91">
        <v>0.19</v>
      </c>
      <c r="H694" s="91" t="s">
        <v>228</v>
      </c>
      <c r="I694" s="91" t="s">
        <v>228</v>
      </c>
      <c r="J694" s="91"/>
      <c r="K694" s="91" t="s">
        <v>228</v>
      </c>
      <c r="L694" s="92" t="s">
        <v>279</v>
      </c>
      <c r="M694" s="91" t="str">
        <f t="shared" si="139"/>
        <v>VER ARCHIVO ANEXO</v>
      </c>
      <c r="N694" s="93">
        <v>41608</v>
      </c>
      <c r="O694" s="94"/>
      <c r="P694" s="94"/>
      <c r="Q694" s="94">
        <v>554</v>
      </c>
      <c r="R694" s="95">
        <f t="shared" si="128"/>
        <v>91014.99048749241</v>
      </c>
      <c r="S694" s="94">
        <v>82621.166400000002</v>
      </c>
      <c r="T694" s="94">
        <f t="shared" si="131"/>
        <v>88214.619365280014</v>
      </c>
      <c r="U694" s="94">
        <f t="shared" si="132"/>
        <v>93286.95997878362</v>
      </c>
      <c r="V694" s="101">
        <v>70000</v>
      </c>
      <c r="W694" s="97">
        <f t="shared" si="134"/>
        <v>72226</v>
      </c>
      <c r="X694" s="97">
        <f t="shared" si="135"/>
        <v>74970.588000000003</v>
      </c>
      <c r="Y694" s="97">
        <f t="shared" si="136"/>
        <v>76177.614466800005</v>
      </c>
      <c r="Z694" s="97">
        <f t="shared" si="129"/>
        <v>80458.796399834173</v>
      </c>
      <c r="AA694" s="97">
        <f t="shared" si="130"/>
        <v>91014.99048749241</v>
      </c>
    </row>
    <row r="695" spans="1:27" x14ac:dyDescent="0.25">
      <c r="A695" s="86" t="s">
        <v>1692</v>
      </c>
      <c r="B695" s="129" t="s">
        <v>1693</v>
      </c>
      <c r="C695" s="130" t="s">
        <v>226</v>
      </c>
      <c r="D695" s="100" t="s">
        <v>262</v>
      </c>
      <c r="E695" s="101">
        <f t="shared" si="138"/>
        <v>180289</v>
      </c>
      <c r="F695" s="90">
        <f t="shared" si="137"/>
        <v>151503.4248866135</v>
      </c>
      <c r="G695" s="91">
        <v>0.19</v>
      </c>
      <c r="H695" s="91" t="s">
        <v>228</v>
      </c>
      <c r="I695" s="91" t="s">
        <v>228</v>
      </c>
      <c r="J695" s="91"/>
      <c r="K695" s="91" t="s">
        <v>228</v>
      </c>
      <c r="L695" s="92" t="s">
        <v>279</v>
      </c>
      <c r="M695" s="91" t="str">
        <f t="shared" si="139"/>
        <v>VER ARCHIVO ANEXO</v>
      </c>
      <c r="N695" s="93">
        <v>41608</v>
      </c>
      <c r="O695" s="94"/>
      <c r="P695" s="94"/>
      <c r="Q695" s="94">
        <v>555</v>
      </c>
      <c r="R695" s="95">
        <f t="shared" si="128"/>
        <v>151503.4248866135</v>
      </c>
      <c r="S695" s="94">
        <v>99144.570399999997</v>
      </c>
      <c r="T695" s="94">
        <f t="shared" si="131"/>
        <v>105856.65781608001</v>
      </c>
      <c r="U695" s="94">
        <f t="shared" si="132"/>
        <v>111943.41564050462</v>
      </c>
      <c r="V695" s="94">
        <f t="shared" si="133"/>
        <v>116521.90134020125</v>
      </c>
      <c r="W695" s="97">
        <f t="shared" si="134"/>
        <v>120227.29780281965</v>
      </c>
      <c r="X695" s="97">
        <f t="shared" si="135"/>
        <v>124795.93511932681</v>
      </c>
      <c r="Y695" s="97">
        <f t="shared" si="136"/>
        <v>126805.14967474797</v>
      </c>
      <c r="Z695" s="97">
        <f t="shared" si="129"/>
        <v>133931.59908646881</v>
      </c>
      <c r="AA695" s="97">
        <f t="shared" si="130"/>
        <v>151503.4248866135</v>
      </c>
    </row>
    <row r="696" spans="1:27" x14ac:dyDescent="0.25">
      <c r="A696" s="86" t="s">
        <v>1694</v>
      </c>
      <c r="B696" s="110" t="s">
        <v>1695</v>
      </c>
      <c r="C696" s="128" t="s">
        <v>226</v>
      </c>
      <c r="D696" s="89" t="s">
        <v>262</v>
      </c>
      <c r="E696" s="90">
        <f t="shared" si="138"/>
        <v>557336</v>
      </c>
      <c r="F696" s="90">
        <f t="shared" si="137"/>
        <v>468349.98675086926</v>
      </c>
      <c r="G696" s="91">
        <v>0.19</v>
      </c>
      <c r="H696" s="91" t="s">
        <v>228</v>
      </c>
      <c r="I696" s="91" t="s">
        <v>228</v>
      </c>
      <c r="J696" s="91"/>
      <c r="K696" s="91" t="s">
        <v>228</v>
      </c>
      <c r="L696" s="92" t="s">
        <v>279</v>
      </c>
      <c r="M696" s="91" t="str">
        <f t="shared" si="139"/>
        <v>VER ARCHIVO ANEXO</v>
      </c>
      <c r="N696" s="93">
        <v>41608</v>
      </c>
      <c r="O696" s="94"/>
      <c r="P696" s="94"/>
      <c r="Q696" s="94">
        <v>556</v>
      </c>
      <c r="R696" s="95">
        <f t="shared" si="128"/>
        <v>468349.98675086926</v>
      </c>
      <c r="S696" s="94">
        <v>306490.48540000001</v>
      </c>
      <c r="T696" s="94">
        <f t="shared" si="131"/>
        <v>327239.89126158005</v>
      </c>
      <c r="U696" s="94">
        <f t="shared" si="132"/>
        <v>346056.18500912096</v>
      </c>
      <c r="V696" s="94">
        <f t="shared" si="133"/>
        <v>360209.88297599397</v>
      </c>
      <c r="W696" s="97">
        <f t="shared" si="134"/>
        <v>371664.55725463061</v>
      </c>
      <c r="X696" s="97">
        <f t="shared" si="135"/>
        <v>385787.81043030659</v>
      </c>
      <c r="Y696" s="97">
        <f t="shared" si="136"/>
        <v>391998.99417823454</v>
      </c>
      <c r="Z696" s="97">
        <f t="shared" si="129"/>
        <v>414029.33765105135</v>
      </c>
      <c r="AA696" s="97">
        <f t="shared" si="130"/>
        <v>468349.98675086926</v>
      </c>
    </row>
    <row r="697" spans="1:27" x14ac:dyDescent="0.25">
      <c r="A697" s="86" t="s">
        <v>1696</v>
      </c>
      <c r="B697" s="116" t="s">
        <v>1697</v>
      </c>
      <c r="C697" s="88" t="s">
        <v>226</v>
      </c>
      <c r="D697" s="89" t="s">
        <v>262</v>
      </c>
      <c r="E697" s="90">
        <f t="shared" si="138"/>
        <v>178922</v>
      </c>
      <c r="F697" s="90">
        <f t="shared" si="137"/>
        <v>150354.99965300979</v>
      </c>
      <c r="G697" s="91">
        <v>0.19</v>
      </c>
      <c r="H697" s="91" t="s">
        <v>228</v>
      </c>
      <c r="I697" s="91" t="s">
        <v>228</v>
      </c>
      <c r="J697" s="91"/>
      <c r="K697" s="91" t="s">
        <v>228</v>
      </c>
      <c r="L697" s="92" t="s">
        <v>1698</v>
      </c>
      <c r="M697" s="91" t="str">
        <f t="shared" si="139"/>
        <v>VER ARCHIVO ANEXO</v>
      </c>
      <c r="N697" s="93">
        <v>41608</v>
      </c>
      <c r="O697" s="94"/>
      <c r="P697" s="94"/>
      <c r="Q697" s="94">
        <v>557</v>
      </c>
      <c r="R697" s="95">
        <f t="shared" si="128"/>
        <v>150354.99965300979</v>
      </c>
      <c r="S697" s="94">
        <v>98393.035399999993</v>
      </c>
      <c r="T697" s="94">
        <f t="shared" si="131"/>
        <v>105054.24389658</v>
      </c>
      <c r="U697" s="94">
        <f t="shared" si="132"/>
        <v>111094.86292063336</v>
      </c>
      <c r="V697" s="94">
        <f t="shared" si="133"/>
        <v>115638.64281408726</v>
      </c>
      <c r="W697" s="97">
        <f t="shared" si="134"/>
        <v>119315.95165557523</v>
      </c>
      <c r="X697" s="97">
        <f t="shared" si="135"/>
        <v>123849.95781848709</v>
      </c>
      <c r="Y697" s="97">
        <f t="shared" si="136"/>
        <v>125843.94213936474</v>
      </c>
      <c r="Z697" s="97">
        <f t="shared" si="129"/>
        <v>132916.37168759704</v>
      </c>
      <c r="AA697" s="97">
        <f t="shared" si="130"/>
        <v>150354.99965300979</v>
      </c>
    </row>
    <row r="698" spans="1:27" x14ac:dyDescent="0.25">
      <c r="A698" s="86" t="s">
        <v>1699</v>
      </c>
      <c r="B698" s="116" t="s">
        <v>1700</v>
      </c>
      <c r="C698" s="88" t="s">
        <v>226</v>
      </c>
      <c r="D698" s="89" t="s">
        <v>262</v>
      </c>
      <c r="E698" s="90">
        <f t="shared" si="138"/>
        <v>131108</v>
      </c>
      <c r="F698" s="90">
        <f t="shared" si="137"/>
        <v>110174.37279012412</v>
      </c>
      <c r="G698" s="91">
        <v>0.19</v>
      </c>
      <c r="H698" s="91" t="s">
        <v>228</v>
      </c>
      <c r="I698" s="91" t="s">
        <v>228</v>
      </c>
      <c r="J698" s="91"/>
      <c r="K698" s="91" t="s">
        <v>228</v>
      </c>
      <c r="L698" s="92" t="s">
        <v>1698</v>
      </c>
      <c r="M698" s="91" t="str">
        <f t="shared" si="139"/>
        <v>VER ARCHIVO ANEXO</v>
      </c>
      <c r="N698" s="93">
        <v>41608</v>
      </c>
      <c r="O698" s="94"/>
      <c r="P698" s="94"/>
      <c r="Q698" s="94">
        <v>558</v>
      </c>
      <c r="R698" s="95">
        <f t="shared" si="128"/>
        <v>110174.37279012412</v>
      </c>
      <c r="S698" s="94">
        <v>72098.639800000004</v>
      </c>
      <c r="T698" s="94">
        <f t="shared" si="131"/>
        <v>76979.717714460014</v>
      </c>
      <c r="U698" s="94">
        <f t="shared" si="132"/>
        <v>81406.051483041476</v>
      </c>
      <c r="V698" s="94">
        <f t="shared" si="133"/>
        <v>84735.558988697871</v>
      </c>
      <c r="W698" s="97">
        <f t="shared" si="134"/>
        <v>87430.149764538466</v>
      </c>
      <c r="X698" s="97">
        <f t="shared" si="135"/>
        <v>90752.495455590935</v>
      </c>
      <c r="Y698" s="97">
        <f t="shared" si="136"/>
        <v>92213.610632425945</v>
      </c>
      <c r="Z698" s="97">
        <f t="shared" si="129"/>
        <v>97396.015549968288</v>
      </c>
      <c r="AA698" s="97">
        <f t="shared" si="130"/>
        <v>110174.37279012412</v>
      </c>
    </row>
    <row r="699" spans="1:27" x14ac:dyDescent="0.25">
      <c r="A699" s="86" t="s">
        <v>1701</v>
      </c>
      <c r="B699" s="116" t="s">
        <v>1702</v>
      </c>
      <c r="C699" s="88" t="s">
        <v>226</v>
      </c>
      <c r="D699" s="89" t="s">
        <v>262</v>
      </c>
      <c r="E699" s="90">
        <f t="shared" si="138"/>
        <v>93436</v>
      </c>
      <c r="F699" s="90">
        <f t="shared" si="137"/>
        <v>78517.437212785531</v>
      </c>
      <c r="G699" s="91">
        <v>0.19</v>
      </c>
      <c r="H699" s="91" t="s">
        <v>228</v>
      </c>
      <c r="I699" s="91" t="s">
        <v>228</v>
      </c>
      <c r="J699" s="91"/>
      <c r="K699" s="91" t="s">
        <v>228</v>
      </c>
      <c r="L699" s="92" t="s">
        <v>1698</v>
      </c>
      <c r="M699" s="91" t="str">
        <f t="shared" si="139"/>
        <v>VER ARCHIVO ANEXO</v>
      </c>
      <c r="N699" s="93">
        <v>41608</v>
      </c>
      <c r="O699" s="94"/>
      <c r="P699" s="94"/>
      <c r="Q699" s="94">
        <v>559</v>
      </c>
      <c r="R699" s="95">
        <f t="shared" si="128"/>
        <v>78517.437212785531</v>
      </c>
      <c r="S699" s="94">
        <v>51382.188799999996</v>
      </c>
      <c r="T699" s="94">
        <f t="shared" si="131"/>
        <v>54860.762981760003</v>
      </c>
      <c r="U699" s="94">
        <f t="shared" si="132"/>
        <v>58015.256853211205</v>
      </c>
      <c r="V699" s="94">
        <f t="shared" si="133"/>
        <v>60388.080858507543</v>
      </c>
      <c r="W699" s="97">
        <f t="shared" si="134"/>
        <v>62308.421829808089</v>
      </c>
      <c r="X699" s="97">
        <f t="shared" si="135"/>
        <v>64676.141859340802</v>
      </c>
      <c r="Y699" s="97">
        <f t="shared" si="136"/>
        <v>65717.427743276188</v>
      </c>
      <c r="Z699" s="97">
        <f t="shared" si="129"/>
        <v>69410.747182448307</v>
      </c>
      <c r="AA699" s="97">
        <f t="shared" si="130"/>
        <v>78517.437212785531</v>
      </c>
    </row>
    <row r="700" spans="1:27" x14ac:dyDescent="0.25">
      <c r="A700" s="86" t="s">
        <v>1703</v>
      </c>
      <c r="B700" s="116" t="s">
        <v>1704</v>
      </c>
      <c r="C700" s="88" t="s">
        <v>226</v>
      </c>
      <c r="D700" s="89" t="s">
        <v>262</v>
      </c>
      <c r="E700" s="90">
        <f t="shared" si="138"/>
        <v>47216</v>
      </c>
      <c r="F700" s="90">
        <f t="shared" si="137"/>
        <v>39676.903794905025</v>
      </c>
      <c r="G700" s="91">
        <v>0.19</v>
      </c>
      <c r="H700" s="91" t="s">
        <v>228</v>
      </c>
      <c r="I700" s="91" t="s">
        <v>228</v>
      </c>
      <c r="J700" s="91"/>
      <c r="K700" s="91" t="s">
        <v>228</v>
      </c>
      <c r="L700" s="92" t="s">
        <v>1698</v>
      </c>
      <c r="M700" s="91" t="str">
        <f t="shared" si="139"/>
        <v>VER ARCHIVO ANEXO</v>
      </c>
      <c r="N700" s="93">
        <v>41608</v>
      </c>
      <c r="O700" s="94"/>
      <c r="P700" s="94"/>
      <c r="Q700" s="94">
        <v>560</v>
      </c>
      <c r="R700" s="95">
        <f t="shared" si="128"/>
        <v>39676.903794905025</v>
      </c>
      <c r="S700" s="94">
        <v>25964.756799999999</v>
      </c>
      <c r="T700" s="94">
        <f t="shared" si="131"/>
        <v>27722.570835360002</v>
      </c>
      <c r="U700" s="94">
        <f t="shared" si="132"/>
        <v>29316.618658393207</v>
      </c>
      <c r="V700" s="94">
        <f t="shared" si="133"/>
        <v>30515.668361521486</v>
      </c>
      <c r="W700" s="97">
        <f t="shared" si="134"/>
        <v>31486.066615417873</v>
      </c>
      <c r="X700" s="97">
        <f t="shared" si="135"/>
        <v>32682.537146803752</v>
      </c>
      <c r="Y700" s="97">
        <f t="shared" si="136"/>
        <v>33208.725994867295</v>
      </c>
      <c r="Z700" s="97">
        <f t="shared" si="129"/>
        <v>35075.05639577884</v>
      </c>
      <c r="AA700" s="97">
        <f t="shared" si="130"/>
        <v>39676.903794905025</v>
      </c>
    </row>
    <row r="701" spans="1:27" x14ac:dyDescent="0.25">
      <c r="A701" s="86" t="s">
        <v>1705</v>
      </c>
      <c r="B701" s="116" t="s">
        <v>1706</v>
      </c>
      <c r="C701" s="88" t="s">
        <v>226</v>
      </c>
      <c r="D701" s="89" t="s">
        <v>262</v>
      </c>
      <c r="E701" s="90">
        <f t="shared" si="138"/>
        <v>480387</v>
      </c>
      <c r="F701" s="90">
        <f t="shared" si="137"/>
        <v>403686.51794235694</v>
      </c>
      <c r="G701" s="91">
        <v>0.19</v>
      </c>
      <c r="H701" s="91" t="s">
        <v>228</v>
      </c>
      <c r="I701" s="91" t="s">
        <v>228</v>
      </c>
      <c r="J701" s="91"/>
      <c r="K701" s="91" t="s">
        <v>228</v>
      </c>
      <c r="L701" s="92" t="s">
        <v>1698</v>
      </c>
      <c r="M701" s="91" t="str">
        <f t="shared" si="139"/>
        <v>VER ARCHIVO ANEXO</v>
      </c>
      <c r="N701" s="93">
        <v>41608</v>
      </c>
      <c r="O701" s="94"/>
      <c r="P701" s="94"/>
      <c r="Q701" s="94">
        <v>561</v>
      </c>
      <c r="R701" s="95">
        <f t="shared" si="128"/>
        <v>403686.51794235694</v>
      </c>
      <c r="S701" s="94">
        <v>264174.40019999997</v>
      </c>
      <c r="T701" s="94">
        <f t="shared" si="131"/>
        <v>282059.00709353999</v>
      </c>
      <c r="U701" s="94">
        <f t="shared" si="132"/>
        <v>298277.40000141854</v>
      </c>
      <c r="V701" s="94">
        <f t="shared" si="133"/>
        <v>310476.94566147652</v>
      </c>
      <c r="W701" s="97">
        <f t="shared" si="134"/>
        <v>320350.11253351148</v>
      </c>
      <c r="X701" s="97">
        <f t="shared" si="135"/>
        <v>332523.41680978495</v>
      </c>
      <c r="Y701" s="97">
        <f t="shared" si="136"/>
        <v>337877.04382042249</v>
      </c>
      <c r="Z701" s="97">
        <f t="shared" si="129"/>
        <v>356865.73368313024</v>
      </c>
      <c r="AA701" s="97">
        <f t="shared" si="130"/>
        <v>403686.51794235694</v>
      </c>
    </row>
    <row r="702" spans="1:27" x14ac:dyDescent="0.25">
      <c r="A702" s="86" t="s">
        <v>1707</v>
      </c>
      <c r="B702" s="116" t="s">
        <v>1708</v>
      </c>
      <c r="C702" s="88" t="s">
        <v>226</v>
      </c>
      <c r="D702" s="89" t="s">
        <v>262</v>
      </c>
      <c r="E702" s="90">
        <f t="shared" si="138"/>
        <v>288264</v>
      </c>
      <c r="F702" s="90">
        <f t="shared" si="137"/>
        <v>242238.52255013766</v>
      </c>
      <c r="G702" s="91">
        <v>0.19</v>
      </c>
      <c r="H702" s="91" t="s">
        <v>228</v>
      </c>
      <c r="I702" s="91" t="s">
        <v>228</v>
      </c>
      <c r="J702" s="91"/>
      <c r="K702" s="91" t="s">
        <v>228</v>
      </c>
      <c r="L702" s="92" t="s">
        <v>1698</v>
      </c>
      <c r="M702" s="91" t="str">
        <f t="shared" si="139"/>
        <v>VER ARCHIVO ANEXO</v>
      </c>
      <c r="N702" s="93">
        <v>41608</v>
      </c>
      <c r="O702" s="94"/>
      <c r="P702" s="94"/>
      <c r="Q702" s="94">
        <v>562</v>
      </c>
      <c r="R702" s="95">
        <f t="shared" si="128"/>
        <v>242238.52255013766</v>
      </c>
      <c r="S702" s="94">
        <v>158522.05499999999</v>
      </c>
      <c r="T702" s="94">
        <f t="shared" si="131"/>
        <v>169253.9981235</v>
      </c>
      <c r="U702" s="94">
        <f t="shared" si="132"/>
        <v>178986.10301560126</v>
      </c>
      <c r="V702" s="94">
        <f t="shared" si="133"/>
        <v>186306.63462893933</v>
      </c>
      <c r="W702" s="97">
        <f t="shared" si="134"/>
        <v>192231.1856101396</v>
      </c>
      <c r="X702" s="97">
        <f t="shared" si="135"/>
        <v>199535.9706633249</v>
      </c>
      <c r="Y702" s="97">
        <f t="shared" si="136"/>
        <v>202748.49979100443</v>
      </c>
      <c r="Z702" s="97">
        <f t="shared" si="129"/>
        <v>214142.96547925888</v>
      </c>
      <c r="AA702" s="97">
        <f t="shared" si="130"/>
        <v>242238.52255013766</v>
      </c>
    </row>
    <row r="703" spans="1:27" x14ac:dyDescent="0.25">
      <c r="A703" s="86" t="s">
        <v>1709</v>
      </c>
      <c r="B703" s="116" t="s">
        <v>1710</v>
      </c>
      <c r="C703" s="88" t="s">
        <v>226</v>
      </c>
      <c r="D703" s="89" t="s">
        <v>262</v>
      </c>
      <c r="E703" s="90">
        <f t="shared" si="138"/>
        <v>770764</v>
      </c>
      <c r="F703" s="90">
        <f t="shared" si="137"/>
        <v>647700.74350886687</v>
      </c>
      <c r="G703" s="91">
        <v>0.19</v>
      </c>
      <c r="H703" s="91" t="s">
        <v>228</v>
      </c>
      <c r="I703" s="91" t="s">
        <v>228</v>
      </c>
      <c r="J703" s="91"/>
      <c r="K703" s="91" t="s">
        <v>228</v>
      </c>
      <c r="L703" s="92" t="s">
        <v>1698</v>
      </c>
      <c r="M703" s="91" t="str">
        <f t="shared" si="139"/>
        <v>VER ARCHIVO ANEXO</v>
      </c>
      <c r="N703" s="93">
        <v>41608</v>
      </c>
      <c r="O703" s="94"/>
      <c r="P703" s="94"/>
      <c r="Q703" s="94">
        <v>563</v>
      </c>
      <c r="R703" s="95">
        <f t="shared" si="128"/>
        <v>647700.74350886687</v>
      </c>
      <c r="S703" s="94">
        <v>423858.48379999999</v>
      </c>
      <c r="T703" s="94">
        <f t="shared" si="131"/>
        <v>452553.70315326005</v>
      </c>
      <c r="U703" s="94">
        <f t="shared" si="132"/>
        <v>478575.54108457256</v>
      </c>
      <c r="V703" s="94">
        <f t="shared" si="133"/>
        <v>498149.28071493155</v>
      </c>
      <c r="W703" s="97">
        <f t="shared" si="134"/>
        <v>513990.42784166639</v>
      </c>
      <c r="X703" s="97">
        <f t="shared" si="135"/>
        <v>533522.06409964978</v>
      </c>
      <c r="Y703" s="97">
        <f t="shared" si="136"/>
        <v>542111.76933165418</v>
      </c>
      <c r="Z703" s="97">
        <f t="shared" si="129"/>
        <v>572578.45076809311</v>
      </c>
      <c r="AA703" s="97">
        <f t="shared" si="130"/>
        <v>647700.74350886687</v>
      </c>
    </row>
    <row r="704" spans="1:27" x14ac:dyDescent="0.25">
      <c r="A704" s="86" t="s">
        <v>1711</v>
      </c>
      <c r="B704" s="116" t="s">
        <v>1712</v>
      </c>
      <c r="C704" s="88" t="s">
        <v>226</v>
      </c>
      <c r="D704" s="89" t="s">
        <v>262</v>
      </c>
      <c r="E704" s="90">
        <f t="shared" si="138"/>
        <v>65604</v>
      </c>
      <c r="F704" s="90">
        <f t="shared" si="137"/>
        <v>55129.163317393773</v>
      </c>
      <c r="G704" s="91">
        <v>0.19</v>
      </c>
      <c r="H704" s="91" t="s">
        <v>228</v>
      </c>
      <c r="I704" s="91" t="s">
        <v>228</v>
      </c>
      <c r="J704" s="91"/>
      <c r="K704" s="91" t="s">
        <v>228</v>
      </c>
      <c r="L704" s="92" t="s">
        <v>1698</v>
      </c>
      <c r="M704" s="91" t="str">
        <f t="shared" si="139"/>
        <v>VER ARCHIVO ANEXO</v>
      </c>
      <c r="N704" s="93">
        <v>41608</v>
      </c>
      <c r="O704" s="94"/>
      <c r="P704" s="94"/>
      <c r="Q704" s="94">
        <v>564</v>
      </c>
      <c r="R704" s="95">
        <f t="shared" si="128"/>
        <v>55129.163317393773</v>
      </c>
      <c r="S704" s="94">
        <v>36076.789799999999</v>
      </c>
      <c r="T704" s="94">
        <f t="shared" si="131"/>
        <v>38519.188469460001</v>
      </c>
      <c r="U704" s="94">
        <f t="shared" si="132"/>
        <v>40734.041806453955</v>
      </c>
      <c r="V704" s="94">
        <f t="shared" si="133"/>
        <v>42400.064116337919</v>
      </c>
      <c r="W704" s="97">
        <f t="shared" si="134"/>
        <v>43748.386155237466</v>
      </c>
      <c r="X704" s="97">
        <f t="shared" si="135"/>
        <v>45410.824829136494</v>
      </c>
      <c r="Y704" s="97">
        <f t="shared" si="136"/>
        <v>46141.939108885592</v>
      </c>
      <c r="Z704" s="97">
        <f t="shared" si="129"/>
        <v>48735.116086804963</v>
      </c>
      <c r="AA704" s="97">
        <f t="shared" si="130"/>
        <v>55129.163317393773</v>
      </c>
    </row>
    <row r="705" spans="1:27" x14ac:dyDescent="0.25">
      <c r="A705" s="86" t="s">
        <v>1713</v>
      </c>
      <c r="B705" s="116" t="s">
        <v>1714</v>
      </c>
      <c r="C705" s="88" t="s">
        <v>226</v>
      </c>
      <c r="D705" s="89" t="s">
        <v>262</v>
      </c>
      <c r="E705" s="90">
        <f t="shared" si="138"/>
        <v>1808923</v>
      </c>
      <c r="F705" s="90">
        <f t="shared" si="137"/>
        <v>1520103.1602420409</v>
      </c>
      <c r="G705" s="91">
        <v>0.19</v>
      </c>
      <c r="H705" s="91" t="s">
        <v>228</v>
      </c>
      <c r="I705" s="91" t="s">
        <v>228</v>
      </c>
      <c r="J705" s="91"/>
      <c r="K705" s="91" t="s">
        <v>228</v>
      </c>
      <c r="L705" s="92" t="s">
        <v>1698</v>
      </c>
      <c r="M705" s="91" t="str">
        <f t="shared" si="139"/>
        <v>VER ARCHIVO ANEXO</v>
      </c>
      <c r="N705" s="93">
        <v>41608</v>
      </c>
      <c r="O705" s="94"/>
      <c r="P705" s="94"/>
      <c r="Q705" s="94">
        <v>565</v>
      </c>
      <c r="R705" s="95">
        <f t="shared" si="128"/>
        <v>1520103.1602420409</v>
      </c>
      <c r="S705" s="94">
        <v>994762.82400000002</v>
      </c>
      <c r="T705" s="94">
        <f t="shared" si="131"/>
        <v>1062108.2671848</v>
      </c>
      <c r="U705" s="94">
        <f t="shared" si="132"/>
        <v>1123179.492547926</v>
      </c>
      <c r="V705" s="94">
        <f t="shared" si="133"/>
        <v>1169117.5337931362</v>
      </c>
      <c r="W705" s="97">
        <f t="shared" si="134"/>
        <v>1206295.471367758</v>
      </c>
      <c r="X705" s="97">
        <f t="shared" si="135"/>
        <v>1252134.6992797328</v>
      </c>
      <c r="Y705" s="97">
        <f t="shared" si="136"/>
        <v>1272294.0679381364</v>
      </c>
      <c r="Z705" s="97">
        <f t="shared" si="129"/>
        <v>1343796.9945562596</v>
      </c>
      <c r="AA705" s="97">
        <f t="shared" si="130"/>
        <v>1520103.1602420409</v>
      </c>
    </row>
    <row r="706" spans="1:27" x14ac:dyDescent="0.25">
      <c r="A706" s="102" t="s">
        <v>1715</v>
      </c>
      <c r="B706" s="87" t="s">
        <v>1716</v>
      </c>
      <c r="C706" s="88" t="s">
        <v>226</v>
      </c>
      <c r="D706" s="89" t="s">
        <v>255</v>
      </c>
      <c r="E706" s="90">
        <f t="shared" si="138"/>
        <v>30160</v>
      </c>
      <c r="F706" s="90">
        <f t="shared" si="137"/>
        <v>25344.556879530508</v>
      </c>
      <c r="G706" s="91">
        <v>0.19</v>
      </c>
      <c r="H706" s="91" t="s">
        <v>228</v>
      </c>
      <c r="I706" s="91" t="s">
        <v>228</v>
      </c>
      <c r="J706" s="91"/>
      <c r="K706" s="91" t="s">
        <v>228</v>
      </c>
      <c r="L706" s="92" t="s">
        <v>289</v>
      </c>
      <c r="M706" s="91" t="str">
        <f t="shared" si="139"/>
        <v>VER ARCHIVO ANEXO</v>
      </c>
      <c r="N706" s="93">
        <v>41608</v>
      </c>
      <c r="O706" s="94"/>
      <c r="P706" s="94"/>
      <c r="Q706" s="94">
        <v>566</v>
      </c>
      <c r="R706" s="95">
        <f t="shared" si="128"/>
        <v>25344.556879530508</v>
      </c>
      <c r="S706" s="94">
        <v>16585.599999999999</v>
      </c>
      <c r="T706" s="94">
        <f t="shared" si="131"/>
        <v>17708.44512</v>
      </c>
      <c r="U706" s="94">
        <f t="shared" si="132"/>
        <v>18726.680714400001</v>
      </c>
      <c r="V706" s="94">
        <f t="shared" si="133"/>
        <v>19492.60195561896</v>
      </c>
      <c r="W706" s="97">
        <f t="shared" si="134"/>
        <v>20112.466697807646</v>
      </c>
      <c r="X706" s="97">
        <f t="shared" si="135"/>
        <v>20876.740432324335</v>
      </c>
      <c r="Y706" s="97">
        <f t="shared" si="136"/>
        <v>21212.855953284758</v>
      </c>
      <c r="Z706" s="97">
        <f t="shared" si="129"/>
        <v>22405.018457859362</v>
      </c>
      <c r="AA706" s="97">
        <f t="shared" si="130"/>
        <v>25344.556879530508</v>
      </c>
    </row>
    <row r="707" spans="1:27" x14ac:dyDescent="0.25">
      <c r="A707" s="102" t="s">
        <v>1717</v>
      </c>
      <c r="B707" s="87" t="s">
        <v>1718</v>
      </c>
      <c r="C707" s="88" t="s">
        <v>226</v>
      </c>
      <c r="D707" s="89" t="s">
        <v>255</v>
      </c>
      <c r="E707" s="90">
        <f t="shared" si="138"/>
        <v>15080</v>
      </c>
      <c r="F707" s="90">
        <f t="shared" si="137"/>
        <v>12672.278439765254</v>
      </c>
      <c r="G707" s="91">
        <v>0.19</v>
      </c>
      <c r="H707" s="91" t="s">
        <v>228</v>
      </c>
      <c r="I707" s="91" t="s">
        <v>228</v>
      </c>
      <c r="J707" s="91"/>
      <c r="K707" s="91" t="s">
        <v>228</v>
      </c>
      <c r="L707" s="92" t="s">
        <v>289</v>
      </c>
      <c r="M707" s="91" t="str">
        <f t="shared" si="139"/>
        <v>VER ARCHIVO ANEXO</v>
      </c>
      <c r="N707" s="93">
        <v>41608</v>
      </c>
      <c r="O707" s="94"/>
      <c r="P707" s="94"/>
      <c r="Q707" s="94">
        <v>567</v>
      </c>
      <c r="R707" s="95">
        <f t="shared" si="128"/>
        <v>12672.278439765254</v>
      </c>
      <c r="S707" s="94">
        <v>8292.7999999999993</v>
      </c>
      <c r="T707" s="94">
        <f t="shared" si="131"/>
        <v>8854.2225600000002</v>
      </c>
      <c r="U707" s="94">
        <f t="shared" si="132"/>
        <v>9363.3403572000007</v>
      </c>
      <c r="V707" s="94">
        <f t="shared" si="133"/>
        <v>9746.3009778094802</v>
      </c>
      <c r="W707" s="97">
        <f t="shared" si="134"/>
        <v>10056.233348903823</v>
      </c>
      <c r="X707" s="97">
        <f t="shared" si="135"/>
        <v>10438.370216162168</v>
      </c>
      <c r="Y707" s="97">
        <f t="shared" si="136"/>
        <v>10606.427976642379</v>
      </c>
      <c r="Z707" s="97">
        <f t="shared" si="129"/>
        <v>11202.509228929681</v>
      </c>
      <c r="AA707" s="97">
        <f t="shared" si="130"/>
        <v>12672.278439765254</v>
      </c>
    </row>
    <row r="708" spans="1:27" x14ac:dyDescent="0.25">
      <c r="A708" s="102" t="s">
        <v>1719</v>
      </c>
      <c r="B708" s="87" t="s">
        <v>1720</v>
      </c>
      <c r="C708" s="88" t="s">
        <v>226</v>
      </c>
      <c r="D708" s="89" t="s">
        <v>255</v>
      </c>
      <c r="E708" s="90">
        <f t="shared" si="138"/>
        <v>49010</v>
      </c>
      <c r="F708" s="90">
        <f t="shared" si="137"/>
        <v>41184.904929237076</v>
      </c>
      <c r="G708" s="91">
        <v>0.19</v>
      </c>
      <c r="H708" s="91" t="s">
        <v>228</v>
      </c>
      <c r="I708" s="91" t="s">
        <v>228</v>
      </c>
      <c r="J708" s="91"/>
      <c r="K708" s="91" t="s">
        <v>228</v>
      </c>
      <c r="L708" s="92" t="s">
        <v>289</v>
      </c>
      <c r="M708" s="91" t="str">
        <f t="shared" si="139"/>
        <v>VER ARCHIVO ANEXO</v>
      </c>
      <c r="N708" s="93">
        <v>41608</v>
      </c>
      <c r="O708" s="94"/>
      <c r="P708" s="94"/>
      <c r="Q708" s="94">
        <v>568</v>
      </c>
      <c r="R708" s="95">
        <f t="shared" si="128"/>
        <v>41184.904929237076</v>
      </c>
      <c r="S708" s="94">
        <v>26951.599999999999</v>
      </c>
      <c r="T708" s="94">
        <f t="shared" si="131"/>
        <v>28776.223320000001</v>
      </c>
      <c r="U708" s="94">
        <f t="shared" si="132"/>
        <v>30430.856160900003</v>
      </c>
      <c r="V708" s="94">
        <f t="shared" si="133"/>
        <v>31675.47817788081</v>
      </c>
      <c r="W708" s="97">
        <f t="shared" si="134"/>
        <v>32682.75838393742</v>
      </c>
      <c r="X708" s="97">
        <f t="shared" si="135"/>
        <v>33924.703202527046</v>
      </c>
      <c r="Y708" s="97">
        <f t="shared" si="136"/>
        <v>34470.890924087733</v>
      </c>
      <c r="Z708" s="97">
        <f t="shared" si="129"/>
        <v>36408.154994021461</v>
      </c>
      <c r="AA708" s="97">
        <f t="shared" si="130"/>
        <v>41184.904929237076</v>
      </c>
    </row>
    <row r="709" spans="1:27" x14ac:dyDescent="0.25">
      <c r="A709" s="86" t="s">
        <v>1721</v>
      </c>
      <c r="B709" s="98" t="s">
        <v>1722</v>
      </c>
      <c r="C709" s="99" t="s">
        <v>226</v>
      </c>
      <c r="D709" s="100" t="s">
        <v>262</v>
      </c>
      <c r="E709" s="101">
        <f t="shared" si="138"/>
        <v>1112</v>
      </c>
      <c r="F709" s="90">
        <f t="shared" si="137"/>
        <v>934.58053493268756</v>
      </c>
      <c r="G709" s="91">
        <v>0.19</v>
      </c>
      <c r="H709" s="91" t="s">
        <v>228</v>
      </c>
      <c r="I709" s="91" t="s">
        <v>228</v>
      </c>
      <c r="J709" s="91"/>
      <c r="K709" s="91" t="s">
        <v>228</v>
      </c>
      <c r="L709" s="92" t="s">
        <v>302</v>
      </c>
      <c r="M709" s="91" t="str">
        <f t="shared" si="139"/>
        <v>no aplica</v>
      </c>
      <c r="N709" s="93">
        <v>41608</v>
      </c>
      <c r="O709" s="94"/>
      <c r="P709" s="94"/>
      <c r="Q709" s="94">
        <v>569</v>
      </c>
      <c r="R709" s="95">
        <f t="shared" si="128"/>
        <v>934.58053493268756</v>
      </c>
      <c r="S709" s="94">
        <v>611.59399999999994</v>
      </c>
      <c r="T709" s="94">
        <f t="shared" si="131"/>
        <v>652.99891379999997</v>
      </c>
      <c r="U709" s="94">
        <f t="shared" si="132"/>
        <v>690.54635134350008</v>
      </c>
      <c r="V709" s="94">
        <f t="shared" si="133"/>
        <v>718.78969711344917</v>
      </c>
      <c r="W709" s="97">
        <f t="shared" si="134"/>
        <v>741.64720948165689</v>
      </c>
      <c r="X709" s="97">
        <f t="shared" si="135"/>
        <v>769.82980344195983</v>
      </c>
      <c r="Y709" s="97">
        <f t="shared" si="136"/>
        <v>782.22406327737542</v>
      </c>
      <c r="Z709" s="97">
        <f t="shared" si="129"/>
        <v>826.18505563356393</v>
      </c>
      <c r="AA709" s="97">
        <f t="shared" si="130"/>
        <v>934.58053493268756</v>
      </c>
    </row>
    <row r="710" spans="1:27" x14ac:dyDescent="0.25">
      <c r="A710" s="86" t="s">
        <v>1723</v>
      </c>
      <c r="B710" s="116" t="s">
        <v>1724</v>
      </c>
      <c r="C710" s="88" t="s">
        <v>226</v>
      </c>
      <c r="D710" s="89" t="s">
        <v>262</v>
      </c>
      <c r="E710" s="90">
        <f t="shared" si="138"/>
        <v>10325</v>
      </c>
      <c r="F710" s="90">
        <f t="shared" si="137"/>
        <v>8676.5641986240007</v>
      </c>
      <c r="G710" s="91">
        <v>0.19</v>
      </c>
      <c r="H710" s="91" t="s">
        <v>228</v>
      </c>
      <c r="I710" s="91" t="s">
        <v>228</v>
      </c>
      <c r="J710" s="91"/>
      <c r="K710" s="91" t="s">
        <v>228</v>
      </c>
      <c r="L710" s="92" t="s">
        <v>1442</v>
      </c>
      <c r="M710" s="91" t="str">
        <f t="shared" si="139"/>
        <v>VER ARCHIVO ANEXO</v>
      </c>
      <c r="N710" s="93">
        <v>41608</v>
      </c>
      <c r="O710" s="94">
        <v>7031</v>
      </c>
      <c r="P710" s="94" t="s">
        <v>1443</v>
      </c>
      <c r="Q710" s="94">
        <v>570</v>
      </c>
      <c r="R710" s="95">
        <f t="shared" si="128"/>
        <v>8676.5641986240007</v>
      </c>
      <c r="S710" s="94">
        <v>5258.6718000000001</v>
      </c>
      <c r="T710" s="94">
        <f t="shared" si="131"/>
        <v>5614.6838808600005</v>
      </c>
      <c r="U710" s="94">
        <f t="shared" si="132"/>
        <v>5937.5282040094507</v>
      </c>
      <c r="V710" s="94">
        <f t="shared" si="133"/>
        <v>6180.373107553437</v>
      </c>
      <c r="W710" s="97">
        <f t="shared" si="134"/>
        <v>6376.908972373637</v>
      </c>
      <c r="X710" s="97">
        <f t="shared" si="135"/>
        <v>6619.2315133238353</v>
      </c>
      <c r="Y710" s="97">
        <v>7262.1</v>
      </c>
      <c r="Z710" s="97">
        <f t="shared" si="129"/>
        <v>7670.2300200000009</v>
      </c>
      <c r="AA710" s="97">
        <f t="shared" si="130"/>
        <v>8676.5641986240007</v>
      </c>
    </row>
    <row r="711" spans="1:27" x14ac:dyDescent="0.25">
      <c r="A711" s="86" t="s">
        <v>1725</v>
      </c>
      <c r="B711" s="116" t="s">
        <v>1726</v>
      </c>
      <c r="C711" s="88" t="s">
        <v>226</v>
      </c>
      <c r="D711" s="89" t="s">
        <v>262</v>
      </c>
      <c r="E711" s="90">
        <f t="shared" si="138"/>
        <v>18186</v>
      </c>
      <c r="F711" s="90">
        <f t="shared" si="137"/>
        <v>15282.108116352001</v>
      </c>
      <c r="G711" s="91">
        <v>0.19</v>
      </c>
      <c r="H711" s="91" t="s">
        <v>228</v>
      </c>
      <c r="I711" s="91" t="s">
        <v>228</v>
      </c>
      <c r="J711" s="91"/>
      <c r="K711" s="91" t="s">
        <v>228</v>
      </c>
      <c r="L711" s="92" t="s">
        <v>1442</v>
      </c>
      <c r="M711" s="91" t="str">
        <f t="shared" si="139"/>
        <v>VER ARCHIVO ANEXO</v>
      </c>
      <c r="N711" s="93">
        <v>41608</v>
      </c>
      <c r="O711" s="94">
        <v>12270</v>
      </c>
      <c r="P711" s="94" t="s">
        <v>1443</v>
      </c>
      <c r="Q711" s="94">
        <v>571</v>
      </c>
      <c r="R711" s="95">
        <f t="shared" ref="R711:R774" si="140">+AA711</f>
        <v>15282.108116352001</v>
      </c>
      <c r="S711" s="94">
        <v>9178.0563999999995</v>
      </c>
      <c r="T711" s="94">
        <f t="shared" si="131"/>
        <v>9799.410818280001</v>
      </c>
      <c r="U711" s="94">
        <f t="shared" si="132"/>
        <v>10362.876940331102</v>
      </c>
      <c r="V711" s="94">
        <f t="shared" si="133"/>
        <v>10786.718607190644</v>
      </c>
      <c r="W711" s="97">
        <f t="shared" si="134"/>
        <v>11129.736258899307</v>
      </c>
      <c r="X711" s="97">
        <f t="shared" si="135"/>
        <v>11552.666236737481</v>
      </c>
      <c r="Y711" s="97">
        <v>12790.800000000001</v>
      </c>
      <c r="Z711" s="97">
        <f t="shared" ref="Z711:Z774" si="141">+Y711*(1+$Z$4)</f>
        <v>13509.642960000001</v>
      </c>
      <c r="AA711" s="97">
        <f t="shared" ref="AA711:AA774" si="142">+Z711*(1+$AA$4)</f>
        <v>15282.108116352001</v>
      </c>
    </row>
    <row r="712" spans="1:27" x14ac:dyDescent="0.25">
      <c r="A712" s="86" t="s">
        <v>1727</v>
      </c>
      <c r="B712" s="116" t="s">
        <v>1728</v>
      </c>
      <c r="C712" s="88" t="s">
        <v>226</v>
      </c>
      <c r="D712" s="89" t="s">
        <v>262</v>
      </c>
      <c r="E712" s="90">
        <f t="shared" si="138"/>
        <v>66132</v>
      </c>
      <c r="F712" s="90">
        <f t="shared" si="137"/>
        <v>55573.452833472009</v>
      </c>
      <c r="G712" s="91">
        <v>0.19</v>
      </c>
      <c r="H712" s="91" t="s">
        <v>228</v>
      </c>
      <c r="I712" s="91" t="s">
        <v>228</v>
      </c>
      <c r="J712" s="91"/>
      <c r="K712" s="91" t="s">
        <v>228</v>
      </c>
      <c r="L712" s="92" t="s">
        <v>1442</v>
      </c>
      <c r="M712" s="91" t="str">
        <f t="shared" si="139"/>
        <v>VER ARCHIVO ANEXO</v>
      </c>
      <c r="N712" s="93">
        <v>41608</v>
      </c>
      <c r="O712" s="94">
        <v>45030</v>
      </c>
      <c r="P712" s="94" t="s">
        <v>1443</v>
      </c>
      <c r="Q712" s="94">
        <v>572</v>
      </c>
      <c r="R712" s="95">
        <f t="shared" si="140"/>
        <v>55573.452833472009</v>
      </c>
      <c r="S712" s="94">
        <v>33687.426800000001</v>
      </c>
      <c r="T712" s="94">
        <f t="shared" ref="T712:T778" si="143">+S712*1.0677</f>
        <v>35968.065594360007</v>
      </c>
      <c r="U712" s="94">
        <f t="shared" ref="U712:U778" si="144">+T712*(1+$U$4)</f>
        <v>38036.22936603571</v>
      </c>
      <c r="V712" s="94">
        <f t="shared" ref="V712:V778" si="145">+U712*(1+$V$4)</f>
        <v>39591.91114710657</v>
      </c>
      <c r="W712" s="97">
        <f t="shared" ref="W712:W775" si="146">+V712*(1+$W$4)</f>
        <v>40850.933921584561</v>
      </c>
      <c r="X712" s="97">
        <f t="shared" ref="X712:X775" si="147">+W712*(1+$X$4)</f>
        <v>42403.269410604778</v>
      </c>
      <c r="Y712" s="97">
        <v>46513.8</v>
      </c>
      <c r="Z712" s="97">
        <f t="shared" si="141"/>
        <v>49127.875560000008</v>
      </c>
      <c r="AA712" s="97">
        <f t="shared" si="142"/>
        <v>55573.452833472009</v>
      </c>
    </row>
    <row r="713" spans="1:27" x14ac:dyDescent="0.25">
      <c r="A713" s="86" t="s">
        <v>1729</v>
      </c>
      <c r="B713" s="87" t="s">
        <v>1730</v>
      </c>
      <c r="C713" s="88" t="s">
        <v>226</v>
      </c>
      <c r="D713" s="89" t="s">
        <v>262</v>
      </c>
      <c r="E713" s="90">
        <f t="shared" si="138"/>
        <v>3424</v>
      </c>
      <c r="F713" s="90">
        <f t="shared" ref="F713:F779" si="148">R713</f>
        <v>2877.4923528960003</v>
      </c>
      <c r="G713" s="91">
        <v>0.19</v>
      </c>
      <c r="H713" s="91" t="s">
        <v>228</v>
      </c>
      <c r="I713" s="91" t="s">
        <v>228</v>
      </c>
      <c r="J713" s="91"/>
      <c r="K713" s="91" t="s">
        <v>228</v>
      </c>
      <c r="L713" s="92" t="s">
        <v>1442</v>
      </c>
      <c r="M713" s="91" t="str">
        <f t="shared" si="139"/>
        <v>VER ARCHIVO ANEXO</v>
      </c>
      <c r="N713" s="93">
        <v>41608</v>
      </c>
      <c r="O713" s="94">
        <v>2331</v>
      </c>
      <c r="P713" s="94" t="s">
        <v>1443</v>
      </c>
      <c r="Q713" s="94">
        <v>573</v>
      </c>
      <c r="R713" s="95">
        <f t="shared" si="140"/>
        <v>2877.4923528960003</v>
      </c>
      <c r="S713" s="94">
        <v>1742.5246</v>
      </c>
      <c r="T713" s="94">
        <f t="shared" si="143"/>
        <v>1860.4935154200002</v>
      </c>
      <c r="U713" s="94">
        <f t="shared" si="144"/>
        <v>1967.4718925566503</v>
      </c>
      <c r="V713" s="94">
        <f t="shared" si="145"/>
        <v>2047.9414929622171</v>
      </c>
      <c r="W713" s="97">
        <f t="shared" si="146"/>
        <v>2113.0660324384157</v>
      </c>
      <c r="X713" s="97">
        <f t="shared" si="147"/>
        <v>2193.3625416710756</v>
      </c>
      <c r="Y713" s="97">
        <v>2408.4</v>
      </c>
      <c r="Z713" s="97">
        <f t="shared" si="141"/>
        <v>2543.7520800000002</v>
      </c>
      <c r="AA713" s="97">
        <f t="shared" si="142"/>
        <v>2877.4923528960003</v>
      </c>
    </row>
    <row r="714" spans="1:27" x14ac:dyDescent="0.25">
      <c r="A714" s="86" t="s">
        <v>1731</v>
      </c>
      <c r="B714" s="98" t="s">
        <v>1732</v>
      </c>
      <c r="C714" s="99" t="s">
        <v>226</v>
      </c>
      <c r="D714" s="100" t="s">
        <v>262</v>
      </c>
      <c r="E714" s="101">
        <f t="shared" ref="E714:E780" si="149">+ROUND(F714*(1+G714),0)</f>
        <v>4013</v>
      </c>
      <c r="F714" s="90">
        <f t="shared" si="148"/>
        <v>3372.1285570559999</v>
      </c>
      <c r="G714" s="91">
        <v>0.19</v>
      </c>
      <c r="H714" s="91" t="s">
        <v>228</v>
      </c>
      <c r="I714" s="91" t="s">
        <v>228</v>
      </c>
      <c r="J714" s="91"/>
      <c r="K714" s="91" t="s">
        <v>228</v>
      </c>
      <c r="L714" s="92" t="s">
        <v>1442</v>
      </c>
      <c r="M714" s="91" t="str">
        <f t="shared" si="139"/>
        <v>VER ARCHIVO ANEXO</v>
      </c>
      <c r="N714" s="93">
        <v>41608</v>
      </c>
      <c r="O714" s="94">
        <v>2732</v>
      </c>
      <c r="P714" s="94" t="s">
        <v>1443</v>
      </c>
      <c r="Q714" s="94">
        <v>574</v>
      </c>
      <c r="R714" s="95">
        <f t="shared" si="140"/>
        <v>3372.1285570559999</v>
      </c>
      <c r="S714" s="94">
        <v>2043.1386</v>
      </c>
      <c r="T714" s="94">
        <f t="shared" si="143"/>
        <v>2181.4590832200001</v>
      </c>
      <c r="U714" s="94">
        <f t="shared" si="144"/>
        <v>2306.8929805051503</v>
      </c>
      <c r="V714" s="94">
        <f t="shared" si="145"/>
        <v>2401.2449034078109</v>
      </c>
      <c r="W714" s="97">
        <f t="shared" si="146"/>
        <v>2477.6044913361793</v>
      </c>
      <c r="X714" s="97">
        <f t="shared" si="147"/>
        <v>2571.7534620069541</v>
      </c>
      <c r="Y714" s="97">
        <v>2822.4</v>
      </c>
      <c r="Z714" s="97">
        <f t="shared" si="141"/>
        <v>2981.0188800000001</v>
      </c>
      <c r="AA714" s="97">
        <f t="shared" si="142"/>
        <v>3372.1285570559999</v>
      </c>
    </row>
    <row r="715" spans="1:27" x14ac:dyDescent="0.25">
      <c r="A715" s="86" t="s">
        <v>1733</v>
      </c>
      <c r="B715" s="98" t="s">
        <v>1734</v>
      </c>
      <c r="C715" s="99" t="s">
        <v>226</v>
      </c>
      <c r="D715" s="100" t="s">
        <v>262</v>
      </c>
      <c r="E715" s="101">
        <f t="shared" si="149"/>
        <v>9296</v>
      </c>
      <c r="F715" s="90">
        <f t="shared" si="148"/>
        <v>7812.0261374399997</v>
      </c>
      <c r="G715" s="91">
        <v>0.19</v>
      </c>
      <c r="H715" s="91" t="s">
        <v>228</v>
      </c>
      <c r="I715" s="91" t="s">
        <v>228</v>
      </c>
      <c r="J715" s="91"/>
      <c r="K715" s="91" t="s">
        <v>228</v>
      </c>
      <c r="L715" s="92" t="s">
        <v>1442</v>
      </c>
      <c r="M715" s="91" t="str">
        <f t="shared" si="139"/>
        <v>VER ARCHIVO ANEXO</v>
      </c>
      <c r="N715" s="93">
        <v>41608</v>
      </c>
      <c r="O715" s="94">
        <v>6330</v>
      </c>
      <c r="P715" s="94" t="s">
        <v>1443</v>
      </c>
      <c r="Q715" s="94">
        <v>575</v>
      </c>
      <c r="R715" s="95">
        <f t="shared" si="140"/>
        <v>7812.0261374399997</v>
      </c>
      <c r="S715" s="94">
        <v>4735.1887999999999</v>
      </c>
      <c r="T715" s="94">
        <f t="shared" si="143"/>
        <v>5055.7610817600007</v>
      </c>
      <c r="U715" s="94">
        <f t="shared" si="144"/>
        <v>5346.4673439612015</v>
      </c>
      <c r="V715" s="94">
        <f t="shared" si="145"/>
        <v>5565.1378583292144</v>
      </c>
      <c r="W715" s="97">
        <f t="shared" si="146"/>
        <v>5742.1092422240836</v>
      </c>
      <c r="X715" s="97">
        <f t="shared" si="147"/>
        <v>5960.3093934285989</v>
      </c>
      <c r="Y715" s="97">
        <v>6538.5</v>
      </c>
      <c r="Z715" s="97">
        <f t="shared" si="141"/>
        <v>6905.9637000000002</v>
      </c>
      <c r="AA715" s="97">
        <f t="shared" si="142"/>
        <v>7812.0261374399997</v>
      </c>
    </row>
    <row r="716" spans="1:27" x14ac:dyDescent="0.25">
      <c r="A716" s="86" t="s">
        <v>1735</v>
      </c>
      <c r="B716" s="98" t="s">
        <v>1736</v>
      </c>
      <c r="C716" s="99" t="s">
        <v>226</v>
      </c>
      <c r="D716" s="100" t="s">
        <v>262</v>
      </c>
      <c r="E716" s="101">
        <f t="shared" si="149"/>
        <v>16164</v>
      </c>
      <c r="F716" s="90">
        <f t="shared" si="148"/>
        <v>13583.140284672001</v>
      </c>
      <c r="G716" s="91">
        <v>0.19</v>
      </c>
      <c r="H716" s="91" t="s">
        <v>228</v>
      </c>
      <c r="I716" s="91" t="s">
        <v>228</v>
      </c>
      <c r="J716" s="91"/>
      <c r="K716" s="91" t="s">
        <v>228</v>
      </c>
      <c r="L716" s="92" t="s">
        <v>1442</v>
      </c>
      <c r="M716" s="91" t="str">
        <f t="shared" si="139"/>
        <v>VER ARCHIVO ANEXO</v>
      </c>
      <c r="N716" s="93">
        <v>41608</v>
      </c>
      <c r="O716" s="94">
        <v>10907</v>
      </c>
      <c r="P716" s="94" t="s">
        <v>1443</v>
      </c>
      <c r="Q716" s="94">
        <v>576</v>
      </c>
      <c r="R716" s="95">
        <f t="shared" si="140"/>
        <v>13583.140284672001</v>
      </c>
      <c r="S716" s="94">
        <v>8159.0785999999998</v>
      </c>
      <c r="T716" s="94">
        <f t="shared" si="143"/>
        <v>8711.4482212200001</v>
      </c>
      <c r="U716" s="94">
        <f t="shared" si="144"/>
        <v>9212.3564939401513</v>
      </c>
      <c r="V716" s="94">
        <f t="shared" si="145"/>
        <v>9589.1418745423034</v>
      </c>
      <c r="W716" s="97">
        <f t="shared" si="146"/>
        <v>9894.0765861527489</v>
      </c>
      <c r="X716" s="97">
        <f t="shared" si="147"/>
        <v>10270.051496426553</v>
      </c>
      <c r="Y716" s="97">
        <v>11368.800000000001</v>
      </c>
      <c r="Z716" s="97">
        <f t="shared" si="141"/>
        <v>12007.726560000001</v>
      </c>
      <c r="AA716" s="97">
        <f t="shared" si="142"/>
        <v>13583.140284672001</v>
      </c>
    </row>
    <row r="717" spans="1:27" x14ac:dyDescent="0.25">
      <c r="A717" s="86" t="s">
        <v>1737</v>
      </c>
      <c r="B717" s="98" t="s">
        <v>1738</v>
      </c>
      <c r="C717" s="99" t="s">
        <v>226</v>
      </c>
      <c r="D717" s="100" t="s">
        <v>262</v>
      </c>
      <c r="E717" s="101">
        <f t="shared" si="149"/>
        <v>136827</v>
      </c>
      <c r="F717" s="90">
        <f t="shared" si="148"/>
        <v>114980.33624918401</v>
      </c>
      <c r="G717" s="91">
        <v>0.19</v>
      </c>
      <c r="H717" s="91" t="s">
        <v>228</v>
      </c>
      <c r="I717" s="91" t="s">
        <v>228</v>
      </c>
      <c r="J717" s="91"/>
      <c r="K717" s="91" t="s">
        <v>228</v>
      </c>
      <c r="L717" s="92" t="s">
        <v>1442</v>
      </c>
      <c r="M717" s="91" t="str">
        <f t="shared" si="139"/>
        <v>VER ARCHIVO ANEXO</v>
      </c>
      <c r="N717" s="93">
        <v>41608</v>
      </c>
      <c r="O717" s="94">
        <v>93162</v>
      </c>
      <c r="P717" s="94" t="s">
        <v>1443</v>
      </c>
      <c r="Q717" s="94">
        <v>577</v>
      </c>
      <c r="R717" s="95">
        <f t="shared" si="140"/>
        <v>114980.33624918401</v>
      </c>
      <c r="S717" s="94">
        <v>69695.800999999992</v>
      </c>
      <c r="T717" s="94">
        <f t="shared" si="143"/>
        <v>74414.206727700002</v>
      </c>
      <c r="U717" s="94">
        <f t="shared" si="144"/>
        <v>78693.023614542763</v>
      </c>
      <c r="V717" s="94">
        <f t="shared" si="145"/>
        <v>81911.568280377556</v>
      </c>
      <c r="W717" s="97">
        <f t="shared" si="146"/>
        <v>84516.356151693573</v>
      </c>
      <c r="X717" s="97">
        <f t="shared" si="147"/>
        <v>87727.977685457925</v>
      </c>
      <c r="Y717" s="97">
        <v>96236.1</v>
      </c>
      <c r="Z717" s="97">
        <f t="shared" si="141"/>
        <v>101644.56882000001</v>
      </c>
      <c r="AA717" s="97">
        <f t="shared" si="142"/>
        <v>114980.33624918401</v>
      </c>
    </row>
    <row r="718" spans="1:27" x14ac:dyDescent="0.25">
      <c r="A718" s="86" t="s">
        <v>1739</v>
      </c>
      <c r="B718" s="87" t="s">
        <v>1740</v>
      </c>
      <c r="C718" s="88" t="s">
        <v>226</v>
      </c>
      <c r="D718" s="89" t="s">
        <v>262</v>
      </c>
      <c r="E718" s="90">
        <f t="shared" si="149"/>
        <v>4950</v>
      </c>
      <c r="F718" s="90">
        <f t="shared" si="148"/>
        <v>4159.2452993280003</v>
      </c>
      <c r="G718" s="91">
        <v>0.19</v>
      </c>
      <c r="H718" s="91" t="s">
        <v>228</v>
      </c>
      <c r="I718" s="91" t="s">
        <v>228</v>
      </c>
      <c r="J718" s="91"/>
      <c r="K718" s="91" t="s">
        <v>228</v>
      </c>
      <c r="L718" s="92" t="s">
        <v>1442</v>
      </c>
      <c r="M718" s="91" t="str">
        <f t="shared" si="139"/>
        <v>VER ARCHIVO ANEXO</v>
      </c>
      <c r="N718" s="93">
        <v>41608</v>
      </c>
      <c r="O718" s="94">
        <v>3370</v>
      </c>
      <c r="P718" s="94" t="s">
        <v>1443</v>
      </c>
      <c r="Q718" s="94">
        <v>578</v>
      </c>
      <c r="R718" s="95">
        <f t="shared" si="140"/>
        <v>4159.2452993280003</v>
      </c>
      <c r="S718" s="94">
        <v>2519.9746</v>
      </c>
      <c r="T718" s="94">
        <f t="shared" si="143"/>
        <v>2690.5768804200002</v>
      </c>
      <c r="U718" s="94">
        <f t="shared" si="144"/>
        <v>2845.2850510441504</v>
      </c>
      <c r="V718" s="94">
        <f t="shared" si="145"/>
        <v>2961.6572096318559</v>
      </c>
      <c r="W718" s="97">
        <f t="shared" si="146"/>
        <v>3055.8379088981492</v>
      </c>
      <c r="X718" s="97">
        <f t="shared" si="147"/>
        <v>3171.9597494362788</v>
      </c>
      <c r="Y718" s="97">
        <v>3481.2000000000003</v>
      </c>
      <c r="Z718" s="97">
        <f t="shared" si="141"/>
        <v>3676.8434400000006</v>
      </c>
      <c r="AA718" s="97">
        <f t="shared" si="142"/>
        <v>4159.2452993280003</v>
      </c>
    </row>
    <row r="719" spans="1:27" x14ac:dyDescent="0.25">
      <c r="A719" s="86" t="s">
        <v>1741</v>
      </c>
      <c r="B719" s="87" t="s">
        <v>1742</v>
      </c>
      <c r="C719" s="88" t="s">
        <v>226</v>
      </c>
      <c r="D719" s="89" t="s">
        <v>262</v>
      </c>
      <c r="E719" s="90">
        <f t="shared" si="149"/>
        <v>10761</v>
      </c>
      <c r="F719" s="90">
        <f t="shared" si="148"/>
        <v>9043.2401673599998</v>
      </c>
      <c r="G719" s="91">
        <v>0.19</v>
      </c>
      <c r="H719" s="91" t="s">
        <v>228</v>
      </c>
      <c r="I719" s="91" t="s">
        <v>228</v>
      </c>
      <c r="J719" s="91"/>
      <c r="K719" s="91" t="s">
        <v>228</v>
      </c>
      <c r="L719" s="92" t="s">
        <v>1442</v>
      </c>
      <c r="M719" s="91" t="str">
        <f t="shared" si="139"/>
        <v>VER ARCHIVO ANEXO</v>
      </c>
      <c r="N719" s="93">
        <v>41608</v>
      </c>
      <c r="O719" s="94">
        <v>7327</v>
      </c>
      <c r="P719" s="94" t="s">
        <v>1443</v>
      </c>
      <c r="Q719" s="94">
        <v>579</v>
      </c>
      <c r="R719" s="95">
        <f t="shared" si="140"/>
        <v>9043.2401673599998</v>
      </c>
      <c r="S719" s="94">
        <v>5480.5041999999994</v>
      </c>
      <c r="T719" s="94">
        <f t="shared" si="143"/>
        <v>5851.53433434</v>
      </c>
      <c r="U719" s="94">
        <f t="shared" si="144"/>
        <v>6187.9975585645507</v>
      </c>
      <c r="V719" s="94">
        <f t="shared" si="145"/>
        <v>6441.0866587098408</v>
      </c>
      <c r="W719" s="97">
        <f t="shared" si="146"/>
        <v>6645.9132144568139</v>
      </c>
      <c r="X719" s="97">
        <f t="shared" si="147"/>
        <v>6898.4579166061731</v>
      </c>
      <c r="Y719" s="97">
        <v>7569</v>
      </c>
      <c r="Z719" s="97">
        <f t="shared" si="141"/>
        <v>7994.3778000000002</v>
      </c>
      <c r="AA719" s="97">
        <f t="shared" si="142"/>
        <v>9043.2401673599998</v>
      </c>
    </row>
    <row r="720" spans="1:27" x14ac:dyDescent="0.25">
      <c r="A720" s="86" t="s">
        <v>1743</v>
      </c>
      <c r="B720" s="87" t="s">
        <v>1744</v>
      </c>
      <c r="C720" s="88" t="s">
        <v>226</v>
      </c>
      <c r="D720" s="89" t="s">
        <v>262</v>
      </c>
      <c r="E720" s="90">
        <f t="shared" si="149"/>
        <v>19929</v>
      </c>
      <c r="F720" s="90">
        <f t="shared" si="148"/>
        <v>16746.661399103999</v>
      </c>
      <c r="G720" s="91">
        <v>0.19</v>
      </c>
      <c r="H720" s="91" t="s">
        <v>228</v>
      </c>
      <c r="I720" s="91" t="s">
        <v>228</v>
      </c>
      <c r="J720" s="91"/>
      <c r="K720" s="91" t="s">
        <v>228</v>
      </c>
      <c r="L720" s="92" t="s">
        <v>1442</v>
      </c>
      <c r="M720" s="91" t="str">
        <f t="shared" si="139"/>
        <v>VER ARCHIVO ANEXO</v>
      </c>
      <c r="N720" s="93">
        <v>41608</v>
      </c>
      <c r="O720" s="94">
        <v>13446</v>
      </c>
      <c r="P720" s="94" t="s">
        <v>1443</v>
      </c>
      <c r="Q720" s="94">
        <v>580</v>
      </c>
      <c r="R720" s="95">
        <f t="shared" si="140"/>
        <v>16746.661399103999</v>
      </c>
      <c r="S720" s="94">
        <v>10058.129799999999</v>
      </c>
      <c r="T720" s="94">
        <f t="shared" si="143"/>
        <v>10739.065187459999</v>
      </c>
      <c r="U720" s="94">
        <f t="shared" si="144"/>
        <v>11356.56143573895</v>
      </c>
      <c r="V720" s="94">
        <f t="shared" si="145"/>
        <v>11821.044798460673</v>
      </c>
      <c r="W720" s="97">
        <f t="shared" si="146"/>
        <v>12196.954023051723</v>
      </c>
      <c r="X720" s="97">
        <f t="shared" si="147"/>
        <v>12660.438275927689</v>
      </c>
      <c r="Y720" s="97">
        <v>14016.6</v>
      </c>
      <c r="Z720" s="97">
        <f t="shared" si="141"/>
        <v>14804.332920000001</v>
      </c>
      <c r="AA720" s="97">
        <f t="shared" si="142"/>
        <v>16746.661399103999</v>
      </c>
    </row>
    <row r="721" spans="1:27" x14ac:dyDescent="0.25">
      <c r="A721" s="86" t="s">
        <v>1745</v>
      </c>
      <c r="B721" s="87" t="s">
        <v>1746</v>
      </c>
      <c r="C721" s="88" t="s">
        <v>226</v>
      </c>
      <c r="D721" s="89" t="s">
        <v>262</v>
      </c>
      <c r="E721" s="90">
        <f t="shared" si="149"/>
        <v>136827</v>
      </c>
      <c r="F721" s="90">
        <f t="shared" si="148"/>
        <v>114980.33624918401</v>
      </c>
      <c r="G721" s="91">
        <v>0.19</v>
      </c>
      <c r="H721" s="91" t="s">
        <v>228</v>
      </c>
      <c r="I721" s="91" t="s">
        <v>228</v>
      </c>
      <c r="J721" s="91"/>
      <c r="K721" s="91" t="s">
        <v>228</v>
      </c>
      <c r="L721" s="92" t="s">
        <v>1442</v>
      </c>
      <c r="M721" s="91" t="str">
        <f t="shared" si="139"/>
        <v>VER ARCHIVO ANEXO</v>
      </c>
      <c r="N721" s="93">
        <v>41608</v>
      </c>
      <c r="O721" s="94">
        <v>93162</v>
      </c>
      <c r="P721" s="94" t="s">
        <v>1443</v>
      </c>
      <c r="Q721" s="94">
        <v>581</v>
      </c>
      <c r="R721" s="95">
        <f t="shared" si="140"/>
        <v>114980.33624918401</v>
      </c>
      <c r="S721" s="94">
        <v>69695.800999999992</v>
      </c>
      <c r="T721" s="94">
        <f t="shared" si="143"/>
        <v>74414.206727700002</v>
      </c>
      <c r="U721" s="94">
        <f t="shared" si="144"/>
        <v>78693.023614542763</v>
      </c>
      <c r="V721" s="94">
        <f t="shared" si="145"/>
        <v>81911.568280377556</v>
      </c>
      <c r="W721" s="97">
        <f t="shared" si="146"/>
        <v>84516.356151693573</v>
      </c>
      <c r="X721" s="97">
        <f t="shared" si="147"/>
        <v>87727.977685457925</v>
      </c>
      <c r="Y721" s="97">
        <v>96236.1</v>
      </c>
      <c r="Z721" s="97">
        <f t="shared" si="141"/>
        <v>101644.56882000001</v>
      </c>
      <c r="AA721" s="97">
        <f t="shared" si="142"/>
        <v>114980.33624918401</v>
      </c>
    </row>
    <row r="722" spans="1:27" x14ac:dyDescent="0.25">
      <c r="A722" s="86" t="s">
        <v>1747</v>
      </c>
      <c r="B722" s="87" t="s">
        <v>1748</v>
      </c>
      <c r="C722" s="88" t="s">
        <v>226</v>
      </c>
      <c r="D722" s="89" t="s">
        <v>262</v>
      </c>
      <c r="E722" s="90">
        <f t="shared" si="149"/>
        <v>2047</v>
      </c>
      <c r="F722" s="90">
        <f t="shared" si="148"/>
        <v>1720.2617981981334</v>
      </c>
      <c r="G722" s="91">
        <v>0.19</v>
      </c>
      <c r="H722" s="91" t="s">
        <v>228</v>
      </c>
      <c r="I722" s="91" t="s">
        <v>228</v>
      </c>
      <c r="J722" s="91"/>
      <c r="K722" s="91" t="s">
        <v>228</v>
      </c>
      <c r="L722" s="92" t="s">
        <v>1442</v>
      </c>
      <c r="M722" s="91" t="str">
        <f t="shared" si="139"/>
        <v>VER ARCHIVO ANEXO</v>
      </c>
      <c r="N722" s="93">
        <v>41608</v>
      </c>
      <c r="O722" s="94"/>
      <c r="P722" s="94"/>
      <c r="Q722" s="94">
        <v>582</v>
      </c>
      <c r="R722" s="95">
        <f t="shared" si="140"/>
        <v>1720.2617981981334</v>
      </c>
      <c r="S722" s="94">
        <v>1125.7475999999999</v>
      </c>
      <c r="T722" s="94">
        <f t="shared" si="143"/>
        <v>1201.96071252</v>
      </c>
      <c r="U722" s="94">
        <f t="shared" si="144"/>
        <v>1271.0734534899002</v>
      </c>
      <c r="V722" s="94">
        <f t="shared" si="145"/>
        <v>1323.0603577376371</v>
      </c>
      <c r="W722" s="97">
        <f t="shared" si="146"/>
        <v>1365.1336771136939</v>
      </c>
      <c r="X722" s="97">
        <f t="shared" si="147"/>
        <v>1417.0087568440144</v>
      </c>
      <c r="Y722" s="97">
        <f t="shared" ref="Y722:Y784" si="150">+X722*(1+$Y$4)</f>
        <v>1439.822597829203</v>
      </c>
      <c r="Z722" s="97">
        <f t="shared" si="141"/>
        <v>1520.7406278272042</v>
      </c>
      <c r="AA722" s="97">
        <f t="shared" si="142"/>
        <v>1720.2617981981334</v>
      </c>
    </row>
    <row r="723" spans="1:27" x14ac:dyDescent="0.25">
      <c r="A723" s="86" t="s">
        <v>1749</v>
      </c>
      <c r="B723" s="87" t="s">
        <v>1750</v>
      </c>
      <c r="C723" s="88" t="s">
        <v>226</v>
      </c>
      <c r="D723" s="89" t="s">
        <v>262</v>
      </c>
      <c r="E723" s="90">
        <f t="shared" si="149"/>
        <v>1310</v>
      </c>
      <c r="F723" s="90">
        <f t="shared" si="148"/>
        <v>1100.9041894546067</v>
      </c>
      <c r="G723" s="91">
        <v>0.19</v>
      </c>
      <c r="H723" s="91" t="s">
        <v>228</v>
      </c>
      <c r="I723" s="91" t="s">
        <v>228</v>
      </c>
      <c r="J723" s="91"/>
      <c r="K723" s="91" t="s">
        <v>228</v>
      </c>
      <c r="L723" s="92" t="s">
        <v>1442</v>
      </c>
      <c r="M723" s="91" t="str">
        <f t="shared" si="139"/>
        <v>VER ARCHIVO ANEXO</v>
      </c>
      <c r="N723" s="93">
        <v>41608</v>
      </c>
      <c r="O723" s="94"/>
      <c r="P723" s="94"/>
      <c r="Q723" s="94">
        <v>583</v>
      </c>
      <c r="R723" s="95">
        <f t="shared" si="140"/>
        <v>1100.9041894546067</v>
      </c>
      <c r="S723" s="94">
        <v>720.43700000000001</v>
      </c>
      <c r="T723" s="94">
        <f t="shared" si="143"/>
        <v>769.21058490000007</v>
      </c>
      <c r="U723" s="94">
        <f t="shared" si="144"/>
        <v>813.4401935317502</v>
      </c>
      <c r="V723" s="94">
        <f t="shared" si="145"/>
        <v>846.70989744719873</v>
      </c>
      <c r="W723" s="97">
        <f t="shared" si="146"/>
        <v>873.63527218601973</v>
      </c>
      <c r="X723" s="97">
        <f t="shared" si="147"/>
        <v>906.83341252908849</v>
      </c>
      <c r="Y723" s="97">
        <f t="shared" si="150"/>
        <v>921.4334304708068</v>
      </c>
      <c r="Z723" s="97">
        <f t="shared" si="141"/>
        <v>973.21798926326619</v>
      </c>
      <c r="AA723" s="97">
        <f t="shared" si="142"/>
        <v>1100.9041894546067</v>
      </c>
    </row>
    <row r="724" spans="1:27" x14ac:dyDescent="0.25">
      <c r="A724" s="86" t="s">
        <v>1751</v>
      </c>
      <c r="B724" s="87" t="s">
        <v>1752</v>
      </c>
      <c r="C724" s="88" t="s">
        <v>226</v>
      </c>
      <c r="D724" s="89" t="s">
        <v>262</v>
      </c>
      <c r="E724" s="90">
        <f t="shared" si="149"/>
        <v>2443</v>
      </c>
      <c r="F724" s="90">
        <f t="shared" si="148"/>
        <v>2052.7402472640001</v>
      </c>
      <c r="G724" s="91">
        <v>0.19</v>
      </c>
      <c r="H724" s="91" t="s">
        <v>228</v>
      </c>
      <c r="I724" s="91" t="s">
        <v>228</v>
      </c>
      <c r="J724" s="91"/>
      <c r="K724" s="91" t="s">
        <v>228</v>
      </c>
      <c r="L724" s="92" t="s">
        <v>1442</v>
      </c>
      <c r="M724" s="91" t="str">
        <f t="shared" si="139"/>
        <v>VER ARCHIVO ANEXO</v>
      </c>
      <c r="N724" s="93">
        <v>41608</v>
      </c>
      <c r="O724" s="94">
        <v>1662</v>
      </c>
      <c r="P724" s="94" t="s">
        <v>1443</v>
      </c>
      <c r="Q724" s="94">
        <v>584</v>
      </c>
      <c r="R724" s="95">
        <f t="shared" si="140"/>
        <v>2052.7402472640001</v>
      </c>
      <c r="S724" s="94">
        <v>1241.8468</v>
      </c>
      <c r="T724" s="94">
        <f t="shared" si="143"/>
        <v>1325.9198283600001</v>
      </c>
      <c r="U724" s="94">
        <f t="shared" si="144"/>
        <v>1402.1602184907003</v>
      </c>
      <c r="V724" s="94">
        <f t="shared" si="145"/>
        <v>1459.5085714269699</v>
      </c>
      <c r="W724" s="97">
        <f t="shared" si="146"/>
        <v>1505.9209439983476</v>
      </c>
      <c r="X724" s="97">
        <f t="shared" si="147"/>
        <v>1563.1459398702848</v>
      </c>
      <c r="Y724" s="97">
        <v>1718.1000000000001</v>
      </c>
      <c r="Z724" s="97">
        <f t="shared" si="141"/>
        <v>1814.6572200000003</v>
      </c>
      <c r="AA724" s="97">
        <f t="shared" si="142"/>
        <v>2052.7402472640001</v>
      </c>
    </row>
    <row r="725" spans="1:27" x14ac:dyDescent="0.25">
      <c r="A725" s="131" t="s">
        <v>1753</v>
      </c>
      <c r="B725" s="87" t="s">
        <v>1754</v>
      </c>
      <c r="C725" s="88" t="s">
        <v>226</v>
      </c>
      <c r="D725" s="89" t="s">
        <v>262</v>
      </c>
      <c r="E725" s="90">
        <f t="shared" si="149"/>
        <v>8760</v>
      </c>
      <c r="F725" s="90">
        <f t="shared" si="148"/>
        <v>7361.4770732160014</v>
      </c>
      <c r="G725" s="91">
        <v>0.19</v>
      </c>
      <c r="H725" s="91" t="s">
        <v>228</v>
      </c>
      <c r="I725" s="91" t="s">
        <v>228</v>
      </c>
      <c r="J725" s="91"/>
      <c r="K725" s="91" t="s">
        <v>228</v>
      </c>
      <c r="L725" s="92" t="s">
        <v>1442</v>
      </c>
      <c r="M725" s="91" t="str">
        <f t="shared" ref="M725:M791" si="151">+IF(L725="no aplica","no aplica","VER ARCHIVO ANEXO")</f>
        <v>VER ARCHIVO ANEXO</v>
      </c>
      <c r="N725" s="93">
        <v>41608</v>
      </c>
      <c r="O725" s="94">
        <v>5965</v>
      </c>
      <c r="P725" s="94" t="s">
        <v>1443</v>
      </c>
      <c r="Q725" s="94">
        <v>585</v>
      </c>
      <c r="R725" s="95">
        <f t="shared" si="140"/>
        <v>7361.4770732160014</v>
      </c>
      <c r="S725" s="94">
        <v>4461.5263999999997</v>
      </c>
      <c r="T725" s="94">
        <f t="shared" si="143"/>
        <v>4763.57173728</v>
      </c>
      <c r="U725" s="94">
        <f t="shared" si="144"/>
        <v>5037.4771121736003</v>
      </c>
      <c r="V725" s="94">
        <f t="shared" si="145"/>
        <v>5243.5099260615007</v>
      </c>
      <c r="W725" s="97">
        <f t="shared" si="146"/>
        <v>5410.2535417102563</v>
      </c>
      <c r="X725" s="97">
        <f t="shared" si="147"/>
        <v>5615.8431762952459</v>
      </c>
      <c r="Y725" s="97">
        <v>6161.4000000000005</v>
      </c>
      <c r="Z725" s="97">
        <f t="shared" si="141"/>
        <v>6507.6706800000011</v>
      </c>
      <c r="AA725" s="97">
        <f t="shared" si="142"/>
        <v>7361.4770732160014</v>
      </c>
    </row>
    <row r="726" spans="1:27" x14ac:dyDescent="0.25">
      <c r="A726" s="86" t="s">
        <v>1755</v>
      </c>
      <c r="B726" s="87" t="s">
        <v>1756</v>
      </c>
      <c r="C726" s="88" t="s">
        <v>226</v>
      </c>
      <c r="D726" s="89" t="s">
        <v>262</v>
      </c>
      <c r="E726" s="90">
        <f t="shared" si="149"/>
        <v>4692</v>
      </c>
      <c r="F726" s="90">
        <f t="shared" si="148"/>
        <v>3943.1107840320005</v>
      </c>
      <c r="G726" s="91">
        <v>0.19</v>
      </c>
      <c r="H726" s="91" t="s">
        <v>228</v>
      </c>
      <c r="I726" s="91" t="s">
        <v>228</v>
      </c>
      <c r="J726" s="91"/>
      <c r="K726" s="91" t="s">
        <v>228</v>
      </c>
      <c r="L726" s="92" t="s">
        <v>1442</v>
      </c>
      <c r="M726" s="91" t="str">
        <f t="shared" si="151"/>
        <v>VER ARCHIVO ANEXO</v>
      </c>
      <c r="N726" s="93">
        <v>41608</v>
      </c>
      <c r="O726" s="94">
        <v>3195</v>
      </c>
      <c r="P726" s="94" t="s">
        <v>1443</v>
      </c>
      <c r="Q726" s="94">
        <v>586</v>
      </c>
      <c r="R726" s="95">
        <f t="shared" si="140"/>
        <v>3943.1107840320005</v>
      </c>
      <c r="S726" s="94">
        <v>2388.3263999999999</v>
      </c>
      <c r="T726" s="94">
        <f t="shared" si="143"/>
        <v>2550.0160972799999</v>
      </c>
      <c r="U726" s="94">
        <f t="shared" si="144"/>
        <v>2696.6420228736001</v>
      </c>
      <c r="V726" s="94">
        <f t="shared" si="145"/>
        <v>2806.9346816091302</v>
      </c>
      <c r="W726" s="97">
        <f t="shared" si="146"/>
        <v>2896.1952044843006</v>
      </c>
      <c r="X726" s="97">
        <f t="shared" si="147"/>
        <v>3006.250622254704</v>
      </c>
      <c r="Y726" s="97">
        <v>3300.3</v>
      </c>
      <c r="Z726" s="97">
        <f t="shared" si="141"/>
        <v>3485.7768600000004</v>
      </c>
      <c r="AA726" s="97">
        <f t="shared" si="142"/>
        <v>3943.1107840320005</v>
      </c>
    </row>
    <row r="727" spans="1:27" x14ac:dyDescent="0.25">
      <c r="A727" s="86" t="s">
        <v>1757</v>
      </c>
      <c r="B727" s="87" t="s">
        <v>1758</v>
      </c>
      <c r="C727" s="88" t="s">
        <v>226</v>
      </c>
      <c r="D727" s="89" t="s">
        <v>262</v>
      </c>
      <c r="E727" s="90">
        <f t="shared" si="149"/>
        <v>781</v>
      </c>
      <c r="F727" s="90">
        <f t="shared" si="148"/>
        <v>655.93061855999997</v>
      </c>
      <c r="G727" s="91">
        <v>0.19</v>
      </c>
      <c r="H727" s="91" t="s">
        <v>228</v>
      </c>
      <c r="I727" s="91" t="s">
        <v>228</v>
      </c>
      <c r="J727" s="91"/>
      <c r="K727" s="91" t="s">
        <v>228</v>
      </c>
      <c r="L727" s="92" t="s">
        <v>1442</v>
      </c>
      <c r="M727" s="91" t="str">
        <f t="shared" si="151"/>
        <v>VER ARCHIVO ANEXO</v>
      </c>
      <c r="N727" s="93">
        <v>41608</v>
      </c>
      <c r="O727" s="94">
        <v>531</v>
      </c>
      <c r="P727" s="94" t="s">
        <v>1443</v>
      </c>
      <c r="Q727" s="94">
        <v>587</v>
      </c>
      <c r="R727" s="95">
        <f t="shared" si="140"/>
        <v>655.93061855999997</v>
      </c>
      <c r="S727" s="94">
        <v>395.9812</v>
      </c>
      <c r="T727" s="94">
        <f t="shared" si="143"/>
        <v>422.78912724000003</v>
      </c>
      <c r="U727" s="94">
        <f t="shared" si="144"/>
        <v>447.09950205630008</v>
      </c>
      <c r="V727" s="94">
        <f t="shared" si="145"/>
        <v>465.38587169040272</v>
      </c>
      <c r="W727" s="97">
        <f t="shared" si="146"/>
        <v>480.18514241015754</v>
      </c>
      <c r="X727" s="97">
        <f t="shared" si="147"/>
        <v>498.43217782174355</v>
      </c>
      <c r="Y727" s="97">
        <v>549</v>
      </c>
      <c r="Z727" s="97">
        <f t="shared" si="141"/>
        <v>579.85379999999998</v>
      </c>
      <c r="AA727" s="97">
        <f t="shared" si="142"/>
        <v>655.93061855999997</v>
      </c>
    </row>
    <row r="728" spans="1:27" x14ac:dyDescent="0.25">
      <c r="A728" s="86" t="s">
        <v>1759</v>
      </c>
      <c r="B728" s="110" t="s">
        <v>1760</v>
      </c>
      <c r="C728" s="128" t="s">
        <v>226</v>
      </c>
      <c r="D728" s="89" t="s">
        <v>262</v>
      </c>
      <c r="E728" s="90">
        <f t="shared" si="149"/>
        <v>14357</v>
      </c>
      <c r="F728" s="90">
        <f t="shared" si="148"/>
        <v>12064.82219712</v>
      </c>
      <c r="G728" s="91">
        <v>0.19</v>
      </c>
      <c r="H728" s="91" t="s">
        <v>228</v>
      </c>
      <c r="I728" s="91" t="s">
        <v>228</v>
      </c>
      <c r="J728" s="91"/>
      <c r="K728" s="91" t="s">
        <v>228</v>
      </c>
      <c r="L728" s="92" t="s">
        <v>1442</v>
      </c>
      <c r="M728" s="91" t="str">
        <f t="shared" si="151"/>
        <v>VER ARCHIVO ANEXO</v>
      </c>
      <c r="N728" s="93">
        <v>41608</v>
      </c>
      <c r="O728" s="94">
        <v>9775</v>
      </c>
      <c r="P728" s="94" t="s">
        <v>1443</v>
      </c>
      <c r="Q728" s="94">
        <v>588</v>
      </c>
      <c r="R728" s="95">
        <f t="shared" si="140"/>
        <v>12064.82219712</v>
      </c>
      <c r="S728" s="94">
        <v>7312.1763999999994</v>
      </c>
      <c r="T728" s="94">
        <f t="shared" si="143"/>
        <v>7807.21074228</v>
      </c>
      <c r="U728" s="94">
        <f t="shared" si="144"/>
        <v>8256.1253599611009</v>
      </c>
      <c r="V728" s="94">
        <f t="shared" si="145"/>
        <v>8593.80088718351</v>
      </c>
      <c r="W728" s="97">
        <f t="shared" si="146"/>
        <v>8867.0837553959464</v>
      </c>
      <c r="X728" s="97">
        <f t="shared" si="147"/>
        <v>9204.0329381009924</v>
      </c>
      <c r="Y728" s="97">
        <v>10098</v>
      </c>
      <c r="Z728" s="97">
        <f t="shared" si="141"/>
        <v>10665.507600000001</v>
      </c>
      <c r="AA728" s="97">
        <f t="shared" si="142"/>
        <v>12064.82219712</v>
      </c>
    </row>
    <row r="729" spans="1:27" x14ac:dyDescent="0.25">
      <c r="A729" s="86" t="s">
        <v>1761</v>
      </c>
      <c r="B729" s="87" t="s">
        <v>1762</v>
      </c>
      <c r="C729" s="88" t="s">
        <v>226</v>
      </c>
      <c r="D729" s="89" t="s">
        <v>262</v>
      </c>
      <c r="E729" s="90">
        <f t="shared" si="149"/>
        <v>1250</v>
      </c>
      <c r="F729" s="90">
        <f t="shared" si="148"/>
        <v>1050.564285792</v>
      </c>
      <c r="G729" s="91">
        <v>0.19</v>
      </c>
      <c r="H729" s="91" t="s">
        <v>228</v>
      </c>
      <c r="I729" s="91" t="s">
        <v>228</v>
      </c>
      <c r="J729" s="91"/>
      <c r="K729" s="91" t="s">
        <v>228</v>
      </c>
      <c r="L729" s="92" t="s">
        <v>1442</v>
      </c>
      <c r="M729" s="91" t="str">
        <f t="shared" si="151"/>
        <v>VER ARCHIVO ANEXO</v>
      </c>
      <c r="N729" s="93">
        <v>41608</v>
      </c>
      <c r="O729" s="94">
        <v>850</v>
      </c>
      <c r="P729" s="94" t="s">
        <v>1443</v>
      </c>
      <c r="Q729" s="94">
        <v>589</v>
      </c>
      <c r="R729" s="95">
        <f t="shared" si="140"/>
        <v>1050.564285792</v>
      </c>
      <c r="S729" s="94">
        <v>634.39919999999995</v>
      </c>
      <c r="T729" s="94">
        <f t="shared" si="143"/>
        <v>677.34802583999999</v>
      </c>
      <c r="U729" s="94">
        <f t="shared" si="144"/>
        <v>716.29553732580007</v>
      </c>
      <c r="V729" s="94">
        <f t="shared" si="145"/>
        <v>745.59202480242527</v>
      </c>
      <c r="W729" s="97">
        <f t="shared" si="146"/>
        <v>769.30185119114242</v>
      </c>
      <c r="X729" s="97">
        <f t="shared" si="147"/>
        <v>798.53532153640583</v>
      </c>
      <c r="Y729" s="97">
        <v>879.30000000000007</v>
      </c>
      <c r="Z729" s="97">
        <f t="shared" si="141"/>
        <v>928.71666000000005</v>
      </c>
      <c r="AA729" s="97">
        <f t="shared" si="142"/>
        <v>1050.564285792</v>
      </c>
    </row>
    <row r="730" spans="1:27" x14ac:dyDescent="0.25">
      <c r="A730" s="86" t="s">
        <v>1763</v>
      </c>
      <c r="B730" s="116" t="s">
        <v>1764</v>
      </c>
      <c r="C730" s="88" t="s">
        <v>226</v>
      </c>
      <c r="D730" s="89" t="s">
        <v>262</v>
      </c>
      <c r="E730" s="90">
        <f t="shared" si="149"/>
        <v>1653</v>
      </c>
      <c r="F730" s="90">
        <f t="shared" si="148"/>
        <v>1389.1985239592661</v>
      </c>
      <c r="G730" s="91">
        <v>0.19</v>
      </c>
      <c r="H730" s="91" t="s">
        <v>228</v>
      </c>
      <c r="I730" s="91" t="s">
        <v>228</v>
      </c>
      <c r="J730" s="91"/>
      <c r="K730" s="91" t="s">
        <v>228</v>
      </c>
      <c r="L730" s="92" t="s">
        <v>1765</v>
      </c>
      <c r="M730" s="91" t="str">
        <f t="shared" si="151"/>
        <v>VER ARCHIVO ANEXO</v>
      </c>
      <c r="N730" s="93">
        <v>41608</v>
      </c>
      <c r="O730" s="94"/>
      <c r="P730" s="94">
        <v>0</v>
      </c>
      <c r="Q730" s="94">
        <v>590</v>
      </c>
      <c r="R730" s="95">
        <f t="shared" si="140"/>
        <v>1389.1985239592661</v>
      </c>
      <c r="S730" s="94">
        <v>909.09820000000002</v>
      </c>
      <c r="T730" s="94">
        <f t="shared" si="143"/>
        <v>970.64414814000008</v>
      </c>
      <c r="U730" s="94">
        <f t="shared" si="144"/>
        <v>1026.4561866580502</v>
      </c>
      <c r="V730" s="94">
        <f t="shared" si="145"/>
        <v>1068.4382446923644</v>
      </c>
      <c r="W730" s="97">
        <f t="shared" si="146"/>
        <v>1102.4145808735816</v>
      </c>
      <c r="X730" s="97">
        <f t="shared" si="147"/>
        <v>1144.3063349467777</v>
      </c>
      <c r="Y730" s="97">
        <f t="shared" si="150"/>
        <v>1162.7296669394209</v>
      </c>
      <c r="Z730" s="97">
        <f t="shared" si="141"/>
        <v>1228.0750742214163</v>
      </c>
      <c r="AA730" s="97">
        <f t="shared" si="142"/>
        <v>1389.1985239592661</v>
      </c>
    </row>
    <row r="731" spans="1:27" x14ac:dyDescent="0.25">
      <c r="A731" s="86" t="s">
        <v>1766</v>
      </c>
      <c r="B731" s="110" t="s">
        <v>1767</v>
      </c>
      <c r="C731" s="128" t="s">
        <v>226</v>
      </c>
      <c r="D731" s="89" t="s">
        <v>262</v>
      </c>
      <c r="E731" s="90">
        <f t="shared" si="149"/>
        <v>1032436</v>
      </c>
      <c r="F731" s="90">
        <f t="shared" si="148"/>
        <v>867592.97739273601</v>
      </c>
      <c r="G731" s="91">
        <v>0.19</v>
      </c>
      <c r="H731" s="91" t="s">
        <v>228</v>
      </c>
      <c r="I731" s="91" t="s">
        <v>228</v>
      </c>
      <c r="J731" s="91"/>
      <c r="K731" s="91" t="s">
        <v>228</v>
      </c>
      <c r="L731" s="92" t="s">
        <v>1768</v>
      </c>
      <c r="M731" s="91" t="str">
        <f t="shared" si="151"/>
        <v>VER ARCHIVO ANEXO</v>
      </c>
      <c r="N731" s="93">
        <v>41608</v>
      </c>
      <c r="O731" s="94">
        <v>627130</v>
      </c>
      <c r="P731" s="94" t="s">
        <v>1443</v>
      </c>
      <c r="Q731" s="94">
        <v>591</v>
      </c>
      <c r="R731" s="95">
        <f t="shared" si="140"/>
        <v>867592.97739273601</v>
      </c>
      <c r="S731" s="94">
        <v>436631.46899999998</v>
      </c>
      <c r="T731" s="94">
        <f t="shared" si="143"/>
        <v>466191.4194513</v>
      </c>
      <c r="U731" s="94">
        <f t="shared" si="144"/>
        <v>492997.42606974981</v>
      </c>
      <c r="V731" s="94">
        <f t="shared" si="145"/>
        <v>513161.02079600253</v>
      </c>
      <c r="W731" s="97">
        <f t="shared" si="146"/>
        <v>529479.54125731543</v>
      </c>
      <c r="X731" s="97">
        <f t="shared" si="147"/>
        <v>549599.7638250934</v>
      </c>
      <c r="Y731" s="97">
        <v>726156.9</v>
      </c>
      <c r="Z731" s="97">
        <f t="shared" si="141"/>
        <v>766966.91778000002</v>
      </c>
      <c r="AA731" s="97">
        <f t="shared" si="142"/>
        <v>867592.97739273601</v>
      </c>
    </row>
    <row r="732" spans="1:27" x14ac:dyDescent="0.25">
      <c r="A732" s="86" t="s">
        <v>1769</v>
      </c>
      <c r="B732" s="110" t="s">
        <v>1770</v>
      </c>
      <c r="C732" s="128" t="s">
        <v>226</v>
      </c>
      <c r="D732" s="89" t="s">
        <v>262</v>
      </c>
      <c r="E732" s="90">
        <f t="shared" si="149"/>
        <v>102925</v>
      </c>
      <c r="F732" s="90">
        <f t="shared" si="148"/>
        <v>86491.441481760005</v>
      </c>
      <c r="G732" s="91">
        <v>0.19</v>
      </c>
      <c r="H732" s="91" t="s">
        <v>228</v>
      </c>
      <c r="I732" s="91" t="s">
        <v>228</v>
      </c>
      <c r="J732" s="91"/>
      <c r="K732" s="91" t="s">
        <v>228</v>
      </c>
      <c r="L732" s="92" t="s">
        <v>1768</v>
      </c>
      <c r="M732" s="91" t="str">
        <f t="shared" si="151"/>
        <v>VER ARCHIVO ANEXO</v>
      </c>
      <c r="N732" s="93">
        <v>41608</v>
      </c>
      <c r="O732" s="94">
        <v>62519</v>
      </c>
      <c r="P732" s="94" t="s">
        <v>1443</v>
      </c>
      <c r="Q732" s="94">
        <v>592</v>
      </c>
      <c r="R732" s="95">
        <f t="shared" si="140"/>
        <v>86491.441481760005</v>
      </c>
      <c r="S732" s="94">
        <v>43526.833999999995</v>
      </c>
      <c r="T732" s="94">
        <f t="shared" si="143"/>
        <v>46473.600661799996</v>
      </c>
      <c r="U732" s="94">
        <f t="shared" si="144"/>
        <v>49145.832699853498</v>
      </c>
      <c r="V732" s="94">
        <f t="shared" si="145"/>
        <v>51155.897257277502</v>
      </c>
      <c r="W732" s="97">
        <f t="shared" si="146"/>
        <v>52782.654790058928</v>
      </c>
      <c r="X732" s="97">
        <f t="shared" si="147"/>
        <v>54788.395672081169</v>
      </c>
      <c r="Y732" s="97">
        <v>72391.5</v>
      </c>
      <c r="Z732" s="97">
        <f t="shared" si="141"/>
        <v>76459.902300000002</v>
      </c>
      <c r="AA732" s="97">
        <f t="shared" si="142"/>
        <v>86491.441481760005</v>
      </c>
    </row>
    <row r="733" spans="1:27" x14ac:dyDescent="0.25">
      <c r="A733" s="86" t="s">
        <v>1771</v>
      </c>
      <c r="B733" s="110" t="s">
        <v>1772</v>
      </c>
      <c r="C733" s="128" t="s">
        <v>226</v>
      </c>
      <c r="D733" s="89" t="s">
        <v>262</v>
      </c>
      <c r="E733" s="90">
        <f t="shared" si="149"/>
        <v>238012</v>
      </c>
      <c r="F733" s="90">
        <f t="shared" si="148"/>
        <v>200010.45033647999</v>
      </c>
      <c r="G733" s="91">
        <v>0.19</v>
      </c>
      <c r="H733" s="91" t="s">
        <v>228</v>
      </c>
      <c r="I733" s="91" t="s">
        <v>228</v>
      </c>
      <c r="J733" s="91"/>
      <c r="K733" s="91" t="s">
        <v>228</v>
      </c>
      <c r="L733" s="92" t="s">
        <v>1768</v>
      </c>
      <c r="M733" s="91" t="str">
        <f t="shared" si="151"/>
        <v>VER ARCHIVO ANEXO</v>
      </c>
      <c r="N733" s="93">
        <v>41608</v>
      </c>
      <c r="O733" s="94">
        <v>144575</v>
      </c>
      <c r="P733" s="94" t="s">
        <v>1443</v>
      </c>
      <c r="Q733" s="94">
        <v>593</v>
      </c>
      <c r="R733" s="95">
        <f t="shared" si="140"/>
        <v>200010.45033647999</v>
      </c>
      <c r="S733" s="94">
        <v>100658.0064</v>
      </c>
      <c r="T733" s="94">
        <f t="shared" si="143"/>
        <v>107472.55343328</v>
      </c>
      <c r="U733" s="94">
        <f t="shared" si="144"/>
        <v>113652.22525569361</v>
      </c>
      <c r="V733" s="94">
        <f t="shared" si="145"/>
        <v>118300.60126865147</v>
      </c>
      <c r="W733" s="97">
        <f t="shared" si="146"/>
        <v>122062.56038899459</v>
      </c>
      <c r="X733" s="97">
        <f t="shared" si="147"/>
        <v>126700.93768377638</v>
      </c>
      <c r="Y733" s="97">
        <v>167404.5</v>
      </c>
      <c r="Z733" s="97">
        <f t="shared" si="141"/>
        <v>176812.6329</v>
      </c>
      <c r="AA733" s="97">
        <f t="shared" si="142"/>
        <v>200010.45033647999</v>
      </c>
    </row>
    <row r="734" spans="1:27" x14ac:dyDescent="0.25">
      <c r="A734" s="86" t="s">
        <v>1773</v>
      </c>
      <c r="B734" s="110" t="s">
        <v>1774</v>
      </c>
      <c r="C734" s="128" t="s">
        <v>226</v>
      </c>
      <c r="D734" s="89" t="s">
        <v>262</v>
      </c>
      <c r="E734" s="90">
        <f t="shared" si="149"/>
        <v>1262013</v>
      </c>
      <c r="F734" s="90">
        <f t="shared" si="148"/>
        <v>1060515.075864384</v>
      </c>
      <c r="G734" s="91">
        <v>0.19</v>
      </c>
      <c r="H734" s="91" t="s">
        <v>228</v>
      </c>
      <c r="I734" s="91" t="s">
        <v>228</v>
      </c>
      <c r="J734" s="91"/>
      <c r="K734" s="91" t="s">
        <v>228</v>
      </c>
      <c r="L734" s="92" t="s">
        <v>1768</v>
      </c>
      <c r="M734" s="91" t="str">
        <f t="shared" si="151"/>
        <v>VER ARCHIVO ANEXO</v>
      </c>
      <c r="N734" s="93">
        <v>41608</v>
      </c>
      <c r="O734" s="94">
        <v>766581</v>
      </c>
      <c r="P734" s="94" t="s">
        <v>1443</v>
      </c>
      <c r="Q734" s="94">
        <v>594</v>
      </c>
      <c r="R734" s="95">
        <f t="shared" si="140"/>
        <v>1060515.075864384</v>
      </c>
      <c r="S734" s="94">
        <v>533721.49820000003</v>
      </c>
      <c r="T734" s="94">
        <f t="shared" si="143"/>
        <v>569854.44362814003</v>
      </c>
      <c r="U734" s="94">
        <f t="shared" si="144"/>
        <v>602621.07413675811</v>
      </c>
      <c r="V734" s="94">
        <f t="shared" si="145"/>
        <v>627268.27606895147</v>
      </c>
      <c r="W734" s="97">
        <f t="shared" si="146"/>
        <v>647215.40724794415</v>
      </c>
      <c r="X734" s="97">
        <f t="shared" si="147"/>
        <v>671809.59272336611</v>
      </c>
      <c r="Y734" s="97">
        <v>887628.6</v>
      </c>
      <c r="Z734" s="97">
        <f t="shared" si="141"/>
        <v>937513.32732000004</v>
      </c>
      <c r="AA734" s="97">
        <f t="shared" si="142"/>
        <v>1060515.075864384</v>
      </c>
    </row>
    <row r="735" spans="1:27" x14ac:dyDescent="0.25">
      <c r="A735" s="86" t="s">
        <v>1775</v>
      </c>
      <c r="B735" s="110" t="s">
        <v>1776</v>
      </c>
      <c r="C735" s="128" t="s">
        <v>226</v>
      </c>
      <c r="D735" s="89" t="s">
        <v>262</v>
      </c>
      <c r="E735" s="90">
        <f t="shared" si="149"/>
        <v>33872</v>
      </c>
      <c r="F735" s="90">
        <f t="shared" si="148"/>
        <v>28464.162957216002</v>
      </c>
      <c r="G735" s="91">
        <v>0.19</v>
      </c>
      <c r="H735" s="91" t="s">
        <v>228</v>
      </c>
      <c r="I735" s="91" t="s">
        <v>228</v>
      </c>
      <c r="J735" s="91"/>
      <c r="K735" s="91" t="s">
        <v>228</v>
      </c>
      <c r="L735" s="92" t="s">
        <v>1768</v>
      </c>
      <c r="M735" s="91" t="str">
        <f t="shared" si="151"/>
        <v>VER ARCHIVO ANEXO</v>
      </c>
      <c r="N735" s="93">
        <v>41608</v>
      </c>
      <c r="O735" s="94">
        <v>17725</v>
      </c>
      <c r="P735" s="94" t="s">
        <v>1443</v>
      </c>
      <c r="Q735" s="94">
        <v>595</v>
      </c>
      <c r="R735" s="95">
        <f t="shared" si="140"/>
        <v>28464.162957216002</v>
      </c>
      <c r="S735" s="94">
        <v>12339.686399999999</v>
      </c>
      <c r="T735" s="94">
        <f t="shared" si="143"/>
        <v>13175.08316928</v>
      </c>
      <c r="U735" s="94">
        <f t="shared" si="144"/>
        <v>13932.650451513602</v>
      </c>
      <c r="V735" s="94">
        <f t="shared" si="145"/>
        <v>14502.495854980507</v>
      </c>
      <c r="W735" s="97">
        <f t="shared" si="146"/>
        <v>14963.675223168888</v>
      </c>
      <c r="X735" s="97">
        <f t="shared" si="147"/>
        <v>15532.294881649306</v>
      </c>
      <c r="Y735" s="97">
        <v>23823.9</v>
      </c>
      <c r="Z735" s="97">
        <f t="shared" si="141"/>
        <v>25162.803180000003</v>
      </c>
      <c r="AA735" s="97">
        <f t="shared" si="142"/>
        <v>28464.162957216002</v>
      </c>
    </row>
    <row r="736" spans="1:27" x14ac:dyDescent="0.25">
      <c r="A736" s="86" t="s">
        <v>1777</v>
      </c>
      <c r="B736" s="110" t="s">
        <v>1778</v>
      </c>
      <c r="C736" s="128" t="s">
        <v>226</v>
      </c>
      <c r="D736" s="89" t="s">
        <v>262</v>
      </c>
      <c r="E736" s="90">
        <f t="shared" si="149"/>
        <v>108332</v>
      </c>
      <c r="F736" s="90">
        <f t="shared" si="148"/>
        <v>91035.642783456016</v>
      </c>
      <c r="G736" s="91">
        <v>0.19</v>
      </c>
      <c r="H736" s="91" t="s">
        <v>228</v>
      </c>
      <c r="I736" s="91" t="s">
        <v>228</v>
      </c>
      <c r="J736" s="91"/>
      <c r="K736" s="91" t="s">
        <v>228</v>
      </c>
      <c r="L736" s="92" t="s">
        <v>1768</v>
      </c>
      <c r="M736" s="91" t="str">
        <f t="shared" si="151"/>
        <v>VER ARCHIVO ANEXO</v>
      </c>
      <c r="N736" s="93">
        <v>41608</v>
      </c>
      <c r="O736" s="94">
        <v>65803</v>
      </c>
      <c r="P736" s="94" t="s">
        <v>1443</v>
      </c>
      <c r="Q736" s="94">
        <v>596</v>
      </c>
      <c r="R736" s="95">
        <f t="shared" si="140"/>
        <v>91035.642783456016</v>
      </c>
      <c r="S736" s="94">
        <v>45812.536999999997</v>
      </c>
      <c r="T736" s="94">
        <f t="shared" si="143"/>
        <v>48914.045754899998</v>
      </c>
      <c r="U736" s="94">
        <f t="shared" si="144"/>
        <v>51726.603385806753</v>
      </c>
      <c r="V736" s="94">
        <f t="shared" si="145"/>
        <v>53842.221464286245</v>
      </c>
      <c r="W736" s="97">
        <f t="shared" si="146"/>
        <v>55554.404106850554</v>
      </c>
      <c r="X736" s="97">
        <f t="shared" si="147"/>
        <v>57665.471462910878</v>
      </c>
      <c r="Y736" s="97">
        <v>76194.900000000009</v>
      </c>
      <c r="Z736" s="97">
        <f t="shared" si="141"/>
        <v>80477.053380000012</v>
      </c>
      <c r="AA736" s="97">
        <f t="shared" si="142"/>
        <v>91035.642783456016</v>
      </c>
    </row>
    <row r="737" spans="1:27" x14ac:dyDescent="0.25">
      <c r="A737" s="86" t="s">
        <v>1779</v>
      </c>
      <c r="B737" s="110" t="s">
        <v>1780</v>
      </c>
      <c r="C737" s="128" t="s">
        <v>226</v>
      </c>
      <c r="D737" s="89" t="s">
        <v>262</v>
      </c>
      <c r="E737" s="90">
        <f t="shared" si="149"/>
        <v>266183</v>
      </c>
      <c r="F737" s="90">
        <f t="shared" si="148"/>
        <v>223683.09388992001</v>
      </c>
      <c r="G737" s="91">
        <v>0.19</v>
      </c>
      <c r="H737" s="91" t="s">
        <v>228</v>
      </c>
      <c r="I737" s="91" t="s">
        <v>228</v>
      </c>
      <c r="J737" s="91"/>
      <c r="K737" s="91" t="s">
        <v>228</v>
      </c>
      <c r="L737" s="92" t="s">
        <v>1768</v>
      </c>
      <c r="M737" s="91" t="str">
        <f t="shared" si="151"/>
        <v>VER ARCHIVO ANEXO</v>
      </c>
      <c r="N737" s="93">
        <v>41608</v>
      </c>
      <c r="O737" s="94">
        <v>161686</v>
      </c>
      <c r="P737" s="94" t="s">
        <v>1443</v>
      </c>
      <c r="Q737" s="94">
        <v>597</v>
      </c>
      <c r="R737" s="95">
        <f t="shared" si="140"/>
        <v>223683.09388992001</v>
      </c>
      <c r="S737" s="94">
        <v>116339.6912</v>
      </c>
      <c r="T737" s="94">
        <f t="shared" si="143"/>
        <v>124215.88829424001</v>
      </c>
      <c r="U737" s="94">
        <f t="shared" si="144"/>
        <v>131358.30187115882</v>
      </c>
      <c r="V737" s="94">
        <f t="shared" si="145"/>
        <v>136730.85641768921</v>
      </c>
      <c r="W737" s="97">
        <f t="shared" si="146"/>
        <v>141078.89765177172</v>
      </c>
      <c r="X737" s="97">
        <f t="shared" si="147"/>
        <v>146439.89576253906</v>
      </c>
      <c r="Y737" s="97">
        <v>187218</v>
      </c>
      <c r="Z737" s="97">
        <f t="shared" si="141"/>
        <v>197739.65160000001</v>
      </c>
      <c r="AA737" s="97">
        <f t="shared" si="142"/>
        <v>223683.09388992001</v>
      </c>
    </row>
    <row r="738" spans="1:27" x14ac:dyDescent="0.25">
      <c r="A738" s="86" t="s">
        <v>1781</v>
      </c>
      <c r="B738" s="110" t="s">
        <v>1782</v>
      </c>
      <c r="C738" s="128" t="s">
        <v>226</v>
      </c>
      <c r="D738" s="89" t="s">
        <v>262</v>
      </c>
      <c r="E738" s="90">
        <f t="shared" si="149"/>
        <v>1549913</v>
      </c>
      <c r="F738" s="90">
        <f t="shared" si="148"/>
        <v>1302448.0950956161</v>
      </c>
      <c r="G738" s="91">
        <v>0.19</v>
      </c>
      <c r="H738" s="91" t="s">
        <v>228</v>
      </c>
      <c r="I738" s="91" t="s">
        <v>228</v>
      </c>
      <c r="J738" s="91"/>
      <c r="K738" s="91" t="s">
        <v>228</v>
      </c>
      <c r="L738" s="92" t="s">
        <v>1768</v>
      </c>
      <c r="M738" s="91" t="str">
        <f t="shared" si="151"/>
        <v>VER ARCHIVO ANEXO</v>
      </c>
      <c r="N738" s="93">
        <v>41608</v>
      </c>
      <c r="O738" s="94">
        <v>941458</v>
      </c>
      <c r="P738" s="94" t="s">
        <v>1443</v>
      </c>
      <c r="Q738" s="94">
        <v>598</v>
      </c>
      <c r="R738" s="95">
        <f t="shared" si="140"/>
        <v>1302448.0950956161</v>
      </c>
      <c r="S738" s="94">
        <v>655479.4976</v>
      </c>
      <c r="T738" s="94">
        <f t="shared" si="143"/>
        <v>699855.4595875201</v>
      </c>
      <c r="U738" s="94">
        <f t="shared" si="144"/>
        <v>740097.14851380256</v>
      </c>
      <c r="V738" s="94">
        <f t="shared" si="145"/>
        <v>770367.12188801705</v>
      </c>
      <c r="W738" s="97">
        <f t="shared" si="146"/>
        <v>794864.79636405606</v>
      </c>
      <c r="X738" s="97">
        <f t="shared" si="147"/>
        <v>825069.65862589027</v>
      </c>
      <c r="Y738" s="97">
        <v>1090121.4000000001</v>
      </c>
      <c r="Z738" s="97">
        <f t="shared" si="141"/>
        <v>1151386.2226800001</v>
      </c>
      <c r="AA738" s="97">
        <f t="shared" si="142"/>
        <v>1302448.0950956161</v>
      </c>
    </row>
    <row r="739" spans="1:27" x14ac:dyDescent="0.25">
      <c r="A739" s="86" t="s">
        <v>1783</v>
      </c>
      <c r="B739" s="110" t="s">
        <v>1784</v>
      </c>
      <c r="C739" s="128" t="s">
        <v>226</v>
      </c>
      <c r="D739" s="89" t="s">
        <v>262</v>
      </c>
      <c r="E739" s="90">
        <f t="shared" si="149"/>
        <v>69960</v>
      </c>
      <c r="F739" s="90">
        <f t="shared" si="148"/>
        <v>58789.663456608003</v>
      </c>
      <c r="G739" s="91">
        <v>0.19</v>
      </c>
      <c r="H739" s="91" t="s">
        <v>228</v>
      </c>
      <c r="I739" s="91" t="s">
        <v>228</v>
      </c>
      <c r="J739" s="91"/>
      <c r="K739" s="91" t="s">
        <v>228</v>
      </c>
      <c r="L739" s="92" t="s">
        <v>1768</v>
      </c>
      <c r="M739" s="91" t="str">
        <f t="shared" si="151"/>
        <v>VER ARCHIVO ANEXO</v>
      </c>
      <c r="N739" s="93">
        <v>41608</v>
      </c>
      <c r="O739" s="94">
        <v>20152</v>
      </c>
      <c r="P739" s="94" t="s">
        <v>1443</v>
      </c>
      <c r="Q739" s="94">
        <v>599</v>
      </c>
      <c r="R739" s="95">
        <f t="shared" si="140"/>
        <v>58789.663456608003</v>
      </c>
      <c r="S739" s="94">
        <v>14028.307799999999</v>
      </c>
      <c r="T739" s="94">
        <f t="shared" si="143"/>
        <v>14978.024238059999</v>
      </c>
      <c r="U739" s="94">
        <f t="shared" si="144"/>
        <v>15839.260631748451</v>
      </c>
      <c r="V739" s="94">
        <f t="shared" si="145"/>
        <v>16487.086391586963</v>
      </c>
      <c r="W739" s="97">
        <f t="shared" si="146"/>
        <v>17011.37573883943</v>
      </c>
      <c r="X739" s="97">
        <f t="shared" si="147"/>
        <v>17657.808016915329</v>
      </c>
      <c r="Y739" s="97">
        <v>49205.700000000004</v>
      </c>
      <c r="Z739" s="97">
        <f t="shared" si="141"/>
        <v>51971.060340000004</v>
      </c>
      <c r="AA739" s="97">
        <f t="shared" si="142"/>
        <v>58789.663456608003</v>
      </c>
    </row>
    <row r="740" spans="1:27" x14ac:dyDescent="0.25">
      <c r="A740" s="86" t="s">
        <v>1785</v>
      </c>
      <c r="B740" s="110" t="s">
        <v>1786</v>
      </c>
      <c r="C740" s="128" t="s">
        <v>226</v>
      </c>
      <c r="D740" s="89" t="s">
        <v>262</v>
      </c>
      <c r="E740" s="90">
        <f t="shared" si="149"/>
        <v>137496</v>
      </c>
      <c r="F740" s="90">
        <f t="shared" si="148"/>
        <v>115542.716107392</v>
      </c>
      <c r="G740" s="91">
        <v>0.19</v>
      </c>
      <c r="H740" s="91" t="s">
        <v>228</v>
      </c>
      <c r="I740" s="91" t="s">
        <v>228</v>
      </c>
      <c r="J740" s="91"/>
      <c r="K740" s="91" t="s">
        <v>228</v>
      </c>
      <c r="L740" s="92" t="s">
        <v>1768</v>
      </c>
      <c r="M740" s="91" t="str">
        <f t="shared" si="151"/>
        <v>VER ARCHIVO ANEXO</v>
      </c>
      <c r="N740" s="93">
        <v>41608</v>
      </c>
      <c r="O740" s="94">
        <v>73818</v>
      </c>
      <c r="P740" s="94" t="s">
        <v>1443</v>
      </c>
      <c r="Q740" s="94">
        <v>600</v>
      </c>
      <c r="R740" s="95">
        <f t="shared" si="140"/>
        <v>115542.716107392</v>
      </c>
      <c r="S740" s="94">
        <v>51393.591399999998</v>
      </c>
      <c r="T740" s="94">
        <f t="shared" si="143"/>
        <v>54872.937537780002</v>
      </c>
      <c r="U740" s="94">
        <f t="shared" si="144"/>
        <v>58028.131446202358</v>
      </c>
      <c r="V740" s="94">
        <f t="shared" si="145"/>
        <v>60401.482022352029</v>
      </c>
      <c r="W740" s="97">
        <f t="shared" si="146"/>
        <v>62322.249150662828</v>
      </c>
      <c r="X740" s="97">
        <f t="shared" si="147"/>
        <v>64690.494618388017</v>
      </c>
      <c r="Y740" s="97">
        <v>96706.8</v>
      </c>
      <c r="Z740" s="97">
        <f t="shared" si="141"/>
        <v>102141.72216</v>
      </c>
      <c r="AA740" s="97">
        <f t="shared" si="142"/>
        <v>115542.716107392</v>
      </c>
    </row>
    <row r="741" spans="1:27" x14ac:dyDescent="0.25">
      <c r="A741" s="86" t="s">
        <v>1787</v>
      </c>
      <c r="B741" s="110" t="s">
        <v>1788</v>
      </c>
      <c r="C741" s="128" t="s">
        <v>226</v>
      </c>
      <c r="D741" s="89" t="s">
        <v>262</v>
      </c>
      <c r="E741" s="90">
        <f t="shared" si="149"/>
        <v>258109</v>
      </c>
      <c r="F741" s="90">
        <f t="shared" si="148"/>
        <v>216897.97552416002</v>
      </c>
      <c r="G741" s="91">
        <v>0.19</v>
      </c>
      <c r="H741" s="91" t="s">
        <v>228</v>
      </c>
      <c r="I741" s="91" t="s">
        <v>228</v>
      </c>
      <c r="J741" s="91"/>
      <c r="K741" s="91" t="s">
        <v>228</v>
      </c>
      <c r="L741" s="92" t="s">
        <v>1768</v>
      </c>
      <c r="M741" s="91" t="str">
        <f t="shared" si="151"/>
        <v>VER ARCHIVO ANEXO</v>
      </c>
      <c r="N741" s="93">
        <v>41608</v>
      </c>
      <c r="O741" s="94">
        <v>202460</v>
      </c>
      <c r="P741" s="94" t="s">
        <v>1443</v>
      </c>
      <c r="Q741" s="94">
        <v>601</v>
      </c>
      <c r="R741" s="95">
        <f t="shared" si="140"/>
        <v>216897.97552416002</v>
      </c>
      <c r="S741" s="94">
        <v>140958.9412</v>
      </c>
      <c r="T741" s="94">
        <f t="shared" si="143"/>
        <v>150501.86151924002</v>
      </c>
      <c r="U741" s="94">
        <f t="shared" si="144"/>
        <v>159155.71855659634</v>
      </c>
      <c r="V741" s="94">
        <f t="shared" si="145"/>
        <v>165665.18744556111</v>
      </c>
      <c r="W741" s="97">
        <f t="shared" si="146"/>
        <v>170933.34040632995</v>
      </c>
      <c r="X741" s="97">
        <f t="shared" si="147"/>
        <v>177428.8073417705</v>
      </c>
      <c r="Y741" s="97">
        <v>181539</v>
      </c>
      <c r="Z741" s="97">
        <f t="shared" si="141"/>
        <v>191741.49180000002</v>
      </c>
      <c r="AA741" s="97">
        <f t="shared" si="142"/>
        <v>216897.97552416002</v>
      </c>
    </row>
    <row r="742" spans="1:27" x14ac:dyDescent="0.25">
      <c r="A742" s="86" t="s">
        <v>1789</v>
      </c>
      <c r="B742" s="110" t="s">
        <v>1790</v>
      </c>
      <c r="C742" s="128" t="s">
        <v>226</v>
      </c>
      <c r="D742" s="89" t="s">
        <v>262</v>
      </c>
      <c r="E742" s="90">
        <f t="shared" si="149"/>
        <v>2369200</v>
      </c>
      <c r="F742" s="90">
        <f t="shared" si="148"/>
        <v>1990924.700593248</v>
      </c>
      <c r="G742" s="91">
        <v>0.19</v>
      </c>
      <c r="H742" s="91" t="s">
        <v>228</v>
      </c>
      <c r="I742" s="91" t="s">
        <v>228</v>
      </c>
      <c r="J742" s="91"/>
      <c r="K742" s="91" t="s">
        <v>228</v>
      </c>
      <c r="L742" s="92" t="s">
        <v>1768</v>
      </c>
      <c r="M742" s="91" t="str">
        <f t="shared" si="151"/>
        <v>VER ARCHIVO ANEXO</v>
      </c>
      <c r="N742" s="93">
        <v>41608</v>
      </c>
      <c r="O742" s="94">
        <v>1439115</v>
      </c>
      <c r="P742" s="94" t="s">
        <v>1443</v>
      </c>
      <c r="Q742" s="94">
        <v>602</v>
      </c>
      <c r="R742" s="95">
        <f t="shared" si="140"/>
        <v>1990924.700593248</v>
      </c>
      <c r="S742" s="94">
        <v>1001967.194</v>
      </c>
      <c r="T742" s="94">
        <f t="shared" si="143"/>
        <v>1069800.3730338002</v>
      </c>
      <c r="U742" s="94">
        <f t="shared" si="144"/>
        <v>1131313.8944832438</v>
      </c>
      <c r="V742" s="94">
        <f t="shared" si="145"/>
        <v>1177584.6327676084</v>
      </c>
      <c r="W742" s="97">
        <f t="shared" si="146"/>
        <v>1215031.8240896184</v>
      </c>
      <c r="X742" s="97">
        <f t="shared" si="147"/>
        <v>1261203.0334050239</v>
      </c>
      <c r="Y742" s="97">
        <v>1666361.7</v>
      </c>
      <c r="Z742" s="97">
        <f t="shared" si="141"/>
        <v>1760011.2275400001</v>
      </c>
      <c r="AA742" s="97">
        <f t="shared" si="142"/>
        <v>1990924.700593248</v>
      </c>
    </row>
    <row r="743" spans="1:27" x14ac:dyDescent="0.25">
      <c r="A743" s="86" t="s">
        <v>1791</v>
      </c>
      <c r="B743" s="110" t="s">
        <v>1792</v>
      </c>
      <c r="C743" s="128" t="s">
        <v>226</v>
      </c>
      <c r="D743" s="89" t="s">
        <v>262</v>
      </c>
      <c r="E743" s="90">
        <f t="shared" si="149"/>
        <v>145427</v>
      </c>
      <c r="F743" s="90">
        <f t="shared" si="148"/>
        <v>122207.4013104</v>
      </c>
      <c r="G743" s="91">
        <v>0.19</v>
      </c>
      <c r="H743" s="91" t="s">
        <v>228</v>
      </c>
      <c r="I743" s="91" t="s">
        <v>228</v>
      </c>
      <c r="J743" s="91"/>
      <c r="K743" s="91" t="s">
        <v>228</v>
      </c>
      <c r="L743" s="92" t="s">
        <v>1768</v>
      </c>
      <c r="M743" s="91" t="str">
        <f t="shared" si="151"/>
        <v>VER ARCHIVO ANEXO</v>
      </c>
      <c r="N743" s="93">
        <v>41608</v>
      </c>
      <c r="O743" s="94">
        <v>104207</v>
      </c>
      <c r="P743" s="94" t="s">
        <v>1443</v>
      </c>
      <c r="Q743" s="94">
        <v>603</v>
      </c>
      <c r="R743" s="95">
        <f t="shared" si="140"/>
        <v>122207.4013104</v>
      </c>
      <c r="S743" s="94">
        <v>120601.1538</v>
      </c>
      <c r="T743" s="94">
        <f t="shared" si="143"/>
        <v>128765.85191226001</v>
      </c>
      <c r="U743" s="94">
        <f t="shared" si="144"/>
        <v>136169.88839721496</v>
      </c>
      <c r="V743" s="94">
        <f t="shared" si="145"/>
        <v>141739.23683266106</v>
      </c>
      <c r="W743" s="97">
        <f t="shared" si="146"/>
        <v>146246.54456393968</v>
      </c>
      <c r="X743" s="97">
        <f t="shared" si="147"/>
        <v>151803.91325736939</v>
      </c>
      <c r="Y743" s="97">
        <v>102285</v>
      </c>
      <c r="Z743" s="97">
        <f t="shared" si="141"/>
        <v>108033.417</v>
      </c>
      <c r="AA743" s="97">
        <f t="shared" si="142"/>
        <v>122207.4013104</v>
      </c>
    </row>
    <row r="744" spans="1:27" x14ac:dyDescent="0.25">
      <c r="A744" s="86" t="s">
        <v>1793</v>
      </c>
      <c r="B744" s="110" t="s">
        <v>1794</v>
      </c>
      <c r="C744" s="128" t="s">
        <v>226</v>
      </c>
      <c r="D744" s="89" t="s">
        <v>262</v>
      </c>
      <c r="E744" s="90">
        <f t="shared" si="149"/>
        <v>297366</v>
      </c>
      <c r="F744" s="90">
        <f t="shared" si="148"/>
        <v>249886.98445334399</v>
      </c>
      <c r="G744" s="91">
        <v>0.19</v>
      </c>
      <c r="H744" s="91" t="s">
        <v>228</v>
      </c>
      <c r="I744" s="91" t="s">
        <v>228</v>
      </c>
      <c r="J744" s="91"/>
      <c r="K744" s="91" t="s">
        <v>228</v>
      </c>
      <c r="L744" s="92" t="s">
        <v>1768</v>
      </c>
      <c r="M744" s="91" t="str">
        <f t="shared" si="151"/>
        <v>VER ARCHIVO ANEXO</v>
      </c>
      <c r="N744" s="93">
        <v>41608</v>
      </c>
      <c r="O744" s="94">
        <v>278248</v>
      </c>
      <c r="P744" s="94" t="s">
        <v>1443</v>
      </c>
      <c r="Q744" s="94">
        <v>604</v>
      </c>
      <c r="R744" s="95">
        <f t="shared" si="140"/>
        <v>249886.98445334399</v>
      </c>
      <c r="S744" s="94">
        <v>259935.74279999998</v>
      </c>
      <c r="T744" s="94">
        <f t="shared" si="143"/>
        <v>277533.39258756</v>
      </c>
      <c r="U744" s="94">
        <f t="shared" si="144"/>
        <v>293491.56266134471</v>
      </c>
      <c r="V744" s="94">
        <f t="shared" si="145"/>
        <v>305495.36757419369</v>
      </c>
      <c r="W744" s="97">
        <f t="shared" si="146"/>
        <v>315210.12026305305</v>
      </c>
      <c r="X744" s="97">
        <f t="shared" si="147"/>
        <v>327188.10483304906</v>
      </c>
      <c r="Y744" s="97">
        <v>209150.1</v>
      </c>
      <c r="Z744" s="97">
        <f t="shared" si="141"/>
        <v>220904.33562</v>
      </c>
      <c r="AA744" s="97">
        <f t="shared" si="142"/>
        <v>249886.98445334399</v>
      </c>
    </row>
    <row r="745" spans="1:27" x14ac:dyDescent="0.25">
      <c r="A745" s="86" t="s">
        <v>1795</v>
      </c>
      <c r="B745" s="116" t="s">
        <v>1796</v>
      </c>
      <c r="C745" s="88" t="s">
        <v>226</v>
      </c>
      <c r="D745" s="89" t="s">
        <v>262</v>
      </c>
      <c r="E745" s="90">
        <f t="shared" si="149"/>
        <v>16068</v>
      </c>
      <c r="F745" s="90">
        <f t="shared" si="148"/>
        <v>13502.493077472001</v>
      </c>
      <c r="G745" s="91">
        <v>0.19</v>
      </c>
      <c r="H745" s="91" t="s">
        <v>228</v>
      </c>
      <c r="I745" s="91" t="s">
        <v>228</v>
      </c>
      <c r="J745" s="91"/>
      <c r="K745" s="91" t="s">
        <v>228</v>
      </c>
      <c r="L745" s="92" t="s">
        <v>1797</v>
      </c>
      <c r="M745" s="91" t="str">
        <f t="shared" si="151"/>
        <v>VER ARCHIVO ANEXO</v>
      </c>
      <c r="N745" s="93">
        <v>41608</v>
      </c>
      <c r="O745" s="94">
        <v>9761</v>
      </c>
      <c r="P745" s="94" t="s">
        <v>1443</v>
      </c>
      <c r="Q745" s="94">
        <v>605</v>
      </c>
      <c r="R745" s="95">
        <f t="shared" si="140"/>
        <v>13502.493077472001</v>
      </c>
      <c r="S745" s="94">
        <v>4743.4816000000001</v>
      </c>
      <c r="T745" s="94">
        <f t="shared" si="143"/>
        <v>5064.6153043200002</v>
      </c>
      <c r="U745" s="94">
        <f t="shared" si="144"/>
        <v>5355.8306843184009</v>
      </c>
      <c r="V745" s="94">
        <f t="shared" si="145"/>
        <v>5574.8841593070229</v>
      </c>
      <c r="W745" s="97">
        <f t="shared" si="146"/>
        <v>5752.1654755729869</v>
      </c>
      <c r="X745" s="97">
        <f t="shared" si="147"/>
        <v>5970.7477636447602</v>
      </c>
      <c r="Y745" s="97">
        <v>11301.300000000001</v>
      </c>
      <c r="Z745" s="97">
        <f t="shared" si="141"/>
        <v>11936.433060000001</v>
      </c>
      <c r="AA745" s="97">
        <f t="shared" si="142"/>
        <v>13502.493077472001</v>
      </c>
    </row>
    <row r="746" spans="1:27" x14ac:dyDescent="0.25">
      <c r="A746" s="86" t="s">
        <v>1798</v>
      </c>
      <c r="B746" s="87" t="s">
        <v>1799</v>
      </c>
      <c r="C746" s="88" t="s">
        <v>226</v>
      </c>
      <c r="D746" s="89" t="s">
        <v>262</v>
      </c>
      <c r="E746" s="90">
        <f t="shared" si="149"/>
        <v>23821</v>
      </c>
      <c r="F746" s="90">
        <f t="shared" si="148"/>
        <v>20017.712123136003</v>
      </c>
      <c r="G746" s="91">
        <v>0.19</v>
      </c>
      <c r="H746" s="91" t="s">
        <v>228</v>
      </c>
      <c r="I746" s="91" t="s">
        <v>228</v>
      </c>
      <c r="J746" s="91"/>
      <c r="K746" s="91" t="s">
        <v>228</v>
      </c>
      <c r="L746" s="92" t="s">
        <v>1797</v>
      </c>
      <c r="M746" s="91" t="str">
        <f t="shared" si="151"/>
        <v>VER ARCHIVO ANEXO</v>
      </c>
      <c r="N746" s="93">
        <v>41608</v>
      </c>
      <c r="O746" s="94">
        <v>14469</v>
      </c>
      <c r="P746" s="94" t="s">
        <v>1443</v>
      </c>
      <c r="Q746" s="94">
        <v>606</v>
      </c>
      <c r="R746" s="95">
        <f t="shared" si="140"/>
        <v>20017.712123136003</v>
      </c>
      <c r="S746" s="94">
        <v>8862.93</v>
      </c>
      <c r="T746" s="94">
        <f t="shared" si="143"/>
        <v>9462.9503610000011</v>
      </c>
      <c r="U746" s="94">
        <f t="shared" si="144"/>
        <v>10007.070006757502</v>
      </c>
      <c r="V746" s="94">
        <f t="shared" si="145"/>
        <v>10416.359170033882</v>
      </c>
      <c r="W746" s="97">
        <f t="shared" si="146"/>
        <v>10747.599391640961</v>
      </c>
      <c r="X746" s="97">
        <f t="shared" si="147"/>
        <v>11156.008168523318</v>
      </c>
      <c r="Y746" s="97">
        <v>16754.400000000001</v>
      </c>
      <c r="Z746" s="97">
        <f t="shared" si="141"/>
        <v>17695.997280000003</v>
      </c>
      <c r="AA746" s="97">
        <f t="shared" si="142"/>
        <v>20017.712123136003</v>
      </c>
    </row>
    <row r="747" spans="1:27" x14ac:dyDescent="0.25">
      <c r="A747" s="86" t="s">
        <v>1800</v>
      </c>
      <c r="B747" s="116" t="s">
        <v>1801</v>
      </c>
      <c r="C747" s="88" t="s">
        <v>226</v>
      </c>
      <c r="D747" s="89" t="s">
        <v>262</v>
      </c>
      <c r="E747" s="90">
        <f t="shared" si="149"/>
        <v>27050</v>
      </c>
      <c r="F747" s="90">
        <f t="shared" si="148"/>
        <v>22730.684173344005</v>
      </c>
      <c r="G747" s="91">
        <v>0.19</v>
      </c>
      <c r="H747" s="91" t="s">
        <v>228</v>
      </c>
      <c r="I747" s="91" t="s">
        <v>228</v>
      </c>
      <c r="J747" s="91"/>
      <c r="K747" s="91" t="s">
        <v>228</v>
      </c>
      <c r="L747" s="92" t="s">
        <v>1797</v>
      </c>
      <c r="M747" s="91" t="str">
        <f t="shared" si="151"/>
        <v>VER ARCHIVO ANEXO</v>
      </c>
      <c r="N747" s="93">
        <v>41608</v>
      </c>
      <c r="O747" s="94">
        <v>16431</v>
      </c>
      <c r="P747" s="94" t="s">
        <v>1443</v>
      </c>
      <c r="Q747" s="94">
        <v>607</v>
      </c>
      <c r="R747" s="95">
        <f t="shared" si="140"/>
        <v>22730.684173344005</v>
      </c>
      <c r="S747" s="94">
        <v>10034.288</v>
      </c>
      <c r="T747" s="94">
        <f t="shared" si="143"/>
        <v>10713.609297600002</v>
      </c>
      <c r="U747" s="94">
        <f t="shared" si="144"/>
        <v>11329.641832212003</v>
      </c>
      <c r="V747" s="94">
        <f t="shared" si="145"/>
        <v>11793.024183149473</v>
      </c>
      <c r="W747" s="97">
        <f t="shared" si="146"/>
        <v>12168.042352173627</v>
      </c>
      <c r="X747" s="97">
        <f t="shared" si="147"/>
        <v>12630.427961556225</v>
      </c>
      <c r="Y747" s="97">
        <v>19025.100000000002</v>
      </c>
      <c r="Z747" s="97">
        <f t="shared" si="141"/>
        <v>20094.310620000004</v>
      </c>
      <c r="AA747" s="97">
        <f t="shared" si="142"/>
        <v>22730.684173344005</v>
      </c>
    </row>
    <row r="748" spans="1:27" x14ac:dyDescent="0.25">
      <c r="A748" s="102" t="s">
        <v>1802</v>
      </c>
      <c r="B748" s="119" t="s">
        <v>1803</v>
      </c>
      <c r="C748" s="88" t="s">
        <v>226</v>
      </c>
      <c r="D748" s="89" t="s">
        <v>262</v>
      </c>
      <c r="E748" s="90">
        <f t="shared" si="149"/>
        <v>31749</v>
      </c>
      <c r="F748" s="90">
        <f t="shared" si="148"/>
        <v>26679.898220120773</v>
      </c>
      <c r="G748" s="91">
        <v>0.19</v>
      </c>
      <c r="H748" s="91" t="s">
        <v>228</v>
      </c>
      <c r="I748" s="91" t="s">
        <v>228</v>
      </c>
      <c r="J748" s="91"/>
      <c r="K748" s="91" t="s">
        <v>228</v>
      </c>
      <c r="L748" s="92" t="s">
        <v>302</v>
      </c>
      <c r="M748" s="91" t="str">
        <f t="shared" si="151"/>
        <v>no aplica</v>
      </c>
      <c r="N748" s="93">
        <v>41608</v>
      </c>
      <c r="O748" s="94"/>
      <c r="P748" s="94"/>
      <c r="Q748" s="94">
        <v>608</v>
      </c>
      <c r="R748" s="95">
        <f t="shared" si="140"/>
        <v>26679.898220120773</v>
      </c>
      <c r="S748" s="94">
        <v>17459.453799999999</v>
      </c>
      <c r="T748" s="94">
        <f t="shared" si="143"/>
        <v>18641.45882226</v>
      </c>
      <c r="U748" s="94">
        <f t="shared" si="144"/>
        <v>19713.342704539951</v>
      </c>
      <c r="V748" s="94">
        <f t="shared" si="145"/>
        <v>20519.618421155636</v>
      </c>
      <c r="W748" s="97">
        <f t="shared" si="146"/>
        <v>21172.142286948387</v>
      </c>
      <c r="X748" s="97">
        <f t="shared" si="147"/>
        <v>21976.683693852425</v>
      </c>
      <c r="Y748" s="97">
        <f t="shared" si="150"/>
        <v>22330.508301323447</v>
      </c>
      <c r="Z748" s="97">
        <f t="shared" si="141"/>
        <v>23585.482867857827</v>
      </c>
      <c r="AA748" s="97">
        <f t="shared" si="142"/>
        <v>26679.898220120773</v>
      </c>
    </row>
    <row r="749" spans="1:27" x14ac:dyDescent="0.25">
      <c r="A749" s="102" t="s">
        <v>1804</v>
      </c>
      <c r="B749" s="116" t="s">
        <v>1805</v>
      </c>
      <c r="C749" s="128" t="s">
        <v>226</v>
      </c>
      <c r="D749" s="89" t="s">
        <v>262</v>
      </c>
      <c r="E749" s="90">
        <f t="shared" si="149"/>
        <v>576531</v>
      </c>
      <c r="F749" s="90">
        <f t="shared" si="148"/>
        <v>484480.21316988539</v>
      </c>
      <c r="G749" s="91">
        <v>0.19</v>
      </c>
      <c r="H749" s="91" t="s">
        <v>228</v>
      </c>
      <c r="I749" s="91" t="s">
        <v>228</v>
      </c>
      <c r="J749" s="91"/>
      <c r="K749" s="91" t="s">
        <v>228</v>
      </c>
      <c r="L749" s="92" t="s">
        <v>302</v>
      </c>
      <c r="M749" s="91" t="str">
        <f t="shared" si="151"/>
        <v>no aplica</v>
      </c>
      <c r="N749" s="93">
        <v>41608</v>
      </c>
      <c r="O749" s="94"/>
      <c r="P749" s="94"/>
      <c r="Q749" s="94">
        <v>609</v>
      </c>
      <c r="R749" s="95">
        <f t="shared" si="140"/>
        <v>484480.21316988539</v>
      </c>
      <c r="S749" s="94">
        <v>317046.18319999997</v>
      </c>
      <c r="T749" s="94">
        <f t="shared" si="143"/>
        <v>338510.20980264002</v>
      </c>
      <c r="U749" s="94">
        <f t="shared" si="144"/>
        <v>357974.54686629184</v>
      </c>
      <c r="V749" s="94">
        <f t="shared" si="145"/>
        <v>372615.70583312318</v>
      </c>
      <c r="W749" s="97">
        <f t="shared" si="146"/>
        <v>384464.88527861651</v>
      </c>
      <c r="X749" s="97">
        <f t="shared" si="147"/>
        <v>399074.55091920396</v>
      </c>
      <c r="Y749" s="97">
        <f t="shared" si="150"/>
        <v>405499.65118900314</v>
      </c>
      <c r="Z749" s="97">
        <f t="shared" si="141"/>
        <v>428288.73158582515</v>
      </c>
      <c r="AA749" s="97">
        <f t="shared" si="142"/>
        <v>484480.21316988539</v>
      </c>
    </row>
    <row r="750" spans="1:27" x14ac:dyDescent="0.25">
      <c r="A750" s="102" t="s">
        <v>1806</v>
      </c>
      <c r="B750" s="116" t="s">
        <v>1807</v>
      </c>
      <c r="C750" s="128" t="s">
        <v>226</v>
      </c>
      <c r="D750" s="89" t="s">
        <v>262</v>
      </c>
      <c r="E750" s="90">
        <f t="shared" si="149"/>
        <v>659824</v>
      </c>
      <c r="F750" s="90">
        <f t="shared" si="148"/>
        <v>554473.95909712382</v>
      </c>
      <c r="G750" s="91">
        <v>0.19</v>
      </c>
      <c r="H750" s="91" t="s">
        <v>228</v>
      </c>
      <c r="I750" s="91" t="s">
        <v>228</v>
      </c>
      <c r="J750" s="91"/>
      <c r="K750" s="91" t="s">
        <v>228</v>
      </c>
      <c r="L750" s="92" t="s">
        <v>302</v>
      </c>
      <c r="M750" s="91" t="str">
        <f t="shared" si="151"/>
        <v>no aplica</v>
      </c>
      <c r="N750" s="93">
        <v>41608</v>
      </c>
      <c r="O750" s="94"/>
      <c r="P750" s="94"/>
      <c r="Q750" s="94">
        <v>610</v>
      </c>
      <c r="R750" s="95">
        <f t="shared" si="140"/>
        <v>554473.95909712382</v>
      </c>
      <c r="S750" s="94">
        <v>362850.42739999999</v>
      </c>
      <c r="T750" s="94">
        <f t="shared" si="143"/>
        <v>387415.40133498004</v>
      </c>
      <c r="U750" s="94">
        <f t="shared" si="144"/>
        <v>409691.78691174142</v>
      </c>
      <c r="V750" s="94">
        <f t="shared" si="145"/>
        <v>426448.18099643162</v>
      </c>
      <c r="W750" s="97">
        <f t="shared" si="146"/>
        <v>440009.23315211816</v>
      </c>
      <c r="X750" s="97">
        <f t="shared" si="147"/>
        <v>456729.58401189867</v>
      </c>
      <c r="Y750" s="97">
        <f t="shared" si="150"/>
        <v>464082.93031449022</v>
      </c>
      <c r="Z750" s="97">
        <f t="shared" si="141"/>
        <v>490164.3909981646</v>
      </c>
      <c r="AA750" s="97">
        <f t="shared" si="142"/>
        <v>554473.95909712382</v>
      </c>
    </row>
    <row r="751" spans="1:27" x14ac:dyDescent="0.25">
      <c r="A751" s="102" t="s">
        <v>1808</v>
      </c>
      <c r="B751" s="132" t="s">
        <v>1809</v>
      </c>
      <c r="C751" s="88" t="s">
        <v>226</v>
      </c>
      <c r="D751" s="89" t="s">
        <v>262</v>
      </c>
      <c r="E751" s="90">
        <f t="shared" si="149"/>
        <v>1754674</v>
      </c>
      <c r="F751" s="90">
        <f t="shared" si="148"/>
        <v>1474516.2225897906</v>
      </c>
      <c r="G751" s="91">
        <v>0.19</v>
      </c>
      <c r="H751" s="91" t="s">
        <v>228</v>
      </c>
      <c r="I751" s="91" t="s">
        <v>228</v>
      </c>
      <c r="J751" s="91"/>
      <c r="K751" s="91" t="s">
        <v>228</v>
      </c>
      <c r="L751" s="92" t="s">
        <v>302</v>
      </c>
      <c r="M751" s="91" t="str">
        <f t="shared" si="151"/>
        <v>no aplica</v>
      </c>
      <c r="N751" s="93">
        <v>41608</v>
      </c>
      <c r="O751" s="94"/>
      <c r="P751" s="94"/>
      <c r="Q751" s="94">
        <v>611</v>
      </c>
      <c r="R751" s="95">
        <f t="shared" si="140"/>
        <v>1474516.2225897906</v>
      </c>
      <c r="S751" s="94">
        <v>964930.51260000002</v>
      </c>
      <c r="T751" s="94">
        <f t="shared" si="143"/>
        <v>1030256.3083030201</v>
      </c>
      <c r="U751" s="94">
        <f t="shared" si="144"/>
        <v>1089496.0460304439</v>
      </c>
      <c r="V751" s="94">
        <f t="shared" si="145"/>
        <v>1134056.4343130889</v>
      </c>
      <c r="W751" s="97">
        <f t="shared" si="146"/>
        <v>1170119.4289242451</v>
      </c>
      <c r="X751" s="97">
        <f t="shared" si="147"/>
        <v>1214583.9672233665</v>
      </c>
      <c r="Y751" s="97">
        <f t="shared" si="150"/>
        <v>1234138.7690956627</v>
      </c>
      <c r="Z751" s="97">
        <f t="shared" si="141"/>
        <v>1303497.367918839</v>
      </c>
      <c r="AA751" s="97">
        <f t="shared" si="142"/>
        <v>1474516.2225897906</v>
      </c>
    </row>
    <row r="752" spans="1:27" x14ac:dyDescent="0.25">
      <c r="A752" s="86" t="s">
        <v>1810</v>
      </c>
      <c r="B752" s="116" t="s">
        <v>1811</v>
      </c>
      <c r="C752" s="128" t="s">
        <v>226</v>
      </c>
      <c r="D752" s="89" t="s">
        <v>262</v>
      </c>
      <c r="E752" s="90">
        <f t="shared" si="149"/>
        <v>2405537</v>
      </c>
      <c r="F752" s="90">
        <f t="shared" si="148"/>
        <v>2021459.6802240841</v>
      </c>
      <c r="G752" s="91">
        <v>0.19</v>
      </c>
      <c r="H752" s="91" t="s">
        <v>228</v>
      </c>
      <c r="I752" s="91" t="s">
        <v>228</v>
      </c>
      <c r="J752" s="91"/>
      <c r="K752" s="91" t="s">
        <v>228</v>
      </c>
      <c r="L752" s="92" t="s">
        <v>1812</v>
      </c>
      <c r="M752" s="91" t="str">
        <f t="shared" si="151"/>
        <v>VER ARCHIVO ANEXO</v>
      </c>
      <c r="N752" s="93">
        <v>41608</v>
      </c>
      <c r="O752" s="94"/>
      <c r="P752" s="94"/>
      <c r="Q752" s="94">
        <v>612</v>
      </c>
      <c r="R752" s="95">
        <f t="shared" si="140"/>
        <v>2021459.6802240841</v>
      </c>
      <c r="S752" s="94">
        <v>1322852.9435999999</v>
      </c>
      <c r="T752" s="94">
        <f t="shared" si="143"/>
        <v>1412410.0878817199</v>
      </c>
      <c r="U752" s="94">
        <f t="shared" si="144"/>
        <v>1493623.667934919</v>
      </c>
      <c r="V752" s="94">
        <f t="shared" si="145"/>
        <v>1554712.8759534571</v>
      </c>
      <c r="W752" s="97">
        <f t="shared" si="146"/>
        <v>1604152.7454087771</v>
      </c>
      <c r="X752" s="97">
        <f t="shared" si="147"/>
        <v>1665110.5497343107</v>
      </c>
      <c r="Y752" s="97">
        <f t="shared" si="150"/>
        <v>1691918.8295850332</v>
      </c>
      <c r="Z752" s="97">
        <f t="shared" si="141"/>
        <v>1787004.6678077122</v>
      </c>
      <c r="AA752" s="97">
        <f t="shared" si="142"/>
        <v>2021459.6802240841</v>
      </c>
    </row>
    <row r="753" spans="1:27" x14ac:dyDescent="0.25">
      <c r="A753" s="86" t="s">
        <v>1813</v>
      </c>
      <c r="B753" s="116" t="s">
        <v>1814</v>
      </c>
      <c r="C753" s="128" t="s">
        <v>226</v>
      </c>
      <c r="D753" s="89" t="s">
        <v>262</v>
      </c>
      <c r="E753" s="90">
        <f t="shared" si="149"/>
        <v>3457213</v>
      </c>
      <c r="F753" s="90">
        <f t="shared" si="148"/>
        <v>2905221.2105437033</v>
      </c>
      <c r="G753" s="91">
        <v>0.19</v>
      </c>
      <c r="H753" s="91" t="s">
        <v>228</v>
      </c>
      <c r="I753" s="91" t="s">
        <v>228</v>
      </c>
      <c r="J753" s="91"/>
      <c r="K753" s="91" t="s">
        <v>228</v>
      </c>
      <c r="L753" s="92" t="s">
        <v>1812</v>
      </c>
      <c r="M753" s="91" t="str">
        <f t="shared" si="151"/>
        <v>VER ARCHIVO ANEXO</v>
      </c>
      <c r="N753" s="93">
        <v>41608</v>
      </c>
      <c r="O753" s="94"/>
      <c r="P753" s="94"/>
      <c r="Q753" s="94">
        <v>613</v>
      </c>
      <c r="R753" s="95">
        <f t="shared" si="140"/>
        <v>2905221.2105437033</v>
      </c>
      <c r="S753" s="94">
        <v>1901190.7423999999</v>
      </c>
      <c r="T753" s="94">
        <f t="shared" si="143"/>
        <v>2029901.35566048</v>
      </c>
      <c r="U753" s="94">
        <f t="shared" si="144"/>
        <v>2146620.6836109576</v>
      </c>
      <c r="V753" s="94">
        <f t="shared" si="145"/>
        <v>2234417.4695706456</v>
      </c>
      <c r="W753" s="97">
        <f t="shared" si="146"/>
        <v>2305471.9451029925</v>
      </c>
      <c r="X753" s="97">
        <f t="shared" si="147"/>
        <v>2393079.8790169065</v>
      </c>
      <c r="Y753" s="97">
        <f t="shared" si="150"/>
        <v>2431608.4650690788</v>
      </c>
      <c r="Z753" s="97">
        <f t="shared" si="141"/>
        <v>2568264.8608059613</v>
      </c>
      <c r="AA753" s="97">
        <f t="shared" si="142"/>
        <v>2905221.2105437033</v>
      </c>
    </row>
    <row r="754" spans="1:27" x14ac:dyDescent="0.25">
      <c r="A754" s="86" t="s">
        <v>1815</v>
      </c>
      <c r="B754" s="129" t="s">
        <v>1816</v>
      </c>
      <c r="C754" s="128" t="s">
        <v>226</v>
      </c>
      <c r="D754" s="100" t="s">
        <v>262</v>
      </c>
      <c r="E754" s="101">
        <f>+ROUND(F754*(1+G754),0)</f>
        <v>1918596</v>
      </c>
      <c r="F754" s="101">
        <f>+R754</f>
        <v>1612265.5457784368</v>
      </c>
      <c r="G754" s="103">
        <v>0.19</v>
      </c>
      <c r="H754" s="103"/>
      <c r="I754" s="103"/>
      <c r="J754" s="103"/>
      <c r="K754" s="103"/>
      <c r="L754" s="92" t="s">
        <v>1812</v>
      </c>
      <c r="M754" s="91"/>
      <c r="N754" s="93"/>
      <c r="O754" s="94"/>
      <c r="P754" s="94"/>
      <c r="Q754" s="94"/>
      <c r="R754" s="95">
        <f t="shared" si="140"/>
        <v>1612265.5457784368</v>
      </c>
      <c r="S754" s="94"/>
      <c r="T754" s="94"/>
      <c r="U754" s="94"/>
      <c r="V754" s="101">
        <v>1240000</v>
      </c>
      <c r="W754" s="97">
        <f t="shared" si="146"/>
        <v>1279432</v>
      </c>
      <c r="X754" s="97">
        <f t="shared" si="147"/>
        <v>1328050.416</v>
      </c>
      <c r="Y754" s="97">
        <f t="shared" si="150"/>
        <v>1349432.0276976</v>
      </c>
      <c r="Z754" s="97">
        <f t="shared" si="141"/>
        <v>1425270.1076542051</v>
      </c>
      <c r="AA754" s="97">
        <f t="shared" si="142"/>
        <v>1612265.5457784368</v>
      </c>
    </row>
    <row r="755" spans="1:27" x14ac:dyDescent="0.25">
      <c r="A755" s="86" t="s">
        <v>1817</v>
      </c>
      <c r="B755" s="129" t="s">
        <v>1818</v>
      </c>
      <c r="C755" s="128" t="s">
        <v>226</v>
      </c>
      <c r="D755" s="100" t="s">
        <v>262</v>
      </c>
      <c r="E755" s="101">
        <f t="shared" si="149"/>
        <v>2599388</v>
      </c>
      <c r="F755" s="101">
        <f>+R755</f>
        <v>2184359.7716998174</v>
      </c>
      <c r="G755" s="103">
        <v>0.19</v>
      </c>
      <c r="H755" s="103"/>
      <c r="I755" s="103"/>
      <c r="J755" s="103"/>
      <c r="K755" s="103"/>
      <c r="L755" s="92" t="s">
        <v>1812</v>
      </c>
      <c r="M755" s="91"/>
      <c r="N755" s="93"/>
      <c r="O755" s="94"/>
      <c r="P755" s="94"/>
      <c r="Q755" s="94"/>
      <c r="R755" s="95">
        <f t="shared" si="140"/>
        <v>2184359.7716998174</v>
      </c>
      <c r="S755" s="94"/>
      <c r="T755" s="94"/>
      <c r="U755" s="94"/>
      <c r="V755" s="101">
        <v>1680000</v>
      </c>
      <c r="W755" s="97">
        <f t="shared" si="146"/>
        <v>1733424</v>
      </c>
      <c r="X755" s="97">
        <f t="shared" si="147"/>
        <v>1799294.112</v>
      </c>
      <c r="Y755" s="97">
        <f t="shared" si="150"/>
        <v>1828262.7472031999</v>
      </c>
      <c r="Z755" s="97">
        <f t="shared" si="141"/>
        <v>1931011.1135960198</v>
      </c>
      <c r="AA755" s="97">
        <f t="shared" si="142"/>
        <v>2184359.7716998174</v>
      </c>
    </row>
    <row r="756" spans="1:27" x14ac:dyDescent="0.25">
      <c r="A756" s="102" t="s">
        <v>1819</v>
      </c>
      <c r="B756" s="98" t="s">
        <v>1820</v>
      </c>
      <c r="C756" s="99" t="s">
        <v>226</v>
      </c>
      <c r="D756" s="100" t="s">
        <v>262</v>
      </c>
      <c r="E756" s="101">
        <f t="shared" si="149"/>
        <v>54273</v>
      </c>
      <c r="F756" s="90">
        <f t="shared" si="148"/>
        <v>45607.530104715152</v>
      </c>
      <c r="G756" s="91">
        <v>0.19</v>
      </c>
      <c r="H756" s="91" t="s">
        <v>228</v>
      </c>
      <c r="I756" s="91" t="s">
        <v>228</v>
      </c>
      <c r="J756" s="91"/>
      <c r="K756" s="91" t="s">
        <v>228</v>
      </c>
      <c r="L756" s="92" t="s">
        <v>1442</v>
      </c>
      <c r="M756" s="91" t="str">
        <f t="shared" si="151"/>
        <v>VER ARCHIVO ANEXO</v>
      </c>
      <c r="N756" s="93">
        <v>41608</v>
      </c>
      <c r="O756" s="94"/>
      <c r="P756" s="94"/>
      <c r="Q756" s="94">
        <v>614</v>
      </c>
      <c r="R756" s="95">
        <f t="shared" si="140"/>
        <v>45607.530104715152</v>
      </c>
      <c r="S756" s="94">
        <v>29845.787199999999</v>
      </c>
      <c r="T756" s="94">
        <f t="shared" si="143"/>
        <v>31866.346993440002</v>
      </c>
      <c r="U756" s="94">
        <f t="shared" si="144"/>
        <v>33698.661945562802</v>
      </c>
      <c r="V756" s="94">
        <f t="shared" si="145"/>
        <v>35076.937219136322</v>
      </c>
      <c r="W756" s="97">
        <f t="shared" si="146"/>
        <v>36192.383822704862</v>
      </c>
      <c r="X756" s="97">
        <f t="shared" si="147"/>
        <v>37567.694407967647</v>
      </c>
      <c r="Y756" s="97">
        <f t="shared" si="150"/>
        <v>38172.534287935923</v>
      </c>
      <c r="Z756" s="97">
        <f t="shared" si="141"/>
        <v>40317.830714917924</v>
      </c>
      <c r="AA756" s="97">
        <f t="shared" si="142"/>
        <v>45607.530104715152</v>
      </c>
    </row>
    <row r="757" spans="1:27" x14ac:dyDescent="0.25">
      <c r="A757" s="102" t="s">
        <v>1821</v>
      </c>
      <c r="B757" s="119" t="s">
        <v>1822</v>
      </c>
      <c r="C757" s="128" t="s">
        <v>226</v>
      </c>
      <c r="D757" s="89" t="s">
        <v>262</v>
      </c>
      <c r="E757" s="90">
        <f t="shared" si="149"/>
        <v>147909</v>
      </c>
      <c r="F757" s="90">
        <f t="shared" si="148"/>
        <v>124292.87500682758</v>
      </c>
      <c r="G757" s="91">
        <v>0.19</v>
      </c>
      <c r="H757" s="91" t="s">
        <v>228</v>
      </c>
      <c r="I757" s="91" t="s">
        <v>228</v>
      </c>
      <c r="J757" s="91"/>
      <c r="K757" s="91" t="s">
        <v>228</v>
      </c>
      <c r="L757" s="92" t="s">
        <v>1442</v>
      </c>
      <c r="M757" s="91" t="str">
        <f t="shared" si="151"/>
        <v>VER ARCHIVO ANEXO</v>
      </c>
      <c r="N757" s="93">
        <v>41608</v>
      </c>
      <c r="O757" s="94"/>
      <c r="P757" s="94"/>
      <c r="Q757" s="94">
        <v>615</v>
      </c>
      <c r="R757" s="95">
        <f t="shared" si="140"/>
        <v>124292.87500682758</v>
      </c>
      <c r="S757" s="94">
        <v>81337.855599999995</v>
      </c>
      <c r="T757" s="94">
        <f t="shared" si="143"/>
        <v>86844.428424120008</v>
      </c>
      <c r="U757" s="94">
        <f t="shared" si="144"/>
        <v>91837.983058506914</v>
      </c>
      <c r="V757" s="94">
        <f t="shared" si="145"/>
        <v>95594.156565599842</v>
      </c>
      <c r="W757" s="97">
        <f t="shared" si="146"/>
        <v>98634.050744385924</v>
      </c>
      <c r="X757" s="97">
        <f t="shared" si="147"/>
        <v>102382.1446726726</v>
      </c>
      <c r="Y757" s="97">
        <f t="shared" si="150"/>
        <v>104030.49720190263</v>
      </c>
      <c r="Z757" s="97">
        <f t="shared" si="141"/>
        <v>109877.01114464956</v>
      </c>
      <c r="AA757" s="97">
        <f t="shared" si="142"/>
        <v>124292.87500682758</v>
      </c>
    </row>
    <row r="758" spans="1:27" x14ac:dyDescent="0.25">
      <c r="A758" s="86" t="s">
        <v>1823</v>
      </c>
      <c r="B758" s="110" t="s">
        <v>1824</v>
      </c>
      <c r="C758" s="128" t="s">
        <v>226</v>
      </c>
      <c r="D758" s="89" t="s">
        <v>262</v>
      </c>
      <c r="E758" s="90">
        <f t="shared" si="149"/>
        <v>656054</v>
      </c>
      <c r="F758" s="90">
        <f t="shared" si="148"/>
        <v>551305.88948718237</v>
      </c>
      <c r="G758" s="91">
        <v>0.19</v>
      </c>
      <c r="H758" s="91" t="s">
        <v>228</v>
      </c>
      <c r="I758" s="91" t="s">
        <v>228</v>
      </c>
      <c r="J758" s="91"/>
      <c r="K758" s="91" t="s">
        <v>228</v>
      </c>
      <c r="L758" s="92" t="s">
        <v>1825</v>
      </c>
      <c r="M758" s="91" t="str">
        <f t="shared" si="151"/>
        <v>VER ARCHIVO ANEXO</v>
      </c>
      <c r="N758" s="93">
        <v>41608</v>
      </c>
      <c r="O758" s="94"/>
      <c r="P758" s="94"/>
      <c r="Q758" s="94">
        <v>616</v>
      </c>
      <c r="R758" s="95">
        <f t="shared" si="140"/>
        <v>551305.88948718237</v>
      </c>
      <c r="S758" s="94">
        <v>360777.22739999997</v>
      </c>
      <c r="T758" s="94">
        <f t="shared" si="143"/>
        <v>385201.84569498</v>
      </c>
      <c r="U758" s="94">
        <f t="shared" si="144"/>
        <v>407350.95182244142</v>
      </c>
      <c r="V758" s="94">
        <f t="shared" si="145"/>
        <v>424011.60575197922</v>
      </c>
      <c r="W758" s="97">
        <f t="shared" si="146"/>
        <v>437495.17481489218</v>
      </c>
      <c r="X758" s="97">
        <f t="shared" si="147"/>
        <v>454119.99145785806</v>
      </c>
      <c r="Y758" s="97">
        <f t="shared" si="150"/>
        <v>461431.3233203296</v>
      </c>
      <c r="Z758" s="97">
        <f t="shared" si="141"/>
        <v>487363.76369093213</v>
      </c>
      <c r="AA758" s="97">
        <f t="shared" si="142"/>
        <v>551305.88948718237</v>
      </c>
    </row>
    <row r="759" spans="1:27" x14ac:dyDescent="0.25">
      <c r="A759" s="86" t="s">
        <v>1826</v>
      </c>
      <c r="B759" s="98" t="s">
        <v>1827</v>
      </c>
      <c r="C759" s="99" t="s">
        <v>226</v>
      </c>
      <c r="D759" s="100" t="s">
        <v>262</v>
      </c>
      <c r="E759" s="101">
        <f t="shared" si="149"/>
        <v>655421</v>
      </c>
      <c r="F759" s="90">
        <f t="shared" si="148"/>
        <v>550773.65379271237</v>
      </c>
      <c r="G759" s="91">
        <v>0.19</v>
      </c>
      <c r="H759" s="91" t="s">
        <v>228</v>
      </c>
      <c r="I759" s="91" t="s">
        <v>228</v>
      </c>
      <c r="J759" s="91"/>
      <c r="K759" s="91" t="s">
        <v>228</v>
      </c>
      <c r="L759" s="92" t="s">
        <v>1825</v>
      </c>
      <c r="M759" s="91" t="str">
        <f t="shared" si="151"/>
        <v>VER ARCHIVO ANEXO</v>
      </c>
      <c r="N759" s="93">
        <v>41608</v>
      </c>
      <c r="O759" s="94"/>
      <c r="P759" s="94"/>
      <c r="Q759" s="94">
        <v>617</v>
      </c>
      <c r="R759" s="95">
        <f t="shared" si="140"/>
        <v>550773.65379271237</v>
      </c>
      <c r="S759" s="94">
        <v>360428.92979999998</v>
      </c>
      <c r="T759" s="94">
        <f t="shared" si="143"/>
        <v>384829.96834746003</v>
      </c>
      <c r="U759" s="94">
        <f t="shared" si="144"/>
        <v>406957.69152743905</v>
      </c>
      <c r="V759" s="94">
        <f t="shared" si="145"/>
        <v>423602.26111091126</v>
      </c>
      <c r="W759" s="97">
        <f t="shared" si="146"/>
        <v>437072.81301423826</v>
      </c>
      <c r="X759" s="97">
        <f t="shared" si="147"/>
        <v>453681.5799087793</v>
      </c>
      <c r="Y759" s="97">
        <f t="shared" si="150"/>
        <v>460985.85334531066</v>
      </c>
      <c r="Z759" s="97">
        <f t="shared" si="141"/>
        <v>486893.25830331712</v>
      </c>
      <c r="AA759" s="97">
        <f t="shared" si="142"/>
        <v>550773.65379271237</v>
      </c>
    </row>
    <row r="760" spans="1:27" x14ac:dyDescent="0.25">
      <c r="A760" s="86" t="s">
        <v>1828</v>
      </c>
      <c r="B760" s="98" t="s">
        <v>1829</v>
      </c>
      <c r="C760" s="99" t="s">
        <v>226</v>
      </c>
      <c r="D760" s="100" t="s">
        <v>262</v>
      </c>
      <c r="E760" s="101">
        <f t="shared" si="149"/>
        <v>287923</v>
      </c>
      <c r="F760" s="90">
        <f t="shared" si="148"/>
        <v>241951.81225043803</v>
      </c>
      <c r="G760" s="91">
        <v>0.19</v>
      </c>
      <c r="H760" s="91" t="s">
        <v>228</v>
      </c>
      <c r="I760" s="91" t="s">
        <v>228</v>
      </c>
      <c r="J760" s="91"/>
      <c r="K760" s="91" t="s">
        <v>228</v>
      </c>
      <c r="L760" s="92" t="s">
        <v>1825</v>
      </c>
      <c r="M760" s="91" t="str">
        <f t="shared" si="151"/>
        <v>VER ARCHIVO ANEXO</v>
      </c>
      <c r="N760" s="93">
        <v>41608</v>
      </c>
      <c r="O760" s="94"/>
      <c r="P760" s="94"/>
      <c r="Q760" s="94">
        <v>618</v>
      </c>
      <c r="R760" s="95">
        <f t="shared" si="140"/>
        <v>241951.81225043803</v>
      </c>
      <c r="S760" s="94">
        <v>158334.43039999998</v>
      </c>
      <c r="T760" s="94">
        <f t="shared" si="143"/>
        <v>169053.67133807999</v>
      </c>
      <c r="U760" s="94">
        <f t="shared" si="144"/>
        <v>178774.2574400196</v>
      </c>
      <c r="V760" s="94">
        <f t="shared" si="145"/>
        <v>186086.12456931639</v>
      </c>
      <c r="W760" s="97">
        <f t="shared" si="146"/>
        <v>192003.66333062068</v>
      </c>
      <c r="X760" s="97">
        <f t="shared" si="147"/>
        <v>199299.80253718427</v>
      </c>
      <c r="Y760" s="97">
        <f t="shared" si="150"/>
        <v>202508.52935803295</v>
      </c>
      <c r="Z760" s="97">
        <f t="shared" si="141"/>
        <v>213889.5087079544</v>
      </c>
      <c r="AA760" s="97">
        <f t="shared" si="142"/>
        <v>241951.81225043803</v>
      </c>
    </row>
    <row r="761" spans="1:27" x14ac:dyDescent="0.25">
      <c r="A761" s="86" t="s">
        <v>1830</v>
      </c>
      <c r="B761" s="98" t="s">
        <v>1831</v>
      </c>
      <c r="C761" s="99" t="s">
        <v>226</v>
      </c>
      <c r="D761" s="100" t="s">
        <v>262</v>
      </c>
      <c r="E761" s="101">
        <f t="shared" si="149"/>
        <v>208034</v>
      </c>
      <c r="F761" s="101">
        <f>+R761</f>
        <v>174818.70921967327</v>
      </c>
      <c r="G761" s="103">
        <v>0.19</v>
      </c>
      <c r="H761" s="103"/>
      <c r="I761" s="103"/>
      <c r="J761" s="103"/>
      <c r="K761" s="103"/>
      <c r="L761" s="92"/>
      <c r="M761" s="91"/>
      <c r="N761" s="93"/>
      <c r="O761" s="94"/>
      <c r="P761" s="94"/>
      <c r="Q761" s="94"/>
      <c r="R761" s="95">
        <f t="shared" si="140"/>
        <v>174818.70921967327</v>
      </c>
      <c r="S761" s="94"/>
      <c r="T761" s="94"/>
      <c r="U761" s="94"/>
      <c r="V761" s="101">
        <v>134453.78151260503</v>
      </c>
      <c r="W761" s="97">
        <f t="shared" si="146"/>
        <v>138729.41176470587</v>
      </c>
      <c r="X761" s="97">
        <f t="shared" si="147"/>
        <v>144001.1294117647</v>
      </c>
      <c r="Y761" s="97">
        <f t="shared" si="150"/>
        <v>146319.54759529411</v>
      </c>
      <c r="Z761" s="97">
        <f t="shared" si="141"/>
        <v>154542.70617014964</v>
      </c>
      <c r="AA761" s="97">
        <f t="shared" si="142"/>
        <v>174818.70921967327</v>
      </c>
    </row>
    <row r="762" spans="1:27" x14ac:dyDescent="0.25">
      <c r="A762" s="86" t="s">
        <v>1832</v>
      </c>
      <c r="B762" s="87" t="s">
        <v>1833</v>
      </c>
      <c r="C762" s="88" t="s">
        <v>226</v>
      </c>
      <c r="D762" s="89" t="s">
        <v>262</v>
      </c>
      <c r="E762" s="90">
        <f t="shared" si="149"/>
        <v>514149</v>
      </c>
      <c r="F762" s="90">
        <f t="shared" si="148"/>
        <v>432058.16533418652</v>
      </c>
      <c r="G762" s="91">
        <v>0.19</v>
      </c>
      <c r="H762" s="91" t="s">
        <v>228</v>
      </c>
      <c r="I762" s="91" t="s">
        <v>228</v>
      </c>
      <c r="J762" s="91"/>
      <c r="K762" s="91" t="s">
        <v>228</v>
      </c>
      <c r="L762" s="92" t="s">
        <v>1825</v>
      </c>
      <c r="M762" s="91" t="str">
        <f t="shared" si="151"/>
        <v>VER ARCHIVO ANEXO</v>
      </c>
      <c r="N762" s="93">
        <v>41608</v>
      </c>
      <c r="O762" s="94"/>
      <c r="P762" s="94"/>
      <c r="Q762" s="94">
        <v>619</v>
      </c>
      <c r="R762" s="95">
        <f t="shared" si="140"/>
        <v>432058.16533418652</v>
      </c>
      <c r="S762" s="94">
        <v>282740.94280000002</v>
      </c>
      <c r="T762" s="94">
        <f t="shared" si="143"/>
        <v>301882.50462756003</v>
      </c>
      <c r="U762" s="94">
        <f t="shared" si="144"/>
        <v>319240.74864364479</v>
      </c>
      <c r="V762" s="94">
        <f t="shared" si="145"/>
        <v>332297.69526316982</v>
      </c>
      <c r="W762" s="97">
        <f t="shared" si="146"/>
        <v>342864.76197253866</v>
      </c>
      <c r="X762" s="97">
        <f t="shared" si="147"/>
        <v>355893.62292749516</v>
      </c>
      <c r="Y762" s="97">
        <f t="shared" si="150"/>
        <v>361623.51025662781</v>
      </c>
      <c r="Z762" s="97">
        <f t="shared" si="141"/>
        <v>381946.75153305032</v>
      </c>
      <c r="AA762" s="97">
        <f t="shared" si="142"/>
        <v>432058.16533418652</v>
      </c>
    </row>
    <row r="763" spans="1:27" x14ac:dyDescent="0.25">
      <c r="A763" s="86" t="s">
        <v>1834</v>
      </c>
      <c r="B763" s="87" t="s">
        <v>1835</v>
      </c>
      <c r="C763" s="88" t="s">
        <v>226</v>
      </c>
      <c r="D763" s="89" t="s">
        <v>262</v>
      </c>
      <c r="E763" s="90">
        <f t="shared" si="149"/>
        <v>16897</v>
      </c>
      <c r="F763" s="90">
        <f t="shared" si="148"/>
        <v>14199.287991756968</v>
      </c>
      <c r="G763" s="91">
        <v>0.19</v>
      </c>
      <c r="H763" s="91" t="s">
        <v>228</v>
      </c>
      <c r="I763" s="91" t="s">
        <v>228</v>
      </c>
      <c r="J763" s="91"/>
      <c r="K763" s="91" t="s">
        <v>228</v>
      </c>
      <c r="L763" s="92" t="s">
        <v>1698</v>
      </c>
      <c r="M763" s="91" t="str">
        <f t="shared" si="151"/>
        <v>VER ARCHIVO ANEXO</v>
      </c>
      <c r="N763" s="93">
        <v>41608</v>
      </c>
      <c r="O763" s="94"/>
      <c r="P763" s="94"/>
      <c r="Q763" s="94">
        <v>620</v>
      </c>
      <c r="R763" s="95">
        <f t="shared" si="140"/>
        <v>14199.287991756968</v>
      </c>
      <c r="S763" s="94">
        <v>9292.0823999999993</v>
      </c>
      <c r="T763" s="94">
        <f t="shared" si="143"/>
        <v>9921.1563784800001</v>
      </c>
      <c r="U763" s="94">
        <f t="shared" si="144"/>
        <v>10491.622870242601</v>
      </c>
      <c r="V763" s="94">
        <f t="shared" si="145"/>
        <v>10920.730245635523</v>
      </c>
      <c r="W763" s="97">
        <f t="shared" si="146"/>
        <v>11268.009467446733</v>
      </c>
      <c r="X763" s="97">
        <f t="shared" si="147"/>
        <v>11696.193827209709</v>
      </c>
      <c r="Y763" s="97">
        <f t="shared" si="150"/>
        <v>11884.502547827786</v>
      </c>
      <c r="Z763" s="97">
        <f t="shared" si="141"/>
        <v>12552.411591015707</v>
      </c>
      <c r="AA763" s="97">
        <f t="shared" si="142"/>
        <v>14199.287991756968</v>
      </c>
    </row>
    <row r="764" spans="1:27" x14ac:dyDescent="0.25">
      <c r="A764" s="86" t="s">
        <v>1836</v>
      </c>
      <c r="B764" s="98" t="s">
        <v>1837</v>
      </c>
      <c r="C764" s="99" t="s">
        <v>226</v>
      </c>
      <c r="D764" s="100" t="s">
        <v>262</v>
      </c>
      <c r="E764" s="101">
        <f t="shared" si="149"/>
        <v>85519</v>
      </c>
      <c r="F764" s="90">
        <f t="shared" si="148"/>
        <v>71864.491031908765</v>
      </c>
      <c r="G764" s="91">
        <v>0.19</v>
      </c>
      <c r="H764" s="91" t="s">
        <v>228</v>
      </c>
      <c r="I764" s="91" t="s">
        <v>228</v>
      </c>
      <c r="J764" s="91"/>
      <c r="K764" s="91" t="s">
        <v>228</v>
      </c>
      <c r="L764" s="92" t="s">
        <v>1838</v>
      </c>
      <c r="M764" s="91" t="str">
        <f t="shared" si="151"/>
        <v>VER ARCHIVO ANEXO</v>
      </c>
      <c r="N764" s="93">
        <v>41608</v>
      </c>
      <c r="O764" s="94"/>
      <c r="P764" s="94"/>
      <c r="Q764" s="94">
        <v>621</v>
      </c>
      <c r="R764" s="95">
        <f t="shared" si="140"/>
        <v>71864.491031908765</v>
      </c>
      <c r="S764" s="94">
        <v>47028.468799999995</v>
      </c>
      <c r="T764" s="94">
        <f t="shared" si="143"/>
        <v>50212.29613776</v>
      </c>
      <c r="U764" s="94">
        <f t="shared" si="144"/>
        <v>53099.503165681206</v>
      </c>
      <c r="V764" s="94">
        <f t="shared" si="145"/>
        <v>55271.272845157568</v>
      </c>
      <c r="W764" s="97">
        <f t="shared" si="146"/>
        <v>57028.89932163358</v>
      </c>
      <c r="X764" s="97">
        <f t="shared" si="147"/>
        <v>59195.997495855656</v>
      </c>
      <c r="Y764" s="97">
        <f t="shared" si="150"/>
        <v>60149.053055538934</v>
      </c>
      <c r="Z764" s="97">
        <f t="shared" si="141"/>
        <v>63529.429837260221</v>
      </c>
      <c r="AA764" s="97">
        <f t="shared" si="142"/>
        <v>71864.491031908765</v>
      </c>
    </row>
    <row r="765" spans="1:27" x14ac:dyDescent="0.25">
      <c r="A765" s="86" t="s">
        <v>1839</v>
      </c>
      <c r="B765" s="87" t="s">
        <v>1840</v>
      </c>
      <c r="C765" s="88" t="s">
        <v>226</v>
      </c>
      <c r="D765" s="89" t="s">
        <v>262</v>
      </c>
      <c r="E765" s="90">
        <f t="shared" si="149"/>
        <v>156059</v>
      </c>
      <c r="F765" s="90">
        <f t="shared" si="148"/>
        <v>131142.24150352069</v>
      </c>
      <c r="G765" s="91">
        <v>0.19</v>
      </c>
      <c r="H765" s="91" t="s">
        <v>228</v>
      </c>
      <c r="I765" s="91" t="s">
        <v>228</v>
      </c>
      <c r="J765" s="91"/>
      <c r="K765" s="91" t="s">
        <v>228</v>
      </c>
      <c r="L765" s="92" t="s">
        <v>1838</v>
      </c>
      <c r="M765" s="91" t="str">
        <f t="shared" si="151"/>
        <v>VER ARCHIVO ANEXO</v>
      </c>
      <c r="N765" s="93">
        <v>41608</v>
      </c>
      <c r="O765" s="94"/>
      <c r="P765" s="94"/>
      <c r="Q765" s="94">
        <v>622</v>
      </c>
      <c r="R765" s="95">
        <f t="shared" si="140"/>
        <v>131142.24150352069</v>
      </c>
      <c r="S765" s="94">
        <v>85820.114000000001</v>
      </c>
      <c r="T765" s="94">
        <f t="shared" si="143"/>
        <v>91630.135717800003</v>
      </c>
      <c r="U765" s="94">
        <f t="shared" si="144"/>
        <v>96898.868521573517</v>
      </c>
      <c r="V765" s="94">
        <f t="shared" si="145"/>
        <v>100862.03224410587</v>
      </c>
      <c r="W765" s="97">
        <f t="shared" si="146"/>
        <v>104069.44486946844</v>
      </c>
      <c r="X765" s="97">
        <f t="shared" si="147"/>
        <v>108024.08377450824</v>
      </c>
      <c r="Y765" s="97">
        <f t="shared" si="150"/>
        <v>109763.27152327783</v>
      </c>
      <c r="Z765" s="97">
        <f t="shared" si="141"/>
        <v>115931.96738288604</v>
      </c>
      <c r="AA765" s="97">
        <f t="shared" si="142"/>
        <v>131142.24150352069</v>
      </c>
    </row>
    <row r="766" spans="1:27" x14ac:dyDescent="0.25">
      <c r="A766" s="86" t="s">
        <v>1841</v>
      </c>
      <c r="B766" s="98" t="s">
        <v>1842</v>
      </c>
      <c r="C766" s="99" t="s">
        <v>226</v>
      </c>
      <c r="D766" s="100" t="s">
        <v>262</v>
      </c>
      <c r="E766" s="101">
        <f t="shared" si="149"/>
        <v>115304</v>
      </c>
      <c r="F766" s="90">
        <f t="shared" si="148"/>
        <v>96893.824985250089</v>
      </c>
      <c r="G766" s="91">
        <v>0.19</v>
      </c>
      <c r="H766" s="91" t="s">
        <v>228</v>
      </c>
      <c r="I766" s="91" t="s">
        <v>228</v>
      </c>
      <c r="J766" s="91"/>
      <c r="K766" s="91" t="s">
        <v>228</v>
      </c>
      <c r="L766" s="92" t="s">
        <v>1838</v>
      </c>
      <c r="M766" s="91" t="str">
        <f t="shared" si="151"/>
        <v>VER ARCHIVO ANEXO</v>
      </c>
      <c r="N766" s="93">
        <v>41608</v>
      </c>
      <c r="O766" s="94"/>
      <c r="P766" s="94"/>
      <c r="Q766" s="94">
        <v>623</v>
      </c>
      <c r="R766" s="95">
        <f t="shared" si="140"/>
        <v>96893.824985250089</v>
      </c>
      <c r="S766" s="94">
        <v>63407.785400000001</v>
      </c>
      <c r="T766" s="94">
        <f t="shared" si="143"/>
        <v>67700.492471580001</v>
      </c>
      <c r="U766" s="94">
        <f t="shared" si="144"/>
        <v>71593.270788695852</v>
      </c>
      <c r="V766" s="94">
        <f t="shared" si="145"/>
        <v>74521.435563953506</v>
      </c>
      <c r="W766" s="97">
        <f t="shared" si="146"/>
        <v>76891.217214887234</v>
      </c>
      <c r="X766" s="97">
        <f t="shared" si="147"/>
        <v>79813.083469052945</v>
      </c>
      <c r="Y766" s="97">
        <f t="shared" si="150"/>
        <v>81098.074112904695</v>
      </c>
      <c r="Z766" s="97">
        <f t="shared" si="141"/>
        <v>85655.785878049937</v>
      </c>
      <c r="AA766" s="97">
        <f t="shared" si="142"/>
        <v>96893.824985250089</v>
      </c>
    </row>
    <row r="767" spans="1:27" x14ac:dyDescent="0.25">
      <c r="A767" s="86" t="s">
        <v>1843</v>
      </c>
      <c r="B767" s="98" t="s">
        <v>1844</v>
      </c>
      <c r="C767" s="99" t="s">
        <v>226</v>
      </c>
      <c r="D767" s="100" t="s">
        <v>262</v>
      </c>
      <c r="E767" s="101">
        <f t="shared" si="149"/>
        <v>46718</v>
      </c>
      <c r="F767" s="90">
        <f t="shared" si="148"/>
        <v>39258.718606392766</v>
      </c>
      <c r="G767" s="91">
        <v>0.19</v>
      </c>
      <c r="H767" s="91" t="s">
        <v>228</v>
      </c>
      <c r="I767" s="91" t="s">
        <v>228</v>
      </c>
      <c r="J767" s="91"/>
      <c r="K767" s="91" t="s">
        <v>228</v>
      </c>
      <c r="L767" s="92" t="s">
        <v>1838</v>
      </c>
      <c r="M767" s="91" t="str">
        <f t="shared" si="151"/>
        <v>VER ARCHIVO ANEXO</v>
      </c>
      <c r="N767" s="93">
        <v>41608</v>
      </c>
      <c r="O767" s="94"/>
      <c r="P767" s="94"/>
      <c r="Q767" s="94">
        <v>624</v>
      </c>
      <c r="R767" s="95">
        <f t="shared" si="140"/>
        <v>39258.718606392766</v>
      </c>
      <c r="S767" s="94">
        <v>25691.094399999998</v>
      </c>
      <c r="T767" s="94">
        <f t="shared" si="143"/>
        <v>27430.381490880001</v>
      </c>
      <c r="U767" s="94">
        <f t="shared" si="144"/>
        <v>29007.628426605603</v>
      </c>
      <c r="V767" s="94">
        <f t="shared" si="145"/>
        <v>30194.040429253771</v>
      </c>
      <c r="W767" s="97">
        <f t="shared" si="146"/>
        <v>31154.210914904044</v>
      </c>
      <c r="X767" s="97">
        <f t="shared" si="147"/>
        <v>32338.070929670401</v>
      </c>
      <c r="Y767" s="97">
        <f t="shared" si="150"/>
        <v>32858.713871638094</v>
      </c>
      <c r="Z767" s="97">
        <f t="shared" si="141"/>
        <v>34705.373591224154</v>
      </c>
      <c r="AA767" s="97">
        <f t="shared" si="142"/>
        <v>39258.718606392766</v>
      </c>
    </row>
    <row r="768" spans="1:27" x14ac:dyDescent="0.25">
      <c r="A768" s="86" t="s">
        <v>1845</v>
      </c>
      <c r="B768" s="87" t="s">
        <v>1846</v>
      </c>
      <c r="C768" s="88" t="s">
        <v>226</v>
      </c>
      <c r="D768" s="89" t="s">
        <v>262</v>
      </c>
      <c r="E768" s="90">
        <f t="shared" si="149"/>
        <v>252979</v>
      </c>
      <c r="F768" s="90">
        <f t="shared" si="148"/>
        <v>212586.97503589193</v>
      </c>
      <c r="G768" s="91">
        <v>0.19</v>
      </c>
      <c r="H768" s="91" t="s">
        <v>228</v>
      </c>
      <c r="I768" s="91" t="s">
        <v>228</v>
      </c>
      <c r="J768" s="91"/>
      <c r="K768" s="91" t="s">
        <v>228</v>
      </c>
      <c r="L768" s="92" t="s">
        <v>1838</v>
      </c>
      <c r="M768" s="91" t="str">
        <f t="shared" si="151"/>
        <v>VER ARCHIVO ANEXO</v>
      </c>
      <c r="N768" s="93">
        <v>41608</v>
      </c>
      <c r="O768" s="94"/>
      <c r="P768" s="94"/>
      <c r="Q768" s="94">
        <v>625</v>
      </c>
      <c r="R768" s="95">
        <f t="shared" si="140"/>
        <v>212586.97503589193</v>
      </c>
      <c r="S768" s="94">
        <v>139117.93959999998</v>
      </c>
      <c r="T768" s="94">
        <f t="shared" si="143"/>
        <v>148536.22411091998</v>
      </c>
      <c r="U768" s="94">
        <f t="shared" si="144"/>
        <v>157077.05699729788</v>
      </c>
      <c r="V768" s="94">
        <f t="shared" si="145"/>
        <v>163501.50862848735</v>
      </c>
      <c r="W768" s="97">
        <f t="shared" si="146"/>
        <v>168700.85660287325</v>
      </c>
      <c r="X768" s="97">
        <f t="shared" si="147"/>
        <v>175111.48915378243</v>
      </c>
      <c r="Y768" s="97">
        <f t="shared" si="150"/>
        <v>177930.78412915833</v>
      </c>
      <c r="Z768" s="97">
        <f t="shared" si="141"/>
        <v>187930.49419721705</v>
      </c>
      <c r="AA768" s="97">
        <f t="shared" si="142"/>
        <v>212586.97503589193</v>
      </c>
    </row>
    <row r="769" spans="1:27" x14ac:dyDescent="0.25">
      <c r="A769" s="86" t="s">
        <v>1847</v>
      </c>
      <c r="B769" s="87" t="s">
        <v>1848</v>
      </c>
      <c r="C769" s="88" t="s">
        <v>226</v>
      </c>
      <c r="D769" s="89" t="s">
        <v>262</v>
      </c>
      <c r="E769" s="90">
        <f t="shared" si="149"/>
        <v>443333</v>
      </c>
      <c r="F769" s="90">
        <f t="shared" si="148"/>
        <v>372549.14578104881</v>
      </c>
      <c r="G769" s="91">
        <v>0.19</v>
      </c>
      <c r="H769" s="91" t="s">
        <v>228</v>
      </c>
      <c r="I769" s="91" t="s">
        <v>228</v>
      </c>
      <c r="J769" s="91"/>
      <c r="K769" s="91" t="s">
        <v>228</v>
      </c>
      <c r="L769" s="92" t="s">
        <v>1838</v>
      </c>
      <c r="M769" s="91" t="str">
        <f t="shared" si="151"/>
        <v>VER ARCHIVO ANEXO</v>
      </c>
      <c r="N769" s="93">
        <v>41608</v>
      </c>
      <c r="O769" s="94"/>
      <c r="P769" s="94"/>
      <c r="Q769" s="94">
        <v>626</v>
      </c>
      <c r="R769" s="95">
        <f t="shared" si="140"/>
        <v>372549.14578104881</v>
      </c>
      <c r="S769" s="94">
        <v>243797.954</v>
      </c>
      <c r="T769" s="94">
        <f t="shared" si="143"/>
        <v>260303.07548580001</v>
      </c>
      <c r="U769" s="94">
        <f t="shared" si="144"/>
        <v>275270.50232623355</v>
      </c>
      <c r="V769" s="94">
        <f t="shared" si="145"/>
        <v>286529.06587137649</v>
      </c>
      <c r="W769" s="97">
        <f t="shared" si="146"/>
        <v>295640.69016608625</v>
      </c>
      <c r="X769" s="97">
        <f t="shared" si="147"/>
        <v>306875.03639239754</v>
      </c>
      <c r="Y769" s="97">
        <f t="shared" si="150"/>
        <v>311815.72447831515</v>
      </c>
      <c r="Z769" s="97">
        <f t="shared" si="141"/>
        <v>329339.76819399645</v>
      </c>
      <c r="AA769" s="97">
        <f t="shared" si="142"/>
        <v>372549.14578104881</v>
      </c>
    </row>
    <row r="770" spans="1:27" x14ac:dyDescent="0.25">
      <c r="A770" s="86" t="s">
        <v>1849</v>
      </c>
      <c r="B770" s="87" t="s">
        <v>1850</v>
      </c>
      <c r="C770" s="88" t="s">
        <v>226</v>
      </c>
      <c r="D770" s="89" t="s">
        <v>262</v>
      </c>
      <c r="E770" s="90">
        <f t="shared" si="149"/>
        <v>616294</v>
      </c>
      <c r="F770" s="90">
        <f t="shared" si="148"/>
        <v>517893.84334593633</v>
      </c>
      <c r="G770" s="91">
        <v>0.19</v>
      </c>
      <c r="H770" s="91" t="s">
        <v>228</v>
      </c>
      <c r="I770" s="91" t="s">
        <v>228</v>
      </c>
      <c r="J770" s="91"/>
      <c r="K770" s="91" t="s">
        <v>228</v>
      </c>
      <c r="L770" s="92" t="s">
        <v>1838</v>
      </c>
      <c r="M770" s="91" t="str">
        <f t="shared" si="151"/>
        <v>VER ARCHIVO ANEXO</v>
      </c>
      <c r="N770" s="93">
        <v>41608</v>
      </c>
      <c r="O770" s="94"/>
      <c r="P770" s="94"/>
      <c r="Q770" s="94">
        <v>627</v>
      </c>
      <c r="R770" s="95">
        <f t="shared" si="140"/>
        <v>517893.84334593633</v>
      </c>
      <c r="S770" s="94">
        <v>338912.22359999997</v>
      </c>
      <c r="T770" s="94">
        <f t="shared" si="143"/>
        <v>361856.58113771997</v>
      </c>
      <c r="U770" s="94">
        <f t="shared" si="144"/>
        <v>382663.33455313894</v>
      </c>
      <c r="V770" s="94">
        <f t="shared" si="145"/>
        <v>398314.26493636228</v>
      </c>
      <c r="W770" s="97">
        <f t="shared" si="146"/>
        <v>410980.65856133861</v>
      </c>
      <c r="X770" s="97">
        <f t="shared" si="147"/>
        <v>426597.92358666949</v>
      </c>
      <c r="Y770" s="97">
        <f t="shared" si="150"/>
        <v>433466.15015641489</v>
      </c>
      <c r="Z770" s="97">
        <f t="shared" si="141"/>
        <v>457826.9477952054</v>
      </c>
      <c r="AA770" s="97">
        <f t="shared" si="142"/>
        <v>517893.84334593633</v>
      </c>
    </row>
    <row r="771" spans="1:27" x14ac:dyDescent="0.25">
      <c r="A771" s="86" t="s">
        <v>1851</v>
      </c>
      <c r="B771" s="98" t="s">
        <v>1852</v>
      </c>
      <c r="C771" s="99" t="s">
        <v>226</v>
      </c>
      <c r="D771" s="100" t="s">
        <v>262</v>
      </c>
      <c r="E771" s="101">
        <f t="shared" si="149"/>
        <v>59640</v>
      </c>
      <c r="F771" s="90">
        <f t="shared" si="148"/>
        <v>50117.277194466609</v>
      </c>
      <c r="G771" s="91">
        <v>0.19</v>
      </c>
      <c r="H771" s="91" t="s">
        <v>228</v>
      </c>
      <c r="I771" s="91" t="s">
        <v>228</v>
      </c>
      <c r="J771" s="91"/>
      <c r="K771" s="91" t="s">
        <v>228</v>
      </c>
      <c r="L771" s="92" t="s">
        <v>1838</v>
      </c>
      <c r="M771" s="91" t="str">
        <f t="shared" si="151"/>
        <v>VER ARCHIVO ANEXO</v>
      </c>
      <c r="N771" s="93">
        <v>41608</v>
      </c>
      <c r="O771" s="94"/>
      <c r="P771" s="94"/>
      <c r="Q771" s="94">
        <v>628</v>
      </c>
      <c r="R771" s="95">
        <f t="shared" si="140"/>
        <v>50117.277194466609</v>
      </c>
      <c r="S771" s="94">
        <v>32796.987399999998</v>
      </c>
      <c r="T771" s="94">
        <f t="shared" si="143"/>
        <v>35017.343446979998</v>
      </c>
      <c r="U771" s="94">
        <f t="shared" si="144"/>
        <v>37030.840695181352</v>
      </c>
      <c r="V771" s="94">
        <f t="shared" si="145"/>
        <v>38545.402079614265</v>
      </c>
      <c r="W771" s="97">
        <f t="shared" si="146"/>
        <v>39771.145865746003</v>
      </c>
      <c r="X771" s="97">
        <f t="shared" si="147"/>
        <v>41282.449408644352</v>
      </c>
      <c r="Y771" s="97">
        <f t="shared" si="150"/>
        <v>41947.096844123524</v>
      </c>
      <c r="Z771" s="97">
        <f t="shared" si="141"/>
        <v>44304.52368676327</v>
      </c>
      <c r="AA771" s="97">
        <f t="shared" si="142"/>
        <v>50117.277194466609</v>
      </c>
    </row>
    <row r="772" spans="1:27" x14ac:dyDescent="0.25">
      <c r="A772" s="86" t="s">
        <v>1853</v>
      </c>
      <c r="B772" s="87" t="s">
        <v>1854</v>
      </c>
      <c r="C772" s="88" t="s">
        <v>226</v>
      </c>
      <c r="D772" s="89" t="s">
        <v>262</v>
      </c>
      <c r="E772" s="90">
        <f t="shared" si="149"/>
        <v>1451274</v>
      </c>
      <c r="F772" s="90">
        <f t="shared" si="148"/>
        <v>1219557.9005557385</v>
      </c>
      <c r="G772" s="91">
        <v>0.19</v>
      </c>
      <c r="H772" s="91" t="s">
        <v>228</v>
      </c>
      <c r="I772" s="91" t="s">
        <v>228</v>
      </c>
      <c r="J772" s="91"/>
      <c r="K772" s="91" t="s">
        <v>228</v>
      </c>
      <c r="L772" s="92" t="s">
        <v>1838</v>
      </c>
      <c r="M772" s="91" t="str">
        <f t="shared" si="151"/>
        <v>VER ARCHIVO ANEXO</v>
      </c>
      <c r="N772" s="93">
        <v>41608</v>
      </c>
      <c r="O772" s="94"/>
      <c r="P772" s="94"/>
      <c r="Q772" s="94">
        <v>629</v>
      </c>
      <c r="R772" s="95">
        <f t="shared" si="140"/>
        <v>1219557.9005557385</v>
      </c>
      <c r="S772" s="94">
        <v>798084.55959999992</v>
      </c>
      <c r="T772" s="94">
        <f t="shared" si="143"/>
        <v>852114.88428491994</v>
      </c>
      <c r="U772" s="94">
        <f t="shared" si="144"/>
        <v>901111.49013130297</v>
      </c>
      <c r="V772" s="94">
        <f t="shared" si="145"/>
        <v>937966.95007767319</v>
      </c>
      <c r="W772" s="97">
        <f t="shared" si="146"/>
        <v>967794.29909014329</v>
      </c>
      <c r="X772" s="97">
        <f t="shared" si="147"/>
        <v>1004570.4824555687</v>
      </c>
      <c r="Y772" s="97">
        <f t="shared" si="150"/>
        <v>1020744.0672231034</v>
      </c>
      <c r="Z772" s="97">
        <f t="shared" si="141"/>
        <v>1078109.8838010419</v>
      </c>
      <c r="AA772" s="97">
        <f t="shared" si="142"/>
        <v>1219557.9005557385</v>
      </c>
    </row>
    <row r="773" spans="1:27" x14ac:dyDescent="0.25">
      <c r="A773" s="86" t="s">
        <v>1855</v>
      </c>
      <c r="B773" s="87" t="s">
        <v>1856</v>
      </c>
      <c r="C773" s="88" t="s">
        <v>226</v>
      </c>
      <c r="D773" s="89" t="s">
        <v>262</v>
      </c>
      <c r="E773" s="90">
        <f t="shared" si="149"/>
        <v>72836</v>
      </c>
      <c r="F773" s="90">
        <f t="shared" si="148"/>
        <v>61207.10486406619</v>
      </c>
      <c r="G773" s="91">
        <v>0.19</v>
      </c>
      <c r="H773" s="91" t="s">
        <v>228</v>
      </c>
      <c r="I773" s="91" t="s">
        <v>228</v>
      </c>
      <c r="J773" s="91"/>
      <c r="K773" s="91" t="s">
        <v>228</v>
      </c>
      <c r="L773" s="92" t="s">
        <v>1857</v>
      </c>
      <c r="M773" s="91" t="str">
        <f t="shared" si="151"/>
        <v>VER ARCHIVO ANEXO</v>
      </c>
      <c r="N773" s="93">
        <v>41608</v>
      </c>
      <c r="O773" s="94"/>
      <c r="P773" s="94"/>
      <c r="Q773" s="94">
        <v>630</v>
      </c>
      <c r="R773" s="95">
        <f t="shared" si="140"/>
        <v>61207.10486406619</v>
      </c>
      <c r="S773" s="94">
        <v>40054.224000000002</v>
      </c>
      <c r="T773" s="94">
        <f t="shared" si="143"/>
        <v>42765.894964800005</v>
      </c>
      <c r="U773" s="94">
        <f t="shared" si="144"/>
        <v>45224.933925276011</v>
      </c>
      <c r="V773" s="94">
        <f t="shared" si="145"/>
        <v>47074.633722819795</v>
      </c>
      <c r="W773" s="97">
        <f t="shared" si="146"/>
        <v>48571.607075205466</v>
      </c>
      <c r="X773" s="97">
        <f t="shared" si="147"/>
        <v>50417.328144063278</v>
      </c>
      <c r="Y773" s="97">
        <f t="shared" si="150"/>
        <v>51229.047127182697</v>
      </c>
      <c r="Z773" s="97">
        <f t="shared" si="141"/>
        <v>54108.119575730365</v>
      </c>
      <c r="AA773" s="97">
        <f t="shared" si="142"/>
        <v>61207.10486406619</v>
      </c>
    </row>
    <row r="774" spans="1:27" x14ac:dyDescent="0.25">
      <c r="A774" s="102" t="s">
        <v>1858</v>
      </c>
      <c r="B774" s="110" t="s">
        <v>1859</v>
      </c>
      <c r="C774" s="88" t="s">
        <v>226</v>
      </c>
      <c r="D774" s="89" t="s">
        <v>262</v>
      </c>
      <c r="E774" s="90">
        <f t="shared" si="149"/>
        <v>5983</v>
      </c>
      <c r="F774" s="90">
        <f t="shared" si="148"/>
        <v>5027.7264709768642</v>
      </c>
      <c r="G774" s="91">
        <v>0.19</v>
      </c>
      <c r="H774" s="91" t="s">
        <v>228</v>
      </c>
      <c r="I774" s="91" t="s">
        <v>228</v>
      </c>
      <c r="J774" s="91"/>
      <c r="K774" s="91" t="s">
        <v>228</v>
      </c>
      <c r="L774" s="92" t="s">
        <v>1860</v>
      </c>
      <c r="M774" s="91" t="str">
        <f t="shared" si="151"/>
        <v>VER ARCHIVO ANEXO</v>
      </c>
      <c r="N774" s="93">
        <v>41608</v>
      </c>
      <c r="O774" s="94"/>
      <c r="P774" s="94"/>
      <c r="Q774" s="94">
        <v>631</v>
      </c>
      <c r="R774" s="95">
        <f t="shared" si="140"/>
        <v>5027.7264709768642</v>
      </c>
      <c r="S774" s="94">
        <v>3290.1684</v>
      </c>
      <c r="T774" s="94">
        <f t="shared" si="143"/>
        <v>3512.9128006800001</v>
      </c>
      <c r="U774" s="94">
        <f t="shared" si="144"/>
        <v>3714.9052867191003</v>
      </c>
      <c r="V774" s="94">
        <f t="shared" si="145"/>
        <v>3866.8449129459113</v>
      </c>
      <c r="W774" s="97">
        <f t="shared" si="146"/>
        <v>3989.8105811775913</v>
      </c>
      <c r="X774" s="97">
        <f t="shared" si="147"/>
        <v>4141.4233832623395</v>
      </c>
      <c r="Y774" s="97">
        <f t="shared" si="150"/>
        <v>4208.1002997328633</v>
      </c>
      <c r="Z774" s="97">
        <f t="shared" si="141"/>
        <v>4444.59553657785</v>
      </c>
      <c r="AA774" s="97">
        <f t="shared" si="142"/>
        <v>5027.7264709768642</v>
      </c>
    </row>
    <row r="775" spans="1:27" x14ac:dyDescent="0.25">
      <c r="A775" s="102" t="s">
        <v>1861</v>
      </c>
      <c r="B775" s="87" t="s">
        <v>1862</v>
      </c>
      <c r="C775" s="88" t="s">
        <v>226</v>
      </c>
      <c r="D775" s="89" t="s">
        <v>262</v>
      </c>
      <c r="E775" s="90">
        <f t="shared" si="149"/>
        <v>5406</v>
      </c>
      <c r="F775" s="90">
        <f t="shared" si="148"/>
        <v>4543.0118206558454</v>
      </c>
      <c r="G775" s="91">
        <v>0.19</v>
      </c>
      <c r="H775" s="91" t="s">
        <v>228</v>
      </c>
      <c r="I775" s="91" t="s">
        <v>228</v>
      </c>
      <c r="J775" s="91"/>
      <c r="K775" s="91" t="s">
        <v>228</v>
      </c>
      <c r="L775" s="92" t="s">
        <v>1860</v>
      </c>
      <c r="M775" s="91" t="str">
        <f t="shared" si="151"/>
        <v>VER ARCHIVO ANEXO</v>
      </c>
      <c r="N775" s="93">
        <v>41608</v>
      </c>
      <c r="O775" s="94"/>
      <c r="P775" s="94"/>
      <c r="Q775" s="94">
        <v>632</v>
      </c>
      <c r="R775" s="95">
        <f t="shared" ref="R775:R838" si="152">+AA775</f>
        <v>4543.0118206558454</v>
      </c>
      <c r="S775" s="94">
        <v>2972.9688000000001</v>
      </c>
      <c r="T775" s="94">
        <f t="shared" si="143"/>
        <v>3174.2387877600004</v>
      </c>
      <c r="U775" s="94">
        <f t="shared" si="144"/>
        <v>3356.7575180562008</v>
      </c>
      <c r="V775" s="94">
        <f t="shared" si="145"/>
        <v>3494.0489005446993</v>
      </c>
      <c r="W775" s="97">
        <f t="shared" si="146"/>
        <v>3605.1596555820211</v>
      </c>
      <c r="X775" s="97">
        <f t="shared" si="147"/>
        <v>3742.155722494138</v>
      </c>
      <c r="Y775" s="97">
        <f t="shared" si="150"/>
        <v>3802.4044296262937</v>
      </c>
      <c r="Z775" s="97">
        <f t="shared" ref="Z775:Z838" si="153">+Y775*(1+$Z$4)</f>
        <v>4016.0995585712917</v>
      </c>
      <c r="AA775" s="97">
        <f t="shared" ref="AA775:AA838" si="154">+Z775*(1+$AA$4)</f>
        <v>4543.0118206558454</v>
      </c>
    </row>
    <row r="776" spans="1:27" x14ac:dyDescent="0.25">
      <c r="A776" s="102" t="s">
        <v>1863</v>
      </c>
      <c r="B776" s="87" t="s">
        <v>1864</v>
      </c>
      <c r="C776" s="88" t="s">
        <v>226</v>
      </c>
      <c r="D776" s="89" t="s">
        <v>262</v>
      </c>
      <c r="E776" s="90">
        <f t="shared" si="149"/>
        <v>9977</v>
      </c>
      <c r="F776" s="90">
        <f t="shared" si="148"/>
        <v>8384.2962227096868</v>
      </c>
      <c r="G776" s="91">
        <v>0.19</v>
      </c>
      <c r="H776" s="91" t="s">
        <v>228</v>
      </c>
      <c r="I776" s="91" t="s">
        <v>228</v>
      </c>
      <c r="J776" s="91"/>
      <c r="K776" s="91" t="s">
        <v>228</v>
      </c>
      <c r="L776" s="92" t="s">
        <v>1860</v>
      </c>
      <c r="M776" s="91" t="str">
        <f t="shared" si="151"/>
        <v>VER ARCHIVO ANEXO</v>
      </c>
      <c r="N776" s="93">
        <v>41608</v>
      </c>
      <c r="O776" s="94"/>
      <c r="P776" s="94"/>
      <c r="Q776" s="94">
        <v>633</v>
      </c>
      <c r="R776" s="95">
        <f t="shared" si="152"/>
        <v>8384.2962227096868</v>
      </c>
      <c r="S776" s="94">
        <v>5486.7237999999998</v>
      </c>
      <c r="T776" s="94">
        <f t="shared" si="143"/>
        <v>5858.1750012600005</v>
      </c>
      <c r="U776" s="94">
        <f t="shared" si="144"/>
        <v>6195.0200638324513</v>
      </c>
      <c r="V776" s="94">
        <f t="shared" si="145"/>
        <v>6448.3963844431983</v>
      </c>
      <c r="W776" s="97">
        <f t="shared" ref="W776:W839" si="155">+V776*(1+$W$4)</f>
        <v>6653.4553894684923</v>
      </c>
      <c r="X776" s="97">
        <f t="shared" ref="X776:X839" si="156">+W776*(1+$X$4)</f>
        <v>6906.2866942682949</v>
      </c>
      <c r="Y776" s="97">
        <f t="shared" si="150"/>
        <v>7017.4779100460146</v>
      </c>
      <c r="Z776" s="97">
        <f t="shared" si="153"/>
        <v>7411.8601685906006</v>
      </c>
      <c r="AA776" s="97">
        <f t="shared" si="154"/>
        <v>8384.2962227096868</v>
      </c>
    </row>
    <row r="777" spans="1:27" x14ac:dyDescent="0.25">
      <c r="A777" s="102" t="s">
        <v>1865</v>
      </c>
      <c r="B777" s="87" t="s">
        <v>1866</v>
      </c>
      <c r="C777" s="88" t="s">
        <v>226</v>
      </c>
      <c r="D777" s="89" t="s">
        <v>262</v>
      </c>
      <c r="E777" s="90">
        <f t="shared" si="149"/>
        <v>9860</v>
      </c>
      <c r="F777" s="90">
        <f t="shared" si="148"/>
        <v>8286.0860648015077</v>
      </c>
      <c r="G777" s="91">
        <v>0.19</v>
      </c>
      <c r="H777" s="91" t="s">
        <v>228</v>
      </c>
      <c r="I777" s="91" t="s">
        <v>228</v>
      </c>
      <c r="J777" s="91"/>
      <c r="K777" s="91" t="s">
        <v>228</v>
      </c>
      <c r="L777" s="92" t="s">
        <v>1860</v>
      </c>
      <c r="M777" s="91" t="str">
        <f t="shared" si="151"/>
        <v>VER ARCHIVO ANEXO</v>
      </c>
      <c r="N777" s="93">
        <v>41608</v>
      </c>
      <c r="O777" s="94"/>
      <c r="P777" s="94"/>
      <c r="Q777" s="94">
        <v>634</v>
      </c>
      <c r="R777" s="95">
        <f t="shared" si="152"/>
        <v>8286.0860648015077</v>
      </c>
      <c r="S777" s="94">
        <v>5422.4546</v>
      </c>
      <c r="T777" s="94">
        <f t="shared" si="143"/>
        <v>5789.554776420001</v>
      </c>
      <c r="U777" s="94">
        <f t="shared" si="144"/>
        <v>6122.4541760641514</v>
      </c>
      <c r="V777" s="94">
        <f t="shared" si="145"/>
        <v>6372.8625518651752</v>
      </c>
      <c r="W777" s="97">
        <f t="shared" si="155"/>
        <v>6575.5195810144878</v>
      </c>
      <c r="X777" s="97">
        <f t="shared" si="156"/>
        <v>6825.3893250930387</v>
      </c>
      <c r="Y777" s="97">
        <f t="shared" si="150"/>
        <v>6935.2780932270371</v>
      </c>
      <c r="Z777" s="97">
        <f t="shared" si="153"/>
        <v>7325.0407220663965</v>
      </c>
      <c r="AA777" s="97">
        <f t="shared" si="154"/>
        <v>8286.0860648015077</v>
      </c>
    </row>
    <row r="778" spans="1:27" x14ac:dyDescent="0.25">
      <c r="A778" s="102" t="s">
        <v>1867</v>
      </c>
      <c r="B778" s="87" t="s">
        <v>1868</v>
      </c>
      <c r="C778" s="88" t="s">
        <v>226</v>
      </c>
      <c r="D778" s="89" t="s">
        <v>262</v>
      </c>
      <c r="E778" s="90">
        <f t="shared" si="149"/>
        <v>9363</v>
      </c>
      <c r="F778" s="90">
        <f t="shared" si="148"/>
        <v>7867.9008762892536</v>
      </c>
      <c r="G778" s="91">
        <v>0.19</v>
      </c>
      <c r="H778" s="91" t="s">
        <v>228</v>
      </c>
      <c r="I778" s="91" t="s">
        <v>228</v>
      </c>
      <c r="J778" s="91"/>
      <c r="K778" s="91" t="s">
        <v>228</v>
      </c>
      <c r="L778" s="92" t="s">
        <v>1860</v>
      </c>
      <c r="M778" s="91" t="str">
        <f t="shared" si="151"/>
        <v>VER ARCHIVO ANEXO</v>
      </c>
      <c r="N778" s="93">
        <v>41608</v>
      </c>
      <c r="O778" s="94"/>
      <c r="P778" s="94"/>
      <c r="Q778" s="94">
        <v>635</v>
      </c>
      <c r="R778" s="95">
        <f t="shared" si="152"/>
        <v>7867.9008762892536</v>
      </c>
      <c r="S778" s="94">
        <v>5148.7921999999999</v>
      </c>
      <c r="T778" s="94">
        <f t="shared" si="143"/>
        <v>5497.3654319400002</v>
      </c>
      <c r="U778" s="94">
        <f t="shared" si="144"/>
        <v>5813.463944276551</v>
      </c>
      <c r="V778" s="94">
        <f t="shared" si="145"/>
        <v>6051.2346195974615</v>
      </c>
      <c r="W778" s="97">
        <f t="shared" si="155"/>
        <v>6243.6638805006614</v>
      </c>
      <c r="X778" s="97">
        <f t="shared" si="156"/>
        <v>6480.9231079596866</v>
      </c>
      <c r="Y778" s="97">
        <f t="shared" si="150"/>
        <v>6585.2659699978376</v>
      </c>
      <c r="Z778" s="97">
        <f t="shared" si="153"/>
        <v>6955.3579175117166</v>
      </c>
      <c r="AA778" s="97">
        <f t="shared" si="154"/>
        <v>7867.9008762892536</v>
      </c>
    </row>
    <row r="779" spans="1:27" x14ac:dyDescent="0.25">
      <c r="A779" s="102" t="s">
        <v>1869</v>
      </c>
      <c r="B779" s="87" t="s">
        <v>1870</v>
      </c>
      <c r="C779" s="88" t="s">
        <v>226</v>
      </c>
      <c r="D779" s="89" t="s">
        <v>262</v>
      </c>
      <c r="E779" s="90">
        <f t="shared" si="149"/>
        <v>24073</v>
      </c>
      <c r="F779" s="90">
        <f t="shared" si="148"/>
        <v>20229.708494280261</v>
      </c>
      <c r="G779" s="91">
        <v>0.19</v>
      </c>
      <c r="H779" s="91" t="s">
        <v>228</v>
      </c>
      <c r="I779" s="91" t="s">
        <v>228</v>
      </c>
      <c r="J779" s="91"/>
      <c r="K779" s="91" t="s">
        <v>228</v>
      </c>
      <c r="L779" s="92" t="s">
        <v>1860</v>
      </c>
      <c r="M779" s="91" t="str">
        <f t="shared" si="151"/>
        <v>VER ARCHIVO ANEXO</v>
      </c>
      <c r="N779" s="93">
        <v>41608</v>
      </c>
      <c r="O779" s="94"/>
      <c r="P779" s="94"/>
      <c r="Q779" s="94">
        <v>636</v>
      </c>
      <c r="R779" s="95">
        <f t="shared" si="152"/>
        <v>20229.708494280261</v>
      </c>
      <c r="S779" s="94">
        <v>13238.418599999999</v>
      </c>
      <c r="T779" s="94">
        <f t="shared" ref="T779:T841" si="157">+S779*1.0677</f>
        <v>14134.65953922</v>
      </c>
      <c r="U779" s="94">
        <f t="shared" ref="U779:U842" si="158">+T779*(1+$U$4)</f>
        <v>14947.402462725151</v>
      </c>
      <c r="V779" s="94">
        <f t="shared" ref="V779:V842" si="159">+U779*(1+$V$4)</f>
        <v>15558.751223450608</v>
      </c>
      <c r="W779" s="97">
        <f t="shared" si="155"/>
        <v>16053.519512356339</v>
      </c>
      <c r="X779" s="97">
        <f t="shared" si="156"/>
        <v>16663.553253825881</v>
      </c>
      <c r="Y779" s="97">
        <f t="shared" si="150"/>
        <v>16931.836461212479</v>
      </c>
      <c r="Z779" s="97">
        <f t="shared" si="153"/>
        <v>17883.405670332621</v>
      </c>
      <c r="AA779" s="97">
        <f t="shared" si="154"/>
        <v>20229.708494280261</v>
      </c>
    </row>
    <row r="780" spans="1:27" x14ac:dyDescent="0.25">
      <c r="A780" s="102" t="s">
        <v>1871</v>
      </c>
      <c r="B780" s="87" t="s">
        <v>1872</v>
      </c>
      <c r="C780" s="88" t="s">
        <v>226</v>
      </c>
      <c r="D780" s="89" t="s">
        <v>262</v>
      </c>
      <c r="E780" s="90">
        <f t="shared" si="149"/>
        <v>23515</v>
      </c>
      <c r="F780" s="90">
        <f t="shared" ref="F780:F843" si="160">R780</f>
        <v>19760.834192008944</v>
      </c>
      <c r="G780" s="91">
        <v>0.19</v>
      </c>
      <c r="H780" s="91" t="s">
        <v>228</v>
      </c>
      <c r="I780" s="91" t="s">
        <v>228</v>
      </c>
      <c r="J780" s="91"/>
      <c r="K780" s="91" t="s">
        <v>228</v>
      </c>
      <c r="L780" s="92" t="s">
        <v>1860</v>
      </c>
      <c r="M780" s="91" t="str">
        <f t="shared" si="151"/>
        <v>VER ARCHIVO ANEXO</v>
      </c>
      <c r="N780" s="93">
        <v>41608</v>
      </c>
      <c r="O780" s="94"/>
      <c r="P780" s="94"/>
      <c r="Q780" s="94">
        <v>637</v>
      </c>
      <c r="R780" s="95">
        <f t="shared" si="152"/>
        <v>19760.834192008944</v>
      </c>
      <c r="S780" s="94">
        <v>12931.584999999999</v>
      </c>
      <c r="T780" s="94">
        <f t="shared" si="157"/>
        <v>13807.053304500001</v>
      </c>
      <c r="U780" s="94">
        <f t="shared" si="158"/>
        <v>14600.958869508753</v>
      </c>
      <c r="V780" s="94">
        <f t="shared" si="159"/>
        <v>15198.13808727166</v>
      </c>
      <c r="W780" s="97">
        <f t="shared" si="155"/>
        <v>15681.438878446899</v>
      </c>
      <c r="X780" s="97">
        <f t="shared" si="156"/>
        <v>16277.333555827881</v>
      </c>
      <c r="Y780" s="97">
        <f t="shared" si="150"/>
        <v>16539.398626076709</v>
      </c>
      <c r="Z780" s="97">
        <f t="shared" si="153"/>
        <v>17468.91282886222</v>
      </c>
      <c r="AA780" s="97">
        <f t="shared" si="154"/>
        <v>19760.834192008944</v>
      </c>
    </row>
    <row r="781" spans="1:27" x14ac:dyDescent="0.25">
      <c r="A781" s="102" t="s">
        <v>1873</v>
      </c>
      <c r="B781" s="87" t="s">
        <v>1874</v>
      </c>
      <c r="C781" s="88" t="s">
        <v>226</v>
      </c>
      <c r="D781" s="89" t="s">
        <v>262</v>
      </c>
      <c r="E781" s="90">
        <f t="shared" ref="E781:E844" si="161">+ROUND(F781*(1+G781),0)</f>
        <v>351724</v>
      </c>
      <c r="F781" s="90">
        <f t="shared" si="160"/>
        <v>295566.63829427981</v>
      </c>
      <c r="G781" s="91">
        <v>0.19</v>
      </c>
      <c r="H781" s="91" t="s">
        <v>228</v>
      </c>
      <c r="I781" s="91" t="s">
        <v>228</v>
      </c>
      <c r="J781" s="91"/>
      <c r="K781" s="91" t="s">
        <v>228</v>
      </c>
      <c r="L781" s="92" t="s">
        <v>1860</v>
      </c>
      <c r="M781" s="91" t="str">
        <f t="shared" si="151"/>
        <v>VER ARCHIVO ANEXO</v>
      </c>
      <c r="N781" s="93">
        <v>41608</v>
      </c>
      <c r="O781" s="94"/>
      <c r="P781" s="94"/>
      <c r="Q781" s="94">
        <v>638</v>
      </c>
      <c r="R781" s="95">
        <f t="shared" si="152"/>
        <v>295566.63829427981</v>
      </c>
      <c r="S781" s="94">
        <v>193420.23059999998</v>
      </c>
      <c r="T781" s="94">
        <f t="shared" si="157"/>
        <v>206514.78021162</v>
      </c>
      <c r="U781" s="94">
        <f t="shared" si="158"/>
        <v>218389.38007378817</v>
      </c>
      <c r="V781" s="94">
        <f t="shared" si="159"/>
        <v>227321.50571880609</v>
      </c>
      <c r="W781" s="97">
        <f t="shared" si="155"/>
        <v>234550.32960066415</v>
      </c>
      <c r="X781" s="97">
        <f t="shared" si="156"/>
        <v>243463.2421254894</v>
      </c>
      <c r="Y781" s="97">
        <f t="shared" si="150"/>
        <v>247383.00032370977</v>
      </c>
      <c r="Z781" s="97">
        <f t="shared" si="153"/>
        <v>261285.92494190225</v>
      </c>
      <c r="AA781" s="97">
        <f t="shared" si="154"/>
        <v>295566.63829427981</v>
      </c>
    </row>
    <row r="782" spans="1:27" x14ac:dyDescent="0.25">
      <c r="A782" s="102" t="s">
        <v>1875</v>
      </c>
      <c r="B782" s="87" t="s">
        <v>1876</v>
      </c>
      <c r="C782" s="88" t="s">
        <v>226</v>
      </c>
      <c r="D782" s="89" t="s">
        <v>262</v>
      </c>
      <c r="E782" s="90">
        <f t="shared" si="161"/>
        <v>1688665</v>
      </c>
      <c r="F782" s="90">
        <f t="shared" si="160"/>
        <v>1419046.4917893279</v>
      </c>
      <c r="G782" s="91">
        <v>0.19</v>
      </c>
      <c r="H782" s="91" t="s">
        <v>228</v>
      </c>
      <c r="I782" s="91" t="s">
        <v>228</v>
      </c>
      <c r="J782" s="91"/>
      <c r="K782" s="91" t="s">
        <v>228</v>
      </c>
      <c r="L782" s="92" t="s">
        <v>1860</v>
      </c>
      <c r="M782" s="91" t="str">
        <f t="shared" si="151"/>
        <v>VER ARCHIVO ANEXO</v>
      </c>
      <c r="N782" s="93">
        <v>41608</v>
      </c>
      <c r="O782" s="94"/>
      <c r="P782" s="94"/>
      <c r="Q782" s="94">
        <v>639</v>
      </c>
      <c r="R782" s="95">
        <f t="shared" si="152"/>
        <v>1419046.4917893279</v>
      </c>
      <c r="S782" s="94">
        <v>928630.85379999992</v>
      </c>
      <c r="T782" s="94">
        <f t="shared" si="157"/>
        <v>991499.16260226001</v>
      </c>
      <c r="U782" s="94">
        <f t="shared" si="158"/>
        <v>1048510.3644518901</v>
      </c>
      <c r="V782" s="94">
        <f t="shared" si="159"/>
        <v>1091394.4383579723</v>
      </c>
      <c r="W782" s="97">
        <f t="shared" si="155"/>
        <v>1126100.7814977558</v>
      </c>
      <c r="X782" s="97">
        <f t="shared" si="156"/>
        <v>1168892.6111946704</v>
      </c>
      <c r="Y782" s="97">
        <f t="shared" si="150"/>
        <v>1187711.7822349046</v>
      </c>
      <c r="Z782" s="97">
        <f t="shared" si="153"/>
        <v>1254461.1843965063</v>
      </c>
      <c r="AA782" s="97">
        <f t="shared" si="154"/>
        <v>1419046.4917893279</v>
      </c>
    </row>
    <row r="783" spans="1:27" x14ac:dyDescent="0.25">
      <c r="A783" s="102" t="s">
        <v>1877</v>
      </c>
      <c r="B783" s="87" t="s">
        <v>1878</v>
      </c>
      <c r="C783" s="88" t="s">
        <v>226</v>
      </c>
      <c r="D783" s="89" t="s">
        <v>255</v>
      </c>
      <c r="E783" s="90">
        <f t="shared" si="161"/>
        <v>12409</v>
      </c>
      <c r="F783" s="90">
        <f t="shared" si="160"/>
        <v>10427.701121121836</v>
      </c>
      <c r="G783" s="91">
        <v>0.19</v>
      </c>
      <c r="H783" s="91" t="s">
        <v>228</v>
      </c>
      <c r="I783" s="91" t="s">
        <v>228</v>
      </c>
      <c r="J783" s="91"/>
      <c r="K783" s="91" t="s">
        <v>228</v>
      </c>
      <c r="L783" s="92" t="s">
        <v>1879</v>
      </c>
      <c r="M783" s="91" t="str">
        <f t="shared" si="151"/>
        <v>VER ARCHIVO ANEXO</v>
      </c>
      <c r="N783" s="93">
        <v>41608</v>
      </c>
      <c r="O783" s="94"/>
      <c r="P783" s="94"/>
      <c r="Q783" s="94">
        <v>640</v>
      </c>
      <c r="R783" s="95">
        <f t="shared" si="152"/>
        <v>10427.701121121836</v>
      </c>
      <c r="S783" s="94">
        <v>6823.9377999999997</v>
      </c>
      <c r="T783" s="94">
        <f t="shared" si="157"/>
        <v>7285.9183890600007</v>
      </c>
      <c r="U783" s="94">
        <f t="shared" si="158"/>
        <v>7704.8586964309516</v>
      </c>
      <c r="V783" s="94">
        <f t="shared" si="159"/>
        <v>8019.9874171149768</v>
      </c>
      <c r="W783" s="97">
        <f t="shared" si="155"/>
        <v>8275.0230169792339</v>
      </c>
      <c r="X783" s="97">
        <f t="shared" si="156"/>
        <v>8589.473891624446</v>
      </c>
      <c r="Y783" s="97">
        <f t="shared" si="150"/>
        <v>8727.7644212796004</v>
      </c>
      <c r="Z783" s="97">
        <f t="shared" si="153"/>
        <v>9218.2647817555135</v>
      </c>
      <c r="AA783" s="97">
        <f t="shared" si="154"/>
        <v>10427.701121121836</v>
      </c>
    </row>
    <row r="784" spans="1:27" x14ac:dyDescent="0.25">
      <c r="A784" s="102" t="s">
        <v>1880</v>
      </c>
      <c r="B784" s="98" t="s">
        <v>1881</v>
      </c>
      <c r="C784" s="99" t="s">
        <v>226</v>
      </c>
      <c r="D784" s="100" t="s">
        <v>255</v>
      </c>
      <c r="E784" s="101">
        <f t="shared" si="161"/>
        <v>5655</v>
      </c>
      <c r="F784" s="90">
        <f t="shared" si="160"/>
        <v>4752.1044149119698</v>
      </c>
      <c r="G784" s="91">
        <v>0.19</v>
      </c>
      <c r="H784" s="91" t="s">
        <v>228</v>
      </c>
      <c r="I784" s="91" t="s">
        <v>228</v>
      </c>
      <c r="J784" s="91"/>
      <c r="K784" s="91" t="s">
        <v>228</v>
      </c>
      <c r="L784" s="92" t="s">
        <v>1879</v>
      </c>
      <c r="M784" s="91" t="str">
        <f t="shared" si="151"/>
        <v>VER ARCHIVO ANEXO</v>
      </c>
      <c r="N784" s="93">
        <v>41608</v>
      </c>
      <c r="O784" s="94"/>
      <c r="P784" s="94"/>
      <c r="Q784" s="94">
        <v>641</v>
      </c>
      <c r="R784" s="95">
        <f t="shared" si="152"/>
        <v>4752.1044149119698</v>
      </c>
      <c r="S784" s="94">
        <v>3109.7999999999997</v>
      </c>
      <c r="T784" s="94">
        <f t="shared" si="157"/>
        <v>3320.3334599999998</v>
      </c>
      <c r="U784" s="94">
        <f t="shared" si="158"/>
        <v>3511.25263395</v>
      </c>
      <c r="V784" s="94">
        <f t="shared" si="159"/>
        <v>3654.8628666785548</v>
      </c>
      <c r="W784" s="97">
        <f t="shared" si="155"/>
        <v>3771.0875058389329</v>
      </c>
      <c r="X784" s="97">
        <f t="shared" si="156"/>
        <v>3914.3888310608127</v>
      </c>
      <c r="Y784" s="97">
        <f t="shared" si="150"/>
        <v>3977.4104912408916</v>
      </c>
      <c r="Z784" s="97">
        <f t="shared" si="153"/>
        <v>4200.9409608486294</v>
      </c>
      <c r="AA784" s="97">
        <f t="shared" si="154"/>
        <v>4752.1044149119698</v>
      </c>
    </row>
    <row r="785" spans="1:27" x14ac:dyDescent="0.25">
      <c r="A785" s="86" t="s">
        <v>1882</v>
      </c>
      <c r="B785" s="87" t="s">
        <v>1883</v>
      </c>
      <c r="C785" s="88" t="s">
        <v>226</v>
      </c>
      <c r="D785" s="89" t="s">
        <v>262</v>
      </c>
      <c r="E785" s="90">
        <f t="shared" si="161"/>
        <v>93504</v>
      </c>
      <c r="F785" s="90">
        <f t="shared" si="160"/>
        <v>78575.111623008008</v>
      </c>
      <c r="G785" s="91">
        <v>0.19</v>
      </c>
      <c r="H785" s="91" t="s">
        <v>228</v>
      </c>
      <c r="I785" s="91" t="s">
        <v>228</v>
      </c>
      <c r="J785" s="91"/>
      <c r="K785" s="91" t="s">
        <v>228</v>
      </c>
      <c r="L785" s="92" t="s">
        <v>1442</v>
      </c>
      <c r="M785" s="91" t="str">
        <f t="shared" si="151"/>
        <v>VER ARCHIVO ANEXO</v>
      </c>
      <c r="N785" s="93">
        <v>41608</v>
      </c>
      <c r="O785" s="94"/>
      <c r="P785" s="94"/>
      <c r="Q785" s="94">
        <v>642</v>
      </c>
      <c r="R785" s="95">
        <f t="shared" si="152"/>
        <v>78575.111623008008</v>
      </c>
      <c r="S785" s="94">
        <v>41992.665999999997</v>
      </c>
      <c r="T785" s="94">
        <f t="shared" si="157"/>
        <v>44835.569488200003</v>
      </c>
      <c r="U785" s="94">
        <f t="shared" si="158"/>
        <v>47413.614733771508</v>
      </c>
      <c r="V785" s="94">
        <f t="shared" si="159"/>
        <v>49352.831576382763</v>
      </c>
      <c r="W785" s="97">
        <f t="shared" si="155"/>
        <v>50922.251620511735</v>
      </c>
      <c r="X785" s="97">
        <f t="shared" si="156"/>
        <v>52857.297182091184</v>
      </c>
      <c r="Y785" s="97">
        <v>65765.7</v>
      </c>
      <c r="Z785" s="97">
        <f t="shared" si="153"/>
        <v>69461.732340000002</v>
      </c>
      <c r="AA785" s="97">
        <f t="shared" si="154"/>
        <v>78575.111623008008</v>
      </c>
    </row>
    <row r="786" spans="1:27" x14ac:dyDescent="0.25">
      <c r="A786" s="86" t="s">
        <v>1884</v>
      </c>
      <c r="B786" s="87" t="s">
        <v>1885</v>
      </c>
      <c r="C786" s="88" t="s">
        <v>226</v>
      </c>
      <c r="D786" s="89" t="s">
        <v>262</v>
      </c>
      <c r="E786" s="90">
        <f t="shared" si="161"/>
        <v>114526</v>
      </c>
      <c r="F786" s="90">
        <f t="shared" si="160"/>
        <v>96240.075888096006</v>
      </c>
      <c r="G786" s="91">
        <v>0.19</v>
      </c>
      <c r="H786" s="91" t="s">
        <v>228</v>
      </c>
      <c r="I786" s="91" t="s">
        <v>228</v>
      </c>
      <c r="J786" s="91"/>
      <c r="K786" s="91" t="s">
        <v>228</v>
      </c>
      <c r="L786" s="92" t="s">
        <v>1442</v>
      </c>
      <c r="M786" s="91" t="str">
        <f t="shared" si="151"/>
        <v>VER ARCHIVO ANEXO</v>
      </c>
      <c r="N786" s="93">
        <v>41608</v>
      </c>
      <c r="O786" s="94"/>
      <c r="P786" s="94"/>
      <c r="Q786" s="94">
        <v>643</v>
      </c>
      <c r="R786" s="95">
        <f t="shared" si="152"/>
        <v>96240.075888096006</v>
      </c>
      <c r="S786" s="94">
        <v>51434.018799999998</v>
      </c>
      <c r="T786" s="94">
        <f t="shared" si="157"/>
        <v>54916.101872760002</v>
      </c>
      <c r="U786" s="94">
        <f t="shared" si="158"/>
        <v>58073.777730443711</v>
      </c>
      <c r="V786" s="94">
        <f t="shared" si="159"/>
        <v>60448.995239618853</v>
      </c>
      <c r="W786" s="97">
        <f t="shared" si="155"/>
        <v>62371.273288238735</v>
      </c>
      <c r="X786" s="97">
        <f t="shared" si="156"/>
        <v>64741.381673191812</v>
      </c>
      <c r="Y786" s="97">
        <v>80550.900000000009</v>
      </c>
      <c r="Z786" s="97">
        <f t="shared" si="153"/>
        <v>85077.860580000008</v>
      </c>
      <c r="AA786" s="97">
        <f t="shared" si="154"/>
        <v>96240.075888096006</v>
      </c>
    </row>
    <row r="787" spans="1:27" x14ac:dyDescent="0.25">
      <c r="A787" s="86" t="s">
        <v>1886</v>
      </c>
      <c r="B787" s="87" t="s">
        <v>1887</v>
      </c>
      <c r="C787" s="88" t="s">
        <v>226</v>
      </c>
      <c r="D787" s="89" t="s">
        <v>262</v>
      </c>
      <c r="E787" s="90">
        <f t="shared" si="161"/>
        <v>196932</v>
      </c>
      <c r="F787" s="90">
        <f t="shared" si="160"/>
        <v>165489.14447049599</v>
      </c>
      <c r="G787" s="91">
        <v>0.19</v>
      </c>
      <c r="H787" s="91" t="s">
        <v>228</v>
      </c>
      <c r="I787" s="91" t="s">
        <v>228</v>
      </c>
      <c r="J787" s="91"/>
      <c r="K787" s="91" t="s">
        <v>228</v>
      </c>
      <c r="L787" s="92" t="s">
        <v>1442</v>
      </c>
      <c r="M787" s="91" t="str">
        <f t="shared" si="151"/>
        <v>VER ARCHIVO ANEXO</v>
      </c>
      <c r="N787" s="93">
        <v>41608</v>
      </c>
      <c r="O787" s="94"/>
      <c r="P787" s="94"/>
      <c r="Q787" s="94">
        <v>644</v>
      </c>
      <c r="R787" s="95">
        <f t="shared" si="152"/>
        <v>165489.14447049599</v>
      </c>
      <c r="S787" s="94">
        <v>88442.712</v>
      </c>
      <c r="T787" s="94">
        <f t="shared" si="157"/>
        <v>94430.283602400013</v>
      </c>
      <c r="U787" s="94">
        <f t="shared" si="158"/>
        <v>99860.024909538028</v>
      </c>
      <c r="V787" s="94">
        <f t="shared" si="159"/>
        <v>103944.29992833812</v>
      </c>
      <c r="W787" s="97">
        <f t="shared" si="155"/>
        <v>107249.72866605928</v>
      </c>
      <c r="X787" s="97">
        <f t="shared" si="156"/>
        <v>111325.21835536954</v>
      </c>
      <c r="Y787" s="97">
        <v>138510.9</v>
      </c>
      <c r="Z787" s="97">
        <f t="shared" si="153"/>
        <v>146295.21257999999</v>
      </c>
      <c r="AA787" s="97">
        <f t="shared" si="154"/>
        <v>165489.14447049599</v>
      </c>
    </row>
    <row r="788" spans="1:27" x14ac:dyDescent="0.25">
      <c r="A788" s="86" t="s">
        <v>1888</v>
      </c>
      <c r="B788" s="87" t="s">
        <v>1889</v>
      </c>
      <c r="C788" s="88" t="s">
        <v>226</v>
      </c>
      <c r="D788" s="89" t="s">
        <v>262</v>
      </c>
      <c r="E788" s="90">
        <f t="shared" si="161"/>
        <v>278331</v>
      </c>
      <c r="F788" s="90">
        <f t="shared" si="160"/>
        <v>233891.95502534401</v>
      </c>
      <c r="G788" s="91">
        <v>0.19</v>
      </c>
      <c r="H788" s="91" t="s">
        <v>228</v>
      </c>
      <c r="I788" s="91" t="s">
        <v>228</v>
      </c>
      <c r="J788" s="91"/>
      <c r="K788" s="91" t="s">
        <v>228</v>
      </c>
      <c r="L788" s="92" t="s">
        <v>1442</v>
      </c>
      <c r="M788" s="91" t="str">
        <f t="shared" si="151"/>
        <v>VER ARCHIVO ANEXO</v>
      </c>
      <c r="N788" s="93">
        <v>41608</v>
      </c>
      <c r="O788" s="94"/>
      <c r="P788" s="94"/>
      <c r="Q788" s="94">
        <v>645</v>
      </c>
      <c r="R788" s="95">
        <f t="shared" si="152"/>
        <v>233891.95502534401</v>
      </c>
      <c r="S788" s="94">
        <v>343654.66859999998</v>
      </c>
      <c r="T788" s="94">
        <f t="shared" si="157"/>
        <v>366920.08966422</v>
      </c>
      <c r="U788" s="94">
        <f t="shared" si="158"/>
        <v>388017.99481991271</v>
      </c>
      <c r="V788" s="94">
        <f t="shared" si="159"/>
        <v>403887.93080804712</v>
      </c>
      <c r="W788" s="97">
        <f t="shared" si="155"/>
        <v>416731.56700774306</v>
      </c>
      <c r="X788" s="97">
        <f t="shared" si="156"/>
        <v>432567.36655403732</v>
      </c>
      <c r="Y788" s="97">
        <v>195762.6</v>
      </c>
      <c r="Z788" s="97">
        <f t="shared" si="153"/>
        <v>206764.45812000002</v>
      </c>
      <c r="AA788" s="97">
        <f t="shared" si="154"/>
        <v>233891.95502534401</v>
      </c>
    </row>
    <row r="789" spans="1:27" x14ac:dyDescent="0.25">
      <c r="A789" s="102" t="s">
        <v>1890</v>
      </c>
      <c r="B789" s="87" t="s">
        <v>1891</v>
      </c>
      <c r="C789" s="88" t="s">
        <v>226</v>
      </c>
      <c r="D789" s="89" t="s">
        <v>262</v>
      </c>
      <c r="E789" s="90">
        <f t="shared" si="161"/>
        <v>132664</v>
      </c>
      <c r="F789" s="90">
        <f t="shared" si="160"/>
        <v>111482.39804889601</v>
      </c>
      <c r="G789" s="91">
        <v>0.19</v>
      </c>
      <c r="H789" s="91" t="s">
        <v>228</v>
      </c>
      <c r="I789" s="91" t="s">
        <v>228</v>
      </c>
      <c r="J789" s="91"/>
      <c r="K789" s="91" t="s">
        <v>228</v>
      </c>
      <c r="L789" s="92" t="s">
        <v>1442</v>
      </c>
      <c r="M789" s="91" t="str">
        <f t="shared" si="151"/>
        <v>VER ARCHIVO ANEXO</v>
      </c>
      <c r="N789" s="93">
        <v>41608</v>
      </c>
      <c r="O789" s="94"/>
      <c r="P789" s="94"/>
      <c r="Q789" s="94">
        <v>646</v>
      </c>
      <c r="R789" s="95">
        <f t="shared" si="152"/>
        <v>111482.39804889601</v>
      </c>
      <c r="S789" s="94">
        <v>66337.217000000004</v>
      </c>
      <c r="T789" s="94">
        <f t="shared" si="157"/>
        <v>70828.246590900017</v>
      </c>
      <c r="U789" s="94">
        <f t="shared" si="158"/>
        <v>74900.870769876768</v>
      </c>
      <c r="V789" s="94">
        <f t="shared" si="159"/>
        <v>77964.31638436472</v>
      </c>
      <c r="W789" s="97">
        <f t="shared" si="155"/>
        <v>80443.581645387516</v>
      </c>
      <c r="X789" s="97">
        <f t="shared" si="156"/>
        <v>83500.437747912249</v>
      </c>
      <c r="Y789" s="97">
        <v>93308.400000000009</v>
      </c>
      <c r="Z789" s="97">
        <f t="shared" si="153"/>
        <v>98552.332080000007</v>
      </c>
      <c r="AA789" s="97">
        <f t="shared" si="154"/>
        <v>111482.39804889601</v>
      </c>
    </row>
    <row r="790" spans="1:27" x14ac:dyDescent="0.25">
      <c r="A790" s="102" t="s">
        <v>1892</v>
      </c>
      <c r="B790" s="98" t="s">
        <v>1893</v>
      </c>
      <c r="C790" s="99" t="s">
        <v>226</v>
      </c>
      <c r="D790" s="100" t="s">
        <v>262</v>
      </c>
      <c r="E790" s="101">
        <f t="shared" si="161"/>
        <v>123730</v>
      </c>
      <c r="F790" s="90">
        <f t="shared" si="160"/>
        <v>103974.68070662401</v>
      </c>
      <c r="G790" s="91">
        <v>0.19</v>
      </c>
      <c r="H790" s="91" t="s">
        <v>228</v>
      </c>
      <c r="I790" s="91" t="s">
        <v>228</v>
      </c>
      <c r="J790" s="91"/>
      <c r="K790" s="91" t="s">
        <v>228</v>
      </c>
      <c r="L790" s="92" t="s">
        <v>1442</v>
      </c>
      <c r="M790" s="91" t="str">
        <f t="shared" si="151"/>
        <v>VER ARCHIVO ANEXO</v>
      </c>
      <c r="N790" s="93">
        <v>41608</v>
      </c>
      <c r="O790" s="94"/>
      <c r="P790" s="94"/>
      <c r="Q790" s="94">
        <v>647</v>
      </c>
      <c r="R790" s="95">
        <f t="shared" si="152"/>
        <v>103974.68070662401</v>
      </c>
      <c r="S790" s="94">
        <v>61868.434399999998</v>
      </c>
      <c r="T790" s="94">
        <f t="shared" si="157"/>
        <v>66056.927408880001</v>
      </c>
      <c r="U790" s="94">
        <f t="shared" si="158"/>
        <v>69855.200734890605</v>
      </c>
      <c r="V790" s="94">
        <f t="shared" si="159"/>
        <v>72712.278444947631</v>
      </c>
      <c r="W790" s="97">
        <f t="shared" si="155"/>
        <v>75024.528899496974</v>
      </c>
      <c r="X790" s="97">
        <f t="shared" si="156"/>
        <v>77875.460997677859</v>
      </c>
      <c r="Y790" s="97">
        <v>87024.6</v>
      </c>
      <c r="Z790" s="97">
        <f t="shared" si="153"/>
        <v>91915.382520000014</v>
      </c>
      <c r="AA790" s="97">
        <f t="shared" si="154"/>
        <v>103974.68070662401</v>
      </c>
    </row>
    <row r="791" spans="1:27" x14ac:dyDescent="0.25">
      <c r="A791" s="102" t="s">
        <v>1894</v>
      </c>
      <c r="B791" s="110" t="s">
        <v>1895</v>
      </c>
      <c r="C791" s="128" t="s">
        <v>226</v>
      </c>
      <c r="D791" s="89" t="s">
        <v>262</v>
      </c>
      <c r="E791" s="90">
        <f t="shared" si="161"/>
        <v>691839</v>
      </c>
      <c r="F791" s="90">
        <f t="shared" si="160"/>
        <v>581377.20622474537</v>
      </c>
      <c r="G791" s="91">
        <v>0.19</v>
      </c>
      <c r="H791" s="91" t="s">
        <v>228</v>
      </c>
      <c r="I791" s="91" t="s">
        <v>228</v>
      </c>
      <c r="J791" s="91"/>
      <c r="K791" s="91" t="s">
        <v>228</v>
      </c>
      <c r="L791" s="92" t="s">
        <v>1896</v>
      </c>
      <c r="M791" s="91" t="str">
        <f t="shared" si="151"/>
        <v>VER ARCHIVO ANEXO</v>
      </c>
      <c r="N791" s="93">
        <v>41608</v>
      </c>
      <c r="O791" s="94"/>
      <c r="P791" s="94"/>
      <c r="Q791" s="94">
        <v>648</v>
      </c>
      <c r="R791" s="95">
        <f t="shared" si="152"/>
        <v>581377.20622474537</v>
      </c>
      <c r="S791" s="94">
        <v>380456.04180000001</v>
      </c>
      <c r="T791" s="94">
        <f t="shared" si="157"/>
        <v>406212.91582986002</v>
      </c>
      <c r="U791" s="94">
        <f t="shared" si="158"/>
        <v>429570.15849007701</v>
      </c>
      <c r="V791" s="94">
        <f t="shared" si="159"/>
        <v>447139.57797232113</v>
      </c>
      <c r="W791" s="97">
        <f t="shared" si="155"/>
        <v>461358.61655184097</v>
      </c>
      <c r="X791" s="97">
        <f t="shared" si="156"/>
        <v>478890.24398081092</v>
      </c>
      <c r="Y791" s="97">
        <f t="shared" ref="Y791:Y838" si="162">+X791*(1+$Y$4)</f>
        <v>486600.37690890196</v>
      </c>
      <c r="Z791" s="97">
        <f t="shared" si="153"/>
        <v>513947.31809118227</v>
      </c>
      <c r="AA791" s="97">
        <f t="shared" si="154"/>
        <v>581377.20622474537</v>
      </c>
    </row>
    <row r="792" spans="1:27" x14ac:dyDescent="0.25">
      <c r="A792" s="102" t="s">
        <v>1897</v>
      </c>
      <c r="B792" s="110" t="s">
        <v>1898</v>
      </c>
      <c r="C792" s="128" t="s">
        <v>226</v>
      </c>
      <c r="D792" s="89" t="s">
        <v>262</v>
      </c>
      <c r="E792" s="90">
        <f t="shared" si="161"/>
        <v>15518900</v>
      </c>
      <c r="F792" s="90">
        <f t="shared" si="160"/>
        <v>13041092.431476183</v>
      </c>
      <c r="G792" s="91">
        <v>0.19</v>
      </c>
      <c r="H792" s="91" t="s">
        <v>228</v>
      </c>
      <c r="I792" s="91" t="s">
        <v>228</v>
      </c>
      <c r="J792" s="91"/>
      <c r="K792" s="91" t="s">
        <v>228</v>
      </c>
      <c r="L792" s="92" t="s">
        <v>1896</v>
      </c>
      <c r="M792" s="91" t="str">
        <f t="shared" ref="M792:M855" si="163">+IF(L792="no aplica","no aplica","VER ARCHIVO ANEXO")</f>
        <v>VER ARCHIVO ANEXO</v>
      </c>
      <c r="N792" s="93">
        <v>41608</v>
      </c>
      <c r="O792" s="94"/>
      <c r="P792" s="94"/>
      <c r="Q792" s="94">
        <v>649</v>
      </c>
      <c r="R792" s="95">
        <f t="shared" si="152"/>
        <v>13041092.431476183</v>
      </c>
      <c r="S792" s="94">
        <v>8534153.6512000002</v>
      </c>
      <c r="T792" s="94">
        <f t="shared" si="157"/>
        <v>9111915.8533862401</v>
      </c>
      <c r="U792" s="94">
        <f t="shared" si="158"/>
        <v>9635851.014955949</v>
      </c>
      <c r="V792" s="94">
        <f t="shared" si="159"/>
        <v>10029957.321467647</v>
      </c>
      <c r="W792" s="97">
        <f t="shared" si="155"/>
        <v>10348909.964290319</v>
      </c>
      <c r="X792" s="97">
        <f t="shared" si="156"/>
        <v>10742168.542933352</v>
      </c>
      <c r="Y792" s="97">
        <f t="shared" si="162"/>
        <v>10915117.45647458</v>
      </c>
      <c r="Z792" s="97">
        <f t="shared" si="153"/>
        <v>11528547.057528451</v>
      </c>
      <c r="AA792" s="97">
        <f t="shared" si="154"/>
        <v>13041092.431476183</v>
      </c>
    </row>
    <row r="793" spans="1:27" x14ac:dyDescent="0.25">
      <c r="A793" s="102" t="s">
        <v>1899</v>
      </c>
      <c r="B793" s="110" t="s">
        <v>1900</v>
      </c>
      <c r="C793" s="128" t="s">
        <v>226</v>
      </c>
      <c r="D793" s="89" t="s">
        <v>262</v>
      </c>
      <c r="E793" s="90">
        <f t="shared" si="161"/>
        <v>7733307</v>
      </c>
      <c r="F793" s="90">
        <f t="shared" si="160"/>
        <v>6498577.2370279534</v>
      </c>
      <c r="G793" s="91">
        <v>0.19</v>
      </c>
      <c r="H793" s="91" t="s">
        <v>228</v>
      </c>
      <c r="I793" s="91" t="s">
        <v>228</v>
      </c>
      <c r="J793" s="91"/>
      <c r="K793" s="91" t="s">
        <v>228</v>
      </c>
      <c r="L793" s="92" t="s">
        <v>1896</v>
      </c>
      <c r="M793" s="91" t="str">
        <f t="shared" si="163"/>
        <v>VER ARCHIVO ANEXO</v>
      </c>
      <c r="N793" s="93">
        <v>41608</v>
      </c>
      <c r="O793" s="94"/>
      <c r="P793" s="94"/>
      <c r="Q793" s="94">
        <v>650</v>
      </c>
      <c r="R793" s="95">
        <f t="shared" si="152"/>
        <v>6498577.2370279534</v>
      </c>
      <c r="S793" s="94">
        <v>4252700.2201999994</v>
      </c>
      <c r="T793" s="94">
        <f t="shared" si="157"/>
        <v>4540608.0251075402</v>
      </c>
      <c r="U793" s="94">
        <f t="shared" si="158"/>
        <v>4801692.9865512243</v>
      </c>
      <c r="V793" s="94">
        <f t="shared" si="159"/>
        <v>4998082.2297011688</v>
      </c>
      <c r="W793" s="97">
        <f t="shared" si="155"/>
        <v>5157021.244605666</v>
      </c>
      <c r="X793" s="97">
        <f t="shared" si="156"/>
        <v>5352988.0519006811</v>
      </c>
      <c r="Y793" s="97">
        <f t="shared" si="162"/>
        <v>5439171.1595362825</v>
      </c>
      <c r="Z793" s="97">
        <f t="shared" si="153"/>
        <v>5744852.5787022216</v>
      </c>
      <c r="AA793" s="97">
        <f t="shared" si="154"/>
        <v>6498577.2370279534</v>
      </c>
    </row>
    <row r="794" spans="1:27" x14ac:dyDescent="0.25">
      <c r="A794" s="102" t="s">
        <v>1901</v>
      </c>
      <c r="B794" s="110" t="s">
        <v>1902</v>
      </c>
      <c r="C794" s="128" t="s">
        <v>226</v>
      </c>
      <c r="D794" s="89" t="s">
        <v>262</v>
      </c>
      <c r="E794" s="90">
        <f t="shared" si="161"/>
        <v>19781077</v>
      </c>
      <c r="F794" s="90">
        <f t="shared" si="160"/>
        <v>16622753.528995335</v>
      </c>
      <c r="G794" s="91">
        <v>0.19</v>
      </c>
      <c r="H794" s="91" t="s">
        <v>228</v>
      </c>
      <c r="I794" s="91" t="s">
        <v>228</v>
      </c>
      <c r="J794" s="91"/>
      <c r="K794" s="91" t="s">
        <v>228</v>
      </c>
      <c r="L794" s="92" t="s">
        <v>1903</v>
      </c>
      <c r="M794" s="91" t="str">
        <f t="shared" si="163"/>
        <v>VER ARCHIVO ANEXO</v>
      </c>
      <c r="N794" s="93">
        <v>41608</v>
      </c>
      <c r="O794" s="94"/>
      <c r="P794" s="94"/>
      <c r="Q794" s="94">
        <v>651</v>
      </c>
      <c r="R794" s="95">
        <f t="shared" si="152"/>
        <v>16622753.528995335</v>
      </c>
      <c r="S794" s="94">
        <v>10878009.9112</v>
      </c>
      <c r="T794" s="94">
        <f t="shared" si="157"/>
        <v>11614451.182188241</v>
      </c>
      <c r="U794" s="94">
        <f t="shared" si="158"/>
        <v>12282282.125164066</v>
      </c>
      <c r="V794" s="94">
        <f t="shared" si="159"/>
        <v>12784627.464083275</v>
      </c>
      <c r="W794" s="97">
        <f t="shared" si="155"/>
        <v>13191178.617441123</v>
      </c>
      <c r="X794" s="97">
        <f t="shared" si="156"/>
        <v>13692443.404903887</v>
      </c>
      <c r="Y794" s="97">
        <f t="shared" si="162"/>
        <v>13912891.743722839</v>
      </c>
      <c r="Z794" s="97">
        <f t="shared" si="153"/>
        <v>14694796.259720063</v>
      </c>
      <c r="AA794" s="97">
        <f t="shared" si="154"/>
        <v>16622753.528995335</v>
      </c>
    </row>
    <row r="795" spans="1:27" x14ac:dyDescent="0.25">
      <c r="A795" s="102" t="s">
        <v>1904</v>
      </c>
      <c r="B795" s="132" t="s">
        <v>1905</v>
      </c>
      <c r="C795" s="88" t="s">
        <v>226</v>
      </c>
      <c r="D795" s="89" t="s">
        <v>262</v>
      </c>
      <c r="E795" s="90">
        <f t="shared" si="161"/>
        <v>3851765</v>
      </c>
      <c r="F795" s="90">
        <f t="shared" si="160"/>
        <v>3236777.1196069159</v>
      </c>
      <c r="G795" s="91">
        <v>0.19</v>
      </c>
      <c r="H795" s="91" t="s">
        <v>228</v>
      </c>
      <c r="I795" s="91" t="s">
        <v>228</v>
      </c>
      <c r="J795" s="91"/>
      <c r="K795" s="91" t="s">
        <v>228</v>
      </c>
      <c r="L795" s="92" t="s">
        <v>1903</v>
      </c>
      <c r="M795" s="91" t="str">
        <f t="shared" si="163"/>
        <v>VER ARCHIVO ANEXO</v>
      </c>
      <c r="N795" s="93">
        <v>41608</v>
      </c>
      <c r="O795" s="94"/>
      <c r="P795" s="94"/>
      <c r="Q795" s="94">
        <v>652</v>
      </c>
      <c r="R795" s="95">
        <f t="shared" si="152"/>
        <v>3236777.1196069159</v>
      </c>
      <c r="S795" s="94">
        <v>2118162.5249999999</v>
      </c>
      <c r="T795" s="94">
        <f t="shared" si="157"/>
        <v>2261562.1279425002</v>
      </c>
      <c r="U795" s="94">
        <f t="shared" si="158"/>
        <v>2391601.9502991941</v>
      </c>
      <c r="V795" s="94">
        <f t="shared" si="159"/>
        <v>2489418.470066431</v>
      </c>
      <c r="W795" s="97">
        <f t="shared" si="155"/>
        <v>2568581.9774145437</v>
      </c>
      <c r="X795" s="97">
        <f t="shared" si="156"/>
        <v>2666188.0925562964</v>
      </c>
      <c r="Y795" s="97">
        <f t="shared" si="162"/>
        <v>2709113.7208464528</v>
      </c>
      <c r="Z795" s="97">
        <f t="shared" si="153"/>
        <v>2861365.9119580234</v>
      </c>
      <c r="AA795" s="97">
        <f t="shared" si="154"/>
        <v>3236777.1196069159</v>
      </c>
    </row>
    <row r="796" spans="1:27" x14ac:dyDescent="0.25">
      <c r="A796" s="102" t="s">
        <v>1906</v>
      </c>
      <c r="B796" s="132" t="s">
        <v>1907</v>
      </c>
      <c r="C796" s="88" t="s">
        <v>226</v>
      </c>
      <c r="D796" s="89" t="s">
        <v>262</v>
      </c>
      <c r="E796" s="90">
        <f t="shared" si="161"/>
        <v>1179574</v>
      </c>
      <c r="F796" s="90">
        <f t="shared" si="160"/>
        <v>991238.29183687794</v>
      </c>
      <c r="G796" s="91">
        <v>0.19</v>
      </c>
      <c r="H796" s="91" t="s">
        <v>228</v>
      </c>
      <c r="I796" s="91" t="s">
        <v>228</v>
      </c>
      <c r="J796" s="91"/>
      <c r="K796" s="91" t="s">
        <v>228</v>
      </c>
      <c r="L796" s="92" t="s">
        <v>302</v>
      </c>
      <c r="M796" s="91" t="str">
        <f t="shared" si="163"/>
        <v>no aplica</v>
      </c>
      <c r="N796" s="93">
        <v>41608</v>
      </c>
      <c r="O796" s="94"/>
      <c r="P796" s="94"/>
      <c r="Q796" s="94">
        <v>653</v>
      </c>
      <c r="R796" s="95">
        <f t="shared" si="152"/>
        <v>991238.29183687794</v>
      </c>
      <c r="S796" s="94">
        <v>648671.10879999993</v>
      </c>
      <c r="T796" s="94">
        <f t="shared" si="157"/>
        <v>692586.14286576002</v>
      </c>
      <c r="U796" s="94">
        <f t="shared" si="158"/>
        <v>732409.84608054126</v>
      </c>
      <c r="V796" s="94">
        <f t="shared" si="159"/>
        <v>762365.40878523537</v>
      </c>
      <c r="W796" s="97">
        <f t="shared" si="155"/>
        <v>786608.62878460588</v>
      </c>
      <c r="X796" s="97">
        <f t="shared" si="156"/>
        <v>816499.75667842093</v>
      </c>
      <c r="Y796" s="97">
        <f t="shared" si="162"/>
        <v>829645.40276094351</v>
      </c>
      <c r="Z796" s="97">
        <f t="shared" si="153"/>
        <v>876271.47439610853</v>
      </c>
      <c r="AA796" s="97">
        <f t="shared" si="154"/>
        <v>991238.29183687794</v>
      </c>
    </row>
    <row r="797" spans="1:27" x14ac:dyDescent="0.25">
      <c r="A797" s="102" t="s">
        <v>1908</v>
      </c>
      <c r="B797" s="87" t="s">
        <v>1909</v>
      </c>
      <c r="C797" s="88" t="s">
        <v>226</v>
      </c>
      <c r="D797" s="89" t="s">
        <v>262</v>
      </c>
      <c r="E797" s="90">
        <f t="shared" si="161"/>
        <v>23069</v>
      </c>
      <c r="F797" s="90">
        <f t="shared" si="160"/>
        <v>19385.417943230899</v>
      </c>
      <c r="G797" s="91">
        <v>0.19</v>
      </c>
      <c r="H797" s="91" t="s">
        <v>228</v>
      </c>
      <c r="I797" s="91" t="s">
        <v>228</v>
      </c>
      <c r="J797" s="91"/>
      <c r="K797" s="91" t="s">
        <v>228</v>
      </c>
      <c r="L797" s="92" t="s">
        <v>1860</v>
      </c>
      <c r="M797" s="91" t="str">
        <f t="shared" si="163"/>
        <v>VER ARCHIVO ANEXO</v>
      </c>
      <c r="N797" s="93">
        <v>41608</v>
      </c>
      <c r="O797" s="94"/>
      <c r="P797" s="94"/>
      <c r="Q797" s="94">
        <v>654</v>
      </c>
      <c r="R797" s="95">
        <f t="shared" si="152"/>
        <v>19385.417943230899</v>
      </c>
      <c r="S797" s="94">
        <v>12685.9108</v>
      </c>
      <c r="T797" s="94">
        <f t="shared" si="157"/>
        <v>13544.746961160001</v>
      </c>
      <c r="U797" s="94">
        <f t="shared" si="158"/>
        <v>14323.569911426703</v>
      </c>
      <c r="V797" s="94">
        <f t="shared" si="159"/>
        <v>14909.403920804054</v>
      </c>
      <c r="W797" s="97">
        <f t="shared" si="155"/>
        <v>15383.522965485623</v>
      </c>
      <c r="X797" s="97">
        <f t="shared" si="156"/>
        <v>15968.096838174077</v>
      </c>
      <c r="Y797" s="97">
        <f t="shared" si="162"/>
        <v>16225.18319726868</v>
      </c>
      <c r="Z797" s="97">
        <f t="shared" si="153"/>
        <v>17137.03849295518</v>
      </c>
      <c r="AA797" s="97">
        <f t="shared" si="154"/>
        <v>19385.417943230899</v>
      </c>
    </row>
    <row r="798" spans="1:27" x14ac:dyDescent="0.25">
      <c r="A798" s="102" t="s">
        <v>1910</v>
      </c>
      <c r="B798" s="87" t="s">
        <v>1911</v>
      </c>
      <c r="C798" s="88" t="s">
        <v>226</v>
      </c>
      <c r="D798" s="89" t="s">
        <v>262</v>
      </c>
      <c r="E798" s="90">
        <f t="shared" si="161"/>
        <v>33195</v>
      </c>
      <c r="F798" s="90">
        <f t="shared" si="160"/>
        <v>27894.852915533262</v>
      </c>
      <c r="G798" s="91">
        <v>0.19</v>
      </c>
      <c r="H798" s="91" t="s">
        <v>228</v>
      </c>
      <c r="I798" s="91" t="s">
        <v>228</v>
      </c>
      <c r="J798" s="91"/>
      <c r="K798" s="91" t="s">
        <v>228</v>
      </c>
      <c r="L798" s="92" t="s">
        <v>1860</v>
      </c>
      <c r="M798" s="91" t="str">
        <f t="shared" si="163"/>
        <v>VER ARCHIVO ANEXO</v>
      </c>
      <c r="N798" s="93">
        <v>41608</v>
      </c>
      <c r="O798" s="94"/>
      <c r="P798" s="94"/>
      <c r="Q798" s="94">
        <v>655</v>
      </c>
      <c r="R798" s="95">
        <f t="shared" si="152"/>
        <v>27894.852915533262</v>
      </c>
      <c r="S798" s="94">
        <v>18254.525999999998</v>
      </c>
      <c r="T798" s="94">
        <f t="shared" si="157"/>
        <v>19490.357410199998</v>
      </c>
      <c r="U798" s="94">
        <f t="shared" si="158"/>
        <v>20611.052961286499</v>
      </c>
      <c r="V798" s="94">
        <f t="shared" si="159"/>
        <v>21454.045027403117</v>
      </c>
      <c r="W798" s="97">
        <f t="shared" si="155"/>
        <v>22136.283659274537</v>
      </c>
      <c r="X798" s="97">
        <f t="shared" si="156"/>
        <v>22977.462438326969</v>
      </c>
      <c r="Y798" s="97">
        <f t="shared" si="162"/>
        <v>23347.399583584032</v>
      </c>
      <c r="Z798" s="97">
        <f t="shared" si="153"/>
        <v>24659.523440181456</v>
      </c>
      <c r="AA798" s="97">
        <f t="shared" si="154"/>
        <v>27894.852915533262</v>
      </c>
    </row>
    <row r="799" spans="1:27" x14ac:dyDescent="0.25">
      <c r="A799" s="102" t="s">
        <v>1912</v>
      </c>
      <c r="B799" s="87" t="s">
        <v>1913</v>
      </c>
      <c r="C799" s="88" t="s">
        <v>226</v>
      </c>
      <c r="D799" s="89" t="s">
        <v>262</v>
      </c>
      <c r="E799" s="90">
        <f t="shared" si="161"/>
        <v>66041</v>
      </c>
      <c r="F799" s="90">
        <f t="shared" si="160"/>
        <v>55496.659392146954</v>
      </c>
      <c r="G799" s="91">
        <v>0.19</v>
      </c>
      <c r="H799" s="91" t="s">
        <v>228</v>
      </c>
      <c r="I799" s="91" t="s">
        <v>228</v>
      </c>
      <c r="J799" s="91"/>
      <c r="K799" s="91" t="s">
        <v>228</v>
      </c>
      <c r="L799" s="92" t="s">
        <v>1860</v>
      </c>
      <c r="M799" s="91" t="str">
        <f t="shared" si="163"/>
        <v>VER ARCHIVO ANEXO</v>
      </c>
      <c r="N799" s="93">
        <v>41608</v>
      </c>
      <c r="O799" s="94"/>
      <c r="P799" s="94"/>
      <c r="Q799" s="94">
        <v>656</v>
      </c>
      <c r="R799" s="95">
        <f t="shared" si="152"/>
        <v>55496.659392146954</v>
      </c>
      <c r="S799" s="94">
        <v>36317.280999999995</v>
      </c>
      <c r="T799" s="94">
        <f t="shared" si="157"/>
        <v>38775.960923699997</v>
      </c>
      <c r="U799" s="94">
        <f t="shared" si="158"/>
        <v>41005.578676812751</v>
      </c>
      <c r="V799" s="94">
        <f t="shared" si="159"/>
        <v>42682.706844694389</v>
      </c>
      <c r="W799" s="97">
        <f t="shared" si="155"/>
        <v>44040.016922355673</v>
      </c>
      <c r="X799" s="97">
        <f t="shared" si="156"/>
        <v>45713.53756540519</v>
      </c>
      <c r="Y799" s="97">
        <f t="shared" si="162"/>
        <v>46449.525520208212</v>
      </c>
      <c r="Z799" s="97">
        <f t="shared" si="153"/>
        <v>49059.988854443916</v>
      </c>
      <c r="AA799" s="97">
        <f t="shared" si="154"/>
        <v>55496.659392146954</v>
      </c>
    </row>
    <row r="800" spans="1:27" x14ac:dyDescent="0.25">
      <c r="A800" s="102" t="s">
        <v>1914</v>
      </c>
      <c r="B800" s="110" t="s">
        <v>1915</v>
      </c>
      <c r="C800" s="88" t="s">
        <v>226</v>
      </c>
      <c r="D800" s="89" t="s">
        <v>262</v>
      </c>
      <c r="E800" s="90">
        <f t="shared" si="161"/>
        <v>237271</v>
      </c>
      <c r="F800" s="90">
        <f t="shared" si="160"/>
        <v>199387.21300607148</v>
      </c>
      <c r="G800" s="91">
        <v>0.19</v>
      </c>
      <c r="H800" s="91" t="s">
        <v>228</v>
      </c>
      <c r="I800" s="91" t="s">
        <v>228</v>
      </c>
      <c r="J800" s="91"/>
      <c r="K800" s="91" t="s">
        <v>228</v>
      </c>
      <c r="L800" s="92" t="s">
        <v>1860</v>
      </c>
      <c r="M800" s="91" t="str">
        <f t="shared" si="163"/>
        <v>VER ARCHIVO ANEXO</v>
      </c>
      <c r="N800" s="93">
        <v>41608</v>
      </c>
      <c r="O800" s="94"/>
      <c r="P800" s="94"/>
      <c r="Q800" s="94">
        <v>657</v>
      </c>
      <c r="R800" s="95">
        <f t="shared" si="152"/>
        <v>199387.21300607148</v>
      </c>
      <c r="S800" s="94">
        <v>130479.9518</v>
      </c>
      <c r="T800" s="94">
        <f t="shared" si="157"/>
        <v>139313.44453686001</v>
      </c>
      <c r="U800" s="94">
        <f t="shared" si="158"/>
        <v>147323.96759772947</v>
      </c>
      <c r="V800" s="94">
        <f t="shared" si="159"/>
        <v>153349.5178724766</v>
      </c>
      <c r="W800" s="97">
        <f t="shared" si="155"/>
        <v>158226.03254082135</v>
      </c>
      <c r="X800" s="97">
        <f t="shared" si="156"/>
        <v>164238.62177737258</v>
      </c>
      <c r="Y800" s="97">
        <f t="shared" si="162"/>
        <v>166882.86358798828</v>
      </c>
      <c r="Z800" s="97">
        <f t="shared" si="153"/>
        <v>176261.68052163321</v>
      </c>
      <c r="AA800" s="97">
        <f t="shared" si="154"/>
        <v>199387.21300607148</v>
      </c>
    </row>
    <row r="801" spans="1:27" x14ac:dyDescent="0.25">
      <c r="A801" s="102" t="s">
        <v>1916</v>
      </c>
      <c r="B801" s="110" t="s">
        <v>1917</v>
      </c>
      <c r="C801" s="88" t="s">
        <v>226</v>
      </c>
      <c r="D801" s="89" t="s">
        <v>262</v>
      </c>
      <c r="E801" s="90">
        <f t="shared" si="161"/>
        <v>371711</v>
      </c>
      <c r="F801" s="90">
        <f t="shared" si="160"/>
        <v>312362.15933138377</v>
      </c>
      <c r="G801" s="91">
        <v>0.19</v>
      </c>
      <c r="H801" s="91" t="s">
        <v>228</v>
      </c>
      <c r="I801" s="91" t="s">
        <v>228</v>
      </c>
      <c r="J801" s="91"/>
      <c r="K801" s="91" t="s">
        <v>228</v>
      </c>
      <c r="L801" s="92" t="s">
        <v>1860</v>
      </c>
      <c r="M801" s="91" t="str">
        <f t="shared" si="163"/>
        <v>VER ARCHIVO ANEXO</v>
      </c>
      <c r="N801" s="93">
        <v>41608</v>
      </c>
      <c r="O801" s="94"/>
      <c r="P801" s="94"/>
      <c r="Q801" s="94">
        <v>658</v>
      </c>
      <c r="R801" s="95">
        <f t="shared" si="152"/>
        <v>312362.15933138377</v>
      </c>
      <c r="S801" s="94">
        <v>204411.30040000001</v>
      </c>
      <c r="T801" s="94">
        <f t="shared" si="157"/>
        <v>218249.94543708002</v>
      </c>
      <c r="U801" s="94">
        <f t="shared" si="158"/>
        <v>230799.31729971216</v>
      </c>
      <c r="V801" s="94">
        <f t="shared" si="159"/>
        <v>240239.00937727038</v>
      </c>
      <c r="W801" s="97">
        <f t="shared" si="155"/>
        <v>247878.60987546761</v>
      </c>
      <c r="X801" s="97">
        <f t="shared" si="156"/>
        <v>257297.99705073537</v>
      </c>
      <c r="Y801" s="97">
        <f t="shared" si="162"/>
        <v>261440.49480325222</v>
      </c>
      <c r="Z801" s="97">
        <f t="shared" si="153"/>
        <v>276133.450611195</v>
      </c>
      <c r="AA801" s="97">
        <f t="shared" si="154"/>
        <v>312362.15933138377</v>
      </c>
    </row>
    <row r="802" spans="1:27" x14ac:dyDescent="0.25">
      <c r="A802" s="102" t="s">
        <v>1918</v>
      </c>
      <c r="B802" s="110" t="s">
        <v>1919</v>
      </c>
      <c r="C802" s="88" t="s">
        <v>226</v>
      </c>
      <c r="D802" s="89" t="s">
        <v>262</v>
      </c>
      <c r="E802" s="90">
        <f t="shared" si="161"/>
        <v>45240</v>
      </c>
      <c r="F802" s="90">
        <f t="shared" si="160"/>
        <v>38016.835319295758</v>
      </c>
      <c r="G802" s="91">
        <v>0.19</v>
      </c>
      <c r="H802" s="91" t="s">
        <v>228</v>
      </c>
      <c r="I802" s="91" t="s">
        <v>228</v>
      </c>
      <c r="J802" s="91"/>
      <c r="K802" s="91" t="s">
        <v>228</v>
      </c>
      <c r="L802" s="92"/>
      <c r="M802" s="91" t="str">
        <f t="shared" si="163"/>
        <v>VER ARCHIVO ANEXO</v>
      </c>
      <c r="N802" s="93">
        <v>41608</v>
      </c>
      <c r="O802" s="94"/>
      <c r="P802" s="94"/>
      <c r="Q802" s="94">
        <v>659</v>
      </c>
      <c r="R802" s="95">
        <f t="shared" si="152"/>
        <v>38016.835319295758</v>
      </c>
      <c r="S802" s="94">
        <v>24878.399999999998</v>
      </c>
      <c r="T802" s="94">
        <f t="shared" si="157"/>
        <v>26562.667679999999</v>
      </c>
      <c r="U802" s="94">
        <f t="shared" si="158"/>
        <v>28090.0210716</v>
      </c>
      <c r="V802" s="94">
        <f t="shared" si="159"/>
        <v>29238.902933428439</v>
      </c>
      <c r="W802" s="97">
        <f t="shared" si="155"/>
        <v>30168.700046711463</v>
      </c>
      <c r="X802" s="97">
        <f t="shared" si="156"/>
        <v>31315.110648486501</v>
      </c>
      <c r="Y802" s="97">
        <f t="shared" si="162"/>
        <v>31819.283929927133</v>
      </c>
      <c r="Z802" s="97">
        <f t="shared" si="153"/>
        <v>33607.527686789035</v>
      </c>
      <c r="AA802" s="97">
        <f t="shared" si="154"/>
        <v>38016.835319295758</v>
      </c>
    </row>
    <row r="803" spans="1:27" x14ac:dyDescent="0.25">
      <c r="A803" s="102" t="s">
        <v>1920</v>
      </c>
      <c r="B803" s="110" t="s">
        <v>1921</v>
      </c>
      <c r="C803" s="88" t="s">
        <v>226</v>
      </c>
      <c r="D803" s="89" t="s">
        <v>262</v>
      </c>
      <c r="E803" s="90">
        <f t="shared" si="161"/>
        <v>75400</v>
      </c>
      <c r="F803" s="90">
        <f t="shared" si="160"/>
        <v>63361.392198826274</v>
      </c>
      <c r="G803" s="91">
        <v>0.19</v>
      </c>
      <c r="H803" s="91" t="s">
        <v>228</v>
      </c>
      <c r="I803" s="91" t="s">
        <v>228</v>
      </c>
      <c r="J803" s="91"/>
      <c r="K803" s="91" t="s">
        <v>228</v>
      </c>
      <c r="L803" s="92"/>
      <c r="M803" s="91" t="str">
        <f t="shared" si="163"/>
        <v>VER ARCHIVO ANEXO</v>
      </c>
      <c r="N803" s="93">
        <v>41608</v>
      </c>
      <c r="O803" s="94"/>
      <c r="P803" s="94"/>
      <c r="Q803" s="94">
        <v>660</v>
      </c>
      <c r="R803" s="95">
        <f t="shared" si="152"/>
        <v>63361.392198826274</v>
      </c>
      <c r="S803" s="94">
        <v>41464</v>
      </c>
      <c r="T803" s="94">
        <f t="shared" si="157"/>
        <v>44271.112800000003</v>
      </c>
      <c r="U803" s="94">
        <f t="shared" si="158"/>
        <v>46816.701786000005</v>
      </c>
      <c r="V803" s="94">
        <f t="shared" si="159"/>
        <v>48731.504889047399</v>
      </c>
      <c r="W803" s="97">
        <f t="shared" si="155"/>
        <v>50281.166744519112</v>
      </c>
      <c r="X803" s="97">
        <f t="shared" si="156"/>
        <v>52191.85108081084</v>
      </c>
      <c r="Y803" s="97">
        <f t="shared" si="162"/>
        <v>53032.139883211894</v>
      </c>
      <c r="Z803" s="97">
        <f t="shared" si="153"/>
        <v>56012.546144648404</v>
      </c>
      <c r="AA803" s="97">
        <f t="shared" si="154"/>
        <v>63361.392198826274</v>
      </c>
    </row>
    <row r="804" spans="1:27" x14ac:dyDescent="0.25">
      <c r="A804" s="102" t="s">
        <v>1922</v>
      </c>
      <c r="B804" s="110" t="s">
        <v>1923</v>
      </c>
      <c r="C804" s="88" t="s">
        <v>226</v>
      </c>
      <c r="D804" s="89" t="s">
        <v>262</v>
      </c>
      <c r="E804" s="90">
        <f t="shared" si="161"/>
        <v>16023</v>
      </c>
      <c r="F804" s="90">
        <f t="shared" si="160"/>
        <v>13464.295842250587</v>
      </c>
      <c r="G804" s="91">
        <v>0.19</v>
      </c>
      <c r="H804" s="91" t="s">
        <v>228</v>
      </c>
      <c r="I804" s="91" t="s">
        <v>228</v>
      </c>
      <c r="J804" s="91"/>
      <c r="K804" s="91" t="s">
        <v>228</v>
      </c>
      <c r="L804" s="92"/>
      <c r="M804" s="91" t="str">
        <f t="shared" si="163"/>
        <v>VER ARCHIVO ANEXO</v>
      </c>
      <c r="N804" s="93">
        <v>41608</v>
      </c>
      <c r="O804" s="94"/>
      <c r="P804" s="94"/>
      <c r="Q804" s="94">
        <v>661</v>
      </c>
      <c r="R804" s="95">
        <f t="shared" si="152"/>
        <v>13464.295842250587</v>
      </c>
      <c r="S804" s="94">
        <v>8811.1</v>
      </c>
      <c r="T804" s="94">
        <f t="shared" si="157"/>
        <v>9407.6114700000016</v>
      </c>
      <c r="U804" s="94">
        <f t="shared" si="158"/>
        <v>9948.5491295250031</v>
      </c>
      <c r="V804" s="94">
        <f t="shared" si="159"/>
        <v>10355.444788922576</v>
      </c>
      <c r="W804" s="97">
        <f t="shared" si="155"/>
        <v>10684.747933210314</v>
      </c>
      <c r="X804" s="97">
        <f t="shared" si="156"/>
        <v>11090.768354672306</v>
      </c>
      <c r="Y804" s="97">
        <f t="shared" si="162"/>
        <v>11269.32972518253</v>
      </c>
      <c r="Z804" s="97">
        <f t="shared" si="153"/>
        <v>11902.666055737789</v>
      </c>
      <c r="AA804" s="97">
        <f t="shared" si="154"/>
        <v>13464.295842250587</v>
      </c>
    </row>
    <row r="805" spans="1:27" x14ac:dyDescent="0.25">
      <c r="A805" s="102" t="s">
        <v>1924</v>
      </c>
      <c r="B805" s="110" t="s">
        <v>1925</v>
      </c>
      <c r="C805" s="88" t="s">
        <v>226</v>
      </c>
      <c r="D805" s="89" t="s">
        <v>262</v>
      </c>
      <c r="E805" s="90">
        <f t="shared" si="161"/>
        <v>37700</v>
      </c>
      <c r="F805" s="90">
        <f t="shared" si="160"/>
        <v>31680.696099413137</v>
      </c>
      <c r="G805" s="91">
        <v>0.19</v>
      </c>
      <c r="H805" s="91" t="s">
        <v>228</v>
      </c>
      <c r="I805" s="91" t="s">
        <v>228</v>
      </c>
      <c r="J805" s="91"/>
      <c r="K805" s="91" t="s">
        <v>228</v>
      </c>
      <c r="L805" s="92"/>
      <c r="M805" s="91" t="str">
        <f t="shared" si="163"/>
        <v>VER ARCHIVO ANEXO</v>
      </c>
      <c r="N805" s="93">
        <v>41608</v>
      </c>
      <c r="O805" s="94"/>
      <c r="P805" s="94"/>
      <c r="Q805" s="94">
        <v>662</v>
      </c>
      <c r="R805" s="95">
        <f t="shared" si="152"/>
        <v>31680.696099413137</v>
      </c>
      <c r="S805" s="94">
        <v>20732</v>
      </c>
      <c r="T805" s="94">
        <f t="shared" si="157"/>
        <v>22135.556400000001</v>
      </c>
      <c r="U805" s="94">
        <f t="shared" si="158"/>
        <v>23408.350893000003</v>
      </c>
      <c r="V805" s="94">
        <f t="shared" si="159"/>
        <v>24365.7524445237</v>
      </c>
      <c r="W805" s="97">
        <f t="shared" si="155"/>
        <v>25140.583372259556</v>
      </c>
      <c r="X805" s="97">
        <f t="shared" si="156"/>
        <v>26095.92554040542</v>
      </c>
      <c r="Y805" s="97">
        <f t="shared" si="162"/>
        <v>26516.069941605947</v>
      </c>
      <c r="Z805" s="97">
        <f t="shared" si="153"/>
        <v>28006.273072324202</v>
      </c>
      <c r="AA805" s="97">
        <f t="shared" si="154"/>
        <v>31680.696099413137</v>
      </c>
    </row>
    <row r="806" spans="1:27" x14ac:dyDescent="0.25">
      <c r="A806" s="102" t="s">
        <v>1926</v>
      </c>
      <c r="B806" s="110" t="s">
        <v>1927</v>
      </c>
      <c r="C806" s="88" t="s">
        <v>226</v>
      </c>
      <c r="D806" s="89" t="s">
        <v>262</v>
      </c>
      <c r="E806" s="90">
        <f t="shared" si="161"/>
        <v>13195</v>
      </c>
      <c r="F806" s="90">
        <f t="shared" si="160"/>
        <v>11088.2436347946</v>
      </c>
      <c r="G806" s="91">
        <v>0.19</v>
      </c>
      <c r="H806" s="91" t="s">
        <v>228</v>
      </c>
      <c r="I806" s="91" t="s">
        <v>228</v>
      </c>
      <c r="J806" s="91"/>
      <c r="K806" s="91" t="s">
        <v>228</v>
      </c>
      <c r="L806" s="92"/>
      <c r="M806" s="91" t="str">
        <f t="shared" si="163"/>
        <v>VER ARCHIVO ANEXO</v>
      </c>
      <c r="N806" s="93">
        <v>41608</v>
      </c>
      <c r="O806" s="94"/>
      <c r="P806" s="94"/>
      <c r="Q806" s="94">
        <v>663</v>
      </c>
      <c r="R806" s="95">
        <f t="shared" si="152"/>
        <v>11088.2436347946</v>
      </c>
      <c r="S806" s="94">
        <v>7256.2</v>
      </c>
      <c r="T806" s="94">
        <f t="shared" si="157"/>
        <v>7747.4447400000008</v>
      </c>
      <c r="U806" s="94">
        <f t="shared" si="158"/>
        <v>8192.9228125500013</v>
      </c>
      <c r="V806" s="94">
        <f t="shared" si="159"/>
        <v>8528.0133555832963</v>
      </c>
      <c r="W806" s="97">
        <f t="shared" si="155"/>
        <v>8799.2041802908461</v>
      </c>
      <c r="X806" s="97">
        <f t="shared" si="156"/>
        <v>9133.5739391418992</v>
      </c>
      <c r="Y806" s="97">
        <f t="shared" si="162"/>
        <v>9280.6244795620842</v>
      </c>
      <c r="Z806" s="97">
        <f t="shared" si="153"/>
        <v>9802.1955753134735</v>
      </c>
      <c r="AA806" s="97">
        <f t="shared" si="154"/>
        <v>11088.2436347946</v>
      </c>
    </row>
    <row r="807" spans="1:27" x14ac:dyDescent="0.25">
      <c r="A807" s="102" t="s">
        <v>1928</v>
      </c>
      <c r="B807" s="110" t="s">
        <v>1929</v>
      </c>
      <c r="C807" s="88" t="s">
        <v>226</v>
      </c>
      <c r="D807" s="89" t="s">
        <v>262</v>
      </c>
      <c r="E807" s="90">
        <f t="shared" si="161"/>
        <v>32988</v>
      </c>
      <c r="F807" s="90">
        <f t="shared" si="160"/>
        <v>27720.609086986497</v>
      </c>
      <c r="G807" s="91">
        <v>0.19</v>
      </c>
      <c r="H807" s="91" t="s">
        <v>228</v>
      </c>
      <c r="I807" s="91" t="s">
        <v>228</v>
      </c>
      <c r="J807" s="91"/>
      <c r="K807" s="91" t="s">
        <v>228</v>
      </c>
      <c r="L807" s="92"/>
      <c r="M807" s="91" t="str">
        <f t="shared" si="163"/>
        <v>VER ARCHIVO ANEXO</v>
      </c>
      <c r="N807" s="93">
        <v>41608</v>
      </c>
      <c r="O807" s="94"/>
      <c r="P807" s="94"/>
      <c r="Q807" s="94">
        <v>664</v>
      </c>
      <c r="R807" s="95">
        <f t="shared" si="152"/>
        <v>27720.609086986497</v>
      </c>
      <c r="S807" s="94">
        <v>18140.5</v>
      </c>
      <c r="T807" s="94">
        <f t="shared" si="157"/>
        <v>19368.611850000001</v>
      </c>
      <c r="U807" s="94">
        <f t="shared" si="158"/>
        <v>20482.307031375003</v>
      </c>
      <c r="V807" s="94">
        <f t="shared" si="159"/>
        <v>21320.03338895824</v>
      </c>
      <c r="W807" s="97">
        <f t="shared" si="155"/>
        <v>21998.010450727113</v>
      </c>
      <c r="X807" s="97">
        <f t="shared" si="156"/>
        <v>22833.934847854744</v>
      </c>
      <c r="Y807" s="97">
        <f t="shared" si="162"/>
        <v>23201.561198905205</v>
      </c>
      <c r="Z807" s="97">
        <f t="shared" si="153"/>
        <v>24505.488938283677</v>
      </c>
      <c r="AA807" s="97">
        <f t="shared" si="154"/>
        <v>27720.609086986497</v>
      </c>
    </row>
    <row r="808" spans="1:27" x14ac:dyDescent="0.25">
      <c r="A808" s="86" t="s">
        <v>1930</v>
      </c>
      <c r="B808" s="116" t="s">
        <v>1931</v>
      </c>
      <c r="C808" s="128" t="s">
        <v>226</v>
      </c>
      <c r="D808" s="89" t="s">
        <v>262</v>
      </c>
      <c r="E808" s="90">
        <f t="shared" si="161"/>
        <v>228624</v>
      </c>
      <c r="F808" s="90">
        <f t="shared" si="160"/>
        <v>192121.2453556711</v>
      </c>
      <c r="G808" s="91">
        <v>0.19</v>
      </c>
      <c r="H808" s="91" t="s">
        <v>228</v>
      </c>
      <c r="I808" s="91" t="s">
        <v>228</v>
      </c>
      <c r="J808" s="91"/>
      <c r="K808" s="91" t="s">
        <v>228</v>
      </c>
      <c r="L808" s="92" t="s">
        <v>1768</v>
      </c>
      <c r="M808" s="91" t="str">
        <f t="shared" si="163"/>
        <v>VER ARCHIVO ANEXO</v>
      </c>
      <c r="N808" s="93">
        <v>41608</v>
      </c>
      <c r="O808" s="94"/>
      <c r="P808" s="94"/>
      <c r="Q808" s="94">
        <v>665</v>
      </c>
      <c r="R808" s="95">
        <f t="shared" si="152"/>
        <v>192121.2453556711</v>
      </c>
      <c r="S808" s="94">
        <v>125725.06759999999</v>
      </c>
      <c r="T808" s="94">
        <f t="shared" si="157"/>
        <v>134236.65467652</v>
      </c>
      <c r="U808" s="94">
        <f t="shared" si="158"/>
        <v>141955.26232041992</v>
      </c>
      <c r="V808" s="94">
        <f t="shared" si="159"/>
        <v>147761.2325493251</v>
      </c>
      <c r="W808" s="97">
        <f t="shared" si="155"/>
        <v>152460.03974439364</v>
      </c>
      <c r="X808" s="97">
        <f t="shared" si="156"/>
        <v>158253.52125468061</v>
      </c>
      <c r="Y808" s="97">
        <f t="shared" si="162"/>
        <v>160801.40294688096</v>
      </c>
      <c r="Z808" s="97">
        <f t="shared" si="153"/>
        <v>169838.44179249567</v>
      </c>
      <c r="AA808" s="97">
        <f t="shared" si="154"/>
        <v>192121.2453556711</v>
      </c>
    </row>
    <row r="809" spans="1:27" x14ac:dyDescent="0.25">
      <c r="A809" s="86" t="s">
        <v>1932</v>
      </c>
      <c r="B809" s="116" t="s">
        <v>1933</v>
      </c>
      <c r="C809" s="128" t="s">
        <v>226</v>
      </c>
      <c r="D809" s="89" t="s">
        <v>262</v>
      </c>
      <c r="E809" s="90">
        <f t="shared" si="161"/>
        <v>459237</v>
      </c>
      <c r="F809" s="90">
        <f t="shared" si="160"/>
        <v>385913.64743058616</v>
      </c>
      <c r="G809" s="91">
        <v>0.19</v>
      </c>
      <c r="H809" s="91" t="s">
        <v>228</v>
      </c>
      <c r="I809" s="91" t="s">
        <v>228</v>
      </c>
      <c r="J809" s="91"/>
      <c r="K809" s="91" t="s">
        <v>228</v>
      </c>
      <c r="L809" s="92" t="s">
        <v>1768</v>
      </c>
      <c r="M809" s="91" t="str">
        <f t="shared" si="163"/>
        <v>VER ARCHIVO ANEXO</v>
      </c>
      <c r="N809" s="93">
        <v>41608</v>
      </c>
      <c r="O809" s="94"/>
      <c r="P809" s="94"/>
      <c r="Q809" s="94">
        <v>666</v>
      </c>
      <c r="R809" s="95">
        <f t="shared" si="152"/>
        <v>385913.64743058616</v>
      </c>
      <c r="S809" s="94">
        <v>252543.7482</v>
      </c>
      <c r="T809" s="94">
        <f t="shared" si="157"/>
        <v>269640.95995314</v>
      </c>
      <c r="U809" s="94">
        <f t="shared" si="158"/>
        <v>285145.31515044556</v>
      </c>
      <c r="V809" s="94">
        <f t="shared" si="159"/>
        <v>296807.75854009879</v>
      </c>
      <c r="W809" s="97">
        <f t="shared" si="155"/>
        <v>306246.24526167393</v>
      </c>
      <c r="X809" s="97">
        <f t="shared" si="156"/>
        <v>317883.60258161754</v>
      </c>
      <c r="Y809" s="97">
        <f t="shared" si="162"/>
        <v>323001.52858318156</v>
      </c>
      <c r="Z809" s="97">
        <f t="shared" si="153"/>
        <v>341154.21448955638</v>
      </c>
      <c r="AA809" s="97">
        <f t="shared" si="154"/>
        <v>385913.64743058616</v>
      </c>
    </row>
    <row r="810" spans="1:27" x14ac:dyDescent="0.25">
      <c r="A810" s="86" t="s">
        <v>1934</v>
      </c>
      <c r="B810" s="87" t="s">
        <v>1935</v>
      </c>
      <c r="C810" s="88" t="s">
        <v>226</v>
      </c>
      <c r="D810" s="89" t="s">
        <v>262</v>
      </c>
      <c r="E810" s="90">
        <f t="shared" si="161"/>
        <v>2582</v>
      </c>
      <c r="F810" s="90">
        <f t="shared" si="160"/>
        <v>2170.1276828098003</v>
      </c>
      <c r="G810" s="91">
        <v>0.19</v>
      </c>
      <c r="H810" s="91" t="s">
        <v>228</v>
      </c>
      <c r="I810" s="91" t="s">
        <v>228</v>
      </c>
      <c r="J810" s="91"/>
      <c r="K810" s="91" t="s">
        <v>228</v>
      </c>
      <c r="L810" s="92"/>
      <c r="M810" s="91" t="str">
        <f t="shared" si="163"/>
        <v>VER ARCHIVO ANEXO</v>
      </c>
      <c r="N810" s="93">
        <v>41608</v>
      </c>
      <c r="O810" s="94"/>
      <c r="P810" s="94"/>
      <c r="Q810" s="94">
        <v>667</v>
      </c>
      <c r="R810" s="95">
        <f t="shared" si="152"/>
        <v>2170.1276828098003</v>
      </c>
      <c r="S810" s="94">
        <v>1420.1420000000001</v>
      </c>
      <c r="T810" s="94">
        <f t="shared" si="157"/>
        <v>1516.2856134000001</v>
      </c>
      <c r="U810" s="94">
        <f t="shared" si="158"/>
        <v>1603.4720361705004</v>
      </c>
      <c r="V810" s="94">
        <f t="shared" si="159"/>
        <v>1669.0540424498738</v>
      </c>
      <c r="W810" s="97">
        <f t="shared" si="155"/>
        <v>1722.1299609997798</v>
      </c>
      <c r="X810" s="97">
        <f t="shared" si="156"/>
        <v>1787.5708995177715</v>
      </c>
      <c r="Y810" s="97">
        <f t="shared" si="162"/>
        <v>1816.3507910000076</v>
      </c>
      <c r="Z810" s="97">
        <f t="shared" si="153"/>
        <v>1918.429705454208</v>
      </c>
      <c r="AA810" s="97">
        <f t="shared" si="154"/>
        <v>2170.1276828098003</v>
      </c>
    </row>
    <row r="811" spans="1:27" x14ac:dyDescent="0.25">
      <c r="A811" s="86" t="s">
        <v>1936</v>
      </c>
      <c r="B811" s="87" t="s">
        <v>1937</v>
      </c>
      <c r="C811" s="88" t="s">
        <v>226</v>
      </c>
      <c r="D811" s="89" t="s">
        <v>262</v>
      </c>
      <c r="E811" s="90">
        <f t="shared" si="161"/>
        <v>1687</v>
      </c>
      <c r="F811" s="90">
        <f t="shared" si="160"/>
        <v>1417.7111504487382</v>
      </c>
      <c r="G811" s="91">
        <v>0.19</v>
      </c>
      <c r="H811" s="91" t="s">
        <v>228</v>
      </c>
      <c r="I811" s="91" t="s">
        <v>228</v>
      </c>
      <c r="J811" s="91"/>
      <c r="K811" s="91" t="s">
        <v>228</v>
      </c>
      <c r="L811" s="92"/>
      <c r="M811" s="91" t="str">
        <f t="shared" si="163"/>
        <v>VER ARCHIVO ANEXO</v>
      </c>
      <c r="N811" s="93">
        <v>41608</v>
      </c>
      <c r="O811" s="94"/>
      <c r="P811" s="94"/>
      <c r="Q811" s="94">
        <v>668</v>
      </c>
      <c r="R811" s="95">
        <f t="shared" si="152"/>
        <v>1417.7111504487382</v>
      </c>
      <c r="S811" s="94">
        <v>927.75699999999995</v>
      </c>
      <c r="T811" s="94">
        <f t="shared" si="157"/>
        <v>990.56614890000003</v>
      </c>
      <c r="U811" s="94">
        <f t="shared" si="158"/>
        <v>1047.5237024617502</v>
      </c>
      <c r="V811" s="94">
        <f t="shared" si="159"/>
        <v>1090.3674218924357</v>
      </c>
      <c r="W811" s="97">
        <f t="shared" si="155"/>
        <v>1125.0411059086152</v>
      </c>
      <c r="X811" s="97">
        <f t="shared" si="156"/>
        <v>1167.7926679331426</v>
      </c>
      <c r="Y811" s="97">
        <f t="shared" si="162"/>
        <v>1186.5941298868663</v>
      </c>
      <c r="Z811" s="97">
        <f t="shared" si="153"/>
        <v>1253.2807199865083</v>
      </c>
      <c r="AA811" s="97">
        <f t="shared" si="154"/>
        <v>1417.7111504487382</v>
      </c>
    </row>
    <row r="812" spans="1:27" x14ac:dyDescent="0.25">
      <c r="A812" s="86" t="s">
        <v>1938</v>
      </c>
      <c r="B812" s="116" t="s">
        <v>1939</v>
      </c>
      <c r="C812" s="128" t="s">
        <v>226</v>
      </c>
      <c r="D812" s="89" t="s">
        <v>262</v>
      </c>
      <c r="E812" s="90">
        <f t="shared" si="161"/>
        <v>117294</v>
      </c>
      <c r="F812" s="90">
        <f t="shared" si="160"/>
        <v>98566.565739299142</v>
      </c>
      <c r="G812" s="91">
        <v>0.19</v>
      </c>
      <c r="H812" s="91" t="s">
        <v>228</v>
      </c>
      <c r="I812" s="91" t="s">
        <v>228</v>
      </c>
      <c r="J812" s="91"/>
      <c r="K812" s="91" t="s">
        <v>228</v>
      </c>
      <c r="L812" s="92"/>
      <c r="M812" s="91" t="str">
        <f t="shared" si="163"/>
        <v>VER ARCHIVO ANEXO</v>
      </c>
      <c r="N812" s="93">
        <v>41608</v>
      </c>
      <c r="O812" s="94"/>
      <c r="P812" s="94"/>
      <c r="Q812" s="94">
        <v>669</v>
      </c>
      <c r="R812" s="95">
        <f t="shared" si="152"/>
        <v>98566.565739299142</v>
      </c>
      <c r="S812" s="94">
        <v>64502.434999999998</v>
      </c>
      <c r="T812" s="94">
        <f t="shared" si="157"/>
        <v>68869.249849500004</v>
      </c>
      <c r="U812" s="94">
        <f t="shared" si="158"/>
        <v>72829.231715846268</v>
      </c>
      <c r="V812" s="94">
        <f t="shared" si="159"/>
        <v>75807.947293024379</v>
      </c>
      <c r="W812" s="97">
        <f t="shared" si="155"/>
        <v>78218.640016942561</v>
      </c>
      <c r="X812" s="97">
        <f t="shared" si="156"/>
        <v>81190.948337586378</v>
      </c>
      <c r="Y812" s="97">
        <f t="shared" si="162"/>
        <v>82498.122605821525</v>
      </c>
      <c r="Z812" s="97">
        <f t="shared" si="153"/>
        <v>87134.517096268697</v>
      </c>
      <c r="AA812" s="97">
        <f t="shared" si="154"/>
        <v>98566.565739299142</v>
      </c>
    </row>
    <row r="813" spans="1:27" x14ac:dyDescent="0.25">
      <c r="A813" s="86" t="s">
        <v>1940</v>
      </c>
      <c r="B813" s="87" t="s">
        <v>1941</v>
      </c>
      <c r="C813" s="88" t="s">
        <v>226</v>
      </c>
      <c r="D813" s="89" t="s">
        <v>262</v>
      </c>
      <c r="E813" s="90">
        <f t="shared" si="161"/>
        <v>3399</v>
      </c>
      <c r="F813" s="90">
        <f t="shared" si="160"/>
        <v>2855.9864309760005</v>
      </c>
      <c r="G813" s="91">
        <v>0.19</v>
      </c>
      <c r="H813" s="91" t="s">
        <v>228</v>
      </c>
      <c r="I813" s="91" t="s">
        <v>228</v>
      </c>
      <c r="J813" s="91"/>
      <c r="K813" s="91" t="s">
        <v>228</v>
      </c>
      <c r="L813" s="92" t="s">
        <v>1768</v>
      </c>
      <c r="M813" s="91" t="str">
        <f t="shared" si="163"/>
        <v>VER ARCHIVO ANEXO</v>
      </c>
      <c r="N813" s="93">
        <v>41608</v>
      </c>
      <c r="O813" s="94"/>
      <c r="P813" s="94"/>
      <c r="Q813" s="94">
        <v>670</v>
      </c>
      <c r="R813" s="95">
        <f t="shared" si="152"/>
        <v>2855.9864309760005</v>
      </c>
      <c r="S813" s="94">
        <v>1729.0488</v>
      </c>
      <c r="T813" s="94">
        <f t="shared" si="157"/>
        <v>1846.1054037600002</v>
      </c>
      <c r="U813" s="94">
        <f t="shared" si="158"/>
        <v>1952.2564644762003</v>
      </c>
      <c r="V813" s="94">
        <f t="shared" si="159"/>
        <v>2032.1037538732769</v>
      </c>
      <c r="W813" s="97">
        <f t="shared" si="155"/>
        <v>2096.7246532464474</v>
      </c>
      <c r="X813" s="97">
        <f t="shared" si="156"/>
        <v>2176.4001900698127</v>
      </c>
      <c r="Y813" s="97">
        <v>2390.4</v>
      </c>
      <c r="Z813" s="97">
        <f t="shared" si="153"/>
        <v>2524.7404800000004</v>
      </c>
      <c r="AA813" s="97">
        <f t="shared" si="154"/>
        <v>2855.9864309760005</v>
      </c>
    </row>
    <row r="814" spans="1:27" x14ac:dyDescent="0.25">
      <c r="A814" s="86" t="s">
        <v>1942</v>
      </c>
      <c r="B814" s="87" t="s">
        <v>1943</v>
      </c>
      <c r="C814" s="88" t="s">
        <v>226</v>
      </c>
      <c r="D814" s="89" t="s">
        <v>262</v>
      </c>
      <c r="E814" s="90">
        <f t="shared" si="161"/>
        <v>11520</v>
      </c>
      <c r="F814" s="90">
        <f t="shared" si="160"/>
        <v>9680.8907522879999</v>
      </c>
      <c r="G814" s="91">
        <v>0.19</v>
      </c>
      <c r="H814" s="91" t="s">
        <v>228</v>
      </c>
      <c r="I814" s="91" t="s">
        <v>228</v>
      </c>
      <c r="J814" s="91"/>
      <c r="K814" s="91" t="s">
        <v>228</v>
      </c>
      <c r="L814" s="92" t="s">
        <v>1768</v>
      </c>
      <c r="M814" s="91" t="str">
        <f t="shared" si="163"/>
        <v>VER ARCHIVO ANEXO</v>
      </c>
      <c r="N814" s="93">
        <v>41608</v>
      </c>
      <c r="O814" s="94">
        <v>7844</v>
      </c>
      <c r="P814" s="94" t="s">
        <v>1443</v>
      </c>
      <c r="Q814" s="94">
        <v>671</v>
      </c>
      <c r="R814" s="95">
        <f t="shared" si="152"/>
        <v>9680.8907522879999</v>
      </c>
      <c r="S814" s="94">
        <v>5886.8513999999996</v>
      </c>
      <c r="T814" s="94">
        <f t="shared" si="157"/>
        <v>6285.3912397800004</v>
      </c>
      <c r="U814" s="94">
        <f t="shared" si="158"/>
        <v>6646.8012360673511</v>
      </c>
      <c r="V814" s="94">
        <f t="shared" si="159"/>
        <v>6918.6554066225053</v>
      </c>
      <c r="W814" s="97">
        <f t="shared" si="155"/>
        <v>7138.6686485531018</v>
      </c>
      <c r="X814" s="97">
        <f t="shared" si="156"/>
        <v>7409.9380571981201</v>
      </c>
      <c r="Y814" s="97">
        <v>8102.7</v>
      </c>
      <c r="Z814" s="97">
        <f t="shared" si="153"/>
        <v>8558.0717399999994</v>
      </c>
      <c r="AA814" s="97">
        <f t="shared" si="154"/>
        <v>9680.8907522879999</v>
      </c>
    </row>
    <row r="815" spans="1:27" x14ac:dyDescent="0.25">
      <c r="A815" s="86" t="s">
        <v>1944</v>
      </c>
      <c r="B815" s="87" t="s">
        <v>1945</v>
      </c>
      <c r="C815" s="88" t="s">
        <v>226</v>
      </c>
      <c r="D815" s="89" t="s">
        <v>262</v>
      </c>
      <c r="E815" s="90">
        <f t="shared" si="161"/>
        <v>8776</v>
      </c>
      <c r="F815" s="90">
        <f t="shared" si="160"/>
        <v>7374.3806263680008</v>
      </c>
      <c r="G815" s="91">
        <v>0.19</v>
      </c>
      <c r="H815" s="91" t="s">
        <v>228</v>
      </c>
      <c r="I815" s="91" t="s">
        <v>228</v>
      </c>
      <c r="J815" s="91"/>
      <c r="K815" s="91" t="s">
        <v>228</v>
      </c>
      <c r="L815" s="92" t="s">
        <v>1768</v>
      </c>
      <c r="M815" s="91" t="str">
        <f t="shared" si="163"/>
        <v>VER ARCHIVO ANEXO</v>
      </c>
      <c r="N815" s="93">
        <v>41608</v>
      </c>
      <c r="O815" s="94">
        <v>5975</v>
      </c>
      <c r="P815" s="94" t="s">
        <v>1443</v>
      </c>
      <c r="Q815" s="94">
        <v>672</v>
      </c>
      <c r="R815" s="95">
        <f t="shared" si="152"/>
        <v>7374.3806263680008</v>
      </c>
      <c r="S815" s="94">
        <v>4468.7825999999995</v>
      </c>
      <c r="T815" s="94">
        <f t="shared" si="157"/>
        <v>4771.31918202</v>
      </c>
      <c r="U815" s="94">
        <f t="shared" si="158"/>
        <v>5045.6700349861503</v>
      </c>
      <c r="V815" s="94">
        <f t="shared" si="159"/>
        <v>5252.0379394170832</v>
      </c>
      <c r="W815" s="97">
        <f t="shared" si="155"/>
        <v>5419.0527458905462</v>
      </c>
      <c r="X815" s="97">
        <f t="shared" si="156"/>
        <v>5624.9767502343875</v>
      </c>
      <c r="Y815" s="97">
        <v>6172.2</v>
      </c>
      <c r="Z815" s="97">
        <f t="shared" si="153"/>
        <v>6519.0776400000004</v>
      </c>
      <c r="AA815" s="97">
        <f t="shared" si="154"/>
        <v>7374.3806263680008</v>
      </c>
    </row>
    <row r="816" spans="1:27" x14ac:dyDescent="0.25">
      <c r="A816" s="86" t="s">
        <v>1946</v>
      </c>
      <c r="B816" s="98" t="s">
        <v>1947</v>
      </c>
      <c r="C816" s="88" t="s">
        <v>226</v>
      </c>
      <c r="D816" s="89" t="s">
        <v>262</v>
      </c>
      <c r="E816" s="90">
        <f t="shared" si="161"/>
        <v>1029</v>
      </c>
      <c r="F816" s="90">
        <f t="shared" si="160"/>
        <v>864.53806118400007</v>
      </c>
      <c r="G816" s="91">
        <v>0.19</v>
      </c>
      <c r="H816" s="91" t="s">
        <v>228</v>
      </c>
      <c r="I816" s="91" t="s">
        <v>228</v>
      </c>
      <c r="J816" s="91"/>
      <c r="K816" s="91" t="s">
        <v>228</v>
      </c>
      <c r="L816" s="92" t="s">
        <v>1768</v>
      </c>
      <c r="M816" s="91" t="str">
        <f t="shared" si="163"/>
        <v>VER ARCHIVO ANEXO</v>
      </c>
      <c r="N816" s="93">
        <v>41608</v>
      </c>
      <c r="O816" s="94">
        <v>701</v>
      </c>
      <c r="P816" s="94" t="s">
        <v>1443</v>
      </c>
      <c r="Q816" s="94">
        <v>673</v>
      </c>
      <c r="R816" s="95">
        <f t="shared" si="152"/>
        <v>864.53806118400007</v>
      </c>
      <c r="S816" s="94">
        <v>523.48299999999995</v>
      </c>
      <c r="T816" s="94">
        <f t="shared" si="157"/>
        <v>558.92279910000002</v>
      </c>
      <c r="U816" s="94">
        <f t="shared" si="158"/>
        <v>591.06086004825011</v>
      </c>
      <c r="V816" s="94">
        <f t="shared" si="159"/>
        <v>615.23524922422348</v>
      </c>
      <c r="W816" s="97">
        <f t="shared" si="155"/>
        <v>634.79973014955385</v>
      </c>
      <c r="X816" s="97">
        <f t="shared" si="156"/>
        <v>658.92211989523696</v>
      </c>
      <c r="Y816" s="97">
        <v>723.6</v>
      </c>
      <c r="Z816" s="97">
        <f t="shared" si="153"/>
        <v>764.26632000000006</v>
      </c>
      <c r="AA816" s="97">
        <f t="shared" si="154"/>
        <v>864.53806118400007</v>
      </c>
    </row>
    <row r="817" spans="1:27" x14ac:dyDescent="0.25">
      <c r="A817" s="86" t="s">
        <v>1948</v>
      </c>
      <c r="B817" s="98" t="s">
        <v>1949</v>
      </c>
      <c r="C817" s="88" t="s">
        <v>226</v>
      </c>
      <c r="D817" s="89" t="s">
        <v>262</v>
      </c>
      <c r="E817" s="90">
        <f t="shared" si="161"/>
        <v>1739</v>
      </c>
      <c r="F817" s="90">
        <f t="shared" si="160"/>
        <v>1461.327394464</v>
      </c>
      <c r="G817" s="91">
        <v>0.19</v>
      </c>
      <c r="H817" s="91" t="s">
        <v>228</v>
      </c>
      <c r="I817" s="91" t="s">
        <v>228</v>
      </c>
      <c r="J817" s="91"/>
      <c r="K817" s="91" t="s">
        <v>228</v>
      </c>
      <c r="L817" s="92" t="s">
        <v>1768</v>
      </c>
      <c r="M817" s="91" t="str">
        <f t="shared" si="163"/>
        <v>VER ARCHIVO ANEXO</v>
      </c>
      <c r="N817" s="93">
        <v>41608</v>
      </c>
      <c r="O817" s="94">
        <v>1184</v>
      </c>
      <c r="P817" s="94" t="s">
        <v>1443</v>
      </c>
      <c r="Q817" s="94">
        <v>674</v>
      </c>
      <c r="R817" s="95">
        <f t="shared" si="152"/>
        <v>1461.327394464</v>
      </c>
      <c r="S817" s="94">
        <v>884.21979999999996</v>
      </c>
      <c r="T817" s="94">
        <f t="shared" si="157"/>
        <v>944.08148046000008</v>
      </c>
      <c r="U817" s="94">
        <f t="shared" si="158"/>
        <v>998.36616558645017</v>
      </c>
      <c r="V817" s="94">
        <f t="shared" si="159"/>
        <v>1039.1993417589358</v>
      </c>
      <c r="W817" s="97">
        <f t="shared" si="155"/>
        <v>1072.24588082687</v>
      </c>
      <c r="X817" s="97">
        <f t="shared" si="156"/>
        <v>1112.9912242982912</v>
      </c>
      <c r="Y817" s="97">
        <v>1223.1000000000001</v>
      </c>
      <c r="Z817" s="97">
        <f t="shared" si="153"/>
        <v>1291.8382200000001</v>
      </c>
      <c r="AA817" s="97">
        <f t="shared" si="154"/>
        <v>1461.327394464</v>
      </c>
    </row>
    <row r="818" spans="1:27" x14ac:dyDescent="0.25">
      <c r="A818" s="86" t="s">
        <v>1950</v>
      </c>
      <c r="B818" s="87" t="s">
        <v>1951</v>
      </c>
      <c r="C818" s="88" t="s">
        <v>226</v>
      </c>
      <c r="D818" s="89" t="s">
        <v>262</v>
      </c>
      <c r="E818" s="90">
        <f t="shared" si="161"/>
        <v>180091</v>
      </c>
      <c r="F818" s="90">
        <f t="shared" si="160"/>
        <v>151337.10123209163</v>
      </c>
      <c r="G818" s="91">
        <v>0.19</v>
      </c>
      <c r="H818" s="91" t="s">
        <v>228</v>
      </c>
      <c r="I818" s="91" t="s">
        <v>228</v>
      </c>
      <c r="J818" s="91"/>
      <c r="K818" s="91" t="s">
        <v>228</v>
      </c>
      <c r="L818" s="92" t="s">
        <v>1879</v>
      </c>
      <c r="M818" s="91" t="str">
        <f t="shared" si="163"/>
        <v>VER ARCHIVO ANEXO</v>
      </c>
      <c r="N818" s="93">
        <v>41608</v>
      </c>
      <c r="O818" s="94">
        <v>132381</v>
      </c>
      <c r="P818" s="94" t="s">
        <v>1443</v>
      </c>
      <c r="Q818" s="94">
        <v>675</v>
      </c>
      <c r="R818" s="95">
        <f t="shared" si="152"/>
        <v>151337.10123209163</v>
      </c>
      <c r="S818" s="94">
        <v>99035.727400000003</v>
      </c>
      <c r="T818" s="94">
        <f t="shared" si="157"/>
        <v>105740.44614498001</v>
      </c>
      <c r="U818" s="94">
        <f t="shared" si="158"/>
        <v>111820.52179831637</v>
      </c>
      <c r="V818" s="94">
        <f t="shared" si="159"/>
        <v>116393.98113986751</v>
      </c>
      <c r="W818" s="97">
        <f t="shared" si="155"/>
        <v>120095.30974011531</v>
      </c>
      <c r="X818" s="97">
        <f t="shared" si="156"/>
        <v>124658.93151023969</v>
      </c>
      <c r="Y818" s="97">
        <f t="shared" si="162"/>
        <v>126665.94030755456</v>
      </c>
      <c r="Z818" s="97">
        <f t="shared" si="153"/>
        <v>133784.56615283914</v>
      </c>
      <c r="AA818" s="97">
        <f t="shared" si="154"/>
        <v>151337.10123209163</v>
      </c>
    </row>
    <row r="819" spans="1:27" x14ac:dyDescent="0.25">
      <c r="A819" s="86" t="s">
        <v>1952</v>
      </c>
      <c r="B819" s="87" t="s">
        <v>1953</v>
      </c>
      <c r="C819" s="88" t="s">
        <v>226</v>
      </c>
      <c r="D819" s="89" t="s">
        <v>262</v>
      </c>
      <c r="E819" s="90">
        <f t="shared" si="161"/>
        <v>2194</v>
      </c>
      <c r="F819" s="90">
        <f t="shared" si="160"/>
        <v>1843.8165129858451</v>
      </c>
      <c r="G819" s="91">
        <v>0.19</v>
      </c>
      <c r="H819" s="91" t="s">
        <v>228</v>
      </c>
      <c r="I819" s="91" t="s">
        <v>228</v>
      </c>
      <c r="J819" s="91"/>
      <c r="K819" s="91" t="s">
        <v>228</v>
      </c>
      <c r="L819" s="92" t="s">
        <v>1765</v>
      </c>
      <c r="M819" s="91" t="str">
        <f t="shared" si="163"/>
        <v>VER ARCHIVO ANEXO</v>
      </c>
      <c r="N819" s="93">
        <v>41608</v>
      </c>
      <c r="O819" s="94"/>
      <c r="P819" s="94"/>
      <c r="Q819" s="94">
        <v>676</v>
      </c>
      <c r="R819" s="95">
        <f t="shared" si="152"/>
        <v>1843.8165129858451</v>
      </c>
      <c r="S819" s="94">
        <v>1206.6024</v>
      </c>
      <c r="T819" s="94">
        <f t="shared" si="157"/>
        <v>1288.2893824800001</v>
      </c>
      <c r="U819" s="94">
        <f t="shared" si="158"/>
        <v>1362.3660219726003</v>
      </c>
      <c r="V819" s="94">
        <f t="shared" si="159"/>
        <v>1418.0867922712796</v>
      </c>
      <c r="W819" s="97">
        <f t="shared" si="155"/>
        <v>1463.1819522655064</v>
      </c>
      <c r="X819" s="97">
        <f t="shared" si="156"/>
        <v>1518.7828664515957</v>
      </c>
      <c r="Y819" s="97">
        <f t="shared" si="162"/>
        <v>1543.2352706014665</v>
      </c>
      <c r="Z819" s="97">
        <f t="shared" si="153"/>
        <v>1629.965092809269</v>
      </c>
      <c r="AA819" s="97">
        <f t="shared" si="154"/>
        <v>1843.8165129858451</v>
      </c>
    </row>
    <row r="820" spans="1:27" x14ac:dyDescent="0.25">
      <c r="A820" s="102" t="s">
        <v>1954</v>
      </c>
      <c r="B820" s="116" t="s">
        <v>1955</v>
      </c>
      <c r="C820" s="88" t="s">
        <v>226</v>
      </c>
      <c r="D820" s="89" t="s">
        <v>262</v>
      </c>
      <c r="E820" s="90">
        <f t="shared" si="161"/>
        <v>226636</v>
      </c>
      <c r="F820" s="90">
        <f t="shared" si="160"/>
        <v>190450.08863642701</v>
      </c>
      <c r="G820" s="91">
        <v>0.19</v>
      </c>
      <c r="H820" s="91" t="s">
        <v>228</v>
      </c>
      <c r="I820" s="91" t="s">
        <v>228</v>
      </c>
      <c r="J820" s="91"/>
      <c r="K820" s="91" t="s">
        <v>228</v>
      </c>
      <c r="L820" s="92" t="s">
        <v>302</v>
      </c>
      <c r="M820" s="91" t="str">
        <f t="shared" si="163"/>
        <v>no aplica</v>
      </c>
      <c r="N820" s="93">
        <v>41608</v>
      </c>
      <c r="O820" s="94"/>
      <c r="P820" s="94"/>
      <c r="Q820" s="94">
        <v>677</v>
      </c>
      <c r="R820" s="95">
        <f t="shared" si="152"/>
        <v>190450.08863642701</v>
      </c>
      <c r="S820" s="94">
        <v>124631.4546</v>
      </c>
      <c r="T820" s="94">
        <f t="shared" si="157"/>
        <v>133069.00407642001</v>
      </c>
      <c r="U820" s="94">
        <f t="shared" si="158"/>
        <v>140720.47181081417</v>
      </c>
      <c r="V820" s="94">
        <f t="shared" si="159"/>
        <v>146475.93910787645</v>
      </c>
      <c r="W820" s="97">
        <f t="shared" si="155"/>
        <v>151133.87397150692</v>
      </c>
      <c r="X820" s="97">
        <f t="shared" si="156"/>
        <v>156876.96118242419</v>
      </c>
      <c r="Y820" s="97">
        <f t="shared" si="162"/>
        <v>159402.68025746121</v>
      </c>
      <c r="Z820" s="97">
        <f t="shared" si="153"/>
        <v>168361.11088793052</v>
      </c>
      <c r="AA820" s="97">
        <f t="shared" si="154"/>
        <v>190450.08863642701</v>
      </c>
    </row>
    <row r="821" spans="1:27" x14ac:dyDescent="0.25">
      <c r="A821" s="102" t="s">
        <v>1956</v>
      </c>
      <c r="B821" s="116" t="s">
        <v>1957</v>
      </c>
      <c r="C821" s="88" t="s">
        <v>226</v>
      </c>
      <c r="D821" s="89" t="s">
        <v>262</v>
      </c>
      <c r="E821" s="90">
        <f t="shared" si="161"/>
        <v>253519</v>
      </c>
      <c r="F821" s="90">
        <f t="shared" si="160"/>
        <v>213041.59302491855</v>
      </c>
      <c r="G821" s="91">
        <v>0.19</v>
      </c>
      <c r="H821" s="91" t="s">
        <v>228</v>
      </c>
      <c r="I821" s="91" t="s">
        <v>228</v>
      </c>
      <c r="J821" s="91"/>
      <c r="K821" s="91" t="s">
        <v>228</v>
      </c>
      <c r="L821" s="92" t="s">
        <v>302</v>
      </c>
      <c r="M821" s="91" t="str">
        <f t="shared" si="163"/>
        <v>no aplica</v>
      </c>
      <c r="N821" s="93">
        <v>41608</v>
      </c>
      <c r="O821" s="94"/>
      <c r="P821" s="94"/>
      <c r="Q821" s="94">
        <v>678</v>
      </c>
      <c r="R821" s="95">
        <f t="shared" si="152"/>
        <v>213041.59302491855</v>
      </c>
      <c r="S821" s="94">
        <v>139415.44380000001</v>
      </c>
      <c r="T821" s="94">
        <f t="shared" si="157"/>
        <v>148853.86934526003</v>
      </c>
      <c r="U821" s="94">
        <f t="shared" si="158"/>
        <v>157412.9668326125</v>
      </c>
      <c r="V821" s="94">
        <f t="shared" si="159"/>
        <v>163851.15717606634</v>
      </c>
      <c r="W821" s="97">
        <f t="shared" si="155"/>
        <v>169061.62397426524</v>
      </c>
      <c r="X821" s="97">
        <f t="shared" si="156"/>
        <v>175485.96568528732</v>
      </c>
      <c r="Y821" s="97">
        <f t="shared" si="162"/>
        <v>178311.28973282044</v>
      </c>
      <c r="Z821" s="97">
        <f t="shared" si="153"/>
        <v>188332.38421580495</v>
      </c>
      <c r="AA821" s="97">
        <f t="shared" si="154"/>
        <v>213041.59302491855</v>
      </c>
    </row>
    <row r="822" spans="1:27" x14ac:dyDescent="0.25">
      <c r="A822" s="86" t="s">
        <v>1958</v>
      </c>
      <c r="B822" s="87" t="s">
        <v>1959</v>
      </c>
      <c r="C822" s="88" t="s">
        <v>226</v>
      </c>
      <c r="D822" s="89" t="s">
        <v>255</v>
      </c>
      <c r="E822" s="90">
        <f t="shared" si="161"/>
        <v>33960</v>
      </c>
      <c r="F822" s="90">
        <f t="shared" si="160"/>
        <v>28537.971046351347</v>
      </c>
      <c r="G822" s="91">
        <v>0.19</v>
      </c>
      <c r="H822" s="91" t="s">
        <v>228</v>
      </c>
      <c r="I822" s="91" t="s">
        <v>228</v>
      </c>
      <c r="J822" s="91"/>
      <c r="K822" s="91" t="s">
        <v>228</v>
      </c>
      <c r="L822" s="92" t="s">
        <v>1960</v>
      </c>
      <c r="M822" s="91" t="str">
        <f t="shared" si="163"/>
        <v>VER ARCHIVO ANEXO</v>
      </c>
      <c r="N822" s="93">
        <v>41608</v>
      </c>
      <c r="O822" s="94"/>
      <c r="P822" s="94"/>
      <c r="Q822" s="94">
        <v>679</v>
      </c>
      <c r="R822" s="95">
        <f t="shared" si="152"/>
        <v>28537.971046351347</v>
      </c>
      <c r="S822" s="94">
        <v>18675.385599999998</v>
      </c>
      <c r="T822" s="94">
        <f t="shared" si="157"/>
        <v>19939.709205119998</v>
      </c>
      <c r="U822" s="94">
        <f t="shared" si="158"/>
        <v>21086.242484414401</v>
      </c>
      <c r="V822" s="94">
        <f t="shared" si="159"/>
        <v>21948.669802026947</v>
      </c>
      <c r="W822" s="97">
        <f t="shared" si="155"/>
        <v>22646.637501731406</v>
      </c>
      <c r="X822" s="97">
        <f t="shared" si="156"/>
        <v>23507.209726797199</v>
      </c>
      <c r="Y822" s="97">
        <f t="shared" si="162"/>
        <v>23885.675803398633</v>
      </c>
      <c r="Z822" s="97">
        <f t="shared" si="153"/>
        <v>25228.050783549636</v>
      </c>
      <c r="AA822" s="97">
        <f t="shared" si="154"/>
        <v>28537.971046351347</v>
      </c>
    </row>
    <row r="823" spans="1:27" x14ac:dyDescent="0.25">
      <c r="A823" s="102" t="s">
        <v>1961</v>
      </c>
      <c r="B823" s="87" t="s">
        <v>1962</v>
      </c>
      <c r="C823" s="88" t="s">
        <v>226</v>
      </c>
      <c r="D823" s="89" t="s">
        <v>255</v>
      </c>
      <c r="E823" s="90">
        <f t="shared" si="161"/>
        <v>33960</v>
      </c>
      <c r="F823" s="90">
        <f t="shared" si="160"/>
        <v>28537.971046351347</v>
      </c>
      <c r="G823" s="91">
        <v>0.19</v>
      </c>
      <c r="H823" s="91" t="s">
        <v>228</v>
      </c>
      <c r="I823" s="91" t="s">
        <v>228</v>
      </c>
      <c r="J823" s="91"/>
      <c r="K823" s="91" t="s">
        <v>228</v>
      </c>
      <c r="L823" s="92" t="s">
        <v>1960</v>
      </c>
      <c r="M823" s="91" t="str">
        <f t="shared" si="163"/>
        <v>VER ARCHIVO ANEXO</v>
      </c>
      <c r="N823" s="93">
        <v>41608</v>
      </c>
      <c r="O823" s="94"/>
      <c r="P823" s="94"/>
      <c r="Q823" s="94">
        <v>680</v>
      </c>
      <c r="R823" s="95">
        <f t="shared" si="152"/>
        <v>28537.971046351347</v>
      </c>
      <c r="S823" s="94">
        <v>18675.385599999998</v>
      </c>
      <c r="T823" s="94">
        <f t="shared" si="157"/>
        <v>19939.709205119998</v>
      </c>
      <c r="U823" s="94">
        <f t="shared" si="158"/>
        <v>21086.242484414401</v>
      </c>
      <c r="V823" s="94">
        <f t="shared" si="159"/>
        <v>21948.669802026947</v>
      </c>
      <c r="W823" s="97">
        <f t="shared" si="155"/>
        <v>22646.637501731406</v>
      </c>
      <c r="X823" s="97">
        <f t="shared" si="156"/>
        <v>23507.209726797199</v>
      </c>
      <c r="Y823" s="97">
        <f t="shared" si="162"/>
        <v>23885.675803398633</v>
      </c>
      <c r="Z823" s="97">
        <f t="shared" si="153"/>
        <v>25228.050783549636</v>
      </c>
      <c r="AA823" s="97">
        <f t="shared" si="154"/>
        <v>28537.971046351347</v>
      </c>
    </row>
    <row r="824" spans="1:27" x14ac:dyDescent="0.25">
      <c r="A824" s="102" t="s">
        <v>1963</v>
      </c>
      <c r="B824" s="87" t="s">
        <v>1964</v>
      </c>
      <c r="C824" s="88" t="s">
        <v>226</v>
      </c>
      <c r="D824" s="89" t="s">
        <v>255</v>
      </c>
      <c r="E824" s="90">
        <f t="shared" si="161"/>
        <v>21453</v>
      </c>
      <c r="F824" s="90">
        <f t="shared" si="160"/>
        <v>18027.900115371045</v>
      </c>
      <c r="G824" s="91">
        <v>0.19</v>
      </c>
      <c r="H824" s="91" t="s">
        <v>228</v>
      </c>
      <c r="I824" s="91" t="s">
        <v>228</v>
      </c>
      <c r="J824" s="91"/>
      <c r="K824" s="91" t="s">
        <v>228</v>
      </c>
      <c r="L824" s="92" t="s">
        <v>1960</v>
      </c>
      <c r="M824" s="91" t="str">
        <f t="shared" si="163"/>
        <v>VER ARCHIVO ANEXO</v>
      </c>
      <c r="N824" s="93">
        <v>41608</v>
      </c>
      <c r="O824" s="94"/>
      <c r="P824" s="94"/>
      <c r="Q824" s="94">
        <v>681</v>
      </c>
      <c r="R824" s="95">
        <f t="shared" si="152"/>
        <v>18027.900115371045</v>
      </c>
      <c r="S824" s="94">
        <v>11797.544599999999</v>
      </c>
      <c r="T824" s="94">
        <f t="shared" si="157"/>
        <v>12596.23836942</v>
      </c>
      <c r="U824" s="94">
        <f t="shared" si="158"/>
        <v>13320.522075661651</v>
      </c>
      <c r="V824" s="94">
        <f t="shared" si="159"/>
        <v>13865.331428556212</v>
      </c>
      <c r="W824" s="97">
        <f t="shared" si="155"/>
        <v>14306.2489679843</v>
      </c>
      <c r="X824" s="97">
        <f t="shared" si="156"/>
        <v>14849.886428767704</v>
      </c>
      <c r="Y824" s="97">
        <f t="shared" si="162"/>
        <v>15088.969600270864</v>
      </c>
      <c r="Z824" s="97">
        <f t="shared" si="153"/>
        <v>15936.969691806087</v>
      </c>
      <c r="AA824" s="97">
        <f t="shared" si="154"/>
        <v>18027.900115371045</v>
      </c>
    </row>
    <row r="825" spans="1:27" x14ac:dyDescent="0.25">
      <c r="A825" s="102" t="s">
        <v>1965</v>
      </c>
      <c r="B825" s="87" t="s">
        <v>1966</v>
      </c>
      <c r="C825" s="88" t="s">
        <v>226</v>
      </c>
      <c r="D825" s="89" t="s">
        <v>255</v>
      </c>
      <c r="E825" s="90">
        <f t="shared" si="161"/>
        <v>58976</v>
      </c>
      <c r="F825" s="90">
        <f t="shared" si="160"/>
        <v>49559.696943116935</v>
      </c>
      <c r="G825" s="91">
        <v>0.19</v>
      </c>
      <c r="H825" s="91" t="s">
        <v>228</v>
      </c>
      <c r="I825" s="91" t="s">
        <v>228</v>
      </c>
      <c r="J825" s="91"/>
      <c r="K825" s="91" t="s">
        <v>228</v>
      </c>
      <c r="L825" s="92" t="s">
        <v>1960</v>
      </c>
      <c r="M825" s="91" t="str">
        <f t="shared" si="163"/>
        <v>VER ARCHIVO ANEXO</v>
      </c>
      <c r="N825" s="93">
        <v>41608</v>
      </c>
      <c r="O825" s="94"/>
      <c r="P825" s="94"/>
      <c r="Q825" s="94">
        <v>682</v>
      </c>
      <c r="R825" s="95">
        <f t="shared" si="152"/>
        <v>49559.696943116935</v>
      </c>
      <c r="S825" s="94">
        <v>32432.104199999998</v>
      </c>
      <c r="T825" s="94">
        <f t="shared" si="157"/>
        <v>34627.757654339999</v>
      </c>
      <c r="U825" s="94">
        <f t="shared" si="158"/>
        <v>36618.853719464554</v>
      </c>
      <c r="V825" s="94">
        <f t="shared" si="159"/>
        <v>38116.564836590653</v>
      </c>
      <c r="W825" s="97">
        <f t="shared" si="155"/>
        <v>39328.671598394234</v>
      </c>
      <c r="X825" s="97">
        <f t="shared" si="156"/>
        <v>40823.161119133219</v>
      </c>
      <c r="Y825" s="97">
        <f t="shared" si="162"/>
        <v>41480.414013151261</v>
      </c>
      <c r="Z825" s="97">
        <f t="shared" si="153"/>
        <v>43811.613280690362</v>
      </c>
      <c r="AA825" s="97">
        <f t="shared" si="154"/>
        <v>49559.696943116935</v>
      </c>
    </row>
    <row r="826" spans="1:27" x14ac:dyDescent="0.25">
      <c r="A826" s="102" t="s">
        <v>1967</v>
      </c>
      <c r="B826" s="87" t="s">
        <v>1968</v>
      </c>
      <c r="C826" s="88" t="s">
        <v>226</v>
      </c>
      <c r="D826" s="89" t="s">
        <v>255</v>
      </c>
      <c r="E826" s="90">
        <f t="shared" si="161"/>
        <v>43985</v>
      </c>
      <c r="F826" s="90">
        <f t="shared" si="160"/>
        <v>36961.86813918531</v>
      </c>
      <c r="G826" s="91">
        <v>0.19</v>
      </c>
      <c r="H826" s="91" t="s">
        <v>228</v>
      </c>
      <c r="I826" s="91" t="s">
        <v>228</v>
      </c>
      <c r="J826" s="91"/>
      <c r="K826" s="91" t="s">
        <v>228</v>
      </c>
      <c r="L826" s="92" t="s">
        <v>1960</v>
      </c>
      <c r="M826" s="91" t="str">
        <f t="shared" si="163"/>
        <v>VER ARCHIVO ANEXO</v>
      </c>
      <c r="N826" s="93">
        <v>41608</v>
      </c>
      <c r="O826" s="94"/>
      <c r="P826" s="94"/>
      <c r="Q826" s="94">
        <v>683</v>
      </c>
      <c r="R826" s="95">
        <f t="shared" si="152"/>
        <v>36961.86813918531</v>
      </c>
      <c r="S826" s="94">
        <v>24188.024399999998</v>
      </c>
      <c r="T826" s="94">
        <f t="shared" si="157"/>
        <v>25825.55365188</v>
      </c>
      <c r="U826" s="94">
        <f t="shared" si="158"/>
        <v>27310.522986863103</v>
      </c>
      <c r="V826" s="94">
        <f t="shared" si="159"/>
        <v>28427.523377025802</v>
      </c>
      <c r="W826" s="97">
        <f t="shared" si="155"/>
        <v>29331.518620415223</v>
      </c>
      <c r="X826" s="97">
        <f t="shared" si="156"/>
        <v>30446.116327991003</v>
      </c>
      <c r="Y826" s="97">
        <f t="shared" si="162"/>
        <v>30936.29880087166</v>
      </c>
      <c r="Z826" s="97">
        <f t="shared" si="153"/>
        <v>32674.918793480647</v>
      </c>
      <c r="AA826" s="97">
        <f t="shared" si="154"/>
        <v>36961.86813918531</v>
      </c>
    </row>
    <row r="827" spans="1:27" x14ac:dyDescent="0.25">
      <c r="A827" s="102" t="s">
        <v>1969</v>
      </c>
      <c r="B827" s="87" t="s">
        <v>1970</v>
      </c>
      <c r="C827" s="88" t="s">
        <v>226</v>
      </c>
      <c r="D827" s="89" t="s">
        <v>255</v>
      </c>
      <c r="E827" s="90">
        <f t="shared" si="161"/>
        <v>43985</v>
      </c>
      <c r="F827" s="90">
        <f t="shared" si="160"/>
        <v>36961.86813918531</v>
      </c>
      <c r="G827" s="91">
        <v>0.19</v>
      </c>
      <c r="H827" s="91" t="s">
        <v>228</v>
      </c>
      <c r="I827" s="91" t="s">
        <v>228</v>
      </c>
      <c r="J827" s="91"/>
      <c r="K827" s="91" t="s">
        <v>228</v>
      </c>
      <c r="L827" s="92" t="s">
        <v>1960</v>
      </c>
      <c r="M827" s="91" t="str">
        <f t="shared" si="163"/>
        <v>VER ARCHIVO ANEXO</v>
      </c>
      <c r="N827" s="93">
        <v>41608</v>
      </c>
      <c r="O827" s="94"/>
      <c r="P827" s="94"/>
      <c r="Q827" s="94">
        <v>684</v>
      </c>
      <c r="R827" s="95">
        <f t="shared" si="152"/>
        <v>36961.86813918531</v>
      </c>
      <c r="S827" s="94">
        <v>24188.024399999998</v>
      </c>
      <c r="T827" s="94">
        <f t="shared" si="157"/>
        <v>25825.55365188</v>
      </c>
      <c r="U827" s="94">
        <f t="shared" si="158"/>
        <v>27310.522986863103</v>
      </c>
      <c r="V827" s="94">
        <f t="shared" si="159"/>
        <v>28427.523377025802</v>
      </c>
      <c r="W827" s="97">
        <f t="shared" si="155"/>
        <v>29331.518620415223</v>
      </c>
      <c r="X827" s="97">
        <f t="shared" si="156"/>
        <v>30446.116327991003</v>
      </c>
      <c r="Y827" s="97">
        <f t="shared" si="162"/>
        <v>30936.29880087166</v>
      </c>
      <c r="Z827" s="97">
        <f t="shared" si="153"/>
        <v>32674.918793480647</v>
      </c>
      <c r="AA827" s="97">
        <f t="shared" si="154"/>
        <v>36961.86813918531</v>
      </c>
    </row>
    <row r="828" spans="1:27" x14ac:dyDescent="0.25">
      <c r="A828" s="102" t="s">
        <v>1971</v>
      </c>
      <c r="B828" s="87" t="s">
        <v>1972</v>
      </c>
      <c r="C828" s="88" t="s">
        <v>226</v>
      </c>
      <c r="D828" s="89" t="s">
        <v>255</v>
      </c>
      <c r="E828" s="90">
        <f t="shared" si="161"/>
        <v>43985</v>
      </c>
      <c r="F828" s="90">
        <f t="shared" si="160"/>
        <v>36961.86813918531</v>
      </c>
      <c r="G828" s="91">
        <v>0.19</v>
      </c>
      <c r="H828" s="91" t="s">
        <v>228</v>
      </c>
      <c r="I828" s="91" t="s">
        <v>228</v>
      </c>
      <c r="J828" s="91"/>
      <c r="K828" s="91" t="s">
        <v>228</v>
      </c>
      <c r="L828" s="92" t="s">
        <v>1960</v>
      </c>
      <c r="M828" s="91" t="str">
        <f t="shared" si="163"/>
        <v>VER ARCHIVO ANEXO</v>
      </c>
      <c r="N828" s="93">
        <v>41608</v>
      </c>
      <c r="O828" s="94"/>
      <c r="P828" s="94"/>
      <c r="Q828" s="94">
        <v>685</v>
      </c>
      <c r="R828" s="95">
        <f t="shared" si="152"/>
        <v>36961.86813918531</v>
      </c>
      <c r="S828" s="94">
        <v>24188.024399999998</v>
      </c>
      <c r="T828" s="94">
        <f t="shared" si="157"/>
        <v>25825.55365188</v>
      </c>
      <c r="U828" s="94">
        <f t="shared" si="158"/>
        <v>27310.522986863103</v>
      </c>
      <c r="V828" s="94">
        <f t="shared" si="159"/>
        <v>28427.523377025802</v>
      </c>
      <c r="W828" s="97">
        <f t="shared" si="155"/>
        <v>29331.518620415223</v>
      </c>
      <c r="X828" s="97">
        <f t="shared" si="156"/>
        <v>30446.116327991003</v>
      </c>
      <c r="Y828" s="97">
        <f t="shared" si="162"/>
        <v>30936.29880087166</v>
      </c>
      <c r="Z828" s="97">
        <f t="shared" si="153"/>
        <v>32674.918793480647</v>
      </c>
      <c r="AA828" s="97">
        <f t="shared" si="154"/>
        <v>36961.86813918531</v>
      </c>
    </row>
    <row r="829" spans="1:27" x14ac:dyDescent="0.25">
      <c r="A829" s="102" t="s">
        <v>1973</v>
      </c>
      <c r="B829" s="87" t="s">
        <v>1974</v>
      </c>
      <c r="C829" s="128" t="s">
        <v>226</v>
      </c>
      <c r="D829" s="89" t="s">
        <v>255</v>
      </c>
      <c r="E829" s="90">
        <f t="shared" si="161"/>
        <v>72725</v>
      </c>
      <c r="F829" s="90">
        <f t="shared" si="160"/>
        <v>61113.646810572907</v>
      </c>
      <c r="G829" s="91">
        <v>0.19</v>
      </c>
      <c r="H829" s="91" t="s">
        <v>228</v>
      </c>
      <c r="I829" s="91" t="s">
        <v>228</v>
      </c>
      <c r="J829" s="91"/>
      <c r="K829" s="91" t="s">
        <v>228</v>
      </c>
      <c r="L829" s="92" t="s">
        <v>1960</v>
      </c>
      <c r="M829" s="91" t="str">
        <f t="shared" si="163"/>
        <v>VER ARCHIVO ANEXO</v>
      </c>
      <c r="N829" s="93">
        <v>41608</v>
      </c>
      <c r="O829" s="94"/>
      <c r="P829" s="94"/>
      <c r="Q829" s="94">
        <v>686</v>
      </c>
      <c r="R829" s="95">
        <f t="shared" si="152"/>
        <v>61113.646810572907</v>
      </c>
      <c r="S829" s="94">
        <v>39993.064599999998</v>
      </c>
      <c r="T829" s="94">
        <f t="shared" si="157"/>
        <v>42700.595073420001</v>
      </c>
      <c r="U829" s="94">
        <f t="shared" si="158"/>
        <v>45155.879290141653</v>
      </c>
      <c r="V829" s="94">
        <f t="shared" si="159"/>
        <v>47002.754753108442</v>
      </c>
      <c r="W829" s="97">
        <f t="shared" si="155"/>
        <v>48497.442354257291</v>
      </c>
      <c r="X829" s="97">
        <f t="shared" si="156"/>
        <v>50340.345163719066</v>
      </c>
      <c r="Y829" s="97">
        <f t="shared" si="162"/>
        <v>51150.824720854944</v>
      </c>
      <c r="Z829" s="97">
        <f t="shared" si="153"/>
        <v>54025.501070166996</v>
      </c>
      <c r="AA829" s="97">
        <f t="shared" si="154"/>
        <v>61113.646810572907</v>
      </c>
    </row>
    <row r="830" spans="1:27" x14ac:dyDescent="0.25">
      <c r="A830" s="102" t="s">
        <v>1975</v>
      </c>
      <c r="B830" s="87" t="s">
        <v>1976</v>
      </c>
      <c r="C830" s="88" t="s">
        <v>226</v>
      </c>
      <c r="D830" s="89" t="s">
        <v>255</v>
      </c>
      <c r="E830" s="90">
        <f t="shared" si="161"/>
        <v>13666</v>
      </c>
      <c r="F830" s="90">
        <f t="shared" si="160"/>
        <v>11484.252336037262</v>
      </c>
      <c r="G830" s="91">
        <v>0.19</v>
      </c>
      <c r="H830" s="91" t="s">
        <v>228</v>
      </c>
      <c r="I830" s="91" t="s">
        <v>228</v>
      </c>
      <c r="J830" s="91"/>
      <c r="K830" s="91" t="s">
        <v>228</v>
      </c>
      <c r="L830" s="92" t="s">
        <v>1960</v>
      </c>
      <c r="M830" s="91" t="str">
        <f t="shared" si="163"/>
        <v>VER ARCHIVO ANEXO</v>
      </c>
      <c r="N830" s="93">
        <v>41608</v>
      </c>
      <c r="O830" s="94"/>
      <c r="P830" s="94"/>
      <c r="Q830" s="94">
        <v>687</v>
      </c>
      <c r="R830" s="95">
        <f t="shared" si="152"/>
        <v>11484.252336037262</v>
      </c>
      <c r="S830" s="94">
        <v>7515.3499999999995</v>
      </c>
      <c r="T830" s="94">
        <f t="shared" si="157"/>
        <v>8024.1391949999997</v>
      </c>
      <c r="U830" s="94">
        <f t="shared" si="158"/>
        <v>8485.5271987124997</v>
      </c>
      <c r="V830" s="94">
        <f t="shared" si="159"/>
        <v>8832.5852611398404</v>
      </c>
      <c r="W830" s="97">
        <f t="shared" si="155"/>
        <v>9113.4614724440871</v>
      </c>
      <c r="X830" s="97">
        <f t="shared" si="156"/>
        <v>9459.7730083969636</v>
      </c>
      <c r="Y830" s="97">
        <f t="shared" si="162"/>
        <v>9612.0753538321551</v>
      </c>
      <c r="Z830" s="97">
        <f t="shared" si="153"/>
        <v>10152.273988717523</v>
      </c>
      <c r="AA830" s="97">
        <f t="shared" si="154"/>
        <v>11484.252336037262</v>
      </c>
    </row>
    <row r="831" spans="1:27" x14ac:dyDescent="0.25">
      <c r="A831" s="102" t="s">
        <v>1977</v>
      </c>
      <c r="B831" s="87" t="s">
        <v>1978</v>
      </c>
      <c r="C831" s="88" t="s">
        <v>226</v>
      </c>
      <c r="D831" s="89" t="s">
        <v>255</v>
      </c>
      <c r="E831" s="90">
        <f t="shared" si="161"/>
        <v>13500</v>
      </c>
      <c r="F831" s="90">
        <f t="shared" si="160"/>
        <v>11344.857273199843</v>
      </c>
      <c r="G831" s="91">
        <v>0.19</v>
      </c>
      <c r="H831" s="91" t="s">
        <v>228</v>
      </c>
      <c r="I831" s="91" t="s">
        <v>228</v>
      </c>
      <c r="J831" s="91"/>
      <c r="K831" s="91" t="s">
        <v>228</v>
      </c>
      <c r="L831" s="92" t="s">
        <v>1960</v>
      </c>
      <c r="M831" s="91" t="str">
        <f t="shared" si="163"/>
        <v>VER ARCHIVO ANEXO</v>
      </c>
      <c r="N831" s="93">
        <v>41608</v>
      </c>
      <c r="O831" s="94"/>
      <c r="P831" s="94"/>
      <c r="Q831" s="94">
        <v>688</v>
      </c>
      <c r="R831" s="95">
        <f t="shared" si="152"/>
        <v>11344.857273199843</v>
      </c>
      <c r="S831" s="94">
        <v>7424.1291999999994</v>
      </c>
      <c r="T831" s="94">
        <f t="shared" si="157"/>
        <v>7926.7427468400001</v>
      </c>
      <c r="U831" s="94">
        <f t="shared" si="158"/>
        <v>8382.5304547833002</v>
      </c>
      <c r="V831" s="94">
        <f t="shared" si="159"/>
        <v>8725.3759503839374</v>
      </c>
      <c r="W831" s="97">
        <f t="shared" si="155"/>
        <v>9002.8429056061468</v>
      </c>
      <c r="X831" s="97">
        <f t="shared" si="156"/>
        <v>9344.9509360191805</v>
      </c>
      <c r="Y831" s="97">
        <f t="shared" si="162"/>
        <v>9495.4046460890895</v>
      </c>
      <c r="Z831" s="97">
        <f t="shared" si="153"/>
        <v>10029.046387199296</v>
      </c>
      <c r="AA831" s="97">
        <f t="shared" si="154"/>
        <v>11344.857273199843</v>
      </c>
    </row>
    <row r="832" spans="1:27" x14ac:dyDescent="0.25">
      <c r="A832" s="102" t="s">
        <v>1979</v>
      </c>
      <c r="B832" s="87" t="s">
        <v>1980</v>
      </c>
      <c r="C832" s="88" t="s">
        <v>226</v>
      </c>
      <c r="D832" s="89" t="s">
        <v>255</v>
      </c>
      <c r="E832" s="90">
        <f t="shared" si="161"/>
        <v>169810</v>
      </c>
      <c r="F832" s="90">
        <f t="shared" si="160"/>
        <v>142697.77540578161</v>
      </c>
      <c r="G832" s="91">
        <v>0.19</v>
      </c>
      <c r="H832" s="91" t="s">
        <v>228</v>
      </c>
      <c r="I832" s="91" t="s">
        <v>228</v>
      </c>
      <c r="J832" s="91"/>
      <c r="K832" s="91" t="s">
        <v>228</v>
      </c>
      <c r="L832" s="92" t="s">
        <v>1960</v>
      </c>
      <c r="M832" s="91" t="str">
        <f t="shared" si="163"/>
        <v>VER ARCHIVO ANEXO</v>
      </c>
      <c r="N832" s="93">
        <v>41608</v>
      </c>
      <c r="O832" s="94"/>
      <c r="P832" s="94"/>
      <c r="Q832" s="94">
        <v>689</v>
      </c>
      <c r="R832" s="95">
        <f t="shared" si="152"/>
        <v>142697.77540578161</v>
      </c>
      <c r="S832" s="94">
        <v>93382.11099999999</v>
      </c>
      <c r="T832" s="94">
        <f t="shared" si="157"/>
        <v>99704.079914699993</v>
      </c>
      <c r="U832" s="94">
        <f t="shared" si="158"/>
        <v>105437.06450979525</v>
      </c>
      <c r="V832" s="94">
        <f t="shared" si="159"/>
        <v>109749.44044824586</v>
      </c>
      <c r="W832" s="97">
        <f t="shared" si="155"/>
        <v>113239.47265450009</v>
      </c>
      <c r="X832" s="97">
        <f t="shared" si="156"/>
        <v>117542.5726153711</v>
      </c>
      <c r="Y832" s="97">
        <f t="shared" si="162"/>
        <v>119435.00803447858</v>
      </c>
      <c r="Z832" s="97">
        <f t="shared" si="153"/>
        <v>126147.25548601628</v>
      </c>
      <c r="AA832" s="97">
        <f t="shared" si="154"/>
        <v>142697.77540578161</v>
      </c>
    </row>
    <row r="833" spans="1:27" x14ac:dyDescent="0.25">
      <c r="A833" s="102" t="s">
        <v>1981</v>
      </c>
      <c r="B833" s="87" t="s">
        <v>1982</v>
      </c>
      <c r="C833" s="88" t="s">
        <v>226</v>
      </c>
      <c r="D833" s="89" t="s">
        <v>255</v>
      </c>
      <c r="E833" s="90">
        <f t="shared" si="161"/>
        <v>17973</v>
      </c>
      <c r="F833" s="90">
        <f t="shared" si="160"/>
        <v>15103.771865395216</v>
      </c>
      <c r="G833" s="91">
        <v>0.19</v>
      </c>
      <c r="H833" s="91" t="s">
        <v>228</v>
      </c>
      <c r="I833" s="91" t="s">
        <v>228</v>
      </c>
      <c r="J833" s="91"/>
      <c r="K833" s="91" t="s">
        <v>228</v>
      </c>
      <c r="L833" s="92" t="s">
        <v>1960</v>
      </c>
      <c r="M833" s="91" t="str">
        <f t="shared" si="163"/>
        <v>VER ARCHIVO ANEXO</v>
      </c>
      <c r="N833" s="93">
        <v>41608</v>
      </c>
      <c r="O833" s="94"/>
      <c r="P833" s="94"/>
      <c r="Q833" s="94">
        <v>690</v>
      </c>
      <c r="R833" s="95">
        <f t="shared" si="152"/>
        <v>15103.771865395216</v>
      </c>
      <c r="S833" s="94">
        <v>9883.9809999999998</v>
      </c>
      <c r="T833" s="94">
        <f t="shared" si="157"/>
        <v>10553.126513700001</v>
      </c>
      <c r="U833" s="94">
        <f t="shared" si="158"/>
        <v>11159.931288237753</v>
      </c>
      <c r="V833" s="94">
        <f t="shared" si="159"/>
        <v>11616.372477926676</v>
      </c>
      <c r="W833" s="97">
        <f t="shared" si="155"/>
        <v>11985.773122724744</v>
      </c>
      <c r="X833" s="97">
        <f t="shared" si="156"/>
        <v>12441.232501388286</v>
      </c>
      <c r="Y833" s="97">
        <f t="shared" si="162"/>
        <v>12641.536344660637</v>
      </c>
      <c r="Z833" s="97">
        <f t="shared" si="153"/>
        <v>13351.990687230566</v>
      </c>
      <c r="AA833" s="97">
        <f t="shared" si="154"/>
        <v>15103.771865395216</v>
      </c>
    </row>
    <row r="834" spans="1:27" x14ac:dyDescent="0.25">
      <c r="A834" s="102" t="s">
        <v>1983</v>
      </c>
      <c r="B834" s="87" t="s">
        <v>1984</v>
      </c>
      <c r="C834" s="88" t="s">
        <v>226</v>
      </c>
      <c r="D834" s="89" t="s">
        <v>255</v>
      </c>
      <c r="E834" s="90">
        <f t="shared" si="161"/>
        <v>241214</v>
      </c>
      <c r="F834" s="90">
        <f t="shared" si="160"/>
        <v>202701.01381807012</v>
      </c>
      <c r="G834" s="91">
        <v>0.19</v>
      </c>
      <c r="H834" s="91" t="s">
        <v>228</v>
      </c>
      <c r="I834" s="91" t="s">
        <v>228</v>
      </c>
      <c r="J834" s="91"/>
      <c r="K834" s="91" t="s">
        <v>228</v>
      </c>
      <c r="L834" s="92" t="s">
        <v>1960</v>
      </c>
      <c r="M834" s="91" t="str">
        <f t="shared" si="163"/>
        <v>VER ARCHIVO ANEXO</v>
      </c>
      <c r="N834" s="93">
        <v>41608</v>
      </c>
      <c r="O834" s="94"/>
      <c r="P834" s="94"/>
      <c r="Q834" s="94">
        <v>691</v>
      </c>
      <c r="R834" s="95">
        <f t="shared" si="152"/>
        <v>202701.01381807012</v>
      </c>
      <c r="S834" s="94">
        <v>132648.519</v>
      </c>
      <c r="T834" s="94">
        <f t="shared" si="157"/>
        <v>141628.82373630002</v>
      </c>
      <c r="U834" s="94">
        <f t="shared" si="158"/>
        <v>149772.48110113729</v>
      </c>
      <c r="V834" s="94">
        <f t="shared" si="159"/>
        <v>155898.1755781738</v>
      </c>
      <c r="W834" s="97">
        <f t="shared" si="155"/>
        <v>160855.73756155974</v>
      </c>
      <c r="X834" s="97">
        <f t="shared" si="156"/>
        <v>166968.25558889902</v>
      </c>
      <c r="Y834" s="97">
        <f t="shared" si="162"/>
        <v>169656.44450388028</v>
      </c>
      <c r="Z834" s="97">
        <f t="shared" si="153"/>
        <v>179191.13668499835</v>
      </c>
      <c r="AA834" s="97">
        <f t="shared" si="154"/>
        <v>202701.01381807012</v>
      </c>
    </row>
    <row r="835" spans="1:27" x14ac:dyDescent="0.25">
      <c r="A835" s="102" t="s">
        <v>1985</v>
      </c>
      <c r="B835" s="87" t="s">
        <v>1986</v>
      </c>
      <c r="C835" s="88" t="s">
        <v>226</v>
      </c>
      <c r="D835" s="89" t="s">
        <v>262</v>
      </c>
      <c r="E835" s="90">
        <f t="shared" si="161"/>
        <v>72836</v>
      </c>
      <c r="F835" s="90">
        <f t="shared" si="160"/>
        <v>61207.10486406619</v>
      </c>
      <c r="G835" s="91">
        <v>0.19</v>
      </c>
      <c r="H835" s="91" t="s">
        <v>228</v>
      </c>
      <c r="I835" s="91" t="s">
        <v>228</v>
      </c>
      <c r="J835" s="91"/>
      <c r="K835" s="91" t="s">
        <v>228</v>
      </c>
      <c r="L835" s="92" t="s">
        <v>1960</v>
      </c>
      <c r="M835" s="91" t="str">
        <f t="shared" si="163"/>
        <v>VER ARCHIVO ANEXO</v>
      </c>
      <c r="N835" s="93">
        <v>41608</v>
      </c>
      <c r="O835" s="94"/>
      <c r="P835" s="94"/>
      <c r="Q835" s="94">
        <v>692</v>
      </c>
      <c r="R835" s="95">
        <f t="shared" si="152"/>
        <v>61207.10486406619</v>
      </c>
      <c r="S835" s="94">
        <v>40054.224000000002</v>
      </c>
      <c r="T835" s="94">
        <f t="shared" si="157"/>
        <v>42765.894964800005</v>
      </c>
      <c r="U835" s="94">
        <f t="shared" si="158"/>
        <v>45224.933925276011</v>
      </c>
      <c r="V835" s="94">
        <f t="shared" si="159"/>
        <v>47074.633722819795</v>
      </c>
      <c r="W835" s="97">
        <f t="shared" si="155"/>
        <v>48571.607075205466</v>
      </c>
      <c r="X835" s="97">
        <f t="shared" si="156"/>
        <v>50417.328144063278</v>
      </c>
      <c r="Y835" s="97">
        <f t="shared" si="162"/>
        <v>51229.047127182697</v>
      </c>
      <c r="Z835" s="97">
        <f t="shared" si="153"/>
        <v>54108.119575730365</v>
      </c>
      <c r="AA835" s="97">
        <f t="shared" si="154"/>
        <v>61207.10486406619</v>
      </c>
    </row>
    <row r="836" spans="1:27" x14ac:dyDescent="0.25">
      <c r="A836" s="102" t="s">
        <v>1987</v>
      </c>
      <c r="B836" s="87" t="s">
        <v>1988</v>
      </c>
      <c r="C836" s="88" t="s">
        <v>226</v>
      </c>
      <c r="D836" s="89" t="s">
        <v>262</v>
      </c>
      <c r="E836" s="90">
        <f t="shared" si="161"/>
        <v>72836</v>
      </c>
      <c r="F836" s="90">
        <f t="shared" si="160"/>
        <v>61207.10486406619</v>
      </c>
      <c r="G836" s="91">
        <v>0.19</v>
      </c>
      <c r="H836" s="91" t="s">
        <v>228</v>
      </c>
      <c r="I836" s="91" t="s">
        <v>228</v>
      </c>
      <c r="J836" s="91"/>
      <c r="K836" s="91" t="s">
        <v>228</v>
      </c>
      <c r="L836" s="92" t="s">
        <v>1960</v>
      </c>
      <c r="M836" s="91" t="str">
        <f t="shared" si="163"/>
        <v>VER ARCHIVO ANEXO</v>
      </c>
      <c r="N836" s="93">
        <v>41608</v>
      </c>
      <c r="O836" s="94"/>
      <c r="P836" s="94"/>
      <c r="Q836" s="94">
        <v>693</v>
      </c>
      <c r="R836" s="95">
        <f t="shared" si="152"/>
        <v>61207.10486406619</v>
      </c>
      <c r="S836" s="94">
        <v>40054.224000000002</v>
      </c>
      <c r="T836" s="94">
        <f t="shared" si="157"/>
        <v>42765.894964800005</v>
      </c>
      <c r="U836" s="94">
        <f t="shared" si="158"/>
        <v>45224.933925276011</v>
      </c>
      <c r="V836" s="94">
        <f t="shared" si="159"/>
        <v>47074.633722819795</v>
      </c>
      <c r="W836" s="97">
        <f t="shared" si="155"/>
        <v>48571.607075205466</v>
      </c>
      <c r="X836" s="97">
        <f t="shared" si="156"/>
        <v>50417.328144063278</v>
      </c>
      <c r="Y836" s="97">
        <f t="shared" si="162"/>
        <v>51229.047127182697</v>
      </c>
      <c r="Z836" s="97">
        <f t="shared" si="153"/>
        <v>54108.119575730365</v>
      </c>
      <c r="AA836" s="97">
        <f t="shared" si="154"/>
        <v>61207.10486406619</v>
      </c>
    </row>
    <row r="837" spans="1:27" x14ac:dyDescent="0.25">
      <c r="A837" s="102" t="s">
        <v>1989</v>
      </c>
      <c r="B837" s="87" t="s">
        <v>1990</v>
      </c>
      <c r="C837" s="88" t="s">
        <v>226</v>
      </c>
      <c r="D837" s="89" t="s">
        <v>262</v>
      </c>
      <c r="E837" s="90">
        <f t="shared" si="161"/>
        <v>72836</v>
      </c>
      <c r="F837" s="90">
        <f t="shared" si="160"/>
        <v>61207.10486406619</v>
      </c>
      <c r="G837" s="91">
        <v>0.19</v>
      </c>
      <c r="H837" s="91" t="s">
        <v>228</v>
      </c>
      <c r="I837" s="91" t="s">
        <v>228</v>
      </c>
      <c r="J837" s="91"/>
      <c r="K837" s="91" t="s">
        <v>228</v>
      </c>
      <c r="L837" s="92" t="s">
        <v>1960</v>
      </c>
      <c r="M837" s="91" t="str">
        <f t="shared" si="163"/>
        <v>VER ARCHIVO ANEXO</v>
      </c>
      <c r="N837" s="93">
        <v>41608</v>
      </c>
      <c r="O837" s="94"/>
      <c r="P837" s="94"/>
      <c r="Q837" s="94">
        <v>694</v>
      </c>
      <c r="R837" s="95">
        <f t="shared" si="152"/>
        <v>61207.10486406619</v>
      </c>
      <c r="S837" s="94">
        <v>40054.224000000002</v>
      </c>
      <c r="T837" s="94">
        <f t="shared" si="157"/>
        <v>42765.894964800005</v>
      </c>
      <c r="U837" s="94">
        <f t="shared" si="158"/>
        <v>45224.933925276011</v>
      </c>
      <c r="V837" s="94">
        <f t="shared" si="159"/>
        <v>47074.633722819795</v>
      </c>
      <c r="W837" s="97">
        <f t="shared" si="155"/>
        <v>48571.607075205466</v>
      </c>
      <c r="X837" s="97">
        <f t="shared" si="156"/>
        <v>50417.328144063278</v>
      </c>
      <c r="Y837" s="97">
        <f t="shared" si="162"/>
        <v>51229.047127182697</v>
      </c>
      <c r="Z837" s="97">
        <f t="shared" si="153"/>
        <v>54108.119575730365</v>
      </c>
      <c r="AA837" s="97">
        <f t="shared" si="154"/>
        <v>61207.10486406619</v>
      </c>
    </row>
    <row r="838" spans="1:27" x14ac:dyDescent="0.25">
      <c r="A838" s="102" t="s">
        <v>1991</v>
      </c>
      <c r="B838" s="87" t="s">
        <v>1992</v>
      </c>
      <c r="C838" s="88" t="s">
        <v>226</v>
      </c>
      <c r="D838" s="89" t="s">
        <v>255</v>
      </c>
      <c r="E838" s="90">
        <f t="shared" si="161"/>
        <v>243783</v>
      </c>
      <c r="F838" s="90">
        <f t="shared" si="160"/>
        <v>204860.0532572451</v>
      </c>
      <c r="G838" s="91">
        <v>0.19</v>
      </c>
      <c r="H838" s="91" t="s">
        <v>228</v>
      </c>
      <c r="I838" s="91" t="s">
        <v>228</v>
      </c>
      <c r="J838" s="91"/>
      <c r="K838" s="91" t="s">
        <v>228</v>
      </c>
      <c r="L838" s="92" t="s">
        <v>1960</v>
      </c>
      <c r="M838" s="91" t="str">
        <f t="shared" si="163"/>
        <v>VER ARCHIVO ANEXO</v>
      </c>
      <c r="N838" s="93">
        <v>41608</v>
      </c>
      <c r="O838" s="94"/>
      <c r="P838" s="94"/>
      <c r="Q838" s="94">
        <v>695</v>
      </c>
      <c r="R838" s="95">
        <f t="shared" si="152"/>
        <v>204860.0532572451</v>
      </c>
      <c r="S838" s="94">
        <v>134061.40479999999</v>
      </c>
      <c r="T838" s="94">
        <f t="shared" si="157"/>
        <v>143137.36190496001</v>
      </c>
      <c r="U838" s="94">
        <f t="shared" si="158"/>
        <v>151367.76021449521</v>
      </c>
      <c r="V838" s="94">
        <f t="shared" si="159"/>
        <v>157558.70160726804</v>
      </c>
      <c r="W838" s="97">
        <f t="shared" si="155"/>
        <v>162569.06831837917</v>
      </c>
      <c r="X838" s="97">
        <f t="shared" si="156"/>
        <v>168746.69291447758</v>
      </c>
      <c r="Y838" s="97">
        <f t="shared" si="162"/>
        <v>171463.51467040068</v>
      </c>
      <c r="Z838" s="97">
        <f t="shared" si="153"/>
        <v>181099.76419487721</v>
      </c>
      <c r="AA838" s="97">
        <f t="shared" si="154"/>
        <v>204860.0532572451</v>
      </c>
    </row>
    <row r="839" spans="1:27" x14ac:dyDescent="0.25">
      <c r="A839" s="102" t="s">
        <v>1993</v>
      </c>
      <c r="B839" s="87" t="s">
        <v>1994</v>
      </c>
      <c r="C839" s="88" t="s">
        <v>226</v>
      </c>
      <c r="D839" s="89" t="s">
        <v>255</v>
      </c>
      <c r="E839" s="90">
        <f t="shared" si="161"/>
        <v>40835</v>
      </c>
      <c r="F839" s="90">
        <f t="shared" si="160"/>
        <v>34314.945980079341</v>
      </c>
      <c r="G839" s="91">
        <v>0.19</v>
      </c>
      <c r="H839" s="91" t="s">
        <v>228</v>
      </c>
      <c r="I839" s="91" t="s">
        <v>228</v>
      </c>
      <c r="J839" s="91"/>
      <c r="K839" s="91" t="s">
        <v>228</v>
      </c>
      <c r="L839" s="92" t="s">
        <v>1960</v>
      </c>
      <c r="M839" s="91" t="str">
        <f t="shared" si="163"/>
        <v>VER ARCHIVO ANEXO</v>
      </c>
      <c r="N839" s="93">
        <v>41608</v>
      </c>
      <c r="O839" s="94"/>
      <c r="P839" s="94"/>
      <c r="Q839" s="94">
        <v>696</v>
      </c>
      <c r="R839" s="95">
        <f t="shared" ref="R839:R902" si="164">+AA839</f>
        <v>34314.945980079341</v>
      </c>
      <c r="S839" s="94">
        <v>22455.8658</v>
      </c>
      <c r="T839" s="94">
        <f t="shared" si="157"/>
        <v>23976.127914660003</v>
      </c>
      <c r="U839" s="94">
        <f t="shared" si="158"/>
        <v>25354.755269752954</v>
      </c>
      <c r="V839" s="94">
        <f t="shared" si="159"/>
        <v>26391.764760285849</v>
      </c>
      <c r="W839" s="97">
        <f t="shared" si="155"/>
        <v>27231.022879662942</v>
      </c>
      <c r="X839" s="97">
        <f t="shared" si="156"/>
        <v>28265.801749090133</v>
      </c>
      <c r="Y839" s="97">
        <f>+X839*(1+$Y$4)</f>
        <v>28720.881157250486</v>
      </c>
      <c r="Z839" s="97">
        <f t="shared" ref="Z839:Z902" si="165">+Y839*(1+$Z$4)</f>
        <v>30334.994678287963</v>
      </c>
      <c r="AA839" s="97">
        <f t="shared" ref="AA839:AA902" si="166">+Z839*(1+$AA$4)</f>
        <v>34314.945980079341</v>
      </c>
    </row>
    <row r="840" spans="1:27" x14ac:dyDescent="0.25">
      <c r="A840" s="102" t="s">
        <v>1995</v>
      </c>
      <c r="B840" s="87" t="s">
        <v>1996</v>
      </c>
      <c r="C840" s="88" t="s">
        <v>226</v>
      </c>
      <c r="D840" s="89" t="s">
        <v>255</v>
      </c>
      <c r="E840" s="90">
        <f t="shared" si="161"/>
        <v>64940</v>
      </c>
      <c r="F840" s="90">
        <f t="shared" si="160"/>
        <v>54571.583066044106</v>
      </c>
      <c r="G840" s="91">
        <v>0.19</v>
      </c>
      <c r="H840" s="91" t="s">
        <v>228</v>
      </c>
      <c r="I840" s="91" t="s">
        <v>228</v>
      </c>
      <c r="J840" s="91"/>
      <c r="K840" s="91" t="s">
        <v>228</v>
      </c>
      <c r="L840" s="92" t="s">
        <v>1960</v>
      </c>
      <c r="M840" s="91" t="str">
        <f t="shared" si="163"/>
        <v>VER ARCHIVO ANEXO</v>
      </c>
      <c r="N840" s="93">
        <v>41608</v>
      </c>
      <c r="O840" s="94"/>
      <c r="P840" s="94"/>
      <c r="Q840" s="94">
        <v>697</v>
      </c>
      <c r="R840" s="95">
        <f t="shared" si="164"/>
        <v>54571.583066044106</v>
      </c>
      <c r="S840" s="94">
        <v>35711.906600000002</v>
      </c>
      <c r="T840" s="94">
        <f t="shared" si="157"/>
        <v>38129.602676820003</v>
      </c>
      <c r="U840" s="94">
        <f t="shared" si="158"/>
        <v>40322.054830737157</v>
      </c>
      <c r="V840" s="94">
        <f t="shared" si="159"/>
        <v>41971.226873314306</v>
      </c>
      <c r="W840" s="97">
        <f t="shared" ref="W840:W903" si="167">+V840*(1+$W$4)</f>
        <v>43305.911887885704</v>
      </c>
      <c r="X840" s="97">
        <f t="shared" ref="X840:X903" si="168">+W840*(1+$X$4)</f>
        <v>44951.536539625362</v>
      </c>
      <c r="Y840" s="97">
        <f>+X840*(1+$Y$4)</f>
        <v>45675.25627791333</v>
      </c>
      <c r="Z840" s="97">
        <f t="shared" si="165"/>
        <v>48242.205680732062</v>
      </c>
      <c r="AA840" s="97">
        <f t="shared" si="166"/>
        <v>54571.583066044106</v>
      </c>
    </row>
    <row r="841" spans="1:27" x14ac:dyDescent="0.25">
      <c r="A841" s="86" t="s">
        <v>1997</v>
      </c>
      <c r="B841" s="87" t="s">
        <v>1998</v>
      </c>
      <c r="C841" s="88" t="s">
        <v>226</v>
      </c>
      <c r="D841" s="89" t="s">
        <v>255</v>
      </c>
      <c r="E841" s="90">
        <f t="shared" si="161"/>
        <v>29682</v>
      </c>
      <c r="F841" s="90">
        <f t="shared" si="160"/>
        <v>24942.582933333335</v>
      </c>
      <c r="G841" s="91">
        <v>0.19</v>
      </c>
      <c r="H841" s="91"/>
      <c r="I841" s="91" t="s">
        <v>228</v>
      </c>
      <c r="J841" s="91"/>
      <c r="K841" s="91"/>
      <c r="L841" s="92" t="s">
        <v>1442</v>
      </c>
      <c r="M841" s="91" t="str">
        <f t="shared" si="163"/>
        <v>VER ARCHIVO ANEXO</v>
      </c>
      <c r="N841" s="93">
        <v>41608</v>
      </c>
      <c r="O841" s="94">
        <v>14560.166666666666</v>
      </c>
      <c r="P841" s="94" t="s">
        <v>1443</v>
      </c>
      <c r="Q841" s="94">
        <v>698</v>
      </c>
      <c r="R841" s="95">
        <f t="shared" si="164"/>
        <v>24942.582933333335</v>
      </c>
      <c r="S841" s="94">
        <v>10380.5124</v>
      </c>
      <c r="T841" s="94">
        <f t="shared" si="157"/>
        <v>11083.273089480001</v>
      </c>
      <c r="U841" s="94">
        <f t="shared" si="158"/>
        <v>11720.561292125101</v>
      </c>
      <c r="V841" s="94">
        <f t="shared" si="159"/>
        <v>12199.932248973017</v>
      </c>
      <c r="W841" s="97">
        <f t="shared" si="167"/>
        <v>12587.89009449036</v>
      </c>
      <c r="X841" s="97">
        <v>13686</v>
      </c>
      <c r="Y841" s="97">
        <v>15299.25</v>
      </c>
      <c r="Z841" s="97">
        <v>22049.666666666668</v>
      </c>
      <c r="AA841" s="97">
        <f t="shared" si="166"/>
        <v>24942.582933333335</v>
      </c>
    </row>
    <row r="842" spans="1:27" x14ac:dyDescent="0.25">
      <c r="A842" s="86" t="s">
        <v>1999</v>
      </c>
      <c r="B842" s="87" t="s">
        <v>2000</v>
      </c>
      <c r="C842" s="88" t="s">
        <v>226</v>
      </c>
      <c r="D842" s="89" t="s">
        <v>255</v>
      </c>
      <c r="E842" s="90">
        <f t="shared" si="161"/>
        <v>57436</v>
      </c>
      <c r="F842" s="90">
        <f t="shared" si="160"/>
        <v>48265.85306666667</v>
      </c>
      <c r="G842" s="91">
        <v>0.19</v>
      </c>
      <c r="H842" s="91"/>
      <c r="I842" s="91" t="s">
        <v>228</v>
      </c>
      <c r="J842" s="91"/>
      <c r="K842" s="91"/>
      <c r="L842" s="92" t="s">
        <v>1442</v>
      </c>
      <c r="M842" s="91" t="str">
        <f t="shared" si="163"/>
        <v>VER ARCHIVO ANEXO</v>
      </c>
      <c r="N842" s="93">
        <v>41608</v>
      </c>
      <c r="O842" s="94">
        <v>28438.666666666668</v>
      </c>
      <c r="P842" s="94" t="s">
        <v>1443</v>
      </c>
      <c r="Q842" s="94">
        <v>699</v>
      </c>
      <c r="R842" s="95">
        <f t="shared" si="164"/>
        <v>48265.85306666667</v>
      </c>
      <c r="S842" s="94">
        <v>18852.644199999999</v>
      </c>
      <c r="T842" s="94">
        <f>+S842*1.0677</f>
        <v>20128.968212340002</v>
      </c>
      <c r="U842" s="94">
        <f t="shared" si="158"/>
        <v>21286.383884549556</v>
      </c>
      <c r="V842" s="94">
        <f t="shared" si="159"/>
        <v>22156.996985427631</v>
      </c>
      <c r="W842" s="97">
        <f t="shared" si="167"/>
        <v>22861.58948956423</v>
      </c>
      <c r="X842" s="97">
        <v>26732</v>
      </c>
      <c r="Y842" s="97">
        <v>29605.35</v>
      </c>
      <c r="Z842" s="97">
        <v>42667.833333333336</v>
      </c>
      <c r="AA842" s="97">
        <f t="shared" si="166"/>
        <v>48265.85306666667</v>
      </c>
    </row>
    <row r="843" spans="1:27" x14ac:dyDescent="0.25">
      <c r="A843" s="86" t="s">
        <v>2001</v>
      </c>
      <c r="B843" s="98" t="s">
        <v>2002</v>
      </c>
      <c r="C843" s="99" t="s">
        <v>226</v>
      </c>
      <c r="D843" s="100" t="s">
        <v>255</v>
      </c>
      <c r="E843" s="101">
        <f t="shared" si="161"/>
        <v>82106</v>
      </c>
      <c r="F843" s="90">
        <f t="shared" si="160"/>
        <v>68996.224266666672</v>
      </c>
      <c r="G843" s="91">
        <v>0.19</v>
      </c>
      <c r="H843" s="91"/>
      <c r="I843" s="91" t="s">
        <v>228</v>
      </c>
      <c r="J843" s="91"/>
      <c r="K843" s="91"/>
      <c r="L843" s="92" t="s">
        <v>1442</v>
      </c>
      <c r="M843" s="91" t="str">
        <f t="shared" si="163"/>
        <v>VER ARCHIVO ANEXO</v>
      </c>
      <c r="N843" s="93">
        <v>41608</v>
      </c>
      <c r="O843" s="94">
        <v>38838.166666666664</v>
      </c>
      <c r="P843" s="94" t="s">
        <v>1443</v>
      </c>
      <c r="Q843" s="94">
        <v>700</v>
      </c>
      <c r="R843" s="95">
        <f t="shared" si="164"/>
        <v>68996.224266666672</v>
      </c>
      <c r="S843" s="94">
        <v>27561.120800000001</v>
      </c>
      <c r="T843" s="94">
        <f t="shared" ref="T843:T906" si="169">+S843*1.0677</f>
        <v>29427.008678160004</v>
      </c>
      <c r="U843" s="94">
        <f t="shared" ref="U843:U906" si="170">+T843*(1+$U$4)</f>
        <v>31119.061677154208</v>
      </c>
      <c r="V843" s="94">
        <f t="shared" ref="V843:V906" si="171">+U843*(1+$V$4)</f>
        <v>32391.831299749814</v>
      </c>
      <c r="W843" s="97">
        <f t="shared" si="167"/>
        <v>33421.891535081857</v>
      </c>
      <c r="X843" s="97">
        <v>36508</v>
      </c>
      <c r="Y843" s="97">
        <v>42320.85</v>
      </c>
      <c r="Z843" s="133">
        <v>60993.833333333336</v>
      </c>
      <c r="AA843" s="97">
        <f t="shared" si="166"/>
        <v>68996.224266666672</v>
      </c>
    </row>
    <row r="844" spans="1:27" x14ac:dyDescent="0.25">
      <c r="A844" s="86" t="s">
        <v>2003</v>
      </c>
      <c r="B844" s="87" t="s">
        <v>2004</v>
      </c>
      <c r="C844" s="88" t="s">
        <v>226</v>
      </c>
      <c r="D844" s="89" t="s">
        <v>255</v>
      </c>
      <c r="E844" s="90">
        <f t="shared" si="161"/>
        <v>119919</v>
      </c>
      <c r="F844" s="90">
        <f t="shared" ref="F844:F854" si="172">R844</f>
        <v>100772.19786666665</v>
      </c>
      <c r="G844" s="91">
        <v>0.19</v>
      </c>
      <c r="H844" s="91"/>
      <c r="I844" s="91" t="s">
        <v>228</v>
      </c>
      <c r="J844" s="91"/>
      <c r="K844" s="91"/>
      <c r="L844" s="92" t="s">
        <v>1442</v>
      </c>
      <c r="M844" s="91" t="str">
        <f t="shared" si="163"/>
        <v>VER ARCHIVO ANEXO</v>
      </c>
      <c r="N844" s="93">
        <v>41608</v>
      </c>
      <c r="O844" s="94">
        <v>56725.333333333336</v>
      </c>
      <c r="P844" s="94" t="s">
        <v>1443</v>
      </c>
      <c r="Q844" s="94">
        <v>701</v>
      </c>
      <c r="R844" s="95">
        <f t="shared" si="164"/>
        <v>100772.19786666665</v>
      </c>
      <c r="S844" s="94">
        <v>40068.736400000002</v>
      </c>
      <c r="T844" s="94">
        <f t="shared" si="169"/>
        <v>42781.389854280009</v>
      </c>
      <c r="U844" s="94">
        <f t="shared" si="170"/>
        <v>45241.319770901115</v>
      </c>
      <c r="V844" s="94">
        <f t="shared" si="171"/>
        <v>47091.689749530968</v>
      </c>
      <c r="W844" s="97">
        <f t="shared" si="167"/>
        <v>48589.205483566053</v>
      </c>
      <c r="X844" s="97">
        <v>53322</v>
      </c>
      <c r="Y844" s="97">
        <v>61811.7</v>
      </c>
      <c r="Z844" s="97">
        <v>89084.333333333328</v>
      </c>
      <c r="AA844" s="97">
        <f t="shared" si="166"/>
        <v>100772.19786666665</v>
      </c>
    </row>
    <row r="845" spans="1:27" x14ac:dyDescent="0.25">
      <c r="A845" s="86" t="s">
        <v>2005</v>
      </c>
      <c r="B845" s="87" t="s">
        <v>2006</v>
      </c>
      <c r="C845" s="88" t="s">
        <v>226</v>
      </c>
      <c r="D845" s="89" t="s">
        <v>255</v>
      </c>
      <c r="E845" s="90">
        <f t="shared" ref="E845:E908" si="173">+ROUND(F845*(1+G845),0)</f>
        <v>172556</v>
      </c>
      <c r="F845" s="90">
        <f t="shared" si="172"/>
        <v>145005.13440000001</v>
      </c>
      <c r="G845" s="91">
        <v>0.19</v>
      </c>
      <c r="H845" s="91"/>
      <c r="I845" s="91" t="s">
        <v>228</v>
      </c>
      <c r="J845" s="91"/>
      <c r="K845" s="91"/>
      <c r="L845" s="92" t="s">
        <v>1442</v>
      </c>
      <c r="M845" s="91" t="str">
        <f t="shared" si="163"/>
        <v>VER ARCHIVO ANEXO</v>
      </c>
      <c r="N845" s="93">
        <v>41608</v>
      </c>
      <c r="O845" s="94">
        <v>83870.833333333328</v>
      </c>
      <c r="P845" s="94" t="s">
        <v>1443</v>
      </c>
      <c r="Q845" s="94">
        <v>702</v>
      </c>
      <c r="R845" s="95">
        <f t="shared" si="164"/>
        <v>145005.13440000001</v>
      </c>
      <c r="S845" s="94">
        <v>59242.726599999995</v>
      </c>
      <c r="T845" s="94">
        <f t="shared" si="169"/>
        <v>63253.459190820002</v>
      </c>
      <c r="U845" s="94">
        <f t="shared" si="170"/>
        <v>66890.533094292157</v>
      </c>
      <c r="V845" s="94">
        <f t="shared" si="171"/>
        <v>69626.355897848698</v>
      </c>
      <c r="W845" s="97">
        <f t="shared" si="167"/>
        <v>71840.474015400294</v>
      </c>
      <c r="X845" s="97">
        <v>78839</v>
      </c>
      <c r="Y845" s="97">
        <v>88943.25</v>
      </c>
      <c r="Z845" s="97">
        <v>128187</v>
      </c>
      <c r="AA845" s="97">
        <f t="shared" si="166"/>
        <v>145005.13440000001</v>
      </c>
    </row>
    <row r="846" spans="1:27" x14ac:dyDescent="0.25">
      <c r="A846" s="86" t="s">
        <v>2007</v>
      </c>
      <c r="B846" s="87" t="s">
        <v>2008</v>
      </c>
      <c r="C846" s="88" t="s">
        <v>226</v>
      </c>
      <c r="D846" s="89" t="s">
        <v>255</v>
      </c>
      <c r="E846" s="90">
        <f t="shared" si="173"/>
        <v>258598</v>
      </c>
      <c r="F846" s="90">
        <f t="shared" si="172"/>
        <v>217309.55306666667</v>
      </c>
      <c r="G846" s="91">
        <v>0.19</v>
      </c>
      <c r="H846" s="91"/>
      <c r="I846" s="91" t="s">
        <v>228</v>
      </c>
      <c r="J846" s="91"/>
      <c r="K846" s="91"/>
      <c r="L846" s="92" t="s">
        <v>1442</v>
      </c>
      <c r="M846" s="91" t="str">
        <f t="shared" si="163"/>
        <v>VER ARCHIVO ANEXO</v>
      </c>
      <c r="N846" s="93">
        <v>41608</v>
      </c>
      <c r="O846" s="94">
        <v>97820</v>
      </c>
      <c r="P846" s="94" t="s">
        <v>1443</v>
      </c>
      <c r="Q846" s="94">
        <v>703</v>
      </c>
      <c r="R846" s="95">
        <f t="shared" si="164"/>
        <v>217309.55306666667</v>
      </c>
      <c r="S846" s="94">
        <v>68462.247000000003</v>
      </c>
      <c r="T846" s="94">
        <f t="shared" si="169"/>
        <v>73097.141121900015</v>
      </c>
      <c r="U846" s="94">
        <f t="shared" si="170"/>
        <v>77300.22673640927</v>
      </c>
      <c r="V846" s="94">
        <f t="shared" si="171"/>
        <v>80461.806009928405</v>
      </c>
      <c r="W846" s="97">
        <f t="shared" si="167"/>
        <v>83020.491441044127</v>
      </c>
      <c r="X846" s="97">
        <v>112970</v>
      </c>
      <c r="Y846" s="97">
        <v>133293.29999999999</v>
      </c>
      <c r="Z846" s="97">
        <v>192105.33333333334</v>
      </c>
      <c r="AA846" s="97">
        <f t="shared" si="166"/>
        <v>217309.55306666667</v>
      </c>
    </row>
    <row r="847" spans="1:27" x14ac:dyDescent="0.25">
      <c r="A847" s="86" t="s">
        <v>2009</v>
      </c>
      <c r="B847" s="87" t="s">
        <v>2010</v>
      </c>
      <c r="C847" s="88" t="s">
        <v>226</v>
      </c>
      <c r="D847" s="89" t="s">
        <v>255</v>
      </c>
      <c r="E847" s="90">
        <f t="shared" si="173"/>
        <v>408493</v>
      </c>
      <c r="F847" s="90">
        <f t="shared" si="172"/>
        <v>343271.68959999998</v>
      </c>
      <c r="G847" s="91">
        <v>0.19</v>
      </c>
      <c r="H847" s="91"/>
      <c r="I847" s="91" t="s">
        <v>228</v>
      </c>
      <c r="J847" s="91"/>
      <c r="K847" s="91"/>
      <c r="L847" s="92" t="s">
        <v>1442</v>
      </c>
      <c r="M847" s="91" t="str">
        <f t="shared" si="163"/>
        <v>VER ARCHIVO ANEXO</v>
      </c>
      <c r="N847" s="93">
        <v>41608</v>
      </c>
      <c r="O847" s="94">
        <v>137192.16666666666</v>
      </c>
      <c r="P847" s="94" t="s">
        <v>1443</v>
      </c>
      <c r="Q847" s="94">
        <v>704</v>
      </c>
      <c r="R847" s="95">
        <f t="shared" si="164"/>
        <v>343271.68959999998</v>
      </c>
      <c r="S847" s="94">
        <v>120689.26479999999</v>
      </c>
      <c r="T847" s="94">
        <f t="shared" si="169"/>
        <v>128859.92802696</v>
      </c>
      <c r="U847" s="94">
        <f t="shared" si="170"/>
        <v>136269.37388851022</v>
      </c>
      <c r="V847" s="94">
        <f t="shared" si="171"/>
        <v>141842.79128055027</v>
      </c>
      <c r="W847" s="97">
        <f t="shared" si="167"/>
        <v>146353.39204327177</v>
      </c>
      <c r="X847" s="97">
        <v>178452</v>
      </c>
      <c r="Y847" s="97">
        <v>210555.9</v>
      </c>
      <c r="Z847" s="97">
        <v>303458</v>
      </c>
      <c r="AA847" s="97">
        <f t="shared" si="166"/>
        <v>343271.68959999998</v>
      </c>
    </row>
    <row r="848" spans="1:27" x14ac:dyDescent="0.25">
      <c r="A848" s="86" t="s">
        <v>2011</v>
      </c>
      <c r="B848" s="87" t="s">
        <v>2012</v>
      </c>
      <c r="C848" s="88" t="s">
        <v>226</v>
      </c>
      <c r="D848" s="89" t="s">
        <v>255</v>
      </c>
      <c r="E848" s="90">
        <f t="shared" si="173"/>
        <v>532554</v>
      </c>
      <c r="F848" s="90">
        <f t="shared" si="172"/>
        <v>447524.77840000001</v>
      </c>
      <c r="G848" s="91">
        <v>0.19</v>
      </c>
      <c r="H848" s="91"/>
      <c r="I848" s="91" t="s">
        <v>228</v>
      </c>
      <c r="J848" s="91"/>
      <c r="K848" s="91"/>
      <c r="L848" s="92" t="s">
        <v>1442</v>
      </c>
      <c r="M848" s="91" t="str">
        <f t="shared" si="163"/>
        <v>VER ARCHIVO ANEXO</v>
      </c>
      <c r="N848" s="93">
        <v>41608</v>
      </c>
      <c r="O848" s="94">
        <v>182037.83333333334</v>
      </c>
      <c r="P848" s="94" t="s">
        <v>1443</v>
      </c>
      <c r="Q848" s="94">
        <v>705</v>
      </c>
      <c r="R848" s="95">
        <f t="shared" si="164"/>
        <v>447524.77840000001</v>
      </c>
      <c r="S848" s="94">
        <v>149807.35879999999</v>
      </c>
      <c r="T848" s="94">
        <f t="shared" si="169"/>
        <v>159949.31699076001</v>
      </c>
      <c r="U848" s="94">
        <f t="shared" si="170"/>
        <v>169146.40271772872</v>
      </c>
      <c r="V848" s="94">
        <f t="shared" si="171"/>
        <v>176064.49058888381</v>
      </c>
      <c r="W848" s="97">
        <f t="shared" si="167"/>
        <v>181663.34138961032</v>
      </c>
      <c r="X848" s="97">
        <v>232645</v>
      </c>
      <c r="Y848" s="97">
        <v>274502.7</v>
      </c>
      <c r="Z848" s="97">
        <v>395619.5</v>
      </c>
      <c r="AA848" s="97">
        <f t="shared" si="166"/>
        <v>447524.77840000001</v>
      </c>
    </row>
    <row r="849" spans="1:27" x14ac:dyDescent="0.25">
      <c r="A849" s="86" t="s">
        <v>2013</v>
      </c>
      <c r="B849" s="87" t="s">
        <v>2014</v>
      </c>
      <c r="C849" s="88" t="s">
        <v>226</v>
      </c>
      <c r="D849" s="89" t="s">
        <v>255</v>
      </c>
      <c r="E849" s="90">
        <f t="shared" si="173"/>
        <v>316294</v>
      </c>
      <c r="F849" s="90">
        <f t="shared" si="172"/>
        <v>265792.97359999997</v>
      </c>
      <c r="G849" s="91">
        <v>0.19</v>
      </c>
      <c r="H849" s="91"/>
      <c r="I849" s="91" t="s">
        <v>228</v>
      </c>
      <c r="J849" s="91"/>
      <c r="K849" s="91"/>
      <c r="L849" s="92" t="s">
        <v>1442</v>
      </c>
      <c r="M849" s="91" t="str">
        <f t="shared" si="163"/>
        <v>VER ARCHIVO ANEXO</v>
      </c>
      <c r="N849" s="93">
        <v>41608</v>
      </c>
      <c r="O849" s="94">
        <v>227955.83333333334</v>
      </c>
      <c r="P849" s="94" t="s">
        <v>1443</v>
      </c>
      <c r="Q849" s="94">
        <v>706</v>
      </c>
      <c r="R849" s="95">
        <f t="shared" si="164"/>
        <v>265792.97359999997</v>
      </c>
      <c r="S849" s="94">
        <v>91761.905199999994</v>
      </c>
      <c r="T849" s="94">
        <f t="shared" si="169"/>
        <v>97974.186182040008</v>
      </c>
      <c r="U849" s="94">
        <f t="shared" si="170"/>
        <v>103607.70188750731</v>
      </c>
      <c r="V849" s="94">
        <f t="shared" si="171"/>
        <v>107845.25689470636</v>
      </c>
      <c r="W849" s="97">
        <f t="shared" si="167"/>
        <v>111274.73606395803</v>
      </c>
      <c r="X849" s="97">
        <v>138174</v>
      </c>
      <c r="Y849" s="97">
        <v>163032.15</v>
      </c>
      <c r="Z849" s="97">
        <v>234965.5</v>
      </c>
      <c r="AA849" s="97">
        <f t="shared" si="166"/>
        <v>265792.97359999997</v>
      </c>
    </row>
    <row r="850" spans="1:27" x14ac:dyDescent="0.25">
      <c r="A850" s="86" t="s">
        <v>2015</v>
      </c>
      <c r="B850" s="98" t="s">
        <v>2016</v>
      </c>
      <c r="C850" s="99" t="s">
        <v>226</v>
      </c>
      <c r="D850" s="100" t="s">
        <v>255</v>
      </c>
      <c r="E850" s="90">
        <f t="shared" si="173"/>
        <v>729760</v>
      </c>
      <c r="F850" s="90">
        <f t="shared" si="172"/>
        <v>613243.53353846143</v>
      </c>
      <c r="G850" s="91">
        <v>0.19</v>
      </c>
      <c r="H850" s="91"/>
      <c r="I850" s="91" t="s">
        <v>228</v>
      </c>
      <c r="J850" s="91"/>
      <c r="K850" s="91"/>
      <c r="L850" s="92" t="s">
        <v>1442</v>
      </c>
      <c r="M850" s="91" t="str">
        <f t="shared" si="163"/>
        <v>VER ARCHIVO ANEXO</v>
      </c>
      <c r="N850" s="93">
        <v>41608</v>
      </c>
      <c r="O850" s="94">
        <v>342887.5</v>
      </c>
      <c r="P850" s="94" t="s">
        <v>1443</v>
      </c>
      <c r="Q850" s="94">
        <v>707</v>
      </c>
      <c r="R850" s="95">
        <f t="shared" si="164"/>
        <v>613243.53353846143</v>
      </c>
      <c r="S850" s="94">
        <v>156034.215</v>
      </c>
      <c r="T850" s="94">
        <f t="shared" si="169"/>
        <v>166597.7313555</v>
      </c>
      <c r="U850" s="94">
        <f t="shared" si="170"/>
        <v>176177.10090844127</v>
      </c>
      <c r="V850" s="94">
        <f t="shared" si="171"/>
        <v>183382.74433559651</v>
      </c>
      <c r="W850" s="97">
        <f t="shared" si="167"/>
        <v>189214.3156054685</v>
      </c>
      <c r="X850" s="97">
        <v>330369</v>
      </c>
      <c r="Y850" s="97">
        <v>379634.26153846155</v>
      </c>
      <c r="Z850" s="97">
        <v>542117.69230769225</v>
      </c>
      <c r="AA850" s="97">
        <f t="shared" si="166"/>
        <v>613243.53353846143</v>
      </c>
    </row>
    <row r="851" spans="1:27" x14ac:dyDescent="0.25">
      <c r="A851" s="86" t="s">
        <v>2017</v>
      </c>
      <c r="B851" s="98" t="s">
        <v>2018</v>
      </c>
      <c r="C851" s="99" t="s">
        <v>226</v>
      </c>
      <c r="D851" s="100" t="s">
        <v>255</v>
      </c>
      <c r="E851" s="90">
        <f t="shared" si="173"/>
        <v>873797</v>
      </c>
      <c r="F851" s="90">
        <f t="shared" si="172"/>
        <v>734282.80369230767</v>
      </c>
      <c r="G851" s="91">
        <v>0.19</v>
      </c>
      <c r="H851" s="91"/>
      <c r="I851" s="91" t="s">
        <v>228</v>
      </c>
      <c r="J851" s="91"/>
      <c r="K851" s="91"/>
      <c r="L851" s="92" t="s">
        <v>1442</v>
      </c>
      <c r="M851" s="91" t="str">
        <f t="shared" si="163"/>
        <v>VER ARCHIVO ANEXO</v>
      </c>
      <c r="N851" s="93">
        <v>41608</v>
      </c>
      <c r="O851" s="94">
        <v>393314.33333333331</v>
      </c>
      <c r="P851" s="94" t="s">
        <v>1443</v>
      </c>
      <c r="Q851" s="94">
        <v>708</v>
      </c>
      <c r="R851" s="95">
        <f t="shared" si="164"/>
        <v>734282.80369230767</v>
      </c>
      <c r="S851" s="94">
        <v>168086.76319999999</v>
      </c>
      <c r="T851" s="94">
        <f t="shared" si="169"/>
        <v>179466.23706864001</v>
      </c>
      <c r="U851" s="94">
        <f t="shared" si="170"/>
        <v>189785.54570008683</v>
      </c>
      <c r="V851" s="94">
        <f t="shared" si="171"/>
        <v>197547.77451922037</v>
      </c>
      <c r="W851" s="97">
        <f t="shared" si="167"/>
        <v>203829.79374893158</v>
      </c>
      <c r="X851" s="97">
        <v>378955</v>
      </c>
      <c r="Y851" s="97">
        <v>454564.80000000005</v>
      </c>
      <c r="Z851" s="97">
        <v>649118.4615384615</v>
      </c>
      <c r="AA851" s="97">
        <f t="shared" si="166"/>
        <v>734282.80369230767</v>
      </c>
    </row>
    <row r="852" spans="1:27" x14ac:dyDescent="0.25">
      <c r="A852" s="86" t="s">
        <v>2019</v>
      </c>
      <c r="B852" s="98" t="s">
        <v>2020</v>
      </c>
      <c r="C852" s="99" t="s">
        <v>226</v>
      </c>
      <c r="D852" s="100" t="s">
        <v>255</v>
      </c>
      <c r="E852" s="90">
        <f t="shared" si="173"/>
        <v>1090414</v>
      </c>
      <c r="F852" s="90">
        <f t="shared" si="172"/>
        <v>916313.94141538453</v>
      </c>
      <c r="G852" s="91">
        <v>0.19</v>
      </c>
      <c r="H852" s="91"/>
      <c r="I852" s="91" t="s">
        <v>228</v>
      </c>
      <c r="J852" s="91"/>
      <c r="K852" s="91"/>
      <c r="L852" s="92" t="s">
        <v>1442</v>
      </c>
      <c r="M852" s="91" t="str">
        <f t="shared" si="163"/>
        <v>VER ARCHIVO ANEXO</v>
      </c>
      <c r="N852" s="93">
        <v>41608</v>
      </c>
      <c r="O852" s="94">
        <v>512345.33333333331</v>
      </c>
      <c r="P852" s="94" t="s">
        <v>1443</v>
      </c>
      <c r="Q852" s="94">
        <v>709</v>
      </c>
      <c r="R852" s="95">
        <f t="shared" si="164"/>
        <v>916313.94141538453</v>
      </c>
      <c r="S852" s="94">
        <v>209865.88959999999</v>
      </c>
      <c r="T852" s="94">
        <f t="shared" si="169"/>
        <v>224073.81032592</v>
      </c>
      <c r="U852" s="94">
        <f t="shared" si="170"/>
        <v>236958.05441966042</v>
      </c>
      <c r="V852" s="94">
        <f t="shared" si="171"/>
        <v>246649.63884542452</v>
      </c>
      <c r="W852" s="97">
        <f t="shared" si="167"/>
        <v>254493.09736070904</v>
      </c>
      <c r="X852" s="97">
        <v>493641</v>
      </c>
      <c r="Y852" s="97">
        <f>+X852*(1+$Y$4)</f>
        <v>501588.6201</v>
      </c>
      <c r="Z852" s="97">
        <v>810037.07692307688</v>
      </c>
      <c r="AA852" s="97">
        <f t="shared" si="166"/>
        <v>916313.94141538453</v>
      </c>
    </row>
    <row r="853" spans="1:27" x14ac:dyDescent="0.25">
      <c r="A853" s="86" t="s">
        <v>2021</v>
      </c>
      <c r="B853" s="87" t="s">
        <v>2022</v>
      </c>
      <c r="C853" s="88" t="s">
        <v>226</v>
      </c>
      <c r="D853" s="89" t="s">
        <v>255</v>
      </c>
      <c r="E853" s="90">
        <f t="shared" si="173"/>
        <v>1450896</v>
      </c>
      <c r="F853" s="90">
        <f t="shared" si="172"/>
        <v>1219240.2518153847</v>
      </c>
      <c r="G853" s="91">
        <v>0.19</v>
      </c>
      <c r="H853" s="91"/>
      <c r="I853" s="91" t="s">
        <v>228</v>
      </c>
      <c r="J853" s="91"/>
      <c r="K853" s="91"/>
      <c r="L853" s="92" t="s">
        <v>1442</v>
      </c>
      <c r="M853" s="91" t="str">
        <f t="shared" si="163"/>
        <v>VER ARCHIVO ANEXO</v>
      </c>
      <c r="N853" s="93">
        <v>41608</v>
      </c>
      <c r="O853" s="94">
        <v>634937.83333333337</v>
      </c>
      <c r="P853" s="94" t="s">
        <v>1443</v>
      </c>
      <c r="Q853" s="94">
        <v>710</v>
      </c>
      <c r="R853" s="95">
        <f t="shared" si="164"/>
        <v>1219240.2518153847</v>
      </c>
      <c r="S853" s="94">
        <v>362810</v>
      </c>
      <c r="T853" s="94">
        <f t="shared" si="169"/>
        <v>387372.23700000002</v>
      </c>
      <c r="U853" s="94">
        <f t="shared" si="170"/>
        <v>409646.14062750008</v>
      </c>
      <c r="V853" s="94">
        <f t="shared" si="171"/>
        <v>426400.6677791648</v>
      </c>
      <c r="W853" s="97">
        <f t="shared" si="167"/>
        <v>439960.20901454228</v>
      </c>
      <c r="X853" s="97">
        <v>629236</v>
      </c>
      <c r="Y853" s="97">
        <f>+X853*(1+$Y$4)</f>
        <v>639366.69960000005</v>
      </c>
      <c r="Z853" s="97">
        <v>1077829.076923077</v>
      </c>
      <c r="AA853" s="97">
        <f t="shared" si="166"/>
        <v>1219240.2518153847</v>
      </c>
    </row>
    <row r="854" spans="1:27" x14ac:dyDescent="0.25">
      <c r="A854" s="86" t="s">
        <v>2023</v>
      </c>
      <c r="B854" s="87" t="s">
        <v>2024</v>
      </c>
      <c r="C854" s="88" t="s">
        <v>226</v>
      </c>
      <c r="D854" s="89" t="s">
        <v>255</v>
      </c>
      <c r="E854" s="90">
        <f t="shared" si="173"/>
        <v>2023943</v>
      </c>
      <c r="F854" s="90">
        <f t="shared" si="172"/>
        <v>1700792.2658461537</v>
      </c>
      <c r="G854" s="91">
        <v>0.19</v>
      </c>
      <c r="H854" s="91"/>
      <c r="I854" s="91" t="s">
        <v>228</v>
      </c>
      <c r="J854" s="91"/>
      <c r="K854" s="91"/>
      <c r="L854" s="92" t="s">
        <v>1442</v>
      </c>
      <c r="M854" s="91" t="str">
        <f t="shared" si="163"/>
        <v>VER ARCHIVO ANEXO</v>
      </c>
      <c r="N854" s="93">
        <v>41608</v>
      </c>
      <c r="O854" s="94">
        <v>924560.33333333337</v>
      </c>
      <c r="P854" s="94" t="s">
        <v>1443</v>
      </c>
      <c r="Q854" s="94">
        <v>711</v>
      </c>
      <c r="R854" s="95">
        <f t="shared" si="164"/>
        <v>1700792.2658461537</v>
      </c>
      <c r="S854" s="94">
        <v>497568</v>
      </c>
      <c r="T854" s="94">
        <f t="shared" si="169"/>
        <v>531253.35360000003</v>
      </c>
      <c r="U854" s="94">
        <f t="shared" si="170"/>
        <v>561800.42143200012</v>
      </c>
      <c r="V854" s="94">
        <f t="shared" si="171"/>
        <v>584778.05866856885</v>
      </c>
      <c r="W854" s="97">
        <f t="shared" si="167"/>
        <v>603374.00093422935</v>
      </c>
      <c r="X854" s="97">
        <v>916253</v>
      </c>
      <c r="Y854" s="97">
        <v>1052891.7230769231</v>
      </c>
      <c r="Z854" s="97">
        <v>1503529.2307692308</v>
      </c>
      <c r="AA854" s="97">
        <f t="shared" si="166"/>
        <v>1700792.2658461537</v>
      </c>
    </row>
    <row r="855" spans="1:27" x14ac:dyDescent="0.25">
      <c r="A855" s="86" t="s">
        <v>2025</v>
      </c>
      <c r="B855" s="98" t="s">
        <v>2026</v>
      </c>
      <c r="C855" s="99" t="s">
        <v>226</v>
      </c>
      <c r="D855" s="100" t="s">
        <v>255</v>
      </c>
      <c r="E855" s="90">
        <f t="shared" si="173"/>
        <v>226040</v>
      </c>
      <c r="F855" s="90">
        <v>189949.35258620692</v>
      </c>
      <c r="G855" s="91">
        <v>0.19</v>
      </c>
      <c r="H855" s="91"/>
      <c r="I855" s="91" t="s">
        <v>228</v>
      </c>
      <c r="J855" s="91"/>
      <c r="K855" s="91"/>
      <c r="L855" s="92" t="s">
        <v>1442</v>
      </c>
      <c r="M855" s="91" t="str">
        <f t="shared" si="163"/>
        <v>VER ARCHIVO ANEXO</v>
      </c>
      <c r="N855" s="93">
        <v>41608</v>
      </c>
      <c r="O855" s="134">
        <v>313581</v>
      </c>
      <c r="P855" s="94" t="s">
        <v>1443</v>
      </c>
      <c r="Q855" s="94">
        <v>712</v>
      </c>
      <c r="R855" s="95">
        <f t="shared" si="164"/>
        <v>453576.93260016741</v>
      </c>
      <c r="S855" s="94">
        <v>153069.53899999999</v>
      </c>
      <c r="T855" s="94">
        <f t="shared" si="169"/>
        <v>163432.34679030001</v>
      </c>
      <c r="U855" s="94">
        <f t="shared" si="170"/>
        <v>172829.70673074227</v>
      </c>
      <c r="V855" s="94">
        <f t="shared" si="171"/>
        <v>179898.44173602961</v>
      </c>
      <c r="W855" s="97">
        <f t="shared" si="167"/>
        <v>185619.21218323536</v>
      </c>
      <c r="X855" s="97">
        <f t="shared" si="168"/>
        <v>192672.74224619832</v>
      </c>
      <c r="Y855" s="97">
        <v>379634.26153846155</v>
      </c>
      <c r="Z855" s="97">
        <f t="shared" si="165"/>
        <v>400969.70703692309</v>
      </c>
      <c r="AA855" s="97">
        <f t="shared" si="166"/>
        <v>453576.93260016741</v>
      </c>
    </row>
    <row r="856" spans="1:27" x14ac:dyDescent="0.25">
      <c r="A856" s="86" t="s">
        <v>2027</v>
      </c>
      <c r="B856" s="87" t="s">
        <v>2028</v>
      </c>
      <c r="C856" s="88" t="s">
        <v>226</v>
      </c>
      <c r="D856" s="89" t="s">
        <v>255</v>
      </c>
      <c r="E856" s="90">
        <f t="shared" si="173"/>
        <v>646291</v>
      </c>
      <c r="F856" s="90">
        <f t="shared" ref="F856:F919" si="174">R856</f>
        <v>543101.94979891204</v>
      </c>
      <c r="G856" s="91">
        <v>0.19</v>
      </c>
      <c r="H856" s="91"/>
      <c r="I856" s="91" t="s">
        <v>228</v>
      </c>
      <c r="J856" s="91"/>
      <c r="K856" s="91"/>
      <c r="L856" s="92" t="s">
        <v>1442</v>
      </c>
      <c r="M856" s="91" t="str">
        <f t="shared" ref="M856:M919" si="175">+IF(L856="no aplica","no aplica","VER ARCHIVO ANEXO")</f>
        <v>VER ARCHIVO ANEXO</v>
      </c>
      <c r="N856" s="93">
        <v>41608</v>
      </c>
      <c r="O856" s="135">
        <v>363059</v>
      </c>
      <c r="P856" s="94" t="s">
        <v>1443</v>
      </c>
      <c r="Q856" s="94">
        <v>713</v>
      </c>
      <c r="R856" s="95">
        <f t="shared" si="164"/>
        <v>543101.94979891204</v>
      </c>
      <c r="S856" s="94">
        <v>181190.42379999999</v>
      </c>
      <c r="T856" s="94">
        <f t="shared" si="169"/>
        <v>193457.01549126001</v>
      </c>
      <c r="U856" s="94">
        <f t="shared" si="170"/>
        <v>204580.79388200748</v>
      </c>
      <c r="V856" s="94">
        <f t="shared" si="171"/>
        <v>212948.14835178156</v>
      </c>
      <c r="W856" s="97">
        <f t="shared" si="167"/>
        <v>219719.89946936822</v>
      </c>
      <c r="X856" s="97">
        <f t="shared" si="168"/>
        <v>228069.25564920422</v>
      </c>
      <c r="Y856" s="97">
        <v>454564.80000000005</v>
      </c>
      <c r="Z856" s="97">
        <f t="shared" si="165"/>
        <v>480111.34176000004</v>
      </c>
      <c r="AA856" s="97">
        <f t="shared" si="166"/>
        <v>543101.94979891204</v>
      </c>
    </row>
    <row r="857" spans="1:27" x14ac:dyDescent="0.25">
      <c r="A857" s="86" t="s">
        <v>2029</v>
      </c>
      <c r="B857" s="87" t="s">
        <v>2030</v>
      </c>
      <c r="C857" s="88" t="s">
        <v>226</v>
      </c>
      <c r="D857" s="89" t="s">
        <v>255</v>
      </c>
      <c r="E857" s="90">
        <f t="shared" si="173"/>
        <v>806509</v>
      </c>
      <c r="F857" s="90">
        <f t="shared" si="174"/>
        <v>677738.61596789176</v>
      </c>
      <c r="G857" s="91">
        <v>0.19</v>
      </c>
      <c r="H857" s="91"/>
      <c r="I857" s="91" t="s">
        <v>228</v>
      </c>
      <c r="J857" s="91"/>
      <c r="K857" s="91"/>
      <c r="L857" s="92" t="s">
        <v>1442</v>
      </c>
      <c r="M857" s="91" t="str">
        <f t="shared" si="175"/>
        <v>VER ARCHIVO ANEXO</v>
      </c>
      <c r="N857" s="93">
        <v>41608</v>
      </c>
      <c r="O857" s="135">
        <v>472934</v>
      </c>
      <c r="P857" s="94" t="s">
        <v>1443</v>
      </c>
      <c r="Q857" s="94">
        <v>714</v>
      </c>
      <c r="R857" s="95">
        <f t="shared" si="164"/>
        <v>677738.61596789176</v>
      </c>
      <c r="S857" s="94">
        <v>218741.25879999998</v>
      </c>
      <c r="T857" s="94">
        <f t="shared" si="169"/>
        <v>233550.04202076001</v>
      </c>
      <c r="U857" s="94">
        <f t="shared" si="170"/>
        <v>246979.16943695373</v>
      </c>
      <c r="V857" s="94">
        <f t="shared" si="171"/>
        <v>257080.61746692512</v>
      </c>
      <c r="W857" s="97">
        <f t="shared" si="167"/>
        <v>265255.78110237332</v>
      </c>
      <c r="X857" s="97">
        <f t="shared" si="168"/>
        <v>275335.50078426354</v>
      </c>
      <c r="Y857" s="97">
        <v>567252.83076923084</v>
      </c>
      <c r="Z857" s="97">
        <f t="shared" si="165"/>
        <v>599132.43985846161</v>
      </c>
      <c r="AA857" s="97">
        <f t="shared" si="166"/>
        <v>677738.61596789176</v>
      </c>
    </row>
    <row r="858" spans="1:27" x14ac:dyDescent="0.25">
      <c r="A858" s="86" t="s">
        <v>2031</v>
      </c>
      <c r="B858" s="98" t="s">
        <v>2032</v>
      </c>
      <c r="C858" s="99" t="s">
        <v>226</v>
      </c>
      <c r="D858" s="100" t="s">
        <v>255</v>
      </c>
      <c r="E858" s="90">
        <f t="shared" si="173"/>
        <v>1073135</v>
      </c>
      <c r="F858" s="90">
        <f t="shared" si="174"/>
        <v>901793.92773719633</v>
      </c>
      <c r="G858" s="91">
        <v>0.19</v>
      </c>
      <c r="H858" s="91"/>
      <c r="I858" s="91" t="s">
        <v>228</v>
      </c>
      <c r="J858" s="91"/>
      <c r="K858" s="91"/>
      <c r="L858" s="92" t="s">
        <v>1442</v>
      </c>
      <c r="M858" s="91" t="str">
        <f t="shared" si="175"/>
        <v>VER ARCHIVO ANEXO</v>
      </c>
      <c r="N858" s="93">
        <v>41608</v>
      </c>
      <c r="O858" s="135">
        <v>580670</v>
      </c>
      <c r="P858" s="94" t="s">
        <v>1443</v>
      </c>
      <c r="Q858" s="94">
        <v>715</v>
      </c>
      <c r="R858" s="95">
        <f t="shared" si="164"/>
        <v>901793.92773719633</v>
      </c>
      <c r="S858" s="94">
        <v>327310.3448275862</v>
      </c>
      <c r="T858" s="94">
        <f t="shared" si="169"/>
        <v>349469.25517241383</v>
      </c>
      <c r="U858" s="94">
        <f t="shared" si="170"/>
        <v>369563.73734482768</v>
      </c>
      <c r="V858" s="94">
        <f t="shared" si="171"/>
        <v>384678.89420223108</v>
      </c>
      <c r="W858" s="97">
        <f t="shared" si="167"/>
        <v>396911.68303786207</v>
      </c>
      <c r="X858" s="97">
        <f t="shared" si="168"/>
        <v>411994.32699330081</v>
      </c>
      <c r="Y858" s="97">
        <v>754782.36923076923</v>
      </c>
      <c r="Z858" s="97">
        <f t="shared" si="165"/>
        <v>797201.13838153845</v>
      </c>
      <c r="AA858" s="97">
        <f t="shared" si="166"/>
        <v>901793.92773719633</v>
      </c>
    </row>
    <row r="859" spans="1:27" x14ac:dyDescent="0.25">
      <c r="A859" s="86" t="s">
        <v>2033</v>
      </c>
      <c r="B859" s="98" t="s">
        <v>2034</v>
      </c>
      <c r="C859" s="99" t="s">
        <v>226</v>
      </c>
      <c r="D859" s="100" t="s">
        <v>255</v>
      </c>
      <c r="E859" s="90">
        <f t="shared" si="173"/>
        <v>603068</v>
      </c>
      <c r="F859" s="90">
        <v>506780.12327586219</v>
      </c>
      <c r="G859" s="91">
        <v>0.19</v>
      </c>
      <c r="H859" s="91"/>
      <c r="I859" s="91" t="s">
        <v>228</v>
      </c>
      <c r="J859" s="91"/>
      <c r="K859" s="91"/>
      <c r="L859" s="92" t="s">
        <v>1442</v>
      </c>
      <c r="M859" s="91" t="str">
        <f t="shared" si="175"/>
        <v>VER ARCHIVO ANEXO</v>
      </c>
      <c r="N859" s="93">
        <v>41608</v>
      </c>
      <c r="O859" s="135">
        <v>845538</v>
      </c>
      <c r="P859" s="94" t="s">
        <v>1443</v>
      </c>
      <c r="Q859" s="94">
        <v>716</v>
      </c>
      <c r="R859" s="95">
        <f t="shared" si="164"/>
        <v>1257967.065928143</v>
      </c>
      <c r="S859" s="94">
        <v>474646.55172413797</v>
      </c>
      <c r="T859" s="94">
        <f t="shared" si="169"/>
        <v>506780.12327586213</v>
      </c>
      <c r="U859" s="94">
        <f t="shared" si="170"/>
        <v>535919.98036422429</v>
      </c>
      <c r="V859" s="94">
        <f t="shared" si="171"/>
        <v>557839.107561121</v>
      </c>
      <c r="W859" s="97">
        <f t="shared" si="167"/>
        <v>575578.39118156466</v>
      </c>
      <c r="X859" s="97">
        <f t="shared" si="168"/>
        <v>597450.37004646414</v>
      </c>
      <c r="Y859" s="97">
        <v>1052891.7230769231</v>
      </c>
      <c r="Z859" s="97">
        <f t="shared" si="165"/>
        <v>1112064.2379138463</v>
      </c>
      <c r="AA859" s="97">
        <f t="shared" si="166"/>
        <v>1257967.065928143</v>
      </c>
    </row>
    <row r="860" spans="1:27" x14ac:dyDescent="0.25">
      <c r="A860" s="86" t="s">
        <v>2035</v>
      </c>
      <c r="B860" s="98" t="s">
        <v>2036</v>
      </c>
      <c r="C860" s="99" t="s">
        <v>226</v>
      </c>
      <c r="D860" s="100" t="s">
        <v>255</v>
      </c>
      <c r="E860" s="90">
        <f t="shared" si="173"/>
        <v>854741</v>
      </c>
      <c r="F860" s="90">
        <v>718269.40293103468</v>
      </c>
      <c r="G860" s="91">
        <v>0.19</v>
      </c>
      <c r="H860" s="91"/>
      <c r="I860" s="91" t="s">
        <v>228</v>
      </c>
      <c r="J860" s="91"/>
      <c r="K860" s="91"/>
      <c r="L860" s="92" t="s">
        <v>1442</v>
      </c>
      <c r="M860" s="91" t="str">
        <f t="shared" si="175"/>
        <v>VER ARCHIVO ANEXO</v>
      </c>
      <c r="N860" s="93">
        <v>41608</v>
      </c>
      <c r="O860" s="135">
        <v>1163617</v>
      </c>
      <c r="P860" s="94" t="s">
        <v>1443</v>
      </c>
      <c r="Q860" s="94">
        <v>717</v>
      </c>
      <c r="R860" s="95">
        <f t="shared" si="164"/>
        <v>1683106.2216829886</v>
      </c>
      <c r="S860" s="94">
        <v>672725.86206896557</v>
      </c>
      <c r="T860" s="94">
        <f t="shared" si="169"/>
        <v>718269.40293103456</v>
      </c>
      <c r="U860" s="94">
        <f t="shared" si="170"/>
        <v>759569.8935995691</v>
      </c>
      <c r="V860" s="94">
        <f t="shared" si="171"/>
        <v>790636.30224779143</v>
      </c>
      <c r="W860" s="97">
        <f t="shared" si="167"/>
        <v>815778.53665927122</v>
      </c>
      <c r="X860" s="97">
        <f t="shared" si="168"/>
        <v>846778.12105232361</v>
      </c>
      <c r="Y860" s="97">
        <v>1408724.1692307694</v>
      </c>
      <c r="Z860" s="97">
        <f t="shared" si="165"/>
        <v>1487894.4675415386</v>
      </c>
      <c r="AA860" s="97">
        <f t="shared" si="166"/>
        <v>1683106.2216829886</v>
      </c>
    </row>
    <row r="861" spans="1:27" x14ac:dyDescent="0.25">
      <c r="A861" s="86" t="s">
        <v>2037</v>
      </c>
      <c r="B861" s="98" t="s">
        <v>2038</v>
      </c>
      <c r="C861" s="99" t="s">
        <v>226</v>
      </c>
      <c r="D861" s="100" t="s">
        <v>255</v>
      </c>
      <c r="E861" s="90">
        <f t="shared" si="173"/>
        <v>936117</v>
      </c>
      <c r="F861" s="90">
        <v>786652.82663793117</v>
      </c>
      <c r="G861" s="91">
        <v>0.19</v>
      </c>
      <c r="H861" s="91"/>
      <c r="I861" s="91" t="s">
        <v>228</v>
      </c>
      <c r="J861" s="91"/>
      <c r="K861" s="91"/>
      <c r="L861" s="92" t="s">
        <v>1442</v>
      </c>
      <c r="M861" s="91" t="str">
        <f t="shared" si="175"/>
        <v>VER ARCHIVO ANEXO</v>
      </c>
      <c r="N861" s="93">
        <v>41608</v>
      </c>
      <c r="O861" s="135">
        <v>1331047</v>
      </c>
      <c r="P861" s="94" t="s">
        <v>1443</v>
      </c>
      <c r="Q861" s="94">
        <v>718</v>
      </c>
      <c r="R861" s="95">
        <f t="shared" si="164"/>
        <v>1975950.3753056049</v>
      </c>
      <c r="S861" s="94">
        <v>736773.27586206899</v>
      </c>
      <c r="T861" s="94">
        <f t="shared" si="169"/>
        <v>786652.82663793117</v>
      </c>
      <c r="U861" s="94">
        <f t="shared" si="170"/>
        <v>831885.36416961229</v>
      </c>
      <c r="V861" s="94">
        <f t="shared" si="171"/>
        <v>865909.47556414944</v>
      </c>
      <c r="W861" s="97">
        <f t="shared" si="167"/>
        <v>893445.39688708948</v>
      </c>
      <c r="X861" s="97">
        <f t="shared" si="168"/>
        <v>927396.32196879887</v>
      </c>
      <c r="Y861" s="97">
        <v>1653828.5076923077</v>
      </c>
      <c r="Z861" s="97">
        <f t="shared" si="165"/>
        <v>1746773.6698246154</v>
      </c>
      <c r="AA861" s="97">
        <f t="shared" si="166"/>
        <v>1975950.3753056049</v>
      </c>
    </row>
    <row r="862" spans="1:27" x14ac:dyDescent="0.25">
      <c r="A862" s="86" t="s">
        <v>2039</v>
      </c>
      <c r="B862" s="98" t="s">
        <v>2040</v>
      </c>
      <c r="C862" s="99" t="s">
        <v>226</v>
      </c>
      <c r="D862" s="100" t="s">
        <v>255</v>
      </c>
      <c r="E862" s="90">
        <f t="shared" si="173"/>
        <v>996932</v>
      </c>
      <c r="F862" s="90">
        <v>837757.91896551743</v>
      </c>
      <c r="G862" s="91">
        <v>0.19</v>
      </c>
      <c r="H862" s="91"/>
      <c r="I862" s="91" t="s">
        <v>228</v>
      </c>
      <c r="J862" s="91"/>
      <c r="K862" s="91"/>
      <c r="L862" s="92" t="s">
        <v>1442</v>
      </c>
      <c r="M862" s="91" t="str">
        <f t="shared" si="175"/>
        <v>VER ARCHIVO ANEXO</v>
      </c>
      <c r="N862" s="93">
        <v>41608</v>
      </c>
      <c r="O862" s="135">
        <v>1403638</v>
      </c>
      <c r="P862" s="94" t="s">
        <v>1443</v>
      </c>
      <c r="Q862" s="94">
        <v>719</v>
      </c>
      <c r="R862" s="95">
        <f t="shared" si="164"/>
        <v>2131377.7260605763</v>
      </c>
      <c r="S862" s="94">
        <v>784637.93103448278</v>
      </c>
      <c r="T862" s="94">
        <f t="shared" si="169"/>
        <v>837757.91896551731</v>
      </c>
      <c r="U862" s="94">
        <f t="shared" si="170"/>
        <v>885928.99930603465</v>
      </c>
      <c r="V862" s="94">
        <f t="shared" si="171"/>
        <v>922163.49537765142</v>
      </c>
      <c r="W862" s="97">
        <f t="shared" si="167"/>
        <v>951488.29453066073</v>
      </c>
      <c r="X862" s="97">
        <f t="shared" si="168"/>
        <v>987644.84972282592</v>
      </c>
      <c r="Y862" s="97">
        <v>1783917.9000000001</v>
      </c>
      <c r="Z862" s="97">
        <f t="shared" si="165"/>
        <v>1884174.0859800002</v>
      </c>
      <c r="AA862" s="97">
        <f t="shared" si="166"/>
        <v>2131377.7260605763</v>
      </c>
    </row>
    <row r="863" spans="1:27" x14ac:dyDescent="0.25">
      <c r="A863" s="86" t="s">
        <v>2041</v>
      </c>
      <c r="B863" s="98" t="s">
        <v>2042</v>
      </c>
      <c r="C863" s="99" t="s">
        <v>226</v>
      </c>
      <c r="D863" s="100" t="s">
        <v>255</v>
      </c>
      <c r="E863" s="90">
        <f t="shared" si="173"/>
        <v>1303450</v>
      </c>
      <c r="F863" s="90">
        <v>1095335.941810345</v>
      </c>
      <c r="G863" s="91">
        <v>0.19</v>
      </c>
      <c r="H863" s="91"/>
      <c r="I863" s="91" t="s">
        <v>228</v>
      </c>
      <c r="J863" s="91"/>
      <c r="K863" s="91"/>
      <c r="L863" s="92" t="s">
        <v>1442</v>
      </c>
      <c r="M863" s="91" t="str">
        <f t="shared" si="175"/>
        <v>VER ARCHIVO ANEXO</v>
      </c>
      <c r="N863" s="93">
        <v>41608</v>
      </c>
      <c r="O863" s="135">
        <v>1826879</v>
      </c>
      <c r="P863" s="94" t="s">
        <v>1443</v>
      </c>
      <c r="Q863" s="94">
        <v>720</v>
      </c>
      <c r="R863" s="95">
        <f t="shared" si="164"/>
        <v>2551904.523284256</v>
      </c>
      <c r="S863" s="94">
        <v>1025883.6206896552</v>
      </c>
      <c r="T863" s="94">
        <f t="shared" si="169"/>
        <v>1095335.941810345</v>
      </c>
      <c r="U863" s="94">
        <f t="shared" si="170"/>
        <v>1158317.75846444</v>
      </c>
      <c r="V863" s="94">
        <f t="shared" si="171"/>
        <v>1205692.9547856355</v>
      </c>
      <c r="W863" s="97">
        <f t="shared" si="167"/>
        <v>1244033.9907478187</v>
      </c>
      <c r="X863" s="97">
        <f t="shared" si="168"/>
        <v>1291307.282396236</v>
      </c>
      <c r="Y863" s="97">
        <v>2135889.9</v>
      </c>
      <c r="Z863" s="97">
        <f t="shared" si="165"/>
        <v>2255926.9123800001</v>
      </c>
      <c r="AA863" s="97">
        <f t="shared" si="166"/>
        <v>2551904.523284256</v>
      </c>
    </row>
    <row r="864" spans="1:27" x14ac:dyDescent="0.25">
      <c r="A864" s="86" t="s">
        <v>2043</v>
      </c>
      <c r="B864" s="98" t="s">
        <v>2044</v>
      </c>
      <c r="C864" s="99" t="s">
        <v>226</v>
      </c>
      <c r="D864" s="100" t="s">
        <v>255</v>
      </c>
      <c r="E864" s="90">
        <f t="shared" si="173"/>
        <v>1515614</v>
      </c>
      <c r="F864" s="90">
        <v>1273625.2740517242</v>
      </c>
      <c r="G864" s="91">
        <v>0.19</v>
      </c>
      <c r="H864" s="91"/>
      <c r="I864" s="91" t="s">
        <v>228</v>
      </c>
      <c r="J864" s="91"/>
      <c r="K864" s="91"/>
      <c r="L864" s="92" t="s">
        <v>1442</v>
      </c>
      <c r="M864" s="91" t="str">
        <f t="shared" si="175"/>
        <v>VER ARCHIVO ANEXO</v>
      </c>
      <c r="N864" s="93">
        <v>41608</v>
      </c>
      <c r="O864" s="135">
        <v>2126622</v>
      </c>
      <c r="P864" s="94" t="s">
        <v>1443</v>
      </c>
      <c r="Q864" s="94">
        <v>721</v>
      </c>
      <c r="R864" s="95">
        <f t="shared" si="164"/>
        <v>2994091.0097696641</v>
      </c>
      <c r="S864" s="94">
        <v>1192868.1034482759</v>
      </c>
      <c r="T864" s="94">
        <f t="shared" si="169"/>
        <v>1273625.2740517242</v>
      </c>
      <c r="U864" s="94">
        <f t="shared" si="170"/>
        <v>1346858.7273096985</v>
      </c>
      <c r="V864" s="94">
        <f t="shared" si="171"/>
        <v>1401945.2492566651</v>
      </c>
      <c r="W864" s="97">
        <f t="shared" si="167"/>
        <v>1446527.1081830272</v>
      </c>
      <c r="X864" s="97">
        <f t="shared" si="168"/>
        <v>1501495.1382939823</v>
      </c>
      <c r="Y864" s="97">
        <v>2505990.6</v>
      </c>
      <c r="Z864" s="97">
        <f t="shared" si="165"/>
        <v>2646827.2717200001</v>
      </c>
      <c r="AA864" s="97">
        <f t="shared" si="166"/>
        <v>2994091.0097696641</v>
      </c>
    </row>
    <row r="865" spans="1:27" x14ac:dyDescent="0.25">
      <c r="A865" s="86" t="s">
        <v>2045</v>
      </c>
      <c r="B865" s="98" t="s">
        <v>2046</v>
      </c>
      <c r="C865" s="99" t="s">
        <v>226</v>
      </c>
      <c r="D865" s="100" t="s">
        <v>255</v>
      </c>
      <c r="E865" s="90">
        <f t="shared" si="173"/>
        <v>1595323</v>
      </c>
      <c r="F865" s="90">
        <v>1340607.801724138</v>
      </c>
      <c r="G865" s="91">
        <v>0.19</v>
      </c>
      <c r="H865" s="91"/>
      <c r="I865" s="91" t="s">
        <v>228</v>
      </c>
      <c r="J865" s="91"/>
      <c r="K865" s="91"/>
      <c r="L865" s="92" t="s">
        <v>1442</v>
      </c>
      <c r="M865" s="91" t="str">
        <f t="shared" si="175"/>
        <v>VER ARCHIVO ANEXO</v>
      </c>
      <c r="N865" s="93">
        <v>41608</v>
      </c>
      <c r="O865" s="135">
        <v>2238775</v>
      </c>
      <c r="P865" s="94" t="s">
        <v>1443</v>
      </c>
      <c r="Q865" s="94">
        <v>722</v>
      </c>
      <c r="R865" s="95">
        <f t="shared" si="164"/>
        <v>3151992.8649867843</v>
      </c>
      <c r="S865" s="94">
        <v>1255603.4482758623</v>
      </c>
      <c r="T865" s="94">
        <f t="shared" si="169"/>
        <v>1340607.8017241382</v>
      </c>
      <c r="U865" s="94">
        <f t="shared" si="170"/>
        <v>1417692.7503232763</v>
      </c>
      <c r="V865" s="94">
        <f t="shared" si="171"/>
        <v>1475676.3838114983</v>
      </c>
      <c r="W865" s="97">
        <f t="shared" si="167"/>
        <v>1522602.892816704</v>
      </c>
      <c r="X865" s="97">
        <f t="shared" si="168"/>
        <v>1580461.8027437387</v>
      </c>
      <c r="Y865" s="97">
        <v>2638151.1</v>
      </c>
      <c r="Z865" s="97">
        <f t="shared" si="165"/>
        <v>2786415.1918200003</v>
      </c>
      <c r="AA865" s="97">
        <f t="shared" si="166"/>
        <v>3151992.8649867843</v>
      </c>
    </row>
    <row r="866" spans="1:27" x14ac:dyDescent="0.25">
      <c r="A866" s="86" t="s">
        <v>2047</v>
      </c>
      <c r="B866" s="98" t="s">
        <v>2048</v>
      </c>
      <c r="C866" s="99" t="s">
        <v>226</v>
      </c>
      <c r="D866" s="100" t="s">
        <v>255</v>
      </c>
      <c r="E866" s="90">
        <f t="shared" si="173"/>
        <v>1707877</v>
      </c>
      <c r="F866" s="90">
        <v>1435190.3743965521</v>
      </c>
      <c r="G866" s="91">
        <v>0.19</v>
      </c>
      <c r="H866" s="91"/>
      <c r="I866" s="91" t="s">
        <v>228</v>
      </c>
      <c r="J866" s="91"/>
      <c r="K866" s="91"/>
      <c r="L866" s="92" t="s">
        <v>1442</v>
      </c>
      <c r="M866" s="91" t="str">
        <f t="shared" si="175"/>
        <v>VER ARCHIVO ANEXO</v>
      </c>
      <c r="N866" s="93">
        <v>41608</v>
      </c>
      <c r="O866" s="135">
        <v>2337831</v>
      </c>
      <c r="P866" s="94" t="s">
        <v>1443</v>
      </c>
      <c r="Q866" s="94">
        <v>723</v>
      </c>
      <c r="R866" s="95">
        <f t="shared" si="164"/>
        <v>3291455.5427496955</v>
      </c>
      <c r="S866" s="94">
        <v>1344188.7931034483</v>
      </c>
      <c r="T866" s="94">
        <f t="shared" si="169"/>
        <v>1435190.3743965519</v>
      </c>
      <c r="U866" s="94">
        <f t="shared" si="170"/>
        <v>1517713.8209243538</v>
      </c>
      <c r="V866" s="94">
        <f t="shared" si="171"/>
        <v>1579788.3162001597</v>
      </c>
      <c r="W866" s="97">
        <f t="shared" si="167"/>
        <v>1630025.5846553249</v>
      </c>
      <c r="X866" s="97">
        <f t="shared" si="168"/>
        <v>1691966.5568722272</v>
      </c>
      <c r="Y866" s="97">
        <v>2754878.4</v>
      </c>
      <c r="Z866" s="97">
        <f t="shared" si="165"/>
        <v>2909702.5660799998</v>
      </c>
      <c r="AA866" s="97">
        <f t="shared" si="166"/>
        <v>3291455.5427496955</v>
      </c>
    </row>
    <row r="867" spans="1:27" x14ac:dyDescent="0.25">
      <c r="A867" s="86" t="s">
        <v>2049</v>
      </c>
      <c r="B867" s="98" t="s">
        <v>2050</v>
      </c>
      <c r="C867" s="99" t="s">
        <v>226</v>
      </c>
      <c r="D867" s="100" t="s">
        <v>255</v>
      </c>
      <c r="E867" s="90">
        <f t="shared" si="173"/>
        <v>1896616</v>
      </c>
      <c r="F867" s="90">
        <v>1593795.368534483</v>
      </c>
      <c r="G867" s="91">
        <v>0.19</v>
      </c>
      <c r="H867" s="91"/>
      <c r="I867" s="91" t="s">
        <v>228</v>
      </c>
      <c r="J867" s="91"/>
      <c r="K867" s="91"/>
      <c r="L867" s="92" t="s">
        <v>1442</v>
      </c>
      <c r="M867" s="91" t="str">
        <f t="shared" si="175"/>
        <v>VER ARCHIVO ANEXO</v>
      </c>
      <c r="N867" s="93">
        <v>41608</v>
      </c>
      <c r="O867" s="135">
        <v>2648096</v>
      </c>
      <c r="P867" s="94" t="s">
        <v>1443</v>
      </c>
      <c r="Q867" s="94">
        <v>724</v>
      </c>
      <c r="R867" s="95">
        <f t="shared" si="164"/>
        <v>3728280.6029004487</v>
      </c>
      <c r="S867" s="94">
        <v>1492737.0689655175</v>
      </c>
      <c r="T867" s="94">
        <f t="shared" si="169"/>
        <v>1593795.368534483</v>
      </c>
      <c r="U867" s="94">
        <f t="shared" si="170"/>
        <v>1685438.6022252159</v>
      </c>
      <c r="V867" s="94">
        <f t="shared" si="171"/>
        <v>1754373.0410562272</v>
      </c>
      <c r="W867" s="97">
        <f t="shared" si="167"/>
        <v>1810162.1037618152</v>
      </c>
      <c r="X867" s="97">
        <f t="shared" si="168"/>
        <v>1878948.2637047642</v>
      </c>
      <c r="Y867" s="97">
        <v>3120491.7</v>
      </c>
      <c r="Z867" s="97">
        <f t="shared" si="165"/>
        <v>3295863.3335400005</v>
      </c>
      <c r="AA867" s="97">
        <f t="shared" si="166"/>
        <v>3728280.6029004487</v>
      </c>
    </row>
    <row r="868" spans="1:27" x14ac:dyDescent="0.25">
      <c r="A868" s="86" t="s">
        <v>2051</v>
      </c>
      <c r="B868" s="98" t="s">
        <v>2052</v>
      </c>
      <c r="C868" s="99" t="s">
        <v>226</v>
      </c>
      <c r="D868" s="100" t="s">
        <v>255</v>
      </c>
      <c r="E868" s="90">
        <f t="shared" si="173"/>
        <v>2068539</v>
      </c>
      <c r="F868" s="90">
        <v>1738268.0645689659</v>
      </c>
      <c r="G868" s="91">
        <v>0.19</v>
      </c>
      <c r="H868" s="91"/>
      <c r="I868" s="91" t="s">
        <v>228</v>
      </c>
      <c r="J868" s="91"/>
      <c r="K868" s="91"/>
      <c r="L868" s="92" t="s">
        <v>1442</v>
      </c>
      <c r="M868" s="91" t="str">
        <f t="shared" si="175"/>
        <v>VER ARCHIVO ANEXO</v>
      </c>
      <c r="N868" s="93">
        <v>41608</v>
      </c>
      <c r="O868" s="135">
        <v>2847719</v>
      </c>
      <c r="P868" s="94" t="s">
        <v>1443</v>
      </c>
      <c r="Q868" s="94">
        <v>725</v>
      </c>
      <c r="R868" s="95">
        <f t="shared" si="164"/>
        <v>2487831.852870184</v>
      </c>
      <c r="S868" s="94">
        <v>1628049.1379310347</v>
      </c>
      <c r="T868" s="94">
        <f t="shared" si="169"/>
        <v>1738268.0645689659</v>
      </c>
      <c r="U868" s="94">
        <f t="shared" si="170"/>
        <v>1838218.4782816817</v>
      </c>
      <c r="V868" s="94">
        <f t="shared" si="171"/>
        <v>1913401.6140434023</v>
      </c>
      <c r="W868" s="97">
        <f t="shared" si="167"/>
        <v>1974247.7853699825</v>
      </c>
      <c r="X868" s="97">
        <f t="shared" si="168"/>
        <v>2049269.2012140418</v>
      </c>
      <c r="Y868" s="97">
        <f>+X868*(1+$Y$4)</f>
        <v>2082262.4353535878</v>
      </c>
      <c r="Z868" s="97">
        <f t="shared" si="165"/>
        <v>2199285.5842204597</v>
      </c>
      <c r="AA868" s="97">
        <f t="shared" si="166"/>
        <v>2487831.852870184</v>
      </c>
    </row>
    <row r="869" spans="1:27" x14ac:dyDescent="0.25">
      <c r="A869" s="86" t="s">
        <v>2053</v>
      </c>
      <c r="B869" s="98" t="s">
        <v>2054</v>
      </c>
      <c r="C869" s="99" t="s">
        <v>226</v>
      </c>
      <c r="D869" s="100" t="s">
        <v>255</v>
      </c>
      <c r="E869" s="90">
        <f t="shared" si="173"/>
        <v>11815</v>
      </c>
      <c r="F869" s="90">
        <f t="shared" si="174"/>
        <v>9928.746502416001</v>
      </c>
      <c r="G869" s="91">
        <v>0.19</v>
      </c>
      <c r="H869" s="91"/>
      <c r="I869" s="91" t="s">
        <v>228</v>
      </c>
      <c r="J869" s="91"/>
      <c r="K869" s="91"/>
      <c r="L869" s="92" t="s">
        <v>1442</v>
      </c>
      <c r="M869" s="91" t="str">
        <f t="shared" si="175"/>
        <v>VER ARCHIVO ANEXO</v>
      </c>
      <c r="N869" s="93">
        <v>41608</v>
      </c>
      <c r="O869" s="135">
        <f>49155/6</f>
        <v>8192.5</v>
      </c>
      <c r="P869" s="94" t="s">
        <v>1443</v>
      </c>
      <c r="Q869" s="94">
        <v>726</v>
      </c>
      <c r="R869" s="95">
        <f t="shared" si="164"/>
        <v>9928.746502416001</v>
      </c>
      <c r="S869" s="94">
        <v>5261.638620689655</v>
      </c>
      <c r="T869" s="94">
        <f t="shared" si="169"/>
        <v>5617.8515553103452</v>
      </c>
      <c r="U869" s="94">
        <f t="shared" si="170"/>
        <v>5940.8780197406904</v>
      </c>
      <c r="V869" s="94">
        <f t="shared" si="171"/>
        <v>6183.8599307480845</v>
      </c>
      <c r="W869" s="97">
        <f t="shared" si="167"/>
        <v>6380.5066765458741</v>
      </c>
      <c r="X869" s="97">
        <f t="shared" si="168"/>
        <v>6622.9659302546179</v>
      </c>
      <c r="Y869" s="97">
        <v>8310.15</v>
      </c>
      <c r="Z869" s="97">
        <f t="shared" si="165"/>
        <v>8777.1804300000003</v>
      </c>
      <c r="AA869" s="97">
        <f t="shared" si="166"/>
        <v>9928.746502416001</v>
      </c>
    </row>
    <row r="870" spans="1:27" x14ac:dyDescent="0.25">
      <c r="A870" s="86" t="s">
        <v>2055</v>
      </c>
      <c r="B870" s="98" t="s">
        <v>2056</v>
      </c>
      <c r="C870" s="99" t="s">
        <v>226</v>
      </c>
      <c r="D870" s="100" t="s">
        <v>255</v>
      </c>
      <c r="E870" s="90">
        <f t="shared" si="173"/>
        <v>14649</v>
      </c>
      <c r="F870" s="90">
        <f t="shared" si="174"/>
        <v>12309.810490991998</v>
      </c>
      <c r="G870" s="91">
        <v>0.19</v>
      </c>
      <c r="H870" s="91"/>
      <c r="I870" s="91" t="s">
        <v>228</v>
      </c>
      <c r="J870" s="91"/>
      <c r="K870" s="91"/>
      <c r="L870" s="92" t="s">
        <v>1442</v>
      </c>
      <c r="M870" s="91" t="str">
        <f t="shared" si="175"/>
        <v>VER ARCHIVO ANEXO</v>
      </c>
      <c r="N870" s="93">
        <v>41608</v>
      </c>
      <c r="O870" s="135">
        <f>60942/6</f>
        <v>10157</v>
      </c>
      <c r="P870" s="94" t="s">
        <v>1443</v>
      </c>
      <c r="Q870" s="94">
        <v>727</v>
      </c>
      <c r="R870" s="95">
        <f t="shared" si="164"/>
        <v>12309.810490991998</v>
      </c>
      <c r="S870" s="94">
        <v>6523.4310344827591</v>
      </c>
      <c r="T870" s="94">
        <f t="shared" si="169"/>
        <v>6965.0673155172426</v>
      </c>
      <c r="U870" s="94">
        <f t="shared" si="170"/>
        <v>7365.5586861594848</v>
      </c>
      <c r="V870" s="94">
        <f t="shared" si="171"/>
        <v>7666.8100364234069</v>
      </c>
      <c r="W870" s="97">
        <f t="shared" si="167"/>
        <v>7910.6145955816719</v>
      </c>
      <c r="X870" s="97">
        <f t="shared" si="168"/>
        <v>8211.2179502137751</v>
      </c>
      <c r="Y870" s="97">
        <v>10303.049999999999</v>
      </c>
      <c r="Z870" s="97">
        <f t="shared" si="165"/>
        <v>10882.081409999999</v>
      </c>
      <c r="AA870" s="97">
        <f t="shared" si="166"/>
        <v>12309.810490991998</v>
      </c>
    </row>
    <row r="871" spans="1:27" x14ac:dyDescent="0.25">
      <c r="A871" s="86" t="s">
        <v>2057</v>
      </c>
      <c r="B871" s="98" t="s">
        <v>2058</v>
      </c>
      <c r="C871" s="99" t="s">
        <v>226</v>
      </c>
      <c r="D871" s="100" t="s">
        <v>255</v>
      </c>
      <c r="E871" s="90">
        <f t="shared" si="173"/>
        <v>21880</v>
      </c>
      <c r="F871" s="90">
        <f t="shared" si="174"/>
        <v>18386.487945503999</v>
      </c>
      <c r="G871" s="91">
        <v>0.19</v>
      </c>
      <c r="H871" s="91"/>
      <c r="I871" s="91" t="s">
        <v>228</v>
      </c>
      <c r="J871" s="91"/>
      <c r="K871" s="91"/>
      <c r="L871" s="92" t="s">
        <v>1442</v>
      </c>
      <c r="M871" s="91" t="str">
        <f t="shared" si="175"/>
        <v>VER ARCHIVO ANEXO</v>
      </c>
      <c r="N871" s="93">
        <v>41608</v>
      </c>
      <c r="O871" s="135">
        <f>91026/6</f>
        <v>15171</v>
      </c>
      <c r="P871" s="94" t="s">
        <v>1443</v>
      </c>
      <c r="Q871" s="94">
        <v>728</v>
      </c>
      <c r="R871" s="95">
        <f t="shared" si="164"/>
        <v>18386.487945503999</v>
      </c>
      <c r="S871" s="94">
        <v>9743.1463793103449</v>
      </c>
      <c r="T871" s="94">
        <f t="shared" si="169"/>
        <v>10402.757389189655</v>
      </c>
      <c r="U871" s="94">
        <f t="shared" si="170"/>
        <v>11000.915939068062</v>
      </c>
      <c r="V871" s="94">
        <f t="shared" si="171"/>
        <v>11450.853400975944</v>
      </c>
      <c r="W871" s="97">
        <f t="shared" si="167"/>
        <v>11814.99053912698</v>
      </c>
      <c r="X871" s="97">
        <f t="shared" si="168"/>
        <v>12263.960179613807</v>
      </c>
      <c r="Y871" s="97">
        <v>15389.099999999999</v>
      </c>
      <c r="Z871" s="97">
        <f t="shared" si="165"/>
        <v>16253.967419999999</v>
      </c>
      <c r="AA871" s="97">
        <f t="shared" si="166"/>
        <v>18386.487945503999</v>
      </c>
    </row>
    <row r="872" spans="1:27" x14ac:dyDescent="0.25">
      <c r="A872" s="86" t="s">
        <v>2059</v>
      </c>
      <c r="B872" s="98" t="s">
        <v>2060</v>
      </c>
      <c r="C872" s="99" t="s">
        <v>226</v>
      </c>
      <c r="D872" s="100" t="s">
        <v>255</v>
      </c>
      <c r="E872" s="90">
        <f t="shared" si="173"/>
        <v>30772</v>
      </c>
      <c r="F872" s="90">
        <f t="shared" si="174"/>
        <v>25858.541300591998</v>
      </c>
      <c r="G872" s="91">
        <v>0.19</v>
      </c>
      <c r="H872" s="91"/>
      <c r="I872" s="91" t="s">
        <v>228</v>
      </c>
      <c r="J872" s="91"/>
      <c r="K872" s="91"/>
      <c r="L872" s="92" t="s">
        <v>1442</v>
      </c>
      <c r="M872" s="91" t="str">
        <f t="shared" si="175"/>
        <v>VER ARCHIVO ANEXO</v>
      </c>
      <c r="N872" s="93">
        <v>41608</v>
      </c>
      <c r="O872" s="135">
        <f>126855/6</f>
        <v>21142.5</v>
      </c>
      <c r="P872" s="94" t="s">
        <v>1443</v>
      </c>
      <c r="Q872" s="94">
        <v>729</v>
      </c>
      <c r="R872" s="95">
        <f t="shared" si="164"/>
        <v>25858.541300591998</v>
      </c>
      <c r="S872" s="94">
        <v>13577.672758620689</v>
      </c>
      <c r="T872" s="94">
        <f t="shared" si="169"/>
        <v>14496.881204379311</v>
      </c>
      <c r="U872" s="94">
        <f t="shared" si="170"/>
        <v>15330.451873631124</v>
      </c>
      <c r="V872" s="94">
        <f t="shared" si="171"/>
        <v>15957.467355262635</v>
      </c>
      <c r="W872" s="97">
        <f t="shared" si="167"/>
        <v>16464.914817159988</v>
      </c>
      <c r="X872" s="97">
        <f t="shared" si="168"/>
        <v>17090.581580212067</v>
      </c>
      <c r="Y872" s="97">
        <v>21643.05</v>
      </c>
      <c r="Z872" s="97">
        <f t="shared" si="165"/>
        <v>22859.38941</v>
      </c>
      <c r="AA872" s="97">
        <f t="shared" si="166"/>
        <v>25858.541300591998</v>
      </c>
    </row>
    <row r="873" spans="1:27" x14ac:dyDescent="0.25">
      <c r="A873" s="86" t="s">
        <v>2061</v>
      </c>
      <c r="B873" s="98" t="s">
        <v>2062</v>
      </c>
      <c r="C873" s="99" t="s">
        <v>226</v>
      </c>
      <c r="D873" s="100" t="s">
        <v>255</v>
      </c>
      <c r="E873" s="90">
        <f t="shared" si="173"/>
        <v>64572</v>
      </c>
      <c r="F873" s="90">
        <f t="shared" si="174"/>
        <v>54261.770812367991</v>
      </c>
      <c r="G873" s="91">
        <v>0.19</v>
      </c>
      <c r="H873" s="91" t="s">
        <v>228</v>
      </c>
      <c r="I873" s="91" t="s">
        <v>228</v>
      </c>
      <c r="J873" s="91"/>
      <c r="K873" s="91" t="s">
        <v>228</v>
      </c>
      <c r="L873" s="92" t="s">
        <v>1442</v>
      </c>
      <c r="M873" s="91" t="str">
        <f t="shared" si="175"/>
        <v>VER ARCHIVO ANEXO</v>
      </c>
      <c r="N873" s="93">
        <v>41608</v>
      </c>
      <c r="O873" s="135">
        <f>268635/6</f>
        <v>44772.5</v>
      </c>
      <c r="P873" s="94" t="s">
        <v>1443</v>
      </c>
      <c r="Q873" s="94">
        <v>730</v>
      </c>
      <c r="R873" s="95">
        <f t="shared" si="164"/>
        <v>54261.770812367991</v>
      </c>
      <c r="S873" s="94">
        <v>28753.139310344828</v>
      </c>
      <c r="T873" s="94">
        <f t="shared" si="169"/>
        <v>30699.726841655174</v>
      </c>
      <c r="U873" s="94">
        <f t="shared" si="170"/>
        <v>32464.961135050351</v>
      </c>
      <c r="V873" s="94">
        <f t="shared" si="171"/>
        <v>33792.778045473911</v>
      </c>
      <c r="W873" s="97">
        <f t="shared" si="167"/>
        <v>34867.388387319981</v>
      </c>
      <c r="X873" s="97">
        <f t="shared" si="168"/>
        <v>36192.349146038141</v>
      </c>
      <c r="Y873" s="97">
        <v>45415.95</v>
      </c>
      <c r="Z873" s="97">
        <f t="shared" si="165"/>
        <v>47968.326389999995</v>
      </c>
      <c r="AA873" s="97">
        <f t="shared" si="166"/>
        <v>54261.770812367991</v>
      </c>
    </row>
    <row r="874" spans="1:27" x14ac:dyDescent="0.25">
      <c r="A874" s="86" t="s">
        <v>2063</v>
      </c>
      <c r="B874" s="87" t="s">
        <v>2064</v>
      </c>
      <c r="C874" s="88" t="s">
        <v>226</v>
      </c>
      <c r="D874" s="89" t="s">
        <v>255</v>
      </c>
      <c r="E874" s="90">
        <f t="shared" si="173"/>
        <v>21249</v>
      </c>
      <c r="F874" s="90">
        <f t="shared" si="174"/>
        <v>17856.366970176001</v>
      </c>
      <c r="G874" s="91">
        <v>0.19</v>
      </c>
      <c r="H874" s="91" t="s">
        <v>228</v>
      </c>
      <c r="I874" s="91" t="s">
        <v>228</v>
      </c>
      <c r="J874" s="91"/>
      <c r="K874" s="91" t="s">
        <v>228</v>
      </c>
      <c r="L874" s="92" t="s">
        <v>1442</v>
      </c>
      <c r="M874" s="91" t="str">
        <f t="shared" si="175"/>
        <v>VER ARCHIVO ANEXO</v>
      </c>
      <c r="N874" s="93">
        <v>41608</v>
      </c>
      <c r="O874" s="94">
        <v>20696.2</v>
      </c>
      <c r="P874" s="94" t="s">
        <v>1443</v>
      </c>
      <c r="Q874" s="94">
        <v>731</v>
      </c>
      <c r="R874" s="95">
        <f t="shared" si="164"/>
        <v>17856.366970176001</v>
      </c>
      <c r="S874" s="94">
        <v>19811.499199999998</v>
      </c>
      <c r="T874" s="94">
        <f t="shared" si="169"/>
        <v>21152.737695840002</v>
      </c>
      <c r="U874" s="94">
        <f t="shared" si="170"/>
        <v>22369.020113350805</v>
      </c>
      <c r="V874" s="94">
        <f t="shared" si="171"/>
        <v>23283.91303598685</v>
      </c>
      <c r="W874" s="97">
        <f t="shared" si="167"/>
        <v>24024.341470531235</v>
      </c>
      <c r="X874" s="97">
        <f t="shared" si="168"/>
        <v>24937.266446411424</v>
      </c>
      <c r="Y874" s="97">
        <v>14945.4</v>
      </c>
      <c r="Z874" s="97">
        <f t="shared" si="165"/>
        <v>15785.331480000001</v>
      </c>
      <c r="AA874" s="97">
        <f t="shared" si="166"/>
        <v>17856.366970176001</v>
      </c>
    </row>
    <row r="875" spans="1:27" x14ac:dyDescent="0.25">
      <c r="A875" s="86" t="s">
        <v>2065</v>
      </c>
      <c r="B875" s="87" t="s">
        <v>2066</v>
      </c>
      <c r="C875" s="88" t="s">
        <v>226</v>
      </c>
      <c r="D875" s="89" t="s">
        <v>255</v>
      </c>
      <c r="E875" s="90">
        <f t="shared" si="173"/>
        <v>12028</v>
      </c>
      <c r="F875" s="90">
        <f t="shared" si="174"/>
        <v>10107.783302400001</v>
      </c>
      <c r="G875" s="91">
        <v>0.19</v>
      </c>
      <c r="H875" s="91" t="s">
        <v>228</v>
      </c>
      <c r="I875" s="91" t="s">
        <v>228</v>
      </c>
      <c r="J875" s="91"/>
      <c r="K875" s="91" t="s">
        <v>228</v>
      </c>
      <c r="L875" s="92" t="s">
        <v>1442</v>
      </c>
      <c r="M875" s="91" t="str">
        <f t="shared" si="175"/>
        <v>VER ARCHIVO ANEXO</v>
      </c>
      <c r="N875" s="93">
        <v>41608</v>
      </c>
      <c r="O875" s="94">
        <v>12016.4</v>
      </c>
      <c r="P875" s="94" t="s">
        <v>1443</v>
      </c>
      <c r="Q875" s="94">
        <v>732</v>
      </c>
      <c r="R875" s="95">
        <f t="shared" si="164"/>
        <v>10107.783302400001</v>
      </c>
      <c r="S875" s="94">
        <v>10366</v>
      </c>
      <c r="T875" s="94">
        <f t="shared" si="169"/>
        <v>11067.778200000001</v>
      </c>
      <c r="U875" s="94">
        <f t="shared" si="170"/>
        <v>11704.175446500001</v>
      </c>
      <c r="V875" s="94">
        <f t="shared" si="171"/>
        <v>12182.87622226185</v>
      </c>
      <c r="W875" s="97">
        <f t="shared" si="167"/>
        <v>12570.291686129778</v>
      </c>
      <c r="X875" s="97">
        <f t="shared" si="168"/>
        <v>13047.96277020271</v>
      </c>
      <c r="Y875" s="97">
        <v>8460</v>
      </c>
      <c r="Z875" s="97">
        <f t="shared" si="165"/>
        <v>8935.4520000000011</v>
      </c>
      <c r="AA875" s="97">
        <f t="shared" si="166"/>
        <v>10107.783302400001</v>
      </c>
    </row>
    <row r="876" spans="1:27" x14ac:dyDescent="0.25">
      <c r="A876" s="86" t="s">
        <v>2067</v>
      </c>
      <c r="B876" s="87" t="s">
        <v>2068</v>
      </c>
      <c r="C876" s="88" t="s">
        <v>226</v>
      </c>
      <c r="D876" s="89" t="s">
        <v>255</v>
      </c>
      <c r="E876" s="90">
        <f t="shared" si="173"/>
        <v>47343</v>
      </c>
      <c r="F876" s="90">
        <f t="shared" si="174"/>
        <v>39783.804959808003</v>
      </c>
      <c r="G876" s="91">
        <v>0.19</v>
      </c>
      <c r="H876" s="91" t="s">
        <v>228</v>
      </c>
      <c r="I876" s="91" t="s">
        <v>228</v>
      </c>
      <c r="J876" s="91"/>
      <c r="K876" s="91" t="s">
        <v>228</v>
      </c>
      <c r="L876" s="92" t="s">
        <v>1442</v>
      </c>
      <c r="M876" s="91" t="str">
        <f t="shared" si="175"/>
        <v>VER ARCHIVO ANEXO</v>
      </c>
      <c r="N876" s="93">
        <v>41608</v>
      </c>
      <c r="O876" s="94">
        <v>50924.2</v>
      </c>
      <c r="P876" s="94" t="s">
        <v>1443</v>
      </c>
      <c r="Q876" s="94">
        <v>733</v>
      </c>
      <c r="R876" s="95">
        <f t="shared" si="164"/>
        <v>39783.804959808003</v>
      </c>
      <c r="S876" s="94">
        <v>44142.574399999998</v>
      </c>
      <c r="T876" s="94">
        <f t="shared" si="169"/>
        <v>47131.026686880003</v>
      </c>
      <c r="U876" s="94">
        <f t="shared" si="170"/>
        <v>49841.060721375608</v>
      </c>
      <c r="V876" s="94">
        <f t="shared" si="171"/>
        <v>51879.560104879871</v>
      </c>
      <c r="W876" s="97">
        <f t="shared" si="167"/>
        <v>53529.330116215053</v>
      </c>
      <c r="X876" s="97">
        <f t="shared" si="168"/>
        <v>55563.444660631227</v>
      </c>
      <c r="Y876" s="97">
        <v>33298.200000000004</v>
      </c>
      <c r="Z876" s="97">
        <f t="shared" si="165"/>
        <v>35169.558840000005</v>
      </c>
      <c r="AA876" s="97">
        <f t="shared" si="166"/>
        <v>39783.804959808003</v>
      </c>
    </row>
    <row r="877" spans="1:27" x14ac:dyDescent="0.25">
      <c r="A877" s="86" t="s">
        <v>2069</v>
      </c>
      <c r="B877" s="87" t="s">
        <v>2070</v>
      </c>
      <c r="C877" s="88" t="s">
        <v>226</v>
      </c>
      <c r="D877" s="89" t="s">
        <v>255</v>
      </c>
      <c r="E877" s="90">
        <f t="shared" si="173"/>
        <v>33943</v>
      </c>
      <c r="F877" s="90">
        <f t="shared" si="174"/>
        <v>28523.714733106623</v>
      </c>
      <c r="G877" s="91">
        <v>0.19</v>
      </c>
      <c r="H877" s="91" t="s">
        <v>228</v>
      </c>
      <c r="I877" s="91" t="s">
        <v>228</v>
      </c>
      <c r="J877" s="91"/>
      <c r="K877" s="91" t="s">
        <v>228</v>
      </c>
      <c r="L877" s="92" t="s">
        <v>1442</v>
      </c>
      <c r="M877" s="91" t="str">
        <f t="shared" si="175"/>
        <v>VER ARCHIVO ANEXO</v>
      </c>
      <c r="N877" s="93">
        <v>41608</v>
      </c>
      <c r="O877" s="94">
        <v>29697</v>
      </c>
      <c r="P877" s="94" t="s">
        <v>1443</v>
      </c>
      <c r="Q877" s="94">
        <v>734</v>
      </c>
      <c r="R877" s="95">
        <f t="shared" si="164"/>
        <v>28523.714733106623</v>
      </c>
      <c r="S877" s="94">
        <v>18666.056199999999</v>
      </c>
      <c r="T877" s="94">
        <f t="shared" si="169"/>
        <v>19929.748204740001</v>
      </c>
      <c r="U877" s="94">
        <f t="shared" si="170"/>
        <v>21075.708726512552</v>
      </c>
      <c r="V877" s="94">
        <f t="shared" si="171"/>
        <v>21937.705213426914</v>
      </c>
      <c r="W877" s="97">
        <f t="shared" si="167"/>
        <v>22635.324239213893</v>
      </c>
      <c r="X877" s="97">
        <f t="shared" si="168"/>
        <v>23495.466560304023</v>
      </c>
      <c r="Y877" s="97">
        <f>+X877*(1+$Y$4)</f>
        <v>23873.743571924919</v>
      </c>
      <c r="Z877" s="97">
        <f t="shared" si="165"/>
        <v>25215.447960667101</v>
      </c>
      <c r="AA877" s="97">
        <f t="shared" si="166"/>
        <v>28523.714733106623</v>
      </c>
    </row>
    <row r="878" spans="1:27" x14ac:dyDescent="0.25">
      <c r="A878" s="86" t="s">
        <v>2071</v>
      </c>
      <c r="B878" s="87" t="s">
        <v>2072</v>
      </c>
      <c r="C878" s="88" t="s">
        <v>226</v>
      </c>
      <c r="D878" s="89" t="s">
        <v>255</v>
      </c>
      <c r="E878" s="90">
        <f t="shared" si="173"/>
        <v>479446</v>
      </c>
      <c r="F878" s="90">
        <f t="shared" si="174"/>
        <v>402896.08457467664</v>
      </c>
      <c r="G878" s="91">
        <v>0.19</v>
      </c>
      <c r="H878" s="91" t="s">
        <v>228</v>
      </c>
      <c r="I878" s="91" t="s">
        <v>228</v>
      </c>
      <c r="J878" s="91"/>
      <c r="K878" s="91" t="s">
        <v>228</v>
      </c>
      <c r="L878" s="92" t="s">
        <v>1442</v>
      </c>
      <c r="M878" s="91" t="str">
        <f t="shared" si="175"/>
        <v>VER ARCHIVO ANEXO</v>
      </c>
      <c r="N878" s="93">
        <v>41608</v>
      </c>
      <c r="O878" s="94">
        <v>373534</v>
      </c>
      <c r="P878" s="94" t="s">
        <v>1443</v>
      </c>
      <c r="Q878" s="94">
        <v>735</v>
      </c>
      <c r="R878" s="95">
        <f t="shared" si="164"/>
        <v>402896.08457467664</v>
      </c>
      <c r="S878" s="94">
        <v>263657.13679999998</v>
      </c>
      <c r="T878" s="94">
        <f t="shared" si="169"/>
        <v>281506.72496135999</v>
      </c>
      <c r="U878" s="94">
        <f t="shared" si="170"/>
        <v>297693.36164663819</v>
      </c>
      <c r="V878" s="94">
        <f t="shared" si="171"/>
        <v>309869.0201379857</v>
      </c>
      <c r="W878" s="97">
        <f t="shared" si="167"/>
        <v>319722.85497837368</v>
      </c>
      <c r="X878" s="97">
        <f t="shared" si="168"/>
        <v>331872.32346755191</v>
      </c>
      <c r="Y878" s="97">
        <f>+X878*(1+$Y$4)</f>
        <v>337215.46787537949</v>
      </c>
      <c r="Z878" s="97">
        <f t="shared" si="165"/>
        <v>356166.97716997581</v>
      </c>
      <c r="AA878" s="97">
        <f t="shared" si="166"/>
        <v>402896.08457467664</v>
      </c>
    </row>
    <row r="879" spans="1:27" x14ac:dyDescent="0.25">
      <c r="A879" s="86" t="s">
        <v>2073</v>
      </c>
      <c r="B879" s="87" t="s">
        <v>2074</v>
      </c>
      <c r="C879" s="88" t="s">
        <v>226</v>
      </c>
      <c r="D879" s="89" t="s">
        <v>255</v>
      </c>
      <c r="E879" s="90">
        <f t="shared" si="173"/>
        <v>750604</v>
      </c>
      <c r="F879" s="90">
        <f t="shared" si="174"/>
        <v>630759.4912697057</v>
      </c>
      <c r="G879" s="91">
        <v>0.19</v>
      </c>
      <c r="H879" s="91" t="s">
        <v>228</v>
      </c>
      <c r="I879" s="91" t="s">
        <v>228</v>
      </c>
      <c r="J879" s="91"/>
      <c r="K879" s="91" t="s">
        <v>228</v>
      </c>
      <c r="L879" s="92" t="s">
        <v>1442</v>
      </c>
      <c r="M879" s="91" t="str">
        <f t="shared" si="175"/>
        <v>VER ARCHIVO ANEXO</v>
      </c>
      <c r="N879" s="93">
        <v>41608</v>
      </c>
      <c r="O879" s="94">
        <v>583196</v>
      </c>
      <c r="P879" s="94" t="s">
        <v>1443</v>
      </c>
      <c r="Q879" s="94">
        <v>736</v>
      </c>
      <c r="R879" s="95">
        <f t="shared" si="164"/>
        <v>630759.4912697057</v>
      </c>
      <c r="S879" s="94">
        <v>412772.04680000001</v>
      </c>
      <c r="T879" s="94">
        <f t="shared" si="169"/>
        <v>440716.71436836006</v>
      </c>
      <c r="U879" s="94">
        <f t="shared" si="170"/>
        <v>466057.9254445408</v>
      </c>
      <c r="V879" s="94">
        <f t="shared" si="171"/>
        <v>485119.69459522248</v>
      </c>
      <c r="W879" s="97">
        <f t="shared" si="167"/>
        <v>500546.50088335056</v>
      </c>
      <c r="X879" s="97">
        <f t="shared" si="168"/>
        <v>519567.26791691792</v>
      </c>
      <c r="Y879" s="97">
        <f>+X879*(1+$Y$4)</f>
        <v>527932.30093038036</v>
      </c>
      <c r="Z879" s="97">
        <f t="shared" si="165"/>
        <v>557602.09624266776</v>
      </c>
      <c r="AA879" s="97">
        <f t="shared" si="166"/>
        <v>630759.4912697057</v>
      </c>
    </row>
    <row r="880" spans="1:27" x14ac:dyDescent="0.25">
      <c r="A880" s="86" t="s">
        <v>2075</v>
      </c>
      <c r="B880" s="87" t="s">
        <v>2076</v>
      </c>
      <c r="C880" s="88" t="s">
        <v>226</v>
      </c>
      <c r="D880" s="89" t="s">
        <v>255</v>
      </c>
      <c r="E880" s="90">
        <f t="shared" si="173"/>
        <v>12852</v>
      </c>
      <c r="F880" s="90">
        <f t="shared" si="174"/>
        <v>10799.949300289938</v>
      </c>
      <c r="G880" s="91">
        <v>0.19</v>
      </c>
      <c r="H880" s="91" t="s">
        <v>228</v>
      </c>
      <c r="I880" s="91" t="s">
        <v>228</v>
      </c>
      <c r="J880" s="91"/>
      <c r="K880" s="91" t="s">
        <v>228</v>
      </c>
      <c r="L880" s="92" t="s">
        <v>1442</v>
      </c>
      <c r="M880" s="91" t="str">
        <f t="shared" si="175"/>
        <v>VER ARCHIVO ANEXO</v>
      </c>
      <c r="N880" s="93">
        <v>41608</v>
      </c>
      <c r="O880" s="94">
        <v>10208</v>
      </c>
      <c r="P880" s="94" t="s">
        <v>1443</v>
      </c>
      <c r="Q880" s="94">
        <v>737</v>
      </c>
      <c r="R880" s="95">
        <f t="shared" si="164"/>
        <v>10799.949300289938</v>
      </c>
      <c r="S880" s="94">
        <v>7067.5387999999994</v>
      </c>
      <c r="T880" s="94">
        <f t="shared" si="169"/>
        <v>7546.0111767600001</v>
      </c>
      <c r="U880" s="94">
        <f t="shared" si="170"/>
        <v>7979.9068194237007</v>
      </c>
      <c r="V880" s="94">
        <f t="shared" si="171"/>
        <v>8306.285008338129</v>
      </c>
      <c r="W880" s="97">
        <f t="shared" si="167"/>
        <v>8570.4248716032816</v>
      </c>
      <c r="X880" s="97">
        <f t="shared" si="168"/>
        <v>8896.1010167242075</v>
      </c>
      <c r="Y880" s="97">
        <f>+X880*(1+$Y$4)</f>
        <v>9039.3282430934669</v>
      </c>
      <c r="Z880" s="97">
        <f t="shared" si="165"/>
        <v>9547.3384903553197</v>
      </c>
      <c r="AA880" s="97">
        <f t="shared" si="166"/>
        <v>10799.949300289938</v>
      </c>
    </row>
    <row r="881" spans="1:27" x14ac:dyDescent="0.25">
      <c r="A881" s="86" t="s">
        <v>2077</v>
      </c>
      <c r="B881" s="87" t="s">
        <v>2078</v>
      </c>
      <c r="C881" s="88" t="s">
        <v>226</v>
      </c>
      <c r="D881" s="89" t="s">
        <v>255</v>
      </c>
      <c r="E881" s="90">
        <f t="shared" si="173"/>
        <v>23104</v>
      </c>
      <c r="F881" s="90">
        <f t="shared" si="174"/>
        <v>19415.514604525346</v>
      </c>
      <c r="G881" s="91">
        <v>0.19</v>
      </c>
      <c r="H881" s="91" t="s">
        <v>228</v>
      </c>
      <c r="I881" s="91" t="s">
        <v>228</v>
      </c>
      <c r="J881" s="91"/>
      <c r="K881" s="91" t="s">
        <v>228</v>
      </c>
      <c r="L881" s="92" t="s">
        <v>1442</v>
      </c>
      <c r="M881" s="91" t="str">
        <f t="shared" si="175"/>
        <v>VER ARCHIVO ANEXO</v>
      </c>
      <c r="N881" s="93">
        <v>41608</v>
      </c>
      <c r="O881" s="94">
        <v>20374</v>
      </c>
      <c r="P881" s="94" t="s">
        <v>1443</v>
      </c>
      <c r="Q881" s="94">
        <v>738</v>
      </c>
      <c r="R881" s="95">
        <f t="shared" si="164"/>
        <v>19415.514604525346</v>
      </c>
      <c r="S881" s="94">
        <v>12705.6062</v>
      </c>
      <c r="T881" s="94">
        <f t="shared" si="169"/>
        <v>13565.775739740002</v>
      </c>
      <c r="U881" s="94">
        <f t="shared" si="170"/>
        <v>14345.807844775054</v>
      </c>
      <c r="V881" s="94">
        <f t="shared" si="171"/>
        <v>14932.551385626353</v>
      </c>
      <c r="W881" s="97">
        <f t="shared" si="167"/>
        <v>15407.406519689272</v>
      </c>
      <c r="X881" s="97">
        <f t="shared" si="168"/>
        <v>15992.887967437464</v>
      </c>
      <c r="Y881" s="97">
        <f>+X881*(1+$Y$4)</f>
        <v>16250.373463713207</v>
      </c>
      <c r="Z881" s="97">
        <f t="shared" si="165"/>
        <v>17163.64445237389</v>
      </c>
      <c r="AA881" s="97">
        <f t="shared" si="166"/>
        <v>19415.514604525346</v>
      </c>
    </row>
    <row r="882" spans="1:27" x14ac:dyDescent="0.25">
      <c r="A882" s="86" t="s">
        <v>2079</v>
      </c>
      <c r="B882" s="98" t="s">
        <v>2080</v>
      </c>
      <c r="C882" s="99" t="s">
        <v>226</v>
      </c>
      <c r="D882" s="100" t="s">
        <v>255</v>
      </c>
      <c r="E882" s="101">
        <f t="shared" si="173"/>
        <v>13747</v>
      </c>
      <c r="F882" s="90">
        <f t="shared" si="174"/>
        <v>11552.085175344002</v>
      </c>
      <c r="G882" s="91">
        <v>0.19</v>
      </c>
      <c r="H882" s="91" t="s">
        <v>228</v>
      </c>
      <c r="I882" s="91" t="s">
        <v>228</v>
      </c>
      <c r="J882" s="91"/>
      <c r="K882" s="91" t="s">
        <v>228</v>
      </c>
      <c r="L882" s="92" t="s">
        <v>1768</v>
      </c>
      <c r="M882" s="91" t="str">
        <f t="shared" si="175"/>
        <v>VER ARCHIVO ANEXO</v>
      </c>
      <c r="N882" s="93">
        <v>41608</v>
      </c>
      <c r="O882" s="94">
        <v>9531.8333333333339</v>
      </c>
      <c r="P882" s="94" t="s">
        <v>1443</v>
      </c>
      <c r="Q882" s="94">
        <v>739</v>
      </c>
      <c r="R882" s="95">
        <f t="shared" si="164"/>
        <v>11552.085175344002</v>
      </c>
      <c r="S882" s="94">
        <v>6998.0865999999996</v>
      </c>
      <c r="T882" s="94">
        <f t="shared" si="169"/>
        <v>7471.8570628200005</v>
      </c>
      <c r="U882" s="94">
        <f t="shared" si="170"/>
        <v>7901.4888439321512</v>
      </c>
      <c r="V882" s="94">
        <f t="shared" si="171"/>
        <v>8224.6597376489754</v>
      </c>
      <c r="W882" s="97">
        <f t="shared" si="167"/>
        <v>8486.203917306213</v>
      </c>
      <c r="X882" s="97">
        <f t="shared" si="168"/>
        <v>8808.6796661638491</v>
      </c>
      <c r="Y882" s="97">
        <v>9668.85</v>
      </c>
      <c r="Z882" s="97">
        <f t="shared" si="165"/>
        <v>10212.239370000001</v>
      </c>
      <c r="AA882" s="97">
        <f t="shared" si="166"/>
        <v>11552.085175344002</v>
      </c>
    </row>
    <row r="883" spans="1:27" x14ac:dyDescent="0.25">
      <c r="A883" s="86" t="s">
        <v>2081</v>
      </c>
      <c r="B883" s="98" t="s">
        <v>2082</v>
      </c>
      <c r="C883" s="99" t="s">
        <v>226</v>
      </c>
      <c r="D883" s="100" t="s">
        <v>255</v>
      </c>
      <c r="E883" s="101">
        <f t="shared" si="173"/>
        <v>10528</v>
      </c>
      <c r="F883" s="90">
        <f t="shared" si="174"/>
        <v>8847.3570618719987</v>
      </c>
      <c r="G883" s="91">
        <v>0.19</v>
      </c>
      <c r="H883" s="91" t="s">
        <v>228</v>
      </c>
      <c r="I883" s="91" t="s">
        <v>228</v>
      </c>
      <c r="J883" s="91"/>
      <c r="K883" s="91" t="s">
        <v>228</v>
      </c>
      <c r="L883" s="92" t="s">
        <v>1768</v>
      </c>
      <c r="M883" s="91" t="str">
        <f t="shared" si="175"/>
        <v>VER ARCHIVO ANEXO</v>
      </c>
      <c r="N883" s="93">
        <v>41608</v>
      </c>
      <c r="O883" s="94">
        <v>7300</v>
      </c>
      <c r="P883" s="94" t="s">
        <v>1443</v>
      </c>
      <c r="Q883" s="94">
        <v>740</v>
      </c>
      <c r="R883" s="95">
        <f t="shared" si="164"/>
        <v>8847.3570618719987</v>
      </c>
      <c r="S883" s="94">
        <v>5359.2219999999998</v>
      </c>
      <c r="T883" s="94">
        <f t="shared" si="169"/>
        <v>5722.0413294</v>
      </c>
      <c r="U883" s="94">
        <f t="shared" si="170"/>
        <v>6051.0587058405008</v>
      </c>
      <c r="V883" s="94">
        <f t="shared" si="171"/>
        <v>6298.5470069093772</v>
      </c>
      <c r="W883" s="97">
        <f t="shared" si="167"/>
        <v>6498.8408017290958</v>
      </c>
      <c r="X883" s="97">
        <f t="shared" si="168"/>
        <v>6745.7967521948012</v>
      </c>
      <c r="Y883" s="97">
        <v>7405.0499999999993</v>
      </c>
      <c r="Z883" s="97">
        <f t="shared" si="165"/>
        <v>7821.2138099999993</v>
      </c>
      <c r="AA883" s="97">
        <f t="shared" si="166"/>
        <v>8847.3570618719987</v>
      </c>
    </row>
    <row r="884" spans="1:27" x14ac:dyDescent="0.25">
      <c r="A884" s="86" t="s">
        <v>2083</v>
      </c>
      <c r="B884" s="87" t="s">
        <v>2084</v>
      </c>
      <c r="C884" s="88" t="s">
        <v>226</v>
      </c>
      <c r="D884" s="89" t="s">
        <v>255</v>
      </c>
      <c r="E884" s="90">
        <f t="shared" si="173"/>
        <v>21080</v>
      </c>
      <c r="F884" s="90">
        <f t="shared" si="174"/>
        <v>17714.427885503999</v>
      </c>
      <c r="G884" s="91">
        <v>0.19</v>
      </c>
      <c r="H884" s="91" t="s">
        <v>228</v>
      </c>
      <c r="I884" s="91" t="s">
        <v>228</v>
      </c>
      <c r="J884" s="91"/>
      <c r="K884" s="91" t="s">
        <v>228</v>
      </c>
      <c r="L884" s="92" t="s">
        <v>1768</v>
      </c>
      <c r="M884" s="91" t="str">
        <f t="shared" si="175"/>
        <v>VER ARCHIVO ANEXO</v>
      </c>
      <c r="N884" s="93">
        <v>41608</v>
      </c>
      <c r="O884" s="94">
        <v>14616.666666666666</v>
      </c>
      <c r="P884" s="94" t="s">
        <v>1443</v>
      </c>
      <c r="Q884" s="94">
        <v>741</v>
      </c>
      <c r="R884" s="95">
        <f t="shared" si="164"/>
        <v>17714.427885503999</v>
      </c>
      <c r="S884" s="94">
        <v>10731.9198</v>
      </c>
      <c r="T884" s="94">
        <f t="shared" si="169"/>
        <v>11458.47077046</v>
      </c>
      <c r="U884" s="94">
        <f t="shared" si="170"/>
        <v>12117.332839761451</v>
      </c>
      <c r="V884" s="94">
        <f t="shared" si="171"/>
        <v>12612.931752907694</v>
      </c>
      <c r="W884" s="97">
        <f t="shared" si="167"/>
        <v>13014.02298265016</v>
      </c>
      <c r="X884" s="97">
        <f t="shared" si="168"/>
        <v>13508.555855990866</v>
      </c>
      <c r="Y884" s="97">
        <v>14826.599999999999</v>
      </c>
      <c r="Z884" s="97">
        <f t="shared" si="165"/>
        <v>15659.85492</v>
      </c>
      <c r="AA884" s="97">
        <f t="shared" si="166"/>
        <v>17714.427885503999</v>
      </c>
    </row>
    <row r="885" spans="1:27" x14ac:dyDescent="0.25">
      <c r="A885" s="86" t="s">
        <v>2085</v>
      </c>
      <c r="B885" s="98" t="s">
        <v>2086</v>
      </c>
      <c r="C885" s="99" t="s">
        <v>226</v>
      </c>
      <c r="D885" s="100" t="s">
        <v>255</v>
      </c>
      <c r="E885" s="101">
        <f t="shared" si="173"/>
        <v>4165</v>
      </c>
      <c r="F885" s="90">
        <f t="shared" si="174"/>
        <v>3500.2680084960002</v>
      </c>
      <c r="G885" s="91">
        <v>0.19</v>
      </c>
      <c r="H885" s="91" t="s">
        <v>228</v>
      </c>
      <c r="I885" s="91" t="s">
        <v>228</v>
      </c>
      <c r="J885" s="91"/>
      <c r="K885" s="91" t="s">
        <v>228</v>
      </c>
      <c r="L885" s="92" t="s">
        <v>1768</v>
      </c>
      <c r="M885" s="91" t="str">
        <f t="shared" si="175"/>
        <v>VER ARCHIVO ANEXO</v>
      </c>
      <c r="N885" s="93">
        <v>41608</v>
      </c>
      <c r="O885" s="94">
        <v>2888</v>
      </c>
      <c r="P885" s="94" t="s">
        <v>1443</v>
      </c>
      <c r="Q885" s="94">
        <v>742</v>
      </c>
      <c r="R885" s="95">
        <f t="shared" si="164"/>
        <v>3500.2680084960002</v>
      </c>
      <c r="S885" s="94">
        <v>2118.8103999999998</v>
      </c>
      <c r="T885" s="94">
        <f t="shared" si="169"/>
        <v>2262.2538640799999</v>
      </c>
      <c r="U885" s="94">
        <f t="shared" si="170"/>
        <v>2392.3334612645999</v>
      </c>
      <c r="V885" s="94">
        <f t="shared" si="171"/>
        <v>2490.179899830322</v>
      </c>
      <c r="W885" s="97">
        <f t="shared" si="167"/>
        <v>2569.3676206449263</v>
      </c>
      <c r="X885" s="97">
        <f t="shared" si="168"/>
        <v>2667.0035902294335</v>
      </c>
      <c r="Y885" s="97">
        <v>2929.65</v>
      </c>
      <c r="Z885" s="97">
        <f t="shared" si="165"/>
        <v>3094.2963300000001</v>
      </c>
      <c r="AA885" s="97">
        <f t="shared" si="166"/>
        <v>3500.2680084960002</v>
      </c>
    </row>
    <row r="886" spans="1:27" x14ac:dyDescent="0.25">
      <c r="A886" s="86" t="s">
        <v>2087</v>
      </c>
      <c r="B886" s="98" t="s">
        <v>2088</v>
      </c>
      <c r="C886" s="99" t="s">
        <v>226</v>
      </c>
      <c r="D886" s="100" t="s">
        <v>255</v>
      </c>
      <c r="E886" s="101">
        <f t="shared" si="173"/>
        <v>5845</v>
      </c>
      <c r="F886" s="90">
        <f t="shared" si="174"/>
        <v>4911.7733505120004</v>
      </c>
      <c r="G886" s="91">
        <v>0.19</v>
      </c>
      <c r="H886" s="91" t="s">
        <v>228</v>
      </c>
      <c r="I886" s="91" t="s">
        <v>228</v>
      </c>
      <c r="J886" s="91"/>
      <c r="K886" s="91" t="s">
        <v>228</v>
      </c>
      <c r="L886" s="92" t="s">
        <v>1768</v>
      </c>
      <c r="M886" s="91" t="str">
        <f t="shared" si="175"/>
        <v>VER ARCHIVO ANEXO</v>
      </c>
      <c r="N886" s="93">
        <v>41608</v>
      </c>
      <c r="O886" s="94">
        <v>4052.8333333333335</v>
      </c>
      <c r="P886" s="94" t="s">
        <v>1443</v>
      </c>
      <c r="Q886" s="94">
        <v>743</v>
      </c>
      <c r="R886" s="95">
        <f t="shared" si="164"/>
        <v>4911.7733505120004</v>
      </c>
      <c r="S886" s="94">
        <v>2975.0419999999999</v>
      </c>
      <c r="T886" s="94">
        <f t="shared" si="169"/>
        <v>3176.4523434000002</v>
      </c>
      <c r="U886" s="94">
        <f t="shared" si="170"/>
        <v>3359.0983531455008</v>
      </c>
      <c r="V886" s="94">
        <f t="shared" si="171"/>
        <v>3496.4854757891517</v>
      </c>
      <c r="W886" s="97">
        <f t="shared" si="167"/>
        <v>3607.6737139192469</v>
      </c>
      <c r="X886" s="97">
        <f t="shared" si="168"/>
        <v>3744.7653150481783</v>
      </c>
      <c r="Y886" s="97">
        <v>4111.05</v>
      </c>
      <c r="Z886" s="97">
        <f t="shared" si="165"/>
        <v>4342.0910100000001</v>
      </c>
      <c r="AA886" s="97">
        <f t="shared" si="166"/>
        <v>4911.7733505120004</v>
      </c>
    </row>
    <row r="887" spans="1:27" x14ac:dyDescent="0.25">
      <c r="A887" s="86" t="s">
        <v>2089</v>
      </c>
      <c r="B887" s="98" t="s">
        <v>2090</v>
      </c>
      <c r="C887" s="99" t="s">
        <v>226</v>
      </c>
      <c r="D887" s="100" t="s">
        <v>255</v>
      </c>
      <c r="E887" s="101">
        <f t="shared" si="173"/>
        <v>34164</v>
      </c>
      <c r="F887" s="90">
        <f t="shared" si="174"/>
        <v>28709.509683119999</v>
      </c>
      <c r="G887" s="91">
        <v>0.19</v>
      </c>
      <c r="H887" s="91" t="s">
        <v>228</v>
      </c>
      <c r="I887" s="91" t="s">
        <v>228</v>
      </c>
      <c r="J887" s="91"/>
      <c r="K887" s="91" t="s">
        <v>228</v>
      </c>
      <c r="L887" s="92" t="s">
        <v>1768</v>
      </c>
      <c r="M887" s="91" t="str">
        <f t="shared" si="175"/>
        <v>VER ARCHIVO ANEXO</v>
      </c>
      <c r="N887" s="93">
        <v>41608</v>
      </c>
      <c r="O887" s="94">
        <v>23688.666666666668</v>
      </c>
      <c r="P887" s="94" t="s">
        <v>1443</v>
      </c>
      <c r="Q887" s="94">
        <v>744</v>
      </c>
      <c r="R887" s="95">
        <f t="shared" si="164"/>
        <v>28709.509683119999</v>
      </c>
      <c r="S887" s="94">
        <v>17393.111399999998</v>
      </c>
      <c r="T887" s="94">
        <f t="shared" si="169"/>
        <v>18570.62504178</v>
      </c>
      <c r="U887" s="94">
        <f t="shared" si="170"/>
        <v>19638.435981682353</v>
      </c>
      <c r="V887" s="94">
        <f t="shared" si="171"/>
        <v>20441.648013333161</v>
      </c>
      <c r="W887" s="97">
        <f t="shared" si="167"/>
        <v>21091.692420157156</v>
      </c>
      <c r="X887" s="97">
        <f t="shared" si="168"/>
        <v>21893.176732123127</v>
      </c>
      <c r="Y887" s="97">
        <v>24029.25</v>
      </c>
      <c r="Z887" s="97">
        <f t="shared" si="165"/>
        <v>25379.69385</v>
      </c>
      <c r="AA887" s="97">
        <f t="shared" si="166"/>
        <v>28709.509683119999</v>
      </c>
    </row>
    <row r="888" spans="1:27" x14ac:dyDescent="0.25">
      <c r="A888" s="86" t="s">
        <v>2091</v>
      </c>
      <c r="B888" s="87" t="s">
        <v>2092</v>
      </c>
      <c r="C888" s="88" t="s">
        <v>226</v>
      </c>
      <c r="D888" s="89" t="s">
        <v>255</v>
      </c>
      <c r="E888" s="90">
        <f t="shared" si="173"/>
        <v>45614</v>
      </c>
      <c r="F888" s="90">
        <f t="shared" si="174"/>
        <v>38331.259150128004</v>
      </c>
      <c r="G888" s="91">
        <v>0.19</v>
      </c>
      <c r="H888" s="91" t="s">
        <v>228</v>
      </c>
      <c r="I888" s="91" t="s">
        <v>228</v>
      </c>
      <c r="J888" s="91"/>
      <c r="K888" s="91" t="s">
        <v>228</v>
      </c>
      <c r="L888" s="92" t="s">
        <v>1768</v>
      </c>
      <c r="M888" s="91" t="str">
        <f t="shared" si="175"/>
        <v>VER ARCHIVO ANEXO</v>
      </c>
      <c r="N888" s="93">
        <v>41608</v>
      </c>
      <c r="O888" s="94">
        <v>31627.833333333332</v>
      </c>
      <c r="P888" s="94" t="s">
        <v>1443</v>
      </c>
      <c r="Q888" s="94">
        <v>745</v>
      </c>
      <c r="R888" s="95">
        <f t="shared" si="164"/>
        <v>38331.259150128004</v>
      </c>
      <c r="S888" s="94">
        <v>23221.913199999999</v>
      </c>
      <c r="T888" s="94">
        <f t="shared" si="169"/>
        <v>24794.036723640002</v>
      </c>
      <c r="U888" s="94">
        <f t="shared" si="170"/>
        <v>26219.693835249305</v>
      </c>
      <c r="V888" s="94">
        <f t="shared" si="171"/>
        <v>27292.079313111</v>
      </c>
      <c r="W888" s="97">
        <f t="shared" si="167"/>
        <v>28159.967435267932</v>
      </c>
      <c r="X888" s="97">
        <f t="shared" si="168"/>
        <v>29230.046197808115</v>
      </c>
      <c r="Y888" s="97">
        <v>32082.449999999997</v>
      </c>
      <c r="Z888" s="97">
        <f t="shared" si="165"/>
        <v>33885.483690000001</v>
      </c>
      <c r="AA888" s="97">
        <f t="shared" si="166"/>
        <v>38331.259150128004</v>
      </c>
    </row>
    <row r="889" spans="1:27" x14ac:dyDescent="0.25">
      <c r="A889" s="86" t="s">
        <v>2093</v>
      </c>
      <c r="B889" s="87" t="s">
        <v>2094</v>
      </c>
      <c r="C889" s="88" t="s">
        <v>226</v>
      </c>
      <c r="D889" s="89" t="s">
        <v>255</v>
      </c>
      <c r="E889" s="90">
        <f t="shared" si="173"/>
        <v>77803</v>
      </c>
      <c r="F889" s="90">
        <f t="shared" si="174"/>
        <v>65380.332445007996</v>
      </c>
      <c r="G889" s="91">
        <v>0.19</v>
      </c>
      <c r="H889" s="91" t="s">
        <v>228</v>
      </c>
      <c r="I889" s="91" t="s">
        <v>228</v>
      </c>
      <c r="J889" s="91"/>
      <c r="K889" s="91" t="s">
        <v>228</v>
      </c>
      <c r="L889" s="92" t="s">
        <v>1768</v>
      </c>
      <c r="M889" s="91" t="str">
        <f t="shared" si="175"/>
        <v>VER ARCHIVO ANEXO</v>
      </c>
      <c r="N889" s="93">
        <v>41608</v>
      </c>
      <c r="O889" s="94">
        <v>53946.666666666664</v>
      </c>
      <c r="P889" s="94" t="s">
        <v>1443</v>
      </c>
      <c r="Q889" s="94"/>
      <c r="R889" s="95">
        <f t="shared" si="164"/>
        <v>65380.332445007996</v>
      </c>
      <c r="S889" s="94"/>
      <c r="T889" s="94">
        <v>43157.599999999999</v>
      </c>
      <c r="U889" s="94">
        <f t="shared" si="170"/>
        <v>45639.162000000004</v>
      </c>
      <c r="V889" s="94">
        <f t="shared" si="171"/>
        <v>47505.803725800004</v>
      </c>
      <c r="W889" s="97">
        <f t="shared" si="167"/>
        <v>49016.488284280444</v>
      </c>
      <c r="X889" s="97">
        <f t="shared" si="168"/>
        <v>50879.1148390831</v>
      </c>
      <c r="Y889" s="97">
        <v>54721.95</v>
      </c>
      <c r="Z889" s="97">
        <f t="shared" si="165"/>
        <v>57797.32359</v>
      </c>
      <c r="AA889" s="97">
        <f t="shared" si="166"/>
        <v>65380.332445007996</v>
      </c>
    </row>
    <row r="890" spans="1:27" x14ac:dyDescent="0.25">
      <c r="A890" s="86" t="s">
        <v>2095</v>
      </c>
      <c r="B890" s="98" t="s">
        <v>2096</v>
      </c>
      <c r="C890" s="99" t="s">
        <v>226</v>
      </c>
      <c r="D890" s="100" t="s">
        <v>255</v>
      </c>
      <c r="E890" s="101">
        <f t="shared" si="173"/>
        <v>4711</v>
      </c>
      <c r="F890" s="90">
        <f t="shared" si="174"/>
        <v>3958.7025774240001</v>
      </c>
      <c r="G890" s="91">
        <v>0.19</v>
      </c>
      <c r="H890" s="91" t="s">
        <v>228</v>
      </c>
      <c r="I890" s="91" t="s">
        <v>228</v>
      </c>
      <c r="J890" s="91"/>
      <c r="K890" s="91" t="s">
        <v>228</v>
      </c>
      <c r="L890" s="92" t="s">
        <v>1768</v>
      </c>
      <c r="M890" s="91" t="str">
        <f t="shared" si="175"/>
        <v>VER ARCHIVO ANEXO</v>
      </c>
      <c r="N890" s="93">
        <v>41608</v>
      </c>
      <c r="O890" s="94">
        <v>3266.5</v>
      </c>
      <c r="P890" s="94" t="s">
        <v>1443</v>
      </c>
      <c r="Q890" s="94">
        <v>747</v>
      </c>
      <c r="R890" s="95">
        <f t="shared" si="164"/>
        <v>3958.7025774240001</v>
      </c>
      <c r="S890" s="94">
        <v>2396.6192000000001</v>
      </c>
      <c r="T890" s="94">
        <f t="shared" si="169"/>
        <v>2558.8703198400003</v>
      </c>
      <c r="U890" s="94">
        <f t="shared" si="170"/>
        <v>2706.0053632308004</v>
      </c>
      <c r="V890" s="94">
        <f t="shared" si="171"/>
        <v>2816.68098258694</v>
      </c>
      <c r="W890" s="97">
        <f t="shared" si="167"/>
        <v>2906.2514378332048</v>
      </c>
      <c r="X890" s="97">
        <f t="shared" si="168"/>
        <v>3016.6889924708667</v>
      </c>
      <c r="Y890" s="97">
        <v>3313.35</v>
      </c>
      <c r="Z890" s="97">
        <f t="shared" si="165"/>
        <v>3499.5602699999999</v>
      </c>
      <c r="AA890" s="97">
        <f t="shared" si="166"/>
        <v>3958.7025774240001</v>
      </c>
    </row>
    <row r="891" spans="1:27" x14ac:dyDescent="0.25">
      <c r="A891" s="86" t="s">
        <v>2097</v>
      </c>
      <c r="B891" s="98" t="s">
        <v>2098</v>
      </c>
      <c r="C891" s="99" t="s">
        <v>226</v>
      </c>
      <c r="D891" s="100" t="s">
        <v>255</v>
      </c>
      <c r="E891" s="101">
        <f t="shared" si="173"/>
        <v>6260</v>
      </c>
      <c r="F891" s="90">
        <f t="shared" si="174"/>
        <v>5260.5795873075513</v>
      </c>
      <c r="G891" s="91">
        <v>0.19</v>
      </c>
      <c r="H891" s="91" t="s">
        <v>228</v>
      </c>
      <c r="I891" s="91" t="s">
        <v>228</v>
      </c>
      <c r="J891" s="91"/>
      <c r="K891" s="91" t="s">
        <v>228</v>
      </c>
      <c r="L891" s="92" t="s">
        <v>1879</v>
      </c>
      <c r="M891" s="91" t="str">
        <f t="shared" si="175"/>
        <v>VER ARCHIVO ANEXO</v>
      </c>
      <c r="N891" s="93">
        <v>41608</v>
      </c>
      <c r="O891" s="94">
        <v>4603.166666666667</v>
      </c>
      <c r="P891" s="94" t="s">
        <v>1443</v>
      </c>
      <c r="Q891" s="94">
        <v>748</v>
      </c>
      <c r="R891" s="95">
        <f t="shared" si="164"/>
        <v>5260.5795873075513</v>
      </c>
      <c r="S891" s="94">
        <v>3442.5486000000001</v>
      </c>
      <c r="T891" s="94">
        <f t="shared" si="169"/>
        <v>3675.6091402200004</v>
      </c>
      <c r="U891" s="94">
        <f t="shared" si="170"/>
        <v>3886.9566657826508</v>
      </c>
      <c r="V891" s="94">
        <f t="shared" si="171"/>
        <v>4045.933193413161</v>
      </c>
      <c r="W891" s="97">
        <f t="shared" si="167"/>
        <v>4174.5938689636996</v>
      </c>
      <c r="X891" s="97">
        <f t="shared" si="168"/>
        <v>4333.2284359843206</v>
      </c>
      <c r="Y891" s="97">
        <f>+X891*(1+$Y$4)</f>
        <v>4402.9934138036679</v>
      </c>
      <c r="Z891" s="97">
        <f t="shared" si="165"/>
        <v>4650.4416436594338</v>
      </c>
      <c r="AA891" s="97">
        <f t="shared" si="166"/>
        <v>5260.5795873075513</v>
      </c>
    </row>
    <row r="892" spans="1:27" x14ac:dyDescent="0.25">
      <c r="A892" s="86" t="s">
        <v>2099</v>
      </c>
      <c r="B892" s="98" t="s">
        <v>2100</v>
      </c>
      <c r="C892" s="99" t="s">
        <v>226</v>
      </c>
      <c r="D892" s="100" t="s">
        <v>255</v>
      </c>
      <c r="E892" s="101">
        <f t="shared" si="173"/>
        <v>9052</v>
      </c>
      <c r="F892" s="90">
        <f t="shared" si="174"/>
        <v>7606.5351334690959</v>
      </c>
      <c r="G892" s="91">
        <v>0.19</v>
      </c>
      <c r="H892" s="91" t="s">
        <v>228</v>
      </c>
      <c r="I892" s="91" t="s">
        <v>228</v>
      </c>
      <c r="J892" s="91"/>
      <c r="K892" s="91" t="s">
        <v>228</v>
      </c>
      <c r="L892" s="92" t="s">
        <v>1879</v>
      </c>
      <c r="M892" s="91" t="str">
        <f t="shared" si="175"/>
        <v>VER ARCHIVO ANEXO</v>
      </c>
      <c r="N892" s="93">
        <v>41608</v>
      </c>
      <c r="O892" s="94">
        <v>6655</v>
      </c>
      <c r="P892" s="94" t="s">
        <v>1443</v>
      </c>
      <c r="Q892" s="94">
        <v>749</v>
      </c>
      <c r="R892" s="95">
        <f t="shared" si="164"/>
        <v>7606.5351334690959</v>
      </c>
      <c r="S892" s="94">
        <v>4977.7532000000001</v>
      </c>
      <c r="T892" s="94">
        <f t="shared" si="169"/>
        <v>5314.7470916400007</v>
      </c>
      <c r="U892" s="94">
        <f t="shared" si="170"/>
        <v>5620.3450494093013</v>
      </c>
      <c r="V892" s="94">
        <f t="shared" si="171"/>
        <v>5850.2171619301416</v>
      </c>
      <c r="W892" s="97">
        <f t="shared" si="167"/>
        <v>6036.2540676795206</v>
      </c>
      <c r="X892" s="97">
        <f t="shared" si="168"/>
        <v>6265.6317222513426</v>
      </c>
      <c r="Y892" s="97">
        <f>+X892*(1+$Y$4)</f>
        <v>6366.5083929795892</v>
      </c>
      <c r="Z892" s="97">
        <f t="shared" si="165"/>
        <v>6724.3061646650422</v>
      </c>
      <c r="AA892" s="97">
        <f t="shared" si="166"/>
        <v>7606.5351334690959</v>
      </c>
    </row>
    <row r="893" spans="1:27" x14ac:dyDescent="0.25">
      <c r="A893" s="86" t="s">
        <v>2101</v>
      </c>
      <c r="B893" s="98" t="s">
        <v>2102</v>
      </c>
      <c r="C893" s="99" t="s">
        <v>226</v>
      </c>
      <c r="D893" s="100" t="s">
        <v>255</v>
      </c>
      <c r="E893" s="101">
        <f t="shared" si="173"/>
        <v>12081</v>
      </c>
      <c r="F893" s="90">
        <f t="shared" si="174"/>
        <v>10152.07906505694</v>
      </c>
      <c r="G893" s="91">
        <v>0.19</v>
      </c>
      <c r="H893" s="91" t="s">
        <v>228</v>
      </c>
      <c r="I893" s="91" t="s">
        <v>228</v>
      </c>
      <c r="J893" s="91"/>
      <c r="K893" s="91" t="s">
        <v>228</v>
      </c>
      <c r="L893" s="92" t="s">
        <v>1879</v>
      </c>
      <c r="M893" s="91" t="str">
        <f t="shared" si="175"/>
        <v>VER ARCHIVO ANEXO</v>
      </c>
      <c r="N893" s="93">
        <v>41608</v>
      </c>
      <c r="O893" s="94">
        <v>8882.1666666666661</v>
      </c>
      <c r="P893" s="94" t="s">
        <v>1443</v>
      </c>
      <c r="Q893" s="94">
        <v>750</v>
      </c>
      <c r="R893" s="95">
        <f t="shared" si="164"/>
        <v>10152.07906505694</v>
      </c>
      <c r="S893" s="94">
        <v>6643.5693999999994</v>
      </c>
      <c r="T893" s="94">
        <f t="shared" si="169"/>
        <v>7093.3390483800003</v>
      </c>
      <c r="U893" s="94">
        <f t="shared" si="170"/>
        <v>7501.2060436618513</v>
      </c>
      <c r="V893" s="94">
        <f t="shared" si="171"/>
        <v>7808.0053708476207</v>
      </c>
      <c r="W893" s="97">
        <f t="shared" si="167"/>
        <v>8056.2999416405755</v>
      </c>
      <c r="X893" s="97">
        <f t="shared" si="168"/>
        <v>8362.4393394229173</v>
      </c>
      <c r="Y893" s="97">
        <f>+X893*(1+$Y$4)</f>
        <v>8497.0746127876264</v>
      </c>
      <c r="Z893" s="97">
        <f t="shared" si="165"/>
        <v>8974.6102060262911</v>
      </c>
      <c r="AA893" s="97">
        <f t="shared" si="166"/>
        <v>10152.07906505694</v>
      </c>
    </row>
    <row r="894" spans="1:27" x14ac:dyDescent="0.25">
      <c r="A894" s="86" t="s">
        <v>2103</v>
      </c>
      <c r="B894" s="98" t="s">
        <v>2104</v>
      </c>
      <c r="C894" s="99" t="s">
        <v>226</v>
      </c>
      <c r="D894" s="100" t="s">
        <v>255</v>
      </c>
      <c r="E894" s="101">
        <f t="shared" si="173"/>
        <v>20835</v>
      </c>
      <c r="F894" s="90">
        <f t="shared" si="174"/>
        <v>17508.336699340674</v>
      </c>
      <c r="G894" s="91">
        <v>0.19</v>
      </c>
      <c r="H894" s="91" t="s">
        <v>228</v>
      </c>
      <c r="I894" s="91" t="s">
        <v>228</v>
      </c>
      <c r="J894" s="91"/>
      <c r="K894" s="91" t="s">
        <v>228</v>
      </c>
      <c r="L894" s="92" t="s">
        <v>1879</v>
      </c>
      <c r="M894" s="91" t="str">
        <f t="shared" si="175"/>
        <v>VER ARCHIVO ANEXO</v>
      </c>
      <c r="N894" s="93">
        <v>41608</v>
      </c>
      <c r="O894" s="94">
        <v>15316.333333333334</v>
      </c>
      <c r="P894" s="94" t="s">
        <v>1443</v>
      </c>
      <c r="Q894" s="94">
        <v>751</v>
      </c>
      <c r="R894" s="95">
        <f t="shared" si="164"/>
        <v>17508.336699340674</v>
      </c>
      <c r="S894" s="94">
        <v>11457.5398</v>
      </c>
      <c r="T894" s="94">
        <f t="shared" si="169"/>
        <v>12233.215244460001</v>
      </c>
      <c r="U894" s="94">
        <f t="shared" si="170"/>
        <v>12936.625121016454</v>
      </c>
      <c r="V894" s="94">
        <f t="shared" si="171"/>
        <v>13465.733088466026</v>
      </c>
      <c r="W894" s="97">
        <f t="shared" si="167"/>
        <v>13893.943400679247</v>
      </c>
      <c r="X894" s="97">
        <f t="shared" si="168"/>
        <v>14421.913249905059</v>
      </c>
      <c r="Y894" s="97">
        <f>+X894*(1+$Y$4)</f>
        <v>14654.10605322853</v>
      </c>
      <c r="Z894" s="97">
        <f t="shared" si="165"/>
        <v>15477.666813419974</v>
      </c>
      <c r="AA894" s="97">
        <f t="shared" si="166"/>
        <v>17508.336699340674</v>
      </c>
    </row>
    <row r="895" spans="1:27" x14ac:dyDescent="0.25">
      <c r="A895" s="86" t="s">
        <v>2105</v>
      </c>
      <c r="B895" s="98" t="s">
        <v>2106</v>
      </c>
      <c r="C895" s="99" t="s">
        <v>226</v>
      </c>
      <c r="D895" s="100" t="s">
        <v>255</v>
      </c>
      <c r="E895" s="101">
        <f t="shared" si="173"/>
        <v>14649</v>
      </c>
      <c r="F895" s="90">
        <f t="shared" si="174"/>
        <v>12309.810490991998</v>
      </c>
      <c r="G895" s="91">
        <v>0.19</v>
      </c>
      <c r="H895" s="91" t="s">
        <v>228</v>
      </c>
      <c r="I895" s="91" t="s">
        <v>228</v>
      </c>
      <c r="J895" s="91"/>
      <c r="K895" s="91" t="s">
        <v>228</v>
      </c>
      <c r="L895" s="92" t="s">
        <v>1879</v>
      </c>
      <c r="M895" s="91" t="str">
        <f t="shared" si="175"/>
        <v>VER ARCHIVO ANEXO</v>
      </c>
      <c r="N895" s="93">
        <v>41608</v>
      </c>
      <c r="O895" s="94"/>
      <c r="P895" s="94"/>
      <c r="Q895" s="94">
        <v>752</v>
      </c>
      <c r="R895" s="95">
        <f t="shared" si="164"/>
        <v>12309.810490991998</v>
      </c>
      <c r="S895" s="94">
        <v>7743.402</v>
      </c>
      <c r="T895" s="94">
        <f t="shared" si="169"/>
        <v>8267.6303154000016</v>
      </c>
      <c r="U895" s="94">
        <f t="shared" si="170"/>
        <v>8743.0190585355031</v>
      </c>
      <c r="V895" s="94">
        <f t="shared" si="171"/>
        <v>9100.6085380296045</v>
      </c>
      <c r="W895" s="97">
        <f t="shared" si="167"/>
        <v>9390.007889538947</v>
      </c>
      <c r="X895" s="97">
        <f t="shared" si="168"/>
        <v>9746.8281893414278</v>
      </c>
      <c r="Y895" s="97">
        <v>10303.049999999999</v>
      </c>
      <c r="Z895" s="97">
        <f t="shared" si="165"/>
        <v>10882.081409999999</v>
      </c>
      <c r="AA895" s="97">
        <f t="shared" si="166"/>
        <v>12309.810490991998</v>
      </c>
    </row>
    <row r="896" spans="1:27" x14ac:dyDescent="0.25">
      <c r="A896" s="86" t="s">
        <v>2107</v>
      </c>
      <c r="B896" s="87" t="s">
        <v>2108</v>
      </c>
      <c r="C896" s="88" t="s">
        <v>226</v>
      </c>
      <c r="D896" s="89" t="s">
        <v>255</v>
      </c>
      <c r="E896" s="90">
        <f t="shared" si="173"/>
        <v>21880</v>
      </c>
      <c r="F896" s="90">
        <f t="shared" si="174"/>
        <v>18386.487945503999</v>
      </c>
      <c r="G896" s="91">
        <v>0.19</v>
      </c>
      <c r="H896" s="91" t="s">
        <v>228</v>
      </c>
      <c r="I896" s="91" t="s">
        <v>228</v>
      </c>
      <c r="J896" s="91"/>
      <c r="K896" s="91" t="s">
        <v>228</v>
      </c>
      <c r="L896" s="92" t="s">
        <v>1879</v>
      </c>
      <c r="M896" s="91" t="str">
        <f t="shared" si="175"/>
        <v>VER ARCHIVO ANEXO</v>
      </c>
      <c r="N896" s="93">
        <v>41608</v>
      </c>
      <c r="O896" s="94"/>
      <c r="P896" s="94"/>
      <c r="Q896" s="94">
        <v>753</v>
      </c>
      <c r="R896" s="95">
        <f t="shared" si="164"/>
        <v>18386.487945503999</v>
      </c>
      <c r="S896" s="94">
        <v>11566.382799999999</v>
      </c>
      <c r="T896" s="94">
        <f t="shared" si="169"/>
        <v>12349.42691556</v>
      </c>
      <c r="U896" s="94">
        <f t="shared" si="170"/>
        <v>13059.5189632047</v>
      </c>
      <c r="V896" s="94">
        <f t="shared" si="171"/>
        <v>13593.653288799771</v>
      </c>
      <c r="W896" s="97">
        <f t="shared" si="167"/>
        <v>14025.931463383604</v>
      </c>
      <c r="X896" s="97">
        <f t="shared" si="168"/>
        <v>14558.916858992181</v>
      </c>
      <c r="Y896" s="97">
        <v>15389.099999999999</v>
      </c>
      <c r="Z896" s="97">
        <f t="shared" si="165"/>
        <v>16253.967419999999</v>
      </c>
      <c r="AA896" s="97">
        <f t="shared" si="166"/>
        <v>18386.487945503999</v>
      </c>
    </row>
    <row r="897" spans="1:27" x14ac:dyDescent="0.25">
      <c r="A897" s="86" t="s">
        <v>2109</v>
      </c>
      <c r="B897" s="98" t="s">
        <v>2110</v>
      </c>
      <c r="C897" s="99" t="s">
        <v>226</v>
      </c>
      <c r="D897" s="100" t="s">
        <v>255</v>
      </c>
      <c r="E897" s="101">
        <f t="shared" si="173"/>
        <v>30772</v>
      </c>
      <c r="F897" s="90">
        <f t="shared" si="174"/>
        <v>25858.541300591998</v>
      </c>
      <c r="G897" s="91">
        <v>0.19</v>
      </c>
      <c r="H897" s="91" t="s">
        <v>228</v>
      </c>
      <c r="I897" s="91" t="s">
        <v>228</v>
      </c>
      <c r="J897" s="91"/>
      <c r="K897" s="91" t="s">
        <v>228</v>
      </c>
      <c r="L897" s="92" t="s">
        <v>1879</v>
      </c>
      <c r="M897" s="91" t="str">
        <f t="shared" si="175"/>
        <v>VER ARCHIVO ANEXO</v>
      </c>
      <c r="N897" s="93">
        <v>41608</v>
      </c>
      <c r="O897" s="94"/>
      <c r="P897" s="94"/>
      <c r="Q897" s="94">
        <v>754</v>
      </c>
      <c r="R897" s="95">
        <f t="shared" si="164"/>
        <v>25858.541300591998</v>
      </c>
      <c r="S897" s="94">
        <v>16120.166599999999</v>
      </c>
      <c r="T897" s="94">
        <f t="shared" si="169"/>
        <v>17211.50187882</v>
      </c>
      <c r="U897" s="94">
        <f t="shared" si="170"/>
        <v>18201.16323685215</v>
      </c>
      <c r="V897" s="94">
        <f t="shared" si="171"/>
        <v>18945.5908132394</v>
      </c>
      <c r="W897" s="97">
        <f t="shared" si="167"/>
        <v>19548.060601100413</v>
      </c>
      <c r="X897" s="97">
        <f t="shared" si="168"/>
        <v>20290.886903942228</v>
      </c>
      <c r="Y897" s="97">
        <v>21643.05</v>
      </c>
      <c r="Z897" s="97">
        <f t="shared" si="165"/>
        <v>22859.38941</v>
      </c>
      <c r="AA897" s="97">
        <f t="shared" si="166"/>
        <v>25858.541300591998</v>
      </c>
    </row>
    <row r="898" spans="1:27" x14ac:dyDescent="0.25">
      <c r="A898" s="86" t="s">
        <v>2111</v>
      </c>
      <c r="B898" s="98" t="s">
        <v>2112</v>
      </c>
      <c r="C898" s="99" t="s">
        <v>226</v>
      </c>
      <c r="D898" s="100" t="s">
        <v>255</v>
      </c>
      <c r="E898" s="101">
        <f t="shared" si="173"/>
        <v>64572</v>
      </c>
      <c r="F898" s="90">
        <f t="shared" si="174"/>
        <v>54261.770812367991</v>
      </c>
      <c r="G898" s="91">
        <v>0.19</v>
      </c>
      <c r="H898" s="91" t="s">
        <v>228</v>
      </c>
      <c r="I898" s="91" t="s">
        <v>228</v>
      </c>
      <c r="J898" s="91"/>
      <c r="K898" s="91" t="s">
        <v>228</v>
      </c>
      <c r="L898" s="92" t="s">
        <v>1879</v>
      </c>
      <c r="M898" s="91" t="str">
        <f t="shared" si="175"/>
        <v>VER ARCHIVO ANEXO</v>
      </c>
      <c r="N898" s="93">
        <v>41608</v>
      </c>
      <c r="O898" s="94"/>
      <c r="P898" s="94"/>
      <c r="Q898" s="94">
        <v>755</v>
      </c>
      <c r="R898" s="95">
        <f t="shared" si="164"/>
        <v>54261.770812367991</v>
      </c>
      <c r="S898" s="94">
        <v>34138.347799999996</v>
      </c>
      <c r="T898" s="94">
        <f t="shared" si="169"/>
        <v>36449.513946059997</v>
      </c>
      <c r="U898" s="94">
        <f t="shared" si="170"/>
        <v>38545.360997958451</v>
      </c>
      <c r="V898" s="94">
        <f t="shared" si="171"/>
        <v>40121.866262774951</v>
      </c>
      <c r="W898" s="97">
        <f t="shared" si="167"/>
        <v>41397.741609931196</v>
      </c>
      <c r="X898" s="97">
        <f t="shared" si="168"/>
        <v>42970.855791108581</v>
      </c>
      <c r="Y898" s="97">
        <v>45415.95</v>
      </c>
      <c r="Z898" s="97">
        <f t="shared" si="165"/>
        <v>47968.326389999995</v>
      </c>
      <c r="AA898" s="97">
        <f t="shared" si="166"/>
        <v>54261.770812367991</v>
      </c>
    </row>
    <row r="899" spans="1:27" x14ac:dyDescent="0.25">
      <c r="A899" s="86" t="s">
        <v>2113</v>
      </c>
      <c r="B899" s="87" t="s">
        <v>2114</v>
      </c>
      <c r="C899" s="88" t="s">
        <v>226</v>
      </c>
      <c r="D899" s="89" t="s">
        <v>255</v>
      </c>
      <c r="E899" s="90">
        <f t="shared" si="173"/>
        <v>3770</v>
      </c>
      <c r="F899" s="90">
        <f t="shared" si="174"/>
        <v>3168.0696099413135</v>
      </c>
      <c r="G899" s="91">
        <v>0.19</v>
      </c>
      <c r="H899" s="91" t="s">
        <v>228</v>
      </c>
      <c r="I899" s="91" t="s">
        <v>228</v>
      </c>
      <c r="J899" s="91"/>
      <c r="K899" s="91" t="s">
        <v>228</v>
      </c>
      <c r="L899" s="92" t="s">
        <v>1765</v>
      </c>
      <c r="M899" s="91" t="str">
        <f t="shared" si="175"/>
        <v>VER ARCHIVO ANEXO</v>
      </c>
      <c r="N899" s="93">
        <v>41608</v>
      </c>
      <c r="O899" s="94"/>
      <c r="P899" s="94"/>
      <c r="Q899" s="94">
        <v>756</v>
      </c>
      <c r="R899" s="95">
        <f t="shared" si="164"/>
        <v>3168.0696099413135</v>
      </c>
      <c r="S899" s="94">
        <v>2073.1999999999998</v>
      </c>
      <c r="T899" s="94">
        <f t="shared" si="169"/>
        <v>2213.55564</v>
      </c>
      <c r="U899" s="94">
        <f t="shared" si="170"/>
        <v>2340.8350893000002</v>
      </c>
      <c r="V899" s="94">
        <f t="shared" si="171"/>
        <v>2436.57524445237</v>
      </c>
      <c r="W899" s="97">
        <f t="shared" si="167"/>
        <v>2514.0583372259557</v>
      </c>
      <c r="X899" s="97">
        <f t="shared" si="168"/>
        <v>2609.5925540405419</v>
      </c>
      <c r="Y899" s="97">
        <f>+X899*(1+$Y$4)</f>
        <v>2651.6069941605947</v>
      </c>
      <c r="Z899" s="97">
        <f t="shared" si="165"/>
        <v>2800.6273072324202</v>
      </c>
      <c r="AA899" s="97">
        <f t="shared" si="166"/>
        <v>3168.0696099413135</v>
      </c>
    </row>
    <row r="900" spans="1:27" x14ac:dyDescent="0.25">
      <c r="A900" s="86" t="s">
        <v>2115</v>
      </c>
      <c r="B900" s="87" t="s">
        <v>2116</v>
      </c>
      <c r="C900" s="88" t="s">
        <v>226</v>
      </c>
      <c r="D900" s="89" t="s">
        <v>255</v>
      </c>
      <c r="E900" s="90">
        <f t="shared" si="173"/>
        <v>6196</v>
      </c>
      <c r="F900" s="90">
        <f t="shared" si="174"/>
        <v>5206.7224039385501</v>
      </c>
      <c r="G900" s="91">
        <v>0.19</v>
      </c>
      <c r="H900" s="91" t="s">
        <v>228</v>
      </c>
      <c r="I900" s="91" t="s">
        <v>228</v>
      </c>
      <c r="J900" s="91"/>
      <c r="K900" s="91" t="s">
        <v>228</v>
      </c>
      <c r="L900" s="92" t="s">
        <v>1765</v>
      </c>
      <c r="M900" s="91" t="str">
        <f t="shared" si="175"/>
        <v>VER ARCHIVO ANEXO</v>
      </c>
      <c r="N900" s="93">
        <v>41608</v>
      </c>
      <c r="O900" s="94"/>
      <c r="P900" s="94"/>
      <c r="Q900" s="94">
        <v>757</v>
      </c>
      <c r="R900" s="95">
        <f t="shared" si="164"/>
        <v>5206.7224039385501</v>
      </c>
      <c r="S900" s="94">
        <v>3407.3042</v>
      </c>
      <c r="T900" s="94">
        <f t="shared" si="169"/>
        <v>3637.9786943400004</v>
      </c>
      <c r="U900" s="94">
        <f t="shared" si="170"/>
        <v>3847.162469264551</v>
      </c>
      <c r="V900" s="94">
        <f t="shared" si="171"/>
        <v>4004.5114142574707</v>
      </c>
      <c r="W900" s="97">
        <f t="shared" si="167"/>
        <v>4131.8548772308586</v>
      </c>
      <c r="X900" s="97">
        <f t="shared" si="168"/>
        <v>4288.8653625656316</v>
      </c>
      <c r="Y900" s="97">
        <f>+X900*(1+$Y$4)</f>
        <v>4357.9160949029383</v>
      </c>
      <c r="Z900" s="97">
        <f t="shared" si="165"/>
        <v>4602.8309794364832</v>
      </c>
      <c r="AA900" s="97">
        <f t="shared" si="166"/>
        <v>5206.7224039385501</v>
      </c>
    </row>
    <row r="901" spans="1:27" x14ac:dyDescent="0.25">
      <c r="A901" s="86" t="s">
        <v>2117</v>
      </c>
      <c r="B901" s="87" t="s">
        <v>2118</v>
      </c>
      <c r="C901" s="88" t="s">
        <v>226</v>
      </c>
      <c r="D901" s="89" t="s">
        <v>255</v>
      </c>
      <c r="E901" s="90">
        <f t="shared" si="173"/>
        <v>290236</v>
      </c>
      <c r="F901" s="90">
        <f t="shared" si="174"/>
        <v>243895.97225448</v>
      </c>
      <c r="G901" s="91">
        <v>0.19</v>
      </c>
      <c r="H901" s="91" t="s">
        <v>228</v>
      </c>
      <c r="I901" s="91" t="s">
        <v>228</v>
      </c>
      <c r="J901" s="91"/>
      <c r="K901" s="91" t="s">
        <v>228</v>
      </c>
      <c r="L901" s="92" t="s">
        <v>1768</v>
      </c>
      <c r="M901" s="91" t="str">
        <f t="shared" si="175"/>
        <v>VER ARCHIVO ANEXO</v>
      </c>
      <c r="N901" s="93">
        <v>41608</v>
      </c>
      <c r="O901" s="94">
        <v>179532</v>
      </c>
      <c r="P901" s="94" t="s">
        <v>1443</v>
      </c>
      <c r="Q901" s="94">
        <v>758</v>
      </c>
      <c r="R901" s="95">
        <f t="shared" si="164"/>
        <v>243895.97225448</v>
      </c>
      <c r="S901" s="94">
        <v>121153.66159999999</v>
      </c>
      <c r="T901" s="94">
        <f t="shared" si="169"/>
        <v>129355.76449032</v>
      </c>
      <c r="U901" s="94">
        <f t="shared" si="170"/>
        <v>136793.72094851342</v>
      </c>
      <c r="V901" s="94">
        <f t="shared" si="171"/>
        <v>142388.58413530761</v>
      </c>
      <c r="W901" s="97">
        <f t="shared" si="167"/>
        <v>146916.54111081039</v>
      </c>
      <c r="X901" s="97">
        <f t="shared" si="168"/>
        <v>152499.3696730212</v>
      </c>
      <c r="Y901" s="97">
        <v>204135.75</v>
      </c>
      <c r="Z901" s="97">
        <f t="shared" si="165"/>
        <v>215608.17915000001</v>
      </c>
      <c r="AA901" s="97">
        <f t="shared" si="166"/>
        <v>243895.97225448</v>
      </c>
    </row>
    <row r="902" spans="1:27" x14ac:dyDescent="0.25">
      <c r="A902" s="86" t="s">
        <v>2119</v>
      </c>
      <c r="B902" s="87" t="s">
        <v>2120</v>
      </c>
      <c r="C902" s="88" t="s">
        <v>226</v>
      </c>
      <c r="D902" s="89" t="s">
        <v>255</v>
      </c>
      <c r="E902" s="90">
        <f t="shared" si="173"/>
        <v>49848</v>
      </c>
      <c r="F902" s="90">
        <f t="shared" si="174"/>
        <v>41889.413931791998</v>
      </c>
      <c r="G902" s="91">
        <v>0.19</v>
      </c>
      <c r="H902" s="91" t="s">
        <v>228</v>
      </c>
      <c r="I902" s="91" t="s">
        <v>228</v>
      </c>
      <c r="J902" s="91"/>
      <c r="K902" s="91" t="s">
        <v>228</v>
      </c>
      <c r="L902" s="92" t="s">
        <v>1768</v>
      </c>
      <c r="M902" s="91" t="str">
        <f t="shared" si="175"/>
        <v>VER ARCHIVO ANEXO</v>
      </c>
      <c r="N902" s="93">
        <v>41608</v>
      </c>
      <c r="O902" s="94">
        <v>30835</v>
      </c>
      <c r="P902" s="94" t="s">
        <v>1443</v>
      </c>
      <c r="Q902" s="94">
        <v>759</v>
      </c>
      <c r="R902" s="95">
        <f t="shared" si="164"/>
        <v>41889.413931791998</v>
      </c>
      <c r="S902" s="94">
        <v>20806.635200000001</v>
      </c>
      <c r="T902" s="94">
        <f t="shared" si="169"/>
        <v>22215.244403040004</v>
      </c>
      <c r="U902" s="94">
        <f t="shared" si="170"/>
        <v>23492.620956214807</v>
      </c>
      <c r="V902" s="94">
        <f t="shared" si="171"/>
        <v>24453.469153323989</v>
      </c>
      <c r="W902" s="97">
        <f t="shared" si="167"/>
        <v>25231.089472399693</v>
      </c>
      <c r="X902" s="97">
        <f t="shared" si="168"/>
        <v>26189.870872350883</v>
      </c>
      <c r="Y902" s="97">
        <v>35060.549999999996</v>
      </c>
      <c r="Z902" s="97">
        <f t="shared" si="165"/>
        <v>37030.95291</v>
      </c>
      <c r="AA902" s="97">
        <f t="shared" si="166"/>
        <v>41889.413931791998</v>
      </c>
    </row>
    <row r="903" spans="1:27" x14ac:dyDescent="0.25">
      <c r="A903" s="86" t="s">
        <v>2121</v>
      </c>
      <c r="B903" s="87" t="s">
        <v>2122</v>
      </c>
      <c r="C903" s="88" t="s">
        <v>226</v>
      </c>
      <c r="D903" s="89" t="s">
        <v>255</v>
      </c>
      <c r="E903" s="90">
        <f t="shared" si="173"/>
        <v>108845</v>
      </c>
      <c r="F903" s="90">
        <f t="shared" si="174"/>
        <v>91466.298869903985</v>
      </c>
      <c r="G903" s="91">
        <v>0.19</v>
      </c>
      <c r="H903" s="91" t="s">
        <v>228</v>
      </c>
      <c r="I903" s="91" t="s">
        <v>228</v>
      </c>
      <c r="J903" s="91"/>
      <c r="K903" s="91" t="s">
        <v>228</v>
      </c>
      <c r="L903" s="92" t="s">
        <v>1768</v>
      </c>
      <c r="M903" s="91" t="str">
        <f t="shared" si="175"/>
        <v>VER ARCHIVO ANEXO</v>
      </c>
      <c r="N903" s="93">
        <v>41608</v>
      </c>
      <c r="O903" s="94">
        <v>67328</v>
      </c>
      <c r="P903" s="94" t="s">
        <v>1443</v>
      </c>
      <c r="Q903" s="94">
        <v>760</v>
      </c>
      <c r="R903" s="95">
        <f t="shared" ref="R903:R966" si="176">+AA903</f>
        <v>91466.298869903985</v>
      </c>
      <c r="S903" s="94">
        <v>45435.214599999999</v>
      </c>
      <c r="T903" s="94">
        <f t="shared" si="169"/>
        <v>48511.178628420006</v>
      </c>
      <c r="U903" s="94">
        <f t="shared" si="170"/>
        <v>51300.571399554159</v>
      </c>
      <c r="V903" s="94">
        <f t="shared" si="171"/>
        <v>53398.764769795918</v>
      </c>
      <c r="W903" s="97">
        <f t="shared" si="167"/>
        <v>55096.845489475432</v>
      </c>
      <c r="X903" s="97">
        <f t="shared" si="168"/>
        <v>57190.525618075502</v>
      </c>
      <c r="Y903" s="97">
        <v>76555.349999999991</v>
      </c>
      <c r="Z903" s="97">
        <f t="shared" ref="Z903:Z966" si="177">+Y903*(1+$Z$4)</f>
        <v>80857.760669999989</v>
      </c>
      <c r="AA903" s="97">
        <f t="shared" ref="AA903:AA966" si="178">+Z903*(1+$AA$4)</f>
        <v>91466.298869903985</v>
      </c>
    </row>
    <row r="904" spans="1:27" x14ac:dyDescent="0.25">
      <c r="A904" s="86" t="s">
        <v>2123</v>
      </c>
      <c r="B904" s="98" t="s">
        <v>2124</v>
      </c>
      <c r="C904" s="99" t="s">
        <v>226</v>
      </c>
      <c r="D904" s="100" t="s">
        <v>262</v>
      </c>
      <c r="E904" s="101">
        <f t="shared" si="173"/>
        <v>10733</v>
      </c>
      <c r="F904" s="90">
        <f t="shared" si="174"/>
        <v>9019.494179502919</v>
      </c>
      <c r="G904" s="91">
        <v>0.19</v>
      </c>
      <c r="H904" s="91" t="s">
        <v>228</v>
      </c>
      <c r="I904" s="91" t="s">
        <v>228</v>
      </c>
      <c r="J904" s="91"/>
      <c r="K904" s="91" t="s">
        <v>228</v>
      </c>
      <c r="L904" s="92" t="s">
        <v>2125</v>
      </c>
      <c r="M904" s="91" t="str">
        <f t="shared" si="175"/>
        <v>VER ARCHIVO ANEXO</v>
      </c>
      <c r="N904" s="93">
        <v>41608</v>
      </c>
      <c r="O904" s="94"/>
      <c r="P904" s="94"/>
      <c r="Q904" s="94">
        <v>761</v>
      </c>
      <c r="R904" s="95">
        <f t="shared" si="176"/>
        <v>9019.494179502919</v>
      </c>
      <c r="S904" s="94">
        <v>5902.4003999999995</v>
      </c>
      <c r="T904" s="94">
        <f t="shared" si="169"/>
        <v>6301.9929070799999</v>
      </c>
      <c r="U904" s="94">
        <f t="shared" si="170"/>
        <v>6664.3574992371005</v>
      </c>
      <c r="V904" s="94">
        <f t="shared" si="171"/>
        <v>6936.9297209558972</v>
      </c>
      <c r="W904" s="97">
        <f t="shared" ref="W904:W967" si="179">+V904*(1+$W$4)</f>
        <v>7157.5240860822951</v>
      </c>
      <c r="X904" s="97">
        <f t="shared" ref="X904:X967" si="180">+W904*(1+$X$4)</f>
        <v>7429.5100013534229</v>
      </c>
      <c r="Y904" s="97">
        <f t="shared" ref="Y904:Y966" si="181">+X904*(1+$Y$4)</f>
        <v>7549.1251123752127</v>
      </c>
      <c r="Z904" s="97">
        <f t="shared" si="177"/>
        <v>7973.3859436906996</v>
      </c>
      <c r="AA904" s="97">
        <f t="shared" si="178"/>
        <v>9019.494179502919</v>
      </c>
    </row>
    <row r="905" spans="1:27" x14ac:dyDescent="0.25">
      <c r="A905" s="86" t="s">
        <v>2126</v>
      </c>
      <c r="B905" s="87" t="s">
        <v>2127</v>
      </c>
      <c r="C905" s="88" t="s">
        <v>226</v>
      </c>
      <c r="D905" s="89" t="s">
        <v>262</v>
      </c>
      <c r="E905" s="90">
        <f t="shared" si="173"/>
        <v>1429</v>
      </c>
      <c r="F905" s="90">
        <f t="shared" si="174"/>
        <v>1200.6983821677579</v>
      </c>
      <c r="G905" s="91">
        <v>0.19</v>
      </c>
      <c r="H905" s="91" t="s">
        <v>228</v>
      </c>
      <c r="I905" s="91" t="s">
        <v>228</v>
      </c>
      <c r="J905" s="91"/>
      <c r="K905" s="91" t="s">
        <v>228</v>
      </c>
      <c r="L905" s="92" t="s">
        <v>2125</v>
      </c>
      <c r="M905" s="91" t="str">
        <f t="shared" si="175"/>
        <v>VER ARCHIVO ANEXO</v>
      </c>
      <c r="N905" s="93">
        <v>41608</v>
      </c>
      <c r="O905" s="94"/>
      <c r="P905" s="94"/>
      <c r="Q905" s="94">
        <v>762</v>
      </c>
      <c r="R905" s="95">
        <f t="shared" si="176"/>
        <v>1200.6983821677579</v>
      </c>
      <c r="S905" s="94">
        <v>785.74279999999999</v>
      </c>
      <c r="T905" s="94">
        <f t="shared" si="169"/>
        <v>838.93758756000011</v>
      </c>
      <c r="U905" s="94">
        <f t="shared" si="170"/>
        <v>887.17649884470018</v>
      </c>
      <c r="V905" s="94">
        <f t="shared" si="171"/>
        <v>923.46201764744831</v>
      </c>
      <c r="W905" s="97">
        <f t="shared" si="179"/>
        <v>952.82810980863724</v>
      </c>
      <c r="X905" s="97">
        <f t="shared" si="180"/>
        <v>989.03557798136546</v>
      </c>
      <c r="Y905" s="97">
        <f t="shared" si="181"/>
        <v>1004.9590507868654</v>
      </c>
      <c r="Z905" s="97">
        <f t="shared" si="177"/>
        <v>1061.4377494410874</v>
      </c>
      <c r="AA905" s="97">
        <f t="shared" si="178"/>
        <v>1200.6983821677579</v>
      </c>
    </row>
    <row r="906" spans="1:27" x14ac:dyDescent="0.25">
      <c r="A906" s="86" t="s">
        <v>2128</v>
      </c>
      <c r="B906" s="87" t="s">
        <v>2129</v>
      </c>
      <c r="C906" s="88" t="s">
        <v>226</v>
      </c>
      <c r="D906" s="89" t="s">
        <v>262</v>
      </c>
      <c r="E906" s="90">
        <f t="shared" si="173"/>
        <v>0</v>
      </c>
      <c r="F906" s="90">
        <f t="shared" si="174"/>
        <v>0</v>
      </c>
      <c r="G906" s="91">
        <v>0.19</v>
      </c>
      <c r="H906" s="91" t="s">
        <v>228</v>
      </c>
      <c r="I906" s="91" t="s">
        <v>228</v>
      </c>
      <c r="J906" s="91"/>
      <c r="K906" s="91" t="s">
        <v>228</v>
      </c>
      <c r="L906" s="92" t="s">
        <v>2125</v>
      </c>
      <c r="M906" s="91" t="str">
        <f t="shared" si="175"/>
        <v>VER ARCHIVO ANEXO</v>
      </c>
      <c r="N906" s="93">
        <v>41608</v>
      </c>
      <c r="O906" s="94"/>
      <c r="P906" s="94"/>
      <c r="Q906" s="94">
        <v>763</v>
      </c>
      <c r="R906" s="95">
        <f t="shared" si="176"/>
        <v>0</v>
      </c>
      <c r="S906" s="94">
        <v>0</v>
      </c>
      <c r="T906" s="94">
        <f t="shared" si="169"/>
        <v>0</v>
      </c>
      <c r="U906" s="94">
        <f t="shared" si="170"/>
        <v>0</v>
      </c>
      <c r="V906" s="94">
        <f t="shared" si="171"/>
        <v>0</v>
      </c>
      <c r="W906" s="97">
        <f t="shared" si="179"/>
        <v>0</v>
      </c>
      <c r="X906" s="97">
        <f t="shared" si="180"/>
        <v>0</v>
      </c>
      <c r="Y906" s="97">
        <f t="shared" si="181"/>
        <v>0</v>
      </c>
      <c r="Z906" s="97">
        <f t="shared" si="177"/>
        <v>0</v>
      </c>
      <c r="AA906" s="97">
        <f t="shared" si="178"/>
        <v>0</v>
      </c>
    </row>
    <row r="907" spans="1:27" x14ac:dyDescent="0.25">
      <c r="A907" s="86" t="s">
        <v>2130</v>
      </c>
      <c r="B907" s="87" t="s">
        <v>2131</v>
      </c>
      <c r="C907" s="88" t="s">
        <v>226</v>
      </c>
      <c r="D907" s="89" t="s">
        <v>262</v>
      </c>
      <c r="E907" s="90">
        <f t="shared" si="173"/>
        <v>2385</v>
      </c>
      <c r="F907" s="90">
        <f t="shared" si="174"/>
        <v>2003.8040282878812</v>
      </c>
      <c r="G907" s="91">
        <v>0.19</v>
      </c>
      <c r="H907" s="91" t="s">
        <v>228</v>
      </c>
      <c r="I907" s="91" t="s">
        <v>228</v>
      </c>
      <c r="J907" s="91"/>
      <c r="K907" s="91" t="s">
        <v>228</v>
      </c>
      <c r="L907" s="92" t="s">
        <v>2125</v>
      </c>
      <c r="M907" s="91" t="str">
        <f t="shared" si="175"/>
        <v>VER ARCHIVO ANEXO</v>
      </c>
      <c r="N907" s="93">
        <v>41608</v>
      </c>
      <c r="O907" s="94"/>
      <c r="P907" s="94"/>
      <c r="Q907" s="94">
        <v>764</v>
      </c>
      <c r="R907" s="95">
        <f t="shared" si="176"/>
        <v>2003.8040282878812</v>
      </c>
      <c r="S907" s="94">
        <v>1311.299</v>
      </c>
      <c r="T907" s="94">
        <f t="shared" ref="T907:T970" si="182">+S907*1.0677</f>
        <v>1400.0739423</v>
      </c>
      <c r="U907" s="94">
        <f t="shared" ref="U907:U970" si="183">+T907*(1+$U$4)</f>
        <v>1480.5781939822502</v>
      </c>
      <c r="V907" s="94">
        <f t="shared" ref="V907:V970" si="184">+U907*(1+$V$4)</f>
        <v>1541.1338421161242</v>
      </c>
      <c r="W907" s="97">
        <f t="shared" si="179"/>
        <v>1590.1418982954171</v>
      </c>
      <c r="X907" s="97">
        <f t="shared" si="180"/>
        <v>1650.567290430643</v>
      </c>
      <c r="Y907" s="97">
        <f t="shared" si="181"/>
        <v>1677.1414238065763</v>
      </c>
      <c r="Z907" s="97">
        <f t="shared" si="177"/>
        <v>1771.396771824506</v>
      </c>
      <c r="AA907" s="97">
        <f t="shared" si="178"/>
        <v>2003.8040282878812</v>
      </c>
    </row>
    <row r="908" spans="1:27" x14ac:dyDescent="0.25">
      <c r="A908" s="86" t="s">
        <v>2132</v>
      </c>
      <c r="B908" s="87" t="s">
        <v>2133</v>
      </c>
      <c r="C908" s="88" t="s">
        <v>226</v>
      </c>
      <c r="D908" s="89" t="s">
        <v>262</v>
      </c>
      <c r="E908" s="90">
        <f t="shared" si="173"/>
        <v>1031</v>
      </c>
      <c r="F908" s="90">
        <f t="shared" si="174"/>
        <v>866.46703831894911</v>
      </c>
      <c r="G908" s="91">
        <v>0.19</v>
      </c>
      <c r="H908" s="91" t="s">
        <v>228</v>
      </c>
      <c r="I908" s="91" t="s">
        <v>228</v>
      </c>
      <c r="J908" s="91"/>
      <c r="K908" s="91" t="s">
        <v>228</v>
      </c>
      <c r="L908" s="92" t="s">
        <v>2125</v>
      </c>
      <c r="M908" s="91" t="str">
        <f t="shared" si="175"/>
        <v>VER ARCHIVO ANEXO</v>
      </c>
      <c r="N908" s="93">
        <v>41608</v>
      </c>
      <c r="O908" s="94"/>
      <c r="P908" s="94"/>
      <c r="Q908" s="94">
        <v>765</v>
      </c>
      <c r="R908" s="95">
        <f t="shared" si="176"/>
        <v>866.46703831894911</v>
      </c>
      <c r="S908" s="94">
        <v>567.02019999999993</v>
      </c>
      <c r="T908" s="94">
        <f t="shared" si="182"/>
        <v>605.40746753999997</v>
      </c>
      <c r="U908" s="94">
        <f t="shared" si="183"/>
        <v>640.21839692355002</v>
      </c>
      <c r="V908" s="94">
        <f t="shared" si="184"/>
        <v>666.40332935772312</v>
      </c>
      <c r="W908" s="97">
        <f t="shared" si="179"/>
        <v>687.59495523129874</v>
      </c>
      <c r="X908" s="97">
        <f t="shared" si="180"/>
        <v>713.72356353008809</v>
      </c>
      <c r="Y908" s="97">
        <f t="shared" si="181"/>
        <v>725.21451290292248</v>
      </c>
      <c r="Z908" s="97">
        <f t="shared" si="177"/>
        <v>765.97156852806677</v>
      </c>
      <c r="AA908" s="97">
        <f t="shared" si="178"/>
        <v>866.46703831894911</v>
      </c>
    </row>
    <row r="909" spans="1:27" x14ac:dyDescent="0.25">
      <c r="A909" s="86" t="s">
        <v>2134</v>
      </c>
      <c r="B909" s="87" t="s">
        <v>2135</v>
      </c>
      <c r="C909" s="88" t="s">
        <v>226</v>
      </c>
      <c r="D909" s="89" t="s">
        <v>262</v>
      </c>
      <c r="E909" s="90">
        <f t="shared" ref="E909:E972" si="185">+ROUND(F909*(1+G909),0)</f>
        <v>14313</v>
      </c>
      <c r="F909" s="90">
        <f t="shared" si="174"/>
        <v>12027.576274142202</v>
      </c>
      <c r="G909" s="91">
        <v>0.19</v>
      </c>
      <c r="H909" s="91" t="s">
        <v>228</v>
      </c>
      <c r="I909" s="91" t="s">
        <v>228</v>
      </c>
      <c r="J909" s="91"/>
      <c r="K909" s="91" t="s">
        <v>228</v>
      </c>
      <c r="L909" s="92" t="s">
        <v>2125</v>
      </c>
      <c r="M909" s="91" t="str">
        <f t="shared" si="175"/>
        <v>VER ARCHIVO ANEXO</v>
      </c>
      <c r="N909" s="93">
        <v>41608</v>
      </c>
      <c r="O909" s="94"/>
      <c r="P909" s="94"/>
      <c r="Q909" s="94">
        <v>766</v>
      </c>
      <c r="R909" s="95">
        <f t="shared" si="176"/>
        <v>12027.576274142202</v>
      </c>
      <c r="S909" s="94">
        <v>7870.9038</v>
      </c>
      <c r="T909" s="94">
        <f t="shared" si="182"/>
        <v>8403.7639872600012</v>
      </c>
      <c r="U909" s="94">
        <f t="shared" si="183"/>
        <v>8886.9804165274527</v>
      </c>
      <c r="V909" s="94">
        <f t="shared" si="184"/>
        <v>9250.4579155634256</v>
      </c>
      <c r="W909" s="97">
        <f t="shared" si="179"/>
        <v>9544.6224772783426</v>
      </c>
      <c r="X909" s="97">
        <f t="shared" si="180"/>
        <v>9907.3181314149206</v>
      </c>
      <c r="Y909" s="97">
        <f t="shared" si="181"/>
        <v>10066.825953330701</v>
      </c>
      <c r="Z909" s="97">
        <f t="shared" si="177"/>
        <v>10632.581571907887</v>
      </c>
      <c r="AA909" s="97">
        <f t="shared" si="178"/>
        <v>12027.576274142202</v>
      </c>
    </row>
    <row r="910" spans="1:27" x14ac:dyDescent="0.25">
      <c r="A910" s="86" t="s">
        <v>2136</v>
      </c>
      <c r="B910" s="87" t="s">
        <v>2137</v>
      </c>
      <c r="C910" s="88" t="s">
        <v>226</v>
      </c>
      <c r="D910" s="89" t="s">
        <v>262</v>
      </c>
      <c r="E910" s="90">
        <f t="shared" si="185"/>
        <v>7551</v>
      </c>
      <c r="F910" s="90">
        <f t="shared" si="174"/>
        <v>6345.6434287124512</v>
      </c>
      <c r="G910" s="91">
        <v>0.19</v>
      </c>
      <c r="H910" s="91" t="s">
        <v>228</v>
      </c>
      <c r="I910" s="91" t="s">
        <v>228</v>
      </c>
      <c r="J910" s="91"/>
      <c r="K910" s="91" t="s">
        <v>228</v>
      </c>
      <c r="L910" s="92" t="s">
        <v>2125</v>
      </c>
      <c r="M910" s="91" t="str">
        <f t="shared" si="175"/>
        <v>VER ARCHIVO ANEXO</v>
      </c>
      <c r="N910" s="93">
        <v>41608</v>
      </c>
      <c r="O910" s="94"/>
      <c r="P910" s="94"/>
      <c r="Q910" s="94">
        <v>767</v>
      </c>
      <c r="R910" s="95">
        <f t="shared" si="176"/>
        <v>6345.6434287124512</v>
      </c>
      <c r="S910" s="94">
        <v>4152.6196</v>
      </c>
      <c r="T910" s="94">
        <f t="shared" si="182"/>
        <v>4433.7519469200006</v>
      </c>
      <c r="U910" s="94">
        <f t="shared" si="183"/>
        <v>4688.692683867901</v>
      </c>
      <c r="V910" s="94">
        <f t="shared" si="184"/>
        <v>4880.4602146380976</v>
      </c>
      <c r="W910" s="97">
        <f t="shared" si="179"/>
        <v>5035.6588494635889</v>
      </c>
      <c r="X910" s="97">
        <f t="shared" si="180"/>
        <v>5227.0138857432057</v>
      </c>
      <c r="Y910" s="97">
        <f t="shared" si="181"/>
        <v>5311.168809303671</v>
      </c>
      <c r="Z910" s="97">
        <f t="shared" si="177"/>
        <v>5609.6564963865376</v>
      </c>
      <c r="AA910" s="97">
        <f t="shared" si="178"/>
        <v>6345.6434287124512</v>
      </c>
    </row>
    <row r="911" spans="1:27" x14ac:dyDescent="0.25">
      <c r="A911" s="86" t="s">
        <v>2138</v>
      </c>
      <c r="B911" s="110" t="s">
        <v>2139</v>
      </c>
      <c r="C911" s="128" t="s">
        <v>226</v>
      </c>
      <c r="D911" s="89" t="s">
        <v>262</v>
      </c>
      <c r="E911" s="90">
        <f t="shared" si="185"/>
        <v>21072</v>
      </c>
      <c r="F911" s="90">
        <f t="shared" si="174"/>
        <v>17707.925084766972</v>
      </c>
      <c r="G911" s="91">
        <v>0.19</v>
      </c>
      <c r="H911" s="91" t="s">
        <v>228</v>
      </c>
      <c r="I911" s="91" t="s">
        <v>228</v>
      </c>
      <c r="J911" s="91"/>
      <c r="K911" s="91" t="s">
        <v>228</v>
      </c>
      <c r="L911" s="92" t="s">
        <v>2125</v>
      </c>
      <c r="M911" s="91" t="str">
        <f t="shared" si="175"/>
        <v>VER ARCHIVO ANEXO</v>
      </c>
      <c r="N911" s="93">
        <v>41608</v>
      </c>
      <c r="O911" s="94"/>
      <c r="P911" s="94"/>
      <c r="Q911" s="94">
        <v>768</v>
      </c>
      <c r="R911" s="95">
        <f t="shared" si="176"/>
        <v>17707.925084766972</v>
      </c>
      <c r="S911" s="94">
        <v>11588.151399999999</v>
      </c>
      <c r="T911" s="94">
        <f t="shared" si="182"/>
        <v>12372.66924978</v>
      </c>
      <c r="U911" s="94">
        <f t="shared" si="183"/>
        <v>13084.09773164235</v>
      </c>
      <c r="V911" s="94">
        <f t="shared" si="184"/>
        <v>13619.237328866522</v>
      </c>
      <c r="W911" s="97">
        <f t="shared" si="179"/>
        <v>14052.329075924477</v>
      </c>
      <c r="X911" s="97">
        <f t="shared" si="180"/>
        <v>14586.317580809608</v>
      </c>
      <c r="Y911" s="97">
        <f t="shared" si="181"/>
        <v>14821.157293860642</v>
      </c>
      <c r="Z911" s="97">
        <f t="shared" si="177"/>
        <v>15654.106333775611</v>
      </c>
      <c r="AA911" s="97">
        <f t="shared" si="178"/>
        <v>17707.925084766972</v>
      </c>
    </row>
    <row r="912" spans="1:27" x14ac:dyDescent="0.25">
      <c r="A912" s="86" t="s">
        <v>2140</v>
      </c>
      <c r="B912" s="110" t="s">
        <v>2141</v>
      </c>
      <c r="C912" s="128" t="s">
        <v>226</v>
      </c>
      <c r="D912" s="89" t="s">
        <v>262</v>
      </c>
      <c r="E912" s="90">
        <f t="shared" si="185"/>
        <v>0</v>
      </c>
      <c r="F912" s="90">
        <f t="shared" si="174"/>
        <v>0</v>
      </c>
      <c r="G912" s="91">
        <v>0.19</v>
      </c>
      <c r="H912" s="91" t="s">
        <v>228</v>
      </c>
      <c r="I912" s="91" t="s">
        <v>228</v>
      </c>
      <c r="J912" s="91"/>
      <c r="K912" s="91" t="s">
        <v>228</v>
      </c>
      <c r="L912" s="92" t="s">
        <v>2125</v>
      </c>
      <c r="M912" s="91" t="str">
        <f t="shared" si="175"/>
        <v>VER ARCHIVO ANEXO</v>
      </c>
      <c r="N912" s="93">
        <v>41608</v>
      </c>
      <c r="O912" s="94"/>
      <c r="P912" s="94"/>
      <c r="Q912" s="94"/>
      <c r="R912" s="95">
        <f t="shared" si="176"/>
        <v>0</v>
      </c>
      <c r="S912" s="94"/>
      <c r="T912" s="94"/>
      <c r="U912" s="94">
        <f t="shared" si="183"/>
        <v>0</v>
      </c>
      <c r="V912" s="94">
        <f t="shared" si="184"/>
        <v>0</v>
      </c>
      <c r="W912" s="97">
        <f t="shared" si="179"/>
        <v>0</v>
      </c>
      <c r="X912" s="97">
        <f t="shared" si="180"/>
        <v>0</v>
      </c>
      <c r="Y912" s="97">
        <f t="shared" si="181"/>
        <v>0</v>
      </c>
      <c r="Z912" s="97">
        <f t="shared" si="177"/>
        <v>0</v>
      </c>
      <c r="AA912" s="97">
        <f t="shared" si="178"/>
        <v>0</v>
      </c>
    </row>
    <row r="913" spans="1:27" x14ac:dyDescent="0.25">
      <c r="A913" s="86" t="s">
        <v>2142</v>
      </c>
      <c r="B913" s="87" t="s">
        <v>2143</v>
      </c>
      <c r="C913" s="88" t="s">
        <v>226</v>
      </c>
      <c r="D913" s="89" t="s">
        <v>262</v>
      </c>
      <c r="E913" s="90">
        <f t="shared" si="185"/>
        <v>37826</v>
      </c>
      <c r="F913" s="90">
        <f t="shared" si="174"/>
        <v>31786.827893856003</v>
      </c>
      <c r="G913" s="91">
        <v>0.19</v>
      </c>
      <c r="H913" s="91" t="s">
        <v>228</v>
      </c>
      <c r="I913" s="91" t="s">
        <v>228</v>
      </c>
      <c r="J913" s="91"/>
      <c r="K913" s="91" t="s">
        <v>228</v>
      </c>
      <c r="L913" s="92" t="s">
        <v>1442</v>
      </c>
      <c r="M913" s="91" t="str">
        <f t="shared" si="175"/>
        <v>VER ARCHIVO ANEXO</v>
      </c>
      <c r="N913" s="93">
        <v>41608</v>
      </c>
      <c r="O913" s="94">
        <v>23976</v>
      </c>
      <c r="P913" s="94" t="s">
        <v>1443</v>
      </c>
      <c r="Q913" s="94">
        <v>770</v>
      </c>
      <c r="R913" s="95">
        <f t="shared" si="176"/>
        <v>31786.827893856003</v>
      </c>
      <c r="S913" s="94">
        <v>16986.764199999998</v>
      </c>
      <c r="T913" s="94">
        <f t="shared" si="182"/>
        <v>18136.768136340001</v>
      </c>
      <c r="U913" s="94">
        <f t="shared" si="183"/>
        <v>19179.632304179551</v>
      </c>
      <c r="V913" s="94">
        <f t="shared" si="184"/>
        <v>19964.079265420492</v>
      </c>
      <c r="W913" s="97">
        <f t="shared" si="179"/>
        <v>20598.936986060864</v>
      </c>
      <c r="X913" s="97">
        <f t="shared" si="180"/>
        <v>21381.696591531178</v>
      </c>
      <c r="Y913" s="97">
        <v>26604.9</v>
      </c>
      <c r="Z913" s="97">
        <f t="shared" si="177"/>
        <v>28100.095380000002</v>
      </c>
      <c r="AA913" s="97">
        <f t="shared" si="178"/>
        <v>31786.827893856003</v>
      </c>
    </row>
    <row r="914" spans="1:27" x14ac:dyDescent="0.25">
      <c r="A914" s="86" t="s">
        <v>2144</v>
      </c>
      <c r="B914" s="87" t="s">
        <v>2145</v>
      </c>
      <c r="C914" s="88" t="s">
        <v>226</v>
      </c>
      <c r="D914" s="89" t="s">
        <v>262</v>
      </c>
      <c r="E914" s="90">
        <f t="shared" si="185"/>
        <v>63494</v>
      </c>
      <c r="F914" s="90">
        <f t="shared" si="174"/>
        <v>53356.192283520002</v>
      </c>
      <c r="G914" s="91">
        <v>0.19</v>
      </c>
      <c r="H914" s="91" t="s">
        <v>228</v>
      </c>
      <c r="I914" s="91" t="s">
        <v>228</v>
      </c>
      <c r="J914" s="91"/>
      <c r="K914" s="91" t="s">
        <v>228</v>
      </c>
      <c r="L914" s="92" t="s">
        <v>1442</v>
      </c>
      <c r="M914" s="91" t="str">
        <f t="shared" si="175"/>
        <v>VER ARCHIVO ANEXO</v>
      </c>
      <c r="N914" s="93">
        <v>41608</v>
      </c>
      <c r="O914" s="94">
        <v>40245</v>
      </c>
      <c r="P914" s="94" t="s">
        <v>1443</v>
      </c>
      <c r="Q914" s="94">
        <v>771</v>
      </c>
      <c r="R914" s="95">
        <f t="shared" si="176"/>
        <v>53356.192283520002</v>
      </c>
      <c r="S914" s="94">
        <v>28514.792799999999</v>
      </c>
      <c r="T914" s="94">
        <f t="shared" si="182"/>
        <v>30445.244272560001</v>
      </c>
      <c r="U914" s="94">
        <f t="shared" si="183"/>
        <v>32195.845818232203</v>
      </c>
      <c r="V914" s="94">
        <f t="shared" si="184"/>
        <v>33512.655912197901</v>
      </c>
      <c r="W914" s="97">
        <f t="shared" si="179"/>
        <v>34578.358370205795</v>
      </c>
      <c r="X914" s="97">
        <f t="shared" si="180"/>
        <v>35892.335988273619</v>
      </c>
      <c r="Y914" s="97">
        <v>44658</v>
      </c>
      <c r="Z914" s="97">
        <f t="shared" si="177"/>
        <v>47167.779600000002</v>
      </c>
      <c r="AA914" s="97">
        <f t="shared" si="178"/>
        <v>53356.192283520002</v>
      </c>
    </row>
    <row r="915" spans="1:27" x14ac:dyDescent="0.25">
      <c r="A915" s="86" t="s">
        <v>2146</v>
      </c>
      <c r="B915" s="87" t="s">
        <v>2147</v>
      </c>
      <c r="C915" s="88" t="s">
        <v>226</v>
      </c>
      <c r="D915" s="89" t="s">
        <v>262</v>
      </c>
      <c r="E915" s="90">
        <f t="shared" si="185"/>
        <v>308584</v>
      </c>
      <c r="F915" s="90">
        <f t="shared" si="174"/>
        <v>259314.10532697599</v>
      </c>
      <c r="G915" s="91">
        <v>0.19</v>
      </c>
      <c r="H915" s="91" t="s">
        <v>228</v>
      </c>
      <c r="I915" s="91" t="s">
        <v>228</v>
      </c>
      <c r="J915" s="91"/>
      <c r="K915" s="91" t="s">
        <v>228</v>
      </c>
      <c r="L915" s="92" t="s">
        <v>1442</v>
      </c>
      <c r="M915" s="91" t="str">
        <f t="shared" si="175"/>
        <v>VER ARCHIVO ANEXO</v>
      </c>
      <c r="N915" s="93">
        <v>41608</v>
      </c>
      <c r="O915" s="94">
        <v>114314</v>
      </c>
      <c r="P915" s="94" t="s">
        <v>1443</v>
      </c>
      <c r="Q915" s="94">
        <v>772</v>
      </c>
      <c r="R915" s="95">
        <f t="shared" si="176"/>
        <v>259314.10532697599</v>
      </c>
      <c r="S915" s="94">
        <v>138588.23699999999</v>
      </c>
      <c r="T915" s="94">
        <f t="shared" si="182"/>
        <v>147970.6606449</v>
      </c>
      <c r="U915" s="94">
        <f t="shared" si="183"/>
        <v>156478.97363198176</v>
      </c>
      <c r="V915" s="94">
        <f t="shared" si="184"/>
        <v>162878.96365352979</v>
      </c>
      <c r="W915" s="97">
        <f t="shared" si="179"/>
        <v>168058.51469771206</v>
      </c>
      <c r="X915" s="97">
        <f t="shared" si="180"/>
        <v>174444.73825622513</v>
      </c>
      <c r="Y915" s="97">
        <v>217040.4</v>
      </c>
      <c r="Z915" s="97">
        <f t="shared" si="177"/>
        <v>229238.07047999999</v>
      </c>
      <c r="AA915" s="97">
        <f t="shared" si="178"/>
        <v>259314.10532697599</v>
      </c>
    </row>
    <row r="916" spans="1:27" x14ac:dyDescent="0.25">
      <c r="A916" s="86" t="s">
        <v>2148</v>
      </c>
      <c r="B916" s="87" t="s">
        <v>2149</v>
      </c>
      <c r="C916" s="88" t="s">
        <v>226</v>
      </c>
      <c r="D916" s="89" t="s">
        <v>262</v>
      </c>
      <c r="E916" s="90">
        <f t="shared" si="185"/>
        <v>15611</v>
      </c>
      <c r="F916" s="90">
        <f t="shared" si="174"/>
        <v>13118.612371200001</v>
      </c>
      <c r="G916" s="91">
        <v>0.19</v>
      </c>
      <c r="H916" s="91" t="s">
        <v>228</v>
      </c>
      <c r="I916" s="91" t="s">
        <v>228</v>
      </c>
      <c r="J916" s="91"/>
      <c r="K916" s="91" t="s">
        <v>228</v>
      </c>
      <c r="L916" s="92" t="s">
        <v>1442</v>
      </c>
      <c r="M916" s="91" t="str">
        <f t="shared" si="175"/>
        <v>VER ARCHIVO ANEXO</v>
      </c>
      <c r="N916" s="93">
        <v>41608</v>
      </c>
      <c r="O916" s="94">
        <v>195592</v>
      </c>
      <c r="P916" s="94" t="s">
        <v>1443</v>
      </c>
      <c r="Q916" s="94">
        <v>773</v>
      </c>
      <c r="R916" s="95">
        <f t="shared" si="176"/>
        <v>13118.612371200001</v>
      </c>
      <c r="S916" s="94">
        <v>7008.4525999999996</v>
      </c>
      <c r="T916" s="94">
        <f t="shared" si="182"/>
        <v>7482.9248410199998</v>
      </c>
      <c r="U916" s="94">
        <f t="shared" si="183"/>
        <v>7913.1930193786502</v>
      </c>
      <c r="V916" s="94">
        <f t="shared" si="184"/>
        <v>8236.8426138712366</v>
      </c>
      <c r="W916" s="97">
        <f t="shared" si="179"/>
        <v>8498.7742089923431</v>
      </c>
      <c r="X916" s="97">
        <f t="shared" si="180"/>
        <v>8821.7276289340516</v>
      </c>
      <c r="Y916" s="97">
        <v>10980</v>
      </c>
      <c r="Z916" s="97">
        <f t="shared" si="177"/>
        <v>11597.076000000001</v>
      </c>
      <c r="AA916" s="97">
        <f t="shared" si="178"/>
        <v>13118.612371200001</v>
      </c>
    </row>
    <row r="917" spans="1:27" x14ac:dyDescent="0.25">
      <c r="A917" s="86" t="s">
        <v>2150</v>
      </c>
      <c r="B917" s="87" t="s">
        <v>2151</v>
      </c>
      <c r="C917" s="88" t="s">
        <v>226</v>
      </c>
      <c r="D917" s="89" t="s">
        <v>262</v>
      </c>
      <c r="E917" s="90">
        <f t="shared" si="185"/>
        <v>180351</v>
      </c>
      <c r="F917" s="90">
        <f t="shared" si="174"/>
        <v>151555.45765852797</v>
      </c>
      <c r="G917" s="91">
        <v>0.19</v>
      </c>
      <c r="H917" s="91" t="s">
        <v>228</v>
      </c>
      <c r="I917" s="91" t="s">
        <v>228</v>
      </c>
      <c r="J917" s="91"/>
      <c r="K917" s="91" t="s">
        <v>228</v>
      </c>
      <c r="L917" s="92" t="s">
        <v>1442</v>
      </c>
      <c r="M917" s="91" t="str">
        <f t="shared" si="175"/>
        <v>VER ARCHIVO ANEXO</v>
      </c>
      <c r="N917" s="93">
        <v>41608</v>
      </c>
      <c r="O917" s="94">
        <v>259628</v>
      </c>
      <c r="P917" s="94" t="s">
        <v>1443</v>
      </c>
      <c r="Q917" s="94">
        <v>774</v>
      </c>
      <c r="R917" s="95">
        <f t="shared" si="176"/>
        <v>151555.45765852797</v>
      </c>
      <c r="S917" s="94">
        <v>80997.8508</v>
      </c>
      <c r="T917" s="94">
        <f t="shared" si="182"/>
        <v>86481.405299160004</v>
      </c>
      <c r="U917" s="94">
        <f t="shared" si="183"/>
        <v>91454.086103861715</v>
      </c>
      <c r="V917" s="94">
        <f t="shared" si="184"/>
        <v>95194.558225509652</v>
      </c>
      <c r="W917" s="97">
        <f t="shared" si="179"/>
        <v>98221.745177080869</v>
      </c>
      <c r="X917" s="97">
        <f t="shared" si="180"/>
        <v>101954.17149380995</v>
      </c>
      <c r="Y917" s="97">
        <v>126848.7</v>
      </c>
      <c r="Z917" s="97">
        <f t="shared" si="177"/>
        <v>133977.59693999999</v>
      </c>
      <c r="AA917" s="97">
        <f t="shared" si="178"/>
        <v>151555.45765852797</v>
      </c>
    </row>
    <row r="918" spans="1:27" x14ac:dyDescent="0.25">
      <c r="A918" s="86" t="s">
        <v>2152</v>
      </c>
      <c r="B918" s="87" t="s">
        <v>2147</v>
      </c>
      <c r="C918" s="88" t="s">
        <v>226</v>
      </c>
      <c r="D918" s="89" t="s">
        <v>262</v>
      </c>
      <c r="E918" s="90">
        <f t="shared" si="185"/>
        <v>308584</v>
      </c>
      <c r="F918" s="90">
        <f t="shared" si="174"/>
        <v>259314.10532697599</v>
      </c>
      <c r="G918" s="91">
        <v>0.19</v>
      </c>
      <c r="H918" s="91" t="s">
        <v>228</v>
      </c>
      <c r="I918" s="91" t="s">
        <v>228</v>
      </c>
      <c r="J918" s="91"/>
      <c r="K918" s="91" t="s">
        <v>228</v>
      </c>
      <c r="L918" s="92" t="s">
        <v>1442</v>
      </c>
      <c r="M918" s="91" t="str">
        <f t="shared" si="175"/>
        <v>VER ARCHIVO ANEXO</v>
      </c>
      <c r="N918" s="93">
        <v>41608</v>
      </c>
      <c r="O918" s="94">
        <v>298209</v>
      </c>
      <c r="P918" s="94" t="s">
        <v>1443</v>
      </c>
      <c r="Q918" s="94">
        <v>775</v>
      </c>
      <c r="R918" s="95">
        <f t="shared" si="176"/>
        <v>259314.10532697599</v>
      </c>
      <c r="S918" s="94">
        <v>138587.2004</v>
      </c>
      <c r="T918" s="94">
        <f t="shared" si="182"/>
        <v>147969.55386708002</v>
      </c>
      <c r="U918" s="94">
        <f t="shared" si="183"/>
        <v>156477.80321443712</v>
      </c>
      <c r="V918" s="94">
        <f t="shared" si="184"/>
        <v>162877.74536590758</v>
      </c>
      <c r="W918" s="97">
        <f t="shared" si="179"/>
        <v>168057.25766854346</v>
      </c>
      <c r="X918" s="97">
        <f t="shared" si="180"/>
        <v>174443.43345994811</v>
      </c>
      <c r="Y918" s="97">
        <v>217040.4</v>
      </c>
      <c r="Z918" s="97">
        <f t="shared" si="177"/>
        <v>229238.07047999999</v>
      </c>
      <c r="AA918" s="97">
        <f t="shared" si="178"/>
        <v>259314.10532697599</v>
      </c>
    </row>
    <row r="919" spans="1:27" x14ac:dyDescent="0.25">
      <c r="A919" s="86" t="s">
        <v>2153</v>
      </c>
      <c r="B919" s="87" t="s">
        <v>2154</v>
      </c>
      <c r="C919" s="88" t="s">
        <v>226</v>
      </c>
      <c r="D919" s="89" t="s">
        <v>262</v>
      </c>
      <c r="E919" s="90">
        <f t="shared" si="185"/>
        <v>409612</v>
      </c>
      <c r="F919" s="90">
        <f t="shared" si="174"/>
        <v>344211.95799446403</v>
      </c>
      <c r="G919" s="91">
        <v>0.19</v>
      </c>
      <c r="H919" s="91" t="s">
        <v>228</v>
      </c>
      <c r="I919" s="91" t="s">
        <v>228</v>
      </c>
      <c r="J919" s="91"/>
      <c r="K919" s="91" t="s">
        <v>228</v>
      </c>
      <c r="L919" s="92" t="s">
        <v>1442</v>
      </c>
      <c r="M919" s="91" t="str">
        <f t="shared" si="175"/>
        <v>VER ARCHIVO ANEXO</v>
      </c>
      <c r="N919" s="93">
        <v>41608</v>
      </c>
      <c r="O919" s="94">
        <v>313678</v>
      </c>
      <c r="P919" s="94" t="s">
        <v>1443</v>
      </c>
      <c r="Q919" s="94">
        <v>776</v>
      </c>
      <c r="R919" s="95">
        <f t="shared" si="176"/>
        <v>344211.95799446403</v>
      </c>
      <c r="S919" s="94">
        <v>185122.2476</v>
      </c>
      <c r="T919" s="94">
        <f t="shared" si="182"/>
        <v>197655.02376252002</v>
      </c>
      <c r="U919" s="94">
        <f t="shared" si="183"/>
        <v>209020.18762886495</v>
      </c>
      <c r="V919" s="94">
        <f t="shared" si="184"/>
        <v>217569.11330288553</v>
      </c>
      <c r="W919" s="97">
        <f t="shared" si="179"/>
        <v>224487.8111059173</v>
      </c>
      <c r="X919" s="97">
        <f t="shared" si="180"/>
        <v>233018.34792794217</v>
      </c>
      <c r="Y919" s="97">
        <v>288098.10000000003</v>
      </c>
      <c r="Z919" s="97">
        <f t="shared" si="177"/>
        <v>304289.21322000003</v>
      </c>
      <c r="AA919" s="97">
        <f t="shared" si="178"/>
        <v>344211.95799446403</v>
      </c>
    </row>
    <row r="920" spans="1:27" x14ac:dyDescent="0.25">
      <c r="A920" s="86" t="s">
        <v>2155</v>
      </c>
      <c r="B920" s="87" t="s">
        <v>2156</v>
      </c>
      <c r="C920" s="88" t="s">
        <v>226</v>
      </c>
      <c r="D920" s="89" t="s">
        <v>262</v>
      </c>
      <c r="E920" s="90">
        <f t="shared" si="185"/>
        <v>470483</v>
      </c>
      <c r="F920" s="90">
        <f t="shared" ref="F920:F983" si="186">R920</f>
        <v>395363.79328118404</v>
      </c>
      <c r="G920" s="91">
        <v>0.19</v>
      </c>
      <c r="H920" s="91" t="s">
        <v>228</v>
      </c>
      <c r="I920" s="91" t="s">
        <v>228</v>
      </c>
      <c r="J920" s="91"/>
      <c r="K920" s="91" t="s">
        <v>228</v>
      </c>
      <c r="L920" s="92" t="s">
        <v>1442</v>
      </c>
      <c r="M920" s="91" t="str">
        <f t="shared" ref="M920:M983" si="187">+IF(L920="no aplica","no aplica","VER ARCHIVO ANEXO")</f>
        <v>VER ARCHIVO ANEXO</v>
      </c>
      <c r="N920" s="93">
        <v>41608</v>
      </c>
      <c r="O920" s="94">
        <v>352415</v>
      </c>
      <c r="P920" s="94" t="s">
        <v>1443</v>
      </c>
      <c r="Q920" s="94">
        <v>777</v>
      </c>
      <c r="R920" s="95">
        <f t="shared" si="176"/>
        <v>395363.79328118404</v>
      </c>
      <c r="S920" s="94">
        <v>211297.43419999999</v>
      </c>
      <c r="T920" s="94">
        <f t="shared" si="182"/>
        <v>225602.27049534</v>
      </c>
      <c r="U920" s="94">
        <f t="shared" si="183"/>
        <v>238574.40104882207</v>
      </c>
      <c r="V920" s="94">
        <f t="shared" si="184"/>
        <v>248332.09405171889</v>
      </c>
      <c r="W920" s="97">
        <f t="shared" si="179"/>
        <v>256229.05464256357</v>
      </c>
      <c r="X920" s="97">
        <f t="shared" si="180"/>
        <v>265965.758718981</v>
      </c>
      <c r="Y920" s="97">
        <v>330911.10000000003</v>
      </c>
      <c r="Z920" s="97">
        <f t="shared" si="177"/>
        <v>349508.30382000003</v>
      </c>
      <c r="AA920" s="97">
        <f t="shared" si="178"/>
        <v>395363.79328118404</v>
      </c>
    </row>
    <row r="921" spans="1:27" x14ac:dyDescent="0.25">
      <c r="A921" s="86" t="s">
        <v>2157</v>
      </c>
      <c r="B921" s="87" t="s">
        <v>2158</v>
      </c>
      <c r="C921" s="88" t="s">
        <v>226</v>
      </c>
      <c r="D921" s="89" t="s">
        <v>262</v>
      </c>
      <c r="E921" s="90">
        <f t="shared" si="185"/>
        <v>494889</v>
      </c>
      <c r="F921" s="90">
        <f t="shared" si="186"/>
        <v>415872.91572019202</v>
      </c>
      <c r="G921" s="91">
        <v>0.19</v>
      </c>
      <c r="H921" s="91" t="s">
        <v>228</v>
      </c>
      <c r="I921" s="91" t="s">
        <v>228</v>
      </c>
      <c r="J921" s="91"/>
      <c r="K921" s="91" t="s">
        <v>228</v>
      </c>
      <c r="L921" s="92" t="s">
        <v>1442</v>
      </c>
      <c r="M921" s="91" t="str">
        <f t="shared" si="187"/>
        <v>VER ARCHIVO ANEXO</v>
      </c>
      <c r="N921" s="93">
        <v>41608</v>
      </c>
      <c r="O921" s="94">
        <v>375085</v>
      </c>
      <c r="P921" s="94" t="s">
        <v>1443</v>
      </c>
      <c r="Q921" s="94">
        <v>778</v>
      </c>
      <c r="R921" s="95">
        <f t="shared" si="176"/>
        <v>415872.91572019202</v>
      </c>
      <c r="S921" s="94">
        <v>222259.4792</v>
      </c>
      <c r="T921" s="94">
        <f t="shared" si="182"/>
        <v>237306.44594184004</v>
      </c>
      <c r="U921" s="94">
        <f t="shared" si="183"/>
        <v>250951.56658349588</v>
      </c>
      <c r="V921" s="94">
        <f t="shared" si="184"/>
        <v>261215.48565676084</v>
      </c>
      <c r="W921" s="97">
        <f t="shared" si="179"/>
        <v>269522.13810064585</v>
      </c>
      <c r="X921" s="97">
        <f t="shared" si="180"/>
        <v>279763.9793484704</v>
      </c>
      <c r="Y921" s="97">
        <v>348076.79999999999</v>
      </c>
      <c r="Z921" s="97">
        <f t="shared" si="177"/>
        <v>367638.71616000001</v>
      </c>
      <c r="AA921" s="97">
        <f t="shared" si="178"/>
        <v>415872.91572019202</v>
      </c>
    </row>
    <row r="922" spans="1:27" x14ac:dyDescent="0.25">
      <c r="A922" s="86" t="s">
        <v>2159</v>
      </c>
      <c r="B922" s="87" t="s">
        <v>2160</v>
      </c>
      <c r="C922" s="88" t="s">
        <v>226</v>
      </c>
      <c r="D922" s="89" t="s">
        <v>262</v>
      </c>
      <c r="E922" s="90">
        <f t="shared" si="185"/>
        <v>556000</v>
      </c>
      <c r="F922" s="90">
        <f t="shared" si="186"/>
        <v>467226.90667295997</v>
      </c>
      <c r="G922" s="91">
        <v>0.19</v>
      </c>
      <c r="H922" s="91" t="s">
        <v>228</v>
      </c>
      <c r="I922" s="91" t="s">
        <v>228</v>
      </c>
      <c r="J922" s="91"/>
      <c r="K922" s="91" t="s">
        <v>228</v>
      </c>
      <c r="L922" s="92" t="s">
        <v>1442</v>
      </c>
      <c r="M922" s="91" t="str">
        <f t="shared" si="187"/>
        <v>VER ARCHIVO ANEXO</v>
      </c>
      <c r="N922" s="93">
        <v>41608</v>
      </c>
      <c r="O922" s="94">
        <v>384029</v>
      </c>
      <c r="P922" s="94" t="s">
        <v>1443</v>
      </c>
      <c r="Q922" s="94">
        <v>779</v>
      </c>
      <c r="R922" s="95">
        <f t="shared" si="176"/>
        <v>467226.90667295997</v>
      </c>
      <c r="S922" s="94">
        <v>249705.5374</v>
      </c>
      <c r="T922" s="94">
        <f t="shared" si="182"/>
        <v>266610.60228198004</v>
      </c>
      <c r="U922" s="94">
        <f t="shared" si="183"/>
        <v>281940.71191319393</v>
      </c>
      <c r="V922" s="94">
        <f t="shared" si="184"/>
        <v>293472.08703044354</v>
      </c>
      <c r="W922" s="97">
        <f t="shared" si="179"/>
        <v>302804.49939801166</v>
      </c>
      <c r="X922" s="97">
        <f t="shared" si="180"/>
        <v>314311.0703751361</v>
      </c>
      <c r="Y922" s="97">
        <v>391059</v>
      </c>
      <c r="Z922" s="97">
        <f t="shared" si="177"/>
        <v>413036.51579999999</v>
      </c>
      <c r="AA922" s="97">
        <f t="shared" si="178"/>
        <v>467226.90667295997</v>
      </c>
    </row>
    <row r="923" spans="1:27" x14ac:dyDescent="0.25">
      <c r="A923" s="86" t="s">
        <v>2161</v>
      </c>
      <c r="B923" s="87" t="s">
        <v>2162</v>
      </c>
      <c r="C923" s="88" t="s">
        <v>226</v>
      </c>
      <c r="D923" s="89" t="s">
        <v>262</v>
      </c>
      <c r="E923" s="90">
        <f t="shared" si="185"/>
        <v>651382</v>
      </c>
      <c r="F923" s="90">
        <f t="shared" si="186"/>
        <v>547379.47766880004</v>
      </c>
      <c r="G923" s="91">
        <v>0.19</v>
      </c>
      <c r="H923" s="91" t="s">
        <v>228</v>
      </c>
      <c r="I923" s="91" t="s">
        <v>228</v>
      </c>
      <c r="J923" s="91"/>
      <c r="K923" s="91" t="s">
        <v>228</v>
      </c>
      <c r="L923" s="92" t="s">
        <v>1442</v>
      </c>
      <c r="M923" s="91" t="str">
        <f t="shared" si="187"/>
        <v>VER ARCHIVO ANEXO</v>
      </c>
      <c r="N923" s="93">
        <v>41608</v>
      </c>
      <c r="O923" s="94">
        <v>500596</v>
      </c>
      <c r="P923" s="94" t="s">
        <v>1443</v>
      </c>
      <c r="Q923" s="94">
        <v>780</v>
      </c>
      <c r="R923" s="95">
        <f t="shared" si="176"/>
        <v>547379.47766880004</v>
      </c>
      <c r="S923" s="94">
        <v>63283.393400000001</v>
      </c>
      <c r="T923" s="94">
        <f t="shared" si="182"/>
        <v>67567.679133180005</v>
      </c>
      <c r="U923" s="94">
        <f t="shared" si="183"/>
        <v>71452.820683337864</v>
      </c>
      <c r="V923" s="94">
        <f t="shared" si="184"/>
        <v>74375.241049286386</v>
      </c>
      <c r="W923" s="97">
        <f t="shared" si="179"/>
        <v>76740.373714653702</v>
      </c>
      <c r="X923" s="97">
        <f t="shared" si="180"/>
        <v>79656.507915810551</v>
      </c>
      <c r="Y923" s="97">
        <v>458145</v>
      </c>
      <c r="Z923" s="97">
        <f t="shared" si="177"/>
        <v>483892.74900000001</v>
      </c>
      <c r="AA923" s="97">
        <f t="shared" si="178"/>
        <v>547379.47766880004</v>
      </c>
    </row>
    <row r="924" spans="1:27" x14ac:dyDescent="0.25">
      <c r="A924" s="86" t="s">
        <v>2163</v>
      </c>
      <c r="B924" s="87" t="s">
        <v>2164</v>
      </c>
      <c r="C924" s="88" t="s">
        <v>226</v>
      </c>
      <c r="D924" s="89" t="s">
        <v>262</v>
      </c>
      <c r="E924" s="90">
        <f t="shared" si="185"/>
        <v>732804</v>
      </c>
      <c r="F924" s="90">
        <f t="shared" si="186"/>
        <v>615801.64355337608</v>
      </c>
      <c r="G924" s="91">
        <v>0.19</v>
      </c>
      <c r="H924" s="91" t="s">
        <v>228</v>
      </c>
      <c r="I924" s="91" t="s">
        <v>228</v>
      </c>
      <c r="J924" s="91"/>
      <c r="K924" s="91" t="s">
        <v>228</v>
      </c>
      <c r="L924" s="92" t="s">
        <v>1442</v>
      </c>
      <c r="M924" s="91" t="str">
        <f t="shared" si="187"/>
        <v>VER ARCHIVO ANEXO</v>
      </c>
      <c r="N924" s="93">
        <v>41608</v>
      </c>
      <c r="O924" s="94">
        <v>1552114</v>
      </c>
      <c r="P924" s="94" t="s">
        <v>1443</v>
      </c>
      <c r="Q924" s="94">
        <v>781</v>
      </c>
      <c r="R924" s="95">
        <f t="shared" si="176"/>
        <v>615801.64355337608</v>
      </c>
      <c r="S924" s="94">
        <v>66568.378799999991</v>
      </c>
      <c r="T924" s="94">
        <f t="shared" si="182"/>
        <v>71075.058044759993</v>
      </c>
      <c r="U924" s="94">
        <f t="shared" si="183"/>
        <v>75161.873882333704</v>
      </c>
      <c r="V924" s="94">
        <f t="shared" si="184"/>
        <v>78235.994524121154</v>
      </c>
      <c r="W924" s="97">
        <f t="shared" si="179"/>
        <v>80723.89914998821</v>
      </c>
      <c r="X924" s="97">
        <f t="shared" si="180"/>
        <v>83791.407317687772</v>
      </c>
      <c r="Y924" s="97">
        <v>515412.9</v>
      </c>
      <c r="Z924" s="97">
        <f t="shared" si="177"/>
        <v>544379.10498000006</v>
      </c>
      <c r="AA924" s="97">
        <f t="shared" si="178"/>
        <v>615801.64355337608</v>
      </c>
    </row>
    <row r="925" spans="1:27" x14ac:dyDescent="0.25">
      <c r="A925" s="86" t="s">
        <v>2165</v>
      </c>
      <c r="B925" s="87" t="s">
        <v>2166</v>
      </c>
      <c r="C925" s="88" t="s">
        <v>226</v>
      </c>
      <c r="D925" s="89" t="s">
        <v>262</v>
      </c>
      <c r="E925" s="90">
        <f t="shared" si="185"/>
        <v>915101</v>
      </c>
      <c r="F925" s="90">
        <f t="shared" si="186"/>
        <v>768992.62657392002</v>
      </c>
      <c r="G925" s="91">
        <v>0.19</v>
      </c>
      <c r="H925" s="91" t="s">
        <v>228</v>
      </c>
      <c r="I925" s="91" t="s">
        <v>228</v>
      </c>
      <c r="J925" s="91"/>
      <c r="K925" s="91" t="s">
        <v>228</v>
      </c>
      <c r="L925" s="92" t="s">
        <v>1442</v>
      </c>
      <c r="M925" s="91" t="str">
        <f t="shared" si="187"/>
        <v>VER ARCHIVO ANEXO</v>
      </c>
      <c r="N925" s="93">
        <v>41608</v>
      </c>
      <c r="O925" s="94">
        <v>2339326</v>
      </c>
      <c r="P925" s="94" t="s">
        <v>1443</v>
      </c>
      <c r="Q925" s="94">
        <v>782</v>
      </c>
      <c r="R925" s="95">
        <f t="shared" si="176"/>
        <v>768992.62657392002</v>
      </c>
      <c r="S925" s="94">
        <v>73124.873800000001</v>
      </c>
      <c r="T925" s="94">
        <f t="shared" si="182"/>
        <v>78075.427756260004</v>
      </c>
      <c r="U925" s="94">
        <f t="shared" si="183"/>
        <v>82564.76485224496</v>
      </c>
      <c r="V925" s="94">
        <f t="shared" si="184"/>
        <v>85941.663734701768</v>
      </c>
      <c r="W925" s="97">
        <f t="shared" si="179"/>
        <v>88674.608641465282</v>
      </c>
      <c r="X925" s="97">
        <f t="shared" si="180"/>
        <v>92044.243769840963</v>
      </c>
      <c r="Y925" s="97">
        <v>643630.5</v>
      </c>
      <c r="Z925" s="97">
        <f t="shared" si="177"/>
        <v>679802.53410000005</v>
      </c>
      <c r="AA925" s="97">
        <f t="shared" si="178"/>
        <v>768992.62657392002</v>
      </c>
    </row>
    <row r="926" spans="1:27" x14ac:dyDescent="0.25">
      <c r="A926" s="86" t="s">
        <v>2167</v>
      </c>
      <c r="B926" s="87" t="s">
        <v>2168</v>
      </c>
      <c r="C926" s="88" t="s">
        <v>226</v>
      </c>
      <c r="D926" s="89" t="s">
        <v>262</v>
      </c>
      <c r="E926" s="90">
        <f t="shared" si="185"/>
        <v>2764290</v>
      </c>
      <c r="F926" s="90">
        <f t="shared" si="186"/>
        <v>2322933.1231942079</v>
      </c>
      <c r="G926" s="91">
        <v>0.19</v>
      </c>
      <c r="H926" s="91" t="s">
        <v>228</v>
      </c>
      <c r="I926" s="91" t="s">
        <v>228</v>
      </c>
      <c r="J926" s="91"/>
      <c r="K926" s="91" t="s">
        <v>228</v>
      </c>
      <c r="L926" s="92" t="s">
        <v>1442</v>
      </c>
      <c r="M926" s="91" t="str">
        <f t="shared" si="187"/>
        <v>VER ARCHIVO ANEXO</v>
      </c>
      <c r="N926" s="93">
        <v>41608</v>
      </c>
      <c r="O926" s="94">
        <v>2981743</v>
      </c>
      <c r="P926" s="94" t="s">
        <v>1443</v>
      </c>
      <c r="Q926" s="94">
        <v>783</v>
      </c>
      <c r="R926" s="95">
        <f t="shared" si="176"/>
        <v>2322933.1231942079</v>
      </c>
      <c r="S926" s="94">
        <v>78454.034400000004</v>
      </c>
      <c r="T926" s="94">
        <f t="shared" si="182"/>
        <v>83765.372528880005</v>
      </c>
      <c r="U926" s="94">
        <f t="shared" si="183"/>
        <v>88581.881449290609</v>
      </c>
      <c r="V926" s="94">
        <f t="shared" si="184"/>
        <v>92204.880400566588</v>
      </c>
      <c r="W926" s="97">
        <f t="shared" si="179"/>
        <v>95136.995597304616</v>
      </c>
      <c r="X926" s="97">
        <f t="shared" si="180"/>
        <v>98752.201430002198</v>
      </c>
      <c r="Y926" s="97">
        <v>1944245.7</v>
      </c>
      <c r="Z926" s="97">
        <f t="shared" si="177"/>
        <v>2053512.30834</v>
      </c>
      <c r="AA926" s="97">
        <f t="shared" si="178"/>
        <v>2322933.1231942079</v>
      </c>
    </row>
    <row r="927" spans="1:27" x14ac:dyDescent="0.25">
      <c r="A927" s="86" t="s">
        <v>2169</v>
      </c>
      <c r="B927" s="87" t="s">
        <v>2170</v>
      </c>
      <c r="C927" s="88" t="s">
        <v>226</v>
      </c>
      <c r="D927" s="89" t="s">
        <v>262</v>
      </c>
      <c r="E927" s="90">
        <f t="shared" si="185"/>
        <v>3991250</v>
      </c>
      <c r="F927" s="90">
        <f t="shared" si="186"/>
        <v>3353991.5378047684</v>
      </c>
      <c r="G927" s="91">
        <v>0.19</v>
      </c>
      <c r="H927" s="91" t="s">
        <v>228</v>
      </c>
      <c r="I927" s="91" t="s">
        <v>228</v>
      </c>
      <c r="J927" s="91"/>
      <c r="K927" s="91" t="s">
        <v>228</v>
      </c>
      <c r="L927" s="92" t="s">
        <v>1442</v>
      </c>
      <c r="M927" s="91" t="str">
        <f t="shared" si="187"/>
        <v>VER ARCHIVO ANEXO</v>
      </c>
      <c r="N927" s="93">
        <v>41608</v>
      </c>
      <c r="O927" s="94">
        <v>3148711</v>
      </c>
      <c r="P927" s="94" t="s">
        <v>1443</v>
      </c>
      <c r="Q927" s="94">
        <v>784</v>
      </c>
      <c r="R927" s="95">
        <f t="shared" si="176"/>
        <v>3353991.5378047684</v>
      </c>
      <c r="S927" s="94">
        <v>83056.53839999999</v>
      </c>
      <c r="T927" s="94">
        <f t="shared" si="182"/>
        <v>88679.466049679992</v>
      </c>
      <c r="U927" s="94">
        <f t="shared" si="183"/>
        <v>93778.535347536599</v>
      </c>
      <c r="V927" s="94">
        <f t="shared" si="184"/>
        <v>97614.077443250833</v>
      </c>
      <c r="W927" s="97">
        <f t="shared" si="179"/>
        <v>100718.20510594621</v>
      </c>
      <c r="X927" s="97">
        <f t="shared" si="180"/>
        <v>104545.49689997218</v>
      </c>
      <c r="Y927" s="97">
        <v>2807219.7</v>
      </c>
      <c r="Z927" s="97">
        <f t="shared" si="177"/>
        <v>2964985.4471400003</v>
      </c>
      <c r="AA927" s="97">
        <f t="shared" si="178"/>
        <v>3353991.5378047684</v>
      </c>
    </row>
    <row r="928" spans="1:27" x14ac:dyDescent="0.25">
      <c r="A928" s="86" t="s">
        <v>2171</v>
      </c>
      <c r="B928" s="87" t="s">
        <v>2172</v>
      </c>
      <c r="C928" s="88" t="s">
        <v>226</v>
      </c>
      <c r="D928" s="89" t="s">
        <v>262</v>
      </c>
      <c r="E928" s="90">
        <f t="shared" si="185"/>
        <v>5178157</v>
      </c>
      <c r="F928" s="90">
        <f t="shared" si="186"/>
        <v>4351392.1093144324</v>
      </c>
      <c r="G928" s="91">
        <v>0.19</v>
      </c>
      <c r="H928" s="91" t="s">
        <v>228</v>
      </c>
      <c r="I928" s="91" t="s">
        <v>228</v>
      </c>
      <c r="J928" s="91"/>
      <c r="K928" s="91" t="s">
        <v>228</v>
      </c>
      <c r="L928" s="92" t="s">
        <v>1442</v>
      </c>
      <c r="M928" s="91" t="str">
        <f t="shared" si="187"/>
        <v>VER ARCHIVO ANEXO</v>
      </c>
      <c r="N928" s="93">
        <v>41608</v>
      </c>
      <c r="O928" s="94">
        <v>99301.212788220015</v>
      </c>
      <c r="P928" s="94" t="s">
        <v>1443</v>
      </c>
      <c r="Q928" s="94">
        <v>785</v>
      </c>
      <c r="R928" s="95">
        <f t="shared" si="176"/>
        <v>4351392.1093144324</v>
      </c>
      <c r="S928" s="94">
        <v>93004.7886</v>
      </c>
      <c r="T928" s="94">
        <f t="shared" si="182"/>
        <v>99301.212788220015</v>
      </c>
      <c r="U928" s="94">
        <f t="shared" si="183"/>
        <v>105011.03252354267</v>
      </c>
      <c r="V928" s="94">
        <f t="shared" si="184"/>
        <v>109305.98375375556</v>
      </c>
      <c r="W928" s="97">
        <f t="shared" si="179"/>
        <v>112781.914037125</v>
      </c>
      <c r="X928" s="97">
        <f t="shared" si="180"/>
        <v>117067.62677053575</v>
      </c>
      <c r="Y928" s="97">
        <v>3642022.8000000003</v>
      </c>
      <c r="Z928" s="97">
        <f t="shared" si="177"/>
        <v>3846704.4813600006</v>
      </c>
      <c r="AA928" s="97">
        <f t="shared" si="178"/>
        <v>4351392.1093144324</v>
      </c>
    </row>
    <row r="929" spans="1:27" x14ac:dyDescent="0.25">
      <c r="A929" s="86" t="s">
        <v>2173</v>
      </c>
      <c r="B929" s="87" t="s">
        <v>2174</v>
      </c>
      <c r="C929" s="88" t="s">
        <v>226</v>
      </c>
      <c r="D929" s="89" t="s">
        <v>262</v>
      </c>
      <c r="E929" s="90">
        <f t="shared" si="185"/>
        <v>5612015</v>
      </c>
      <c r="F929" s="90">
        <f t="shared" si="186"/>
        <v>4715978.7777359048</v>
      </c>
      <c r="G929" s="91">
        <v>0.19</v>
      </c>
      <c r="H929" s="91" t="s">
        <v>228</v>
      </c>
      <c r="I929" s="91" t="s">
        <v>228</v>
      </c>
      <c r="J929" s="91"/>
      <c r="K929" s="91" t="s">
        <v>228</v>
      </c>
      <c r="L929" s="92" t="s">
        <v>1442</v>
      </c>
      <c r="M929" s="91" t="str">
        <f t="shared" si="187"/>
        <v>VER ARCHIVO ANEXO</v>
      </c>
      <c r="N929" s="93">
        <v>41608</v>
      </c>
      <c r="O929" s="94">
        <v>109080.70160574</v>
      </c>
      <c r="P929" s="94" t="s">
        <v>1443</v>
      </c>
      <c r="Q929" s="94">
        <v>786</v>
      </c>
      <c r="R929" s="95">
        <f t="shared" si="176"/>
        <v>4715978.7777359048</v>
      </c>
      <c r="S929" s="94">
        <v>102164.1862</v>
      </c>
      <c r="T929" s="94">
        <f t="shared" si="182"/>
        <v>109080.70160574</v>
      </c>
      <c r="U929" s="94">
        <f t="shared" si="183"/>
        <v>115352.84194807007</v>
      </c>
      <c r="V929" s="94">
        <f t="shared" si="184"/>
        <v>120070.77318374613</v>
      </c>
      <c r="W929" s="97">
        <f t="shared" si="179"/>
        <v>123889.02377098927</v>
      </c>
      <c r="X929" s="97">
        <f t="shared" si="180"/>
        <v>128596.80667428687</v>
      </c>
      <c r="Y929" s="97">
        <v>3947174.1</v>
      </c>
      <c r="Z929" s="97">
        <f t="shared" si="177"/>
        <v>4169005.2844200004</v>
      </c>
      <c r="AA929" s="97">
        <f t="shared" si="178"/>
        <v>4715978.7777359048</v>
      </c>
    </row>
    <row r="930" spans="1:27" x14ac:dyDescent="0.25">
      <c r="A930" s="86" t="s">
        <v>2175</v>
      </c>
      <c r="B930" s="98" t="s">
        <v>2176</v>
      </c>
      <c r="C930" s="99" t="s">
        <v>226</v>
      </c>
      <c r="D930" s="100" t="s">
        <v>262</v>
      </c>
      <c r="E930" s="90">
        <f t="shared" si="185"/>
        <v>9616468</v>
      </c>
      <c r="F930" s="90">
        <f t="shared" si="186"/>
        <v>8081065.2206592001</v>
      </c>
      <c r="G930" s="91">
        <v>0.19</v>
      </c>
      <c r="H930" s="91" t="s">
        <v>228</v>
      </c>
      <c r="I930" s="91" t="s">
        <v>228</v>
      </c>
      <c r="J930" s="91"/>
      <c r="K930" s="91" t="s">
        <v>228</v>
      </c>
      <c r="L930" s="92" t="s">
        <v>1442</v>
      </c>
      <c r="M930" s="91" t="str">
        <f t="shared" si="187"/>
        <v>VER ARCHIVO ANEXO</v>
      </c>
      <c r="N930" s="93">
        <v>41608</v>
      </c>
      <c r="O930" s="94">
        <v>200381.17019218966</v>
      </c>
      <c r="P930" s="94" t="s">
        <v>1443</v>
      </c>
      <c r="Q930" s="94">
        <v>787</v>
      </c>
      <c r="R930" s="95">
        <f t="shared" si="176"/>
        <v>8081065.2206592001</v>
      </c>
      <c r="S930" s="94">
        <v>187675.53637931033</v>
      </c>
      <c r="T930" s="94">
        <f t="shared" si="182"/>
        <v>200381.17019218966</v>
      </c>
      <c r="U930" s="94">
        <f t="shared" si="183"/>
        <v>211903.08747824057</v>
      </c>
      <c r="V930" s="94">
        <f t="shared" si="184"/>
        <v>220569.92375610059</v>
      </c>
      <c r="W930" s="97">
        <f t="shared" si="179"/>
        <v>227584.0473315446</v>
      </c>
      <c r="X930" s="97">
        <f t="shared" si="180"/>
        <v>236232.24113014332</v>
      </c>
      <c r="Y930" s="97">
        <v>6763680</v>
      </c>
      <c r="Z930" s="97">
        <f t="shared" si="177"/>
        <v>7143798.8160000006</v>
      </c>
      <c r="AA930" s="97">
        <f t="shared" si="178"/>
        <v>8081065.2206592001</v>
      </c>
    </row>
    <row r="931" spans="1:27" x14ac:dyDescent="0.25">
      <c r="A931" s="86" t="s">
        <v>2177</v>
      </c>
      <c r="B931" s="98" t="s">
        <v>2178</v>
      </c>
      <c r="C931" s="99" t="s">
        <v>226</v>
      </c>
      <c r="D931" s="100" t="s">
        <v>262</v>
      </c>
      <c r="E931" s="90">
        <f t="shared" si="185"/>
        <v>10906020</v>
      </c>
      <c r="F931" s="90">
        <f t="shared" si="186"/>
        <v>9164722.8191016968</v>
      </c>
      <c r="G931" s="91">
        <v>0.19</v>
      </c>
      <c r="H931" s="91" t="s">
        <v>228</v>
      </c>
      <c r="I931" s="91" t="s">
        <v>228</v>
      </c>
      <c r="J931" s="91"/>
      <c r="K931" s="91" t="s">
        <v>228</v>
      </c>
      <c r="L931" s="92" t="s">
        <v>1442</v>
      </c>
      <c r="M931" s="91" t="str">
        <f t="shared" si="187"/>
        <v>VER ARCHIVO ANEXO</v>
      </c>
      <c r="N931" s="93">
        <v>41608</v>
      </c>
      <c r="O931" s="94">
        <v>225769.31761665523</v>
      </c>
      <c r="P931" s="94" t="s">
        <v>1443</v>
      </c>
      <c r="Q931" s="94">
        <v>788</v>
      </c>
      <c r="R931" s="95">
        <f t="shared" si="176"/>
        <v>9164722.8191016968</v>
      </c>
      <c r="S931" s="94">
        <v>211453.88931034485</v>
      </c>
      <c r="T931" s="94">
        <f t="shared" si="182"/>
        <v>225769.31761665523</v>
      </c>
      <c r="U931" s="94">
        <f t="shared" si="183"/>
        <v>238751.05337961292</v>
      </c>
      <c r="V931" s="94">
        <f t="shared" si="184"/>
        <v>248515.97146283908</v>
      </c>
      <c r="W931" s="97">
        <f t="shared" si="179"/>
        <v>256418.77935535737</v>
      </c>
      <c r="X931" s="97">
        <f t="shared" si="180"/>
        <v>266162.69297086098</v>
      </c>
      <c r="Y931" s="97">
        <v>7670678.4000000004</v>
      </c>
      <c r="Z931" s="97">
        <f t="shared" si="177"/>
        <v>8101770.5260800002</v>
      </c>
      <c r="AA931" s="97">
        <f t="shared" si="178"/>
        <v>9164722.8191016968</v>
      </c>
    </row>
    <row r="932" spans="1:27" x14ac:dyDescent="0.25">
      <c r="A932" s="86" t="s">
        <v>2179</v>
      </c>
      <c r="B932" s="98" t="s">
        <v>2180</v>
      </c>
      <c r="C932" s="99" t="s">
        <v>226</v>
      </c>
      <c r="D932" s="100" t="s">
        <v>262</v>
      </c>
      <c r="E932" s="90">
        <f t="shared" si="185"/>
        <v>461494</v>
      </c>
      <c r="F932" s="90">
        <f t="shared" si="186"/>
        <v>387809.95557969541</v>
      </c>
      <c r="G932" s="91">
        <v>0.19</v>
      </c>
      <c r="H932" s="91" t="s">
        <v>228</v>
      </c>
      <c r="I932" s="91" t="s">
        <v>228</v>
      </c>
      <c r="J932" s="91"/>
      <c r="K932" s="91" t="s">
        <v>228</v>
      </c>
      <c r="L932" s="92" t="s">
        <v>1442</v>
      </c>
      <c r="M932" s="91" t="str">
        <f t="shared" si="187"/>
        <v>VER ARCHIVO ANEXO</v>
      </c>
      <c r="N932" s="93">
        <v>41608</v>
      </c>
      <c r="O932" s="94">
        <v>270965.92566268973</v>
      </c>
      <c r="P932" s="94" t="s">
        <v>1443</v>
      </c>
      <c r="Q932" s="94">
        <v>789</v>
      </c>
      <c r="R932" s="95">
        <f t="shared" si="176"/>
        <v>387809.95557969541</v>
      </c>
      <c r="S932" s="94">
        <v>253784.70137931037</v>
      </c>
      <c r="T932" s="94">
        <f t="shared" si="182"/>
        <v>270965.92566268973</v>
      </c>
      <c r="U932" s="94">
        <f t="shared" si="183"/>
        <v>286546.46638829442</v>
      </c>
      <c r="V932" s="94">
        <f t="shared" si="184"/>
        <v>298266.21686357562</v>
      </c>
      <c r="W932" s="97">
        <f t="shared" si="179"/>
        <v>307751.08255983732</v>
      </c>
      <c r="X932" s="97">
        <f t="shared" si="180"/>
        <v>319445.62369711115</v>
      </c>
      <c r="Y932" s="97">
        <f t="shared" si="181"/>
        <v>324588.69823863462</v>
      </c>
      <c r="Z932" s="97">
        <f t="shared" si="177"/>
        <v>342830.58307964588</v>
      </c>
      <c r="AA932" s="97">
        <f t="shared" si="178"/>
        <v>387809.95557969541</v>
      </c>
    </row>
    <row r="933" spans="1:27" x14ac:dyDescent="0.25">
      <c r="A933" s="86" t="s">
        <v>2181</v>
      </c>
      <c r="B933" s="98" t="s">
        <v>2182</v>
      </c>
      <c r="C933" s="99" t="s">
        <v>226</v>
      </c>
      <c r="D933" s="100" t="s">
        <v>262</v>
      </c>
      <c r="E933" s="90">
        <f t="shared" si="185"/>
        <v>554117</v>
      </c>
      <c r="F933" s="90">
        <f t="shared" si="186"/>
        <v>465644.78303531831</v>
      </c>
      <c r="G933" s="91">
        <v>0.19</v>
      </c>
      <c r="H933" s="91" t="s">
        <v>228</v>
      </c>
      <c r="I933" s="91" t="s">
        <v>228</v>
      </c>
      <c r="J933" s="91"/>
      <c r="K933" s="91" t="s">
        <v>228</v>
      </c>
      <c r="L933" s="92" t="s">
        <v>1442</v>
      </c>
      <c r="M933" s="91" t="str">
        <f t="shared" si="187"/>
        <v>VER ARCHIVO ANEXO</v>
      </c>
      <c r="N933" s="93">
        <v>41608</v>
      </c>
      <c r="O933" s="94">
        <v>325349.74373353459</v>
      </c>
      <c r="P933" s="94" t="s">
        <v>1443</v>
      </c>
      <c r="Q933" s="94">
        <v>790</v>
      </c>
      <c r="R933" s="95">
        <f t="shared" si="176"/>
        <v>465644.78303531831</v>
      </c>
      <c r="S933" s="94">
        <v>304720.18706896558</v>
      </c>
      <c r="T933" s="94">
        <f t="shared" si="182"/>
        <v>325349.74373353459</v>
      </c>
      <c r="U933" s="94">
        <f t="shared" si="183"/>
        <v>344057.35399821284</v>
      </c>
      <c r="V933" s="94">
        <f t="shared" si="184"/>
        <v>358129.29977673973</v>
      </c>
      <c r="W933" s="97">
        <f t="shared" si="179"/>
        <v>369517.81150964007</v>
      </c>
      <c r="X933" s="97">
        <f t="shared" si="180"/>
        <v>383559.48834700638</v>
      </c>
      <c r="Y933" s="97">
        <f t="shared" si="181"/>
        <v>389734.79610939318</v>
      </c>
      <c r="Z933" s="97">
        <f t="shared" si="177"/>
        <v>411637.8916507411</v>
      </c>
      <c r="AA933" s="97">
        <f t="shared" si="178"/>
        <v>465644.78303531831</v>
      </c>
    </row>
    <row r="934" spans="1:27" x14ac:dyDescent="0.25">
      <c r="A934" s="86" t="s">
        <v>2183</v>
      </c>
      <c r="B934" s="98" t="s">
        <v>2184</v>
      </c>
      <c r="C934" s="99" t="s">
        <v>226</v>
      </c>
      <c r="D934" s="100" t="s">
        <v>262</v>
      </c>
      <c r="E934" s="90">
        <f t="shared" si="185"/>
        <v>572815</v>
      </c>
      <c r="F934" s="90">
        <f t="shared" si="186"/>
        <v>481356.76964393241</v>
      </c>
      <c r="G934" s="91">
        <v>0.19</v>
      </c>
      <c r="H934" s="91" t="s">
        <v>228</v>
      </c>
      <c r="I934" s="91" t="s">
        <v>228</v>
      </c>
      <c r="J934" s="91"/>
      <c r="K934" s="91" t="s">
        <v>228</v>
      </c>
      <c r="L934" s="92" t="s">
        <v>1442</v>
      </c>
      <c r="M934" s="91" t="str">
        <f t="shared" si="187"/>
        <v>VER ARCHIVO ANEXO</v>
      </c>
      <c r="N934" s="93">
        <v>41608</v>
      </c>
      <c r="O934" s="94">
        <v>336327.83476536209</v>
      </c>
      <c r="P934" s="94" t="s">
        <v>1443</v>
      </c>
      <c r="Q934" s="94">
        <v>791</v>
      </c>
      <c r="R934" s="95">
        <f t="shared" si="176"/>
        <v>481356.76964393241</v>
      </c>
      <c r="S934" s="94">
        <v>315002.18672413792</v>
      </c>
      <c r="T934" s="94">
        <f t="shared" si="182"/>
        <v>336327.83476536209</v>
      </c>
      <c r="U934" s="94">
        <f t="shared" si="183"/>
        <v>355666.68526437046</v>
      </c>
      <c r="V934" s="94">
        <f t="shared" si="184"/>
        <v>370213.4526916832</v>
      </c>
      <c r="W934" s="97">
        <f t="shared" si="179"/>
        <v>381986.24048727873</v>
      </c>
      <c r="X934" s="97">
        <f t="shared" si="180"/>
        <v>396501.71762579534</v>
      </c>
      <c r="Y934" s="97">
        <f t="shared" si="181"/>
        <v>402885.39527957066</v>
      </c>
      <c r="Z934" s="97">
        <f t="shared" si="177"/>
        <v>425527.55449428252</v>
      </c>
      <c r="AA934" s="97">
        <f t="shared" si="178"/>
        <v>481356.76964393241</v>
      </c>
    </row>
    <row r="935" spans="1:27" x14ac:dyDescent="0.25">
      <c r="A935" s="86" t="s">
        <v>2185</v>
      </c>
      <c r="B935" s="98" t="s">
        <v>2186</v>
      </c>
      <c r="C935" s="99" t="s">
        <v>226</v>
      </c>
      <c r="D935" s="100" t="s">
        <v>4016</v>
      </c>
      <c r="E935" s="90">
        <f t="shared" si="185"/>
        <v>650244</v>
      </c>
      <c r="F935" s="90">
        <f t="shared" si="186"/>
        <v>546423.73035259335</v>
      </c>
      <c r="G935" s="91">
        <v>0.19</v>
      </c>
      <c r="H935" s="91" t="s">
        <v>228</v>
      </c>
      <c r="I935" s="91" t="s">
        <v>228</v>
      </c>
      <c r="J935" s="91"/>
      <c r="K935" s="91" t="s">
        <v>228</v>
      </c>
      <c r="L935" s="92" t="s">
        <v>1442</v>
      </c>
      <c r="M935" s="91" t="str">
        <f t="shared" si="187"/>
        <v>VER ARCHIVO ANEXO</v>
      </c>
      <c r="N935" s="93">
        <v>41608</v>
      </c>
      <c r="O935" s="94">
        <v>381790.6419594828</v>
      </c>
      <c r="P935" s="94" t="s">
        <v>1443</v>
      </c>
      <c r="Q935" s="94">
        <v>792</v>
      </c>
      <c r="R935" s="95">
        <f t="shared" si="176"/>
        <v>546423.73035259335</v>
      </c>
      <c r="S935" s="94">
        <v>357582.31896551728</v>
      </c>
      <c r="T935" s="94">
        <f t="shared" si="182"/>
        <v>381790.6419594828</v>
      </c>
      <c r="U935" s="94">
        <f t="shared" si="183"/>
        <v>403743.60387215309</v>
      </c>
      <c r="V935" s="94">
        <f t="shared" si="184"/>
        <v>420256.71727052412</v>
      </c>
      <c r="W935" s="97">
        <f t="shared" si="179"/>
        <v>433620.88087972678</v>
      </c>
      <c r="X935" s="97">
        <f t="shared" si="180"/>
        <v>450098.4743531564</v>
      </c>
      <c r="Y935" s="97">
        <f t="shared" si="181"/>
        <v>457345.05979024223</v>
      </c>
      <c r="Z935" s="97">
        <f t="shared" si="177"/>
        <v>483047.85215045384</v>
      </c>
      <c r="AA935" s="97">
        <f t="shared" si="178"/>
        <v>546423.73035259335</v>
      </c>
    </row>
    <row r="936" spans="1:27" x14ac:dyDescent="0.25">
      <c r="A936" s="86" t="s">
        <v>2187</v>
      </c>
      <c r="B936" s="98" t="s">
        <v>2188</v>
      </c>
      <c r="C936" s="99" t="s">
        <v>226</v>
      </c>
      <c r="D936" s="100" t="s">
        <v>4016</v>
      </c>
      <c r="E936" s="101">
        <f t="shared" si="185"/>
        <v>3237</v>
      </c>
      <c r="F936" s="90">
        <f t="shared" si="186"/>
        <v>2720.49912288</v>
      </c>
      <c r="G936" s="91">
        <v>0.19</v>
      </c>
      <c r="H936" s="91" t="s">
        <v>228</v>
      </c>
      <c r="I936" s="91" t="s">
        <v>228</v>
      </c>
      <c r="J936" s="91"/>
      <c r="K936" s="91" t="s">
        <v>228</v>
      </c>
      <c r="L936" s="92" t="s">
        <v>1879</v>
      </c>
      <c r="M936" s="91" t="str">
        <f t="shared" si="187"/>
        <v>VER ARCHIVO ANEXO</v>
      </c>
      <c r="N936" s="93">
        <v>41608</v>
      </c>
      <c r="O936" s="94">
        <v>922067</v>
      </c>
      <c r="P936" s="94" t="s">
        <v>1443</v>
      </c>
      <c r="Q936" s="94">
        <v>793</v>
      </c>
      <c r="R936" s="95">
        <f t="shared" si="176"/>
        <v>2720.49912288</v>
      </c>
      <c r="S936" s="94">
        <v>1648.194</v>
      </c>
      <c r="T936" s="94">
        <f t="shared" si="182"/>
        <v>1759.7767338000001</v>
      </c>
      <c r="U936" s="94">
        <f t="shared" si="183"/>
        <v>1860.9638959935003</v>
      </c>
      <c r="V936" s="94">
        <f t="shared" si="184"/>
        <v>1937.0773193396344</v>
      </c>
      <c r="W936" s="97">
        <f t="shared" si="179"/>
        <v>1998.6763780946349</v>
      </c>
      <c r="X936" s="97">
        <f t="shared" si="180"/>
        <v>2074.6260804622311</v>
      </c>
      <c r="Y936" s="97">
        <v>2277</v>
      </c>
      <c r="Z936" s="97">
        <f t="shared" si="177"/>
        <v>2404.9674</v>
      </c>
      <c r="AA936" s="97">
        <f t="shared" si="178"/>
        <v>2720.49912288</v>
      </c>
    </row>
    <row r="937" spans="1:27" x14ac:dyDescent="0.25">
      <c r="A937" s="86" t="s">
        <v>2189</v>
      </c>
      <c r="B937" s="98" t="s">
        <v>2190</v>
      </c>
      <c r="C937" s="99" t="s">
        <v>226</v>
      </c>
      <c r="D937" s="100" t="s">
        <v>262</v>
      </c>
      <c r="E937" s="101">
        <f t="shared" si="185"/>
        <v>4673</v>
      </c>
      <c r="F937" s="90">
        <f t="shared" si="186"/>
        <v>3926.9813425920001</v>
      </c>
      <c r="G937" s="91">
        <v>0.19</v>
      </c>
      <c r="H937" s="91" t="s">
        <v>228</v>
      </c>
      <c r="I937" s="91" t="s">
        <v>228</v>
      </c>
      <c r="J937" s="91"/>
      <c r="K937" s="91" t="s">
        <v>228</v>
      </c>
      <c r="L937" s="92" t="s">
        <v>1879</v>
      </c>
      <c r="M937" s="91" t="str">
        <f t="shared" si="187"/>
        <v>VER ARCHIVO ANEXO</v>
      </c>
      <c r="N937" s="93">
        <v>41608</v>
      </c>
      <c r="O937" s="94">
        <v>3182</v>
      </c>
      <c r="P937" s="94" t="s">
        <v>1443</v>
      </c>
      <c r="Q937" s="94">
        <v>794</v>
      </c>
      <c r="R937" s="95">
        <f t="shared" si="176"/>
        <v>3926.9813425920001</v>
      </c>
      <c r="S937" s="94">
        <v>2378.9969999999998</v>
      </c>
      <c r="T937" s="94">
        <f t="shared" si="182"/>
        <v>2540.0550969000001</v>
      </c>
      <c r="U937" s="94">
        <f t="shared" si="183"/>
        <v>2686.1082649717505</v>
      </c>
      <c r="V937" s="94">
        <f t="shared" si="184"/>
        <v>2795.9700930090949</v>
      </c>
      <c r="W937" s="97">
        <f t="shared" si="179"/>
        <v>2884.8819419667843</v>
      </c>
      <c r="X937" s="97">
        <f t="shared" si="180"/>
        <v>2994.5074557615221</v>
      </c>
      <c r="Y937" s="97">
        <v>3286.8</v>
      </c>
      <c r="Z937" s="97">
        <f t="shared" si="177"/>
        <v>3471.5181600000001</v>
      </c>
      <c r="AA937" s="97">
        <f t="shared" si="178"/>
        <v>3926.9813425920001</v>
      </c>
    </row>
    <row r="938" spans="1:27" x14ac:dyDescent="0.25">
      <c r="A938" s="86" t="s">
        <v>2191</v>
      </c>
      <c r="B938" s="98" t="s">
        <v>2192</v>
      </c>
      <c r="C938" s="99" t="s">
        <v>226</v>
      </c>
      <c r="D938" s="100" t="s">
        <v>262</v>
      </c>
      <c r="E938" s="101">
        <f t="shared" si="185"/>
        <v>9418</v>
      </c>
      <c r="F938" s="90">
        <f t="shared" si="186"/>
        <v>7914.1792665599996</v>
      </c>
      <c r="G938" s="91">
        <v>0.19</v>
      </c>
      <c r="H938" s="91" t="s">
        <v>228</v>
      </c>
      <c r="I938" s="91" t="s">
        <v>228</v>
      </c>
      <c r="J938" s="91"/>
      <c r="K938" s="91" t="s">
        <v>228</v>
      </c>
      <c r="L938" s="92" t="s">
        <v>1879</v>
      </c>
      <c r="M938" s="91" t="str">
        <f t="shared" si="187"/>
        <v>VER ARCHIVO ANEXO</v>
      </c>
      <c r="N938" s="93">
        <v>41608</v>
      </c>
      <c r="O938" s="94">
        <v>6354</v>
      </c>
      <c r="P938" s="94" t="s">
        <v>1443</v>
      </c>
      <c r="Q938" s="94">
        <v>795</v>
      </c>
      <c r="R938" s="95">
        <f t="shared" si="176"/>
        <v>7914.1792665599996</v>
      </c>
      <c r="S938" s="94">
        <v>4752.8109999999997</v>
      </c>
      <c r="T938" s="94">
        <f t="shared" si="182"/>
        <v>5074.5763047</v>
      </c>
      <c r="U938" s="94">
        <f t="shared" si="183"/>
        <v>5366.3644422202506</v>
      </c>
      <c r="V938" s="94">
        <f t="shared" si="184"/>
        <v>5585.8487479070582</v>
      </c>
      <c r="W938" s="97">
        <f t="shared" si="179"/>
        <v>5763.4787380905027</v>
      </c>
      <c r="X938" s="97">
        <f t="shared" si="180"/>
        <v>5982.4909301379421</v>
      </c>
      <c r="Y938" s="97">
        <v>6624</v>
      </c>
      <c r="Z938" s="97">
        <f t="shared" si="177"/>
        <v>6996.2687999999998</v>
      </c>
      <c r="AA938" s="97">
        <f t="shared" si="178"/>
        <v>7914.1792665599996</v>
      </c>
    </row>
    <row r="939" spans="1:27" x14ac:dyDescent="0.25">
      <c r="A939" s="86" t="s">
        <v>2193</v>
      </c>
      <c r="B939" s="98" t="s">
        <v>2194</v>
      </c>
      <c r="C939" s="99" t="s">
        <v>226</v>
      </c>
      <c r="D939" s="100" t="s">
        <v>262</v>
      </c>
      <c r="E939" s="101">
        <f t="shared" si="185"/>
        <v>40910</v>
      </c>
      <c r="F939" s="90">
        <f t="shared" si="186"/>
        <v>34378.291485216003</v>
      </c>
      <c r="G939" s="91">
        <v>0.19</v>
      </c>
      <c r="H939" s="91" t="s">
        <v>228</v>
      </c>
      <c r="I939" s="91" t="s">
        <v>228</v>
      </c>
      <c r="J939" s="91"/>
      <c r="K939" s="91" t="s">
        <v>228</v>
      </c>
      <c r="L939" s="92" t="s">
        <v>1879</v>
      </c>
      <c r="M939" s="91" t="str">
        <f t="shared" si="187"/>
        <v>VER ARCHIVO ANEXO</v>
      </c>
      <c r="N939" s="93">
        <v>41608</v>
      </c>
      <c r="O939" s="94">
        <v>27855</v>
      </c>
      <c r="P939" s="94" t="s">
        <v>1443</v>
      </c>
      <c r="Q939" s="94">
        <v>796</v>
      </c>
      <c r="R939" s="95">
        <f t="shared" si="176"/>
        <v>34378.291485216003</v>
      </c>
      <c r="S939" s="94">
        <v>20836.696599999999</v>
      </c>
      <c r="T939" s="94">
        <f t="shared" si="182"/>
        <v>22247.340959820001</v>
      </c>
      <c r="U939" s="94">
        <f t="shared" si="183"/>
        <v>23526.563065009654</v>
      </c>
      <c r="V939" s="94">
        <f t="shared" si="184"/>
        <v>24488.799494368548</v>
      </c>
      <c r="W939" s="97">
        <f t="shared" si="179"/>
        <v>25267.54331828947</v>
      </c>
      <c r="X939" s="97">
        <f t="shared" si="180"/>
        <v>26227.70996438447</v>
      </c>
      <c r="Y939" s="97">
        <v>28773.9</v>
      </c>
      <c r="Z939" s="97">
        <f t="shared" si="177"/>
        <v>30390.993180000001</v>
      </c>
      <c r="AA939" s="97">
        <f t="shared" si="178"/>
        <v>34378.291485216003</v>
      </c>
    </row>
    <row r="940" spans="1:27" x14ac:dyDescent="0.25">
      <c r="A940" s="86" t="s">
        <v>2195</v>
      </c>
      <c r="B940" s="98" t="s">
        <v>2196</v>
      </c>
      <c r="C940" s="99" t="s">
        <v>226</v>
      </c>
      <c r="D940" s="100" t="s">
        <v>262</v>
      </c>
      <c r="E940" s="101">
        <f t="shared" si="185"/>
        <v>2827</v>
      </c>
      <c r="F940" s="90">
        <f t="shared" si="186"/>
        <v>2375.3290760640002</v>
      </c>
      <c r="G940" s="91">
        <v>0.19</v>
      </c>
      <c r="H940" s="91" t="s">
        <v>228</v>
      </c>
      <c r="I940" s="91" t="s">
        <v>228</v>
      </c>
      <c r="J940" s="91"/>
      <c r="K940" s="91" t="s">
        <v>228</v>
      </c>
      <c r="L940" s="92" t="s">
        <v>1879</v>
      </c>
      <c r="M940" s="91" t="str">
        <f t="shared" si="187"/>
        <v>VER ARCHIVO ANEXO</v>
      </c>
      <c r="N940" s="93">
        <v>41608</v>
      </c>
      <c r="O940" s="94">
        <v>1926</v>
      </c>
      <c r="P940" s="94" t="s">
        <v>1443</v>
      </c>
      <c r="Q940" s="94">
        <v>797</v>
      </c>
      <c r="R940" s="95">
        <f t="shared" si="176"/>
        <v>2375.3290760640002</v>
      </c>
      <c r="S940" s="94">
        <v>1438.8008</v>
      </c>
      <c r="T940" s="94">
        <f t="shared" si="182"/>
        <v>1536.20761416</v>
      </c>
      <c r="U940" s="94">
        <f t="shared" si="183"/>
        <v>1624.5395519742003</v>
      </c>
      <c r="V940" s="94">
        <f t="shared" si="184"/>
        <v>1690.9832196499451</v>
      </c>
      <c r="W940" s="97">
        <f t="shared" si="179"/>
        <v>1744.7564860348134</v>
      </c>
      <c r="X940" s="97">
        <f t="shared" si="180"/>
        <v>1811.0572325041364</v>
      </c>
      <c r="Y940" s="97">
        <v>1988.1000000000001</v>
      </c>
      <c r="Z940" s="97">
        <f t="shared" si="177"/>
        <v>2099.83122</v>
      </c>
      <c r="AA940" s="97">
        <f t="shared" si="178"/>
        <v>2375.3290760640002</v>
      </c>
    </row>
    <row r="941" spans="1:27" x14ac:dyDescent="0.25">
      <c r="A941" s="86" t="s">
        <v>2197</v>
      </c>
      <c r="B941" s="116" t="s">
        <v>2198</v>
      </c>
      <c r="C941" s="128" t="s">
        <v>226</v>
      </c>
      <c r="D941" s="89" t="s">
        <v>262</v>
      </c>
      <c r="E941" s="90">
        <f t="shared" si="185"/>
        <v>107353</v>
      </c>
      <c r="F941" s="90">
        <f t="shared" si="186"/>
        <v>90212.366177883872</v>
      </c>
      <c r="G941" s="91">
        <v>0.19</v>
      </c>
      <c r="H941" s="91" t="s">
        <v>228</v>
      </c>
      <c r="I941" s="91" t="s">
        <v>228</v>
      </c>
      <c r="J941" s="91"/>
      <c r="K941" s="91" t="s">
        <v>228</v>
      </c>
      <c r="L941" s="92" t="s">
        <v>1879</v>
      </c>
      <c r="M941" s="91" t="str">
        <f t="shared" si="187"/>
        <v>VER ARCHIVO ANEXO</v>
      </c>
      <c r="N941" s="93">
        <v>41608</v>
      </c>
      <c r="O941" s="94"/>
      <c r="P941" s="94"/>
      <c r="Q941" s="94">
        <v>798</v>
      </c>
      <c r="R941" s="95">
        <f t="shared" si="176"/>
        <v>90212.366177883872</v>
      </c>
      <c r="S941" s="94">
        <v>59035.406599999995</v>
      </c>
      <c r="T941" s="94">
        <f t="shared" si="182"/>
        <v>63032.103626819997</v>
      </c>
      <c r="U941" s="94">
        <f t="shared" si="183"/>
        <v>66656.449585362148</v>
      </c>
      <c r="V941" s="94">
        <f t="shared" si="184"/>
        <v>69382.698373403458</v>
      </c>
      <c r="W941" s="97">
        <f t="shared" si="179"/>
        <v>71589.068181677692</v>
      </c>
      <c r="X941" s="97">
        <f t="shared" si="180"/>
        <v>74309.452772581441</v>
      </c>
      <c r="Y941" s="97">
        <f t="shared" si="181"/>
        <v>75505.834962220004</v>
      </c>
      <c r="Z941" s="97">
        <f t="shared" si="177"/>
        <v>79749.262887096775</v>
      </c>
      <c r="AA941" s="97">
        <f t="shared" si="178"/>
        <v>90212.366177883872</v>
      </c>
    </row>
    <row r="942" spans="1:27" x14ac:dyDescent="0.25">
      <c r="A942" s="86" t="s">
        <v>2199</v>
      </c>
      <c r="B942" s="116" t="s">
        <v>2200</v>
      </c>
      <c r="C942" s="128" t="s">
        <v>226</v>
      </c>
      <c r="D942" s="89" t="s">
        <v>262</v>
      </c>
      <c r="E942" s="90">
        <f t="shared" si="185"/>
        <v>127234</v>
      </c>
      <c r="F942" s="90">
        <f t="shared" si="186"/>
        <v>106919.18126590938</v>
      </c>
      <c r="G942" s="91">
        <v>0.19</v>
      </c>
      <c r="H942" s="91" t="s">
        <v>228</v>
      </c>
      <c r="I942" s="91" t="s">
        <v>228</v>
      </c>
      <c r="J942" s="91"/>
      <c r="K942" s="91" t="s">
        <v>228</v>
      </c>
      <c r="L942" s="92" t="s">
        <v>1879</v>
      </c>
      <c r="M942" s="91" t="str">
        <f t="shared" si="187"/>
        <v>VER ARCHIVO ANEXO</v>
      </c>
      <c r="N942" s="93">
        <v>41608</v>
      </c>
      <c r="O942" s="94"/>
      <c r="P942" s="94"/>
      <c r="Q942" s="94">
        <v>799</v>
      </c>
      <c r="R942" s="95">
        <f t="shared" si="176"/>
        <v>106919.18126590938</v>
      </c>
      <c r="S942" s="94">
        <v>69968.426800000001</v>
      </c>
      <c r="T942" s="94">
        <f t="shared" si="182"/>
        <v>74705.289294360002</v>
      </c>
      <c r="U942" s="94">
        <f t="shared" si="183"/>
        <v>79000.843428785709</v>
      </c>
      <c r="V942" s="94">
        <f t="shared" si="184"/>
        <v>82231.977925023035</v>
      </c>
      <c r="W942" s="97">
        <f t="shared" si="179"/>
        <v>84846.954823038774</v>
      </c>
      <c r="X942" s="97">
        <f t="shared" si="180"/>
        <v>88071.139106314251</v>
      </c>
      <c r="Y942" s="97">
        <f t="shared" si="181"/>
        <v>89489.08444592591</v>
      </c>
      <c r="Z942" s="97">
        <f t="shared" si="177"/>
        <v>94518.370991786942</v>
      </c>
      <c r="AA942" s="97">
        <f t="shared" si="178"/>
        <v>106919.18126590938</v>
      </c>
    </row>
    <row r="943" spans="1:27" x14ac:dyDescent="0.25">
      <c r="A943" s="86" t="s">
        <v>2201</v>
      </c>
      <c r="B943" s="116" t="s">
        <v>2202</v>
      </c>
      <c r="C943" s="128" t="s">
        <v>226</v>
      </c>
      <c r="D943" s="89" t="s">
        <v>262</v>
      </c>
      <c r="E943" s="90">
        <f t="shared" si="185"/>
        <v>198804</v>
      </c>
      <c r="F943" s="90">
        <f t="shared" si="186"/>
        <v>167061.81474103531</v>
      </c>
      <c r="G943" s="91">
        <v>0.19</v>
      </c>
      <c r="H943" s="91" t="s">
        <v>228</v>
      </c>
      <c r="I943" s="91" t="s">
        <v>228</v>
      </c>
      <c r="J943" s="91"/>
      <c r="K943" s="91" t="s">
        <v>228</v>
      </c>
      <c r="L943" s="92" t="s">
        <v>1879</v>
      </c>
      <c r="M943" s="91" t="str">
        <f t="shared" si="187"/>
        <v>VER ARCHIVO ANEXO</v>
      </c>
      <c r="N943" s="93">
        <v>41608</v>
      </c>
      <c r="O943" s="94"/>
      <c r="P943" s="94"/>
      <c r="Q943" s="94">
        <v>800</v>
      </c>
      <c r="R943" s="95">
        <f t="shared" si="176"/>
        <v>167061.81474103531</v>
      </c>
      <c r="S943" s="94">
        <v>109326.05559999999</v>
      </c>
      <c r="T943" s="94">
        <f t="shared" si="182"/>
        <v>116727.42956412</v>
      </c>
      <c r="U943" s="94">
        <f t="shared" si="183"/>
        <v>123439.25676405692</v>
      </c>
      <c r="V943" s="94">
        <f t="shared" si="184"/>
        <v>128487.92236570684</v>
      </c>
      <c r="W943" s="97">
        <f t="shared" si="179"/>
        <v>132573.83829693633</v>
      </c>
      <c r="X943" s="97">
        <f t="shared" si="180"/>
        <v>137611.6441522199</v>
      </c>
      <c r="Y943" s="97">
        <f t="shared" si="181"/>
        <v>139827.19162307066</v>
      </c>
      <c r="Z943" s="97">
        <f t="shared" si="177"/>
        <v>147685.47979228722</v>
      </c>
      <c r="AA943" s="97">
        <f t="shared" si="178"/>
        <v>167061.81474103531</v>
      </c>
    </row>
    <row r="944" spans="1:27" x14ac:dyDescent="0.25">
      <c r="A944" s="86" t="s">
        <v>2203</v>
      </c>
      <c r="B944" s="87" t="s">
        <v>2204</v>
      </c>
      <c r="C944" s="88" t="s">
        <v>226</v>
      </c>
      <c r="D944" s="89" t="s">
        <v>262</v>
      </c>
      <c r="E944" s="90">
        <f t="shared" si="185"/>
        <v>19879</v>
      </c>
      <c r="F944" s="90">
        <f t="shared" si="186"/>
        <v>16705.231053220548</v>
      </c>
      <c r="G944" s="91">
        <v>0.19</v>
      </c>
      <c r="H944" s="91" t="s">
        <v>228</v>
      </c>
      <c r="I944" s="91" t="s">
        <v>228</v>
      </c>
      <c r="J944" s="91"/>
      <c r="K944" s="91" t="s">
        <v>228</v>
      </c>
      <c r="L944" s="92" t="s">
        <v>2125</v>
      </c>
      <c r="M944" s="91" t="str">
        <f t="shared" si="187"/>
        <v>VER ARCHIVO ANEXO</v>
      </c>
      <c r="N944" s="93">
        <v>41608</v>
      </c>
      <c r="O944" s="94"/>
      <c r="P944" s="94"/>
      <c r="Q944" s="94">
        <v>801</v>
      </c>
      <c r="R944" s="95">
        <f t="shared" si="176"/>
        <v>16705.231053220548</v>
      </c>
      <c r="S944" s="94">
        <v>10931.9836</v>
      </c>
      <c r="T944" s="94">
        <f t="shared" si="182"/>
        <v>11672.07888972</v>
      </c>
      <c r="U944" s="94">
        <f t="shared" si="183"/>
        <v>12343.223425878901</v>
      </c>
      <c r="V944" s="94">
        <f t="shared" si="184"/>
        <v>12848.061263997348</v>
      </c>
      <c r="W944" s="97">
        <f t="shared" si="179"/>
        <v>13256.629612192464</v>
      </c>
      <c r="X944" s="97">
        <f t="shared" si="180"/>
        <v>13760.381537455778</v>
      </c>
      <c r="Y944" s="97">
        <f t="shared" si="181"/>
        <v>13981.923680208816</v>
      </c>
      <c r="Z944" s="97">
        <f t="shared" si="177"/>
        <v>14767.707791036551</v>
      </c>
      <c r="AA944" s="97">
        <f t="shared" si="178"/>
        <v>16705.231053220548</v>
      </c>
    </row>
    <row r="945" spans="1:27" x14ac:dyDescent="0.25">
      <c r="A945" s="86" t="s">
        <v>2205</v>
      </c>
      <c r="B945" s="98" t="s">
        <v>2206</v>
      </c>
      <c r="C945" s="99" t="s">
        <v>226</v>
      </c>
      <c r="D945" s="100" t="s">
        <v>262</v>
      </c>
      <c r="E945" s="101">
        <f t="shared" si="185"/>
        <v>14711</v>
      </c>
      <c r="F945" s="90">
        <f t="shared" si="186"/>
        <v>12361.807617991009</v>
      </c>
      <c r="G945" s="91">
        <v>0.19</v>
      </c>
      <c r="H945" s="91" t="s">
        <v>228</v>
      </c>
      <c r="I945" s="91" t="s">
        <v>228</v>
      </c>
      <c r="J945" s="91"/>
      <c r="K945" s="91" t="s">
        <v>228</v>
      </c>
      <c r="L945" s="92" t="s">
        <v>2125</v>
      </c>
      <c r="M945" s="91" t="str">
        <f t="shared" si="187"/>
        <v>VER ARCHIVO ANEXO</v>
      </c>
      <c r="N945" s="93">
        <v>41608</v>
      </c>
      <c r="O945" s="94"/>
      <c r="P945" s="94"/>
      <c r="Q945" s="94">
        <v>802</v>
      </c>
      <c r="R945" s="95">
        <f t="shared" si="176"/>
        <v>12361.807617991009</v>
      </c>
      <c r="S945" s="94">
        <v>8089.6264000000001</v>
      </c>
      <c r="T945" s="94">
        <f t="shared" si="182"/>
        <v>8637.2941072800004</v>
      </c>
      <c r="U945" s="94">
        <f t="shared" si="183"/>
        <v>9133.9385184486018</v>
      </c>
      <c r="V945" s="94">
        <f t="shared" si="184"/>
        <v>9507.5166038531497</v>
      </c>
      <c r="W945" s="97">
        <f t="shared" si="179"/>
        <v>9809.8556318556803</v>
      </c>
      <c r="X945" s="97">
        <f t="shared" si="180"/>
        <v>10182.630145866196</v>
      </c>
      <c r="Y945" s="97">
        <f t="shared" si="181"/>
        <v>10346.570491214643</v>
      </c>
      <c r="Z945" s="97">
        <f t="shared" si="177"/>
        <v>10928.047752820907</v>
      </c>
      <c r="AA945" s="97">
        <f t="shared" si="178"/>
        <v>12361.807617991009</v>
      </c>
    </row>
    <row r="946" spans="1:27" x14ac:dyDescent="0.25">
      <c r="A946" s="86" t="s">
        <v>2207</v>
      </c>
      <c r="B946" s="98" t="s">
        <v>2208</v>
      </c>
      <c r="C946" s="99" t="s">
        <v>226</v>
      </c>
      <c r="D946" s="100" t="s">
        <v>262</v>
      </c>
      <c r="E946" s="101">
        <f t="shared" si="185"/>
        <v>6758</v>
      </c>
      <c r="F946" s="90">
        <f t="shared" si="186"/>
        <v>5678.7647758198045</v>
      </c>
      <c r="G946" s="91">
        <v>0.19</v>
      </c>
      <c r="H946" s="91" t="s">
        <v>228</v>
      </c>
      <c r="I946" s="91" t="s">
        <v>228</v>
      </c>
      <c r="J946" s="91"/>
      <c r="K946" s="91" t="s">
        <v>228</v>
      </c>
      <c r="L946" s="92" t="s">
        <v>2125</v>
      </c>
      <c r="M946" s="91" t="str">
        <f t="shared" si="187"/>
        <v>VER ARCHIVO ANEXO</v>
      </c>
      <c r="N946" s="93">
        <v>41608</v>
      </c>
      <c r="O946" s="94"/>
      <c r="P946" s="94"/>
      <c r="Q946" s="94">
        <v>803</v>
      </c>
      <c r="R946" s="95">
        <f t="shared" si="176"/>
        <v>5678.7647758198045</v>
      </c>
      <c r="S946" s="94">
        <v>3716.2109999999998</v>
      </c>
      <c r="T946" s="94">
        <f t="shared" si="182"/>
        <v>3967.7984847000002</v>
      </c>
      <c r="U946" s="94">
        <f t="shared" si="183"/>
        <v>4195.9468975702503</v>
      </c>
      <c r="V946" s="94">
        <f t="shared" si="184"/>
        <v>4367.5611256808734</v>
      </c>
      <c r="W946" s="97">
        <f t="shared" si="179"/>
        <v>4506.4495694775251</v>
      </c>
      <c r="X946" s="97">
        <f t="shared" si="180"/>
        <v>4677.6946531176709</v>
      </c>
      <c r="Y946" s="97">
        <f t="shared" si="181"/>
        <v>4753.0055370328655</v>
      </c>
      <c r="Z946" s="97">
        <f t="shared" si="177"/>
        <v>5020.1244482141128</v>
      </c>
      <c r="AA946" s="97">
        <f t="shared" si="178"/>
        <v>5678.7647758198045</v>
      </c>
    </row>
    <row r="947" spans="1:27" x14ac:dyDescent="0.25">
      <c r="A947" s="86" t="s">
        <v>2209</v>
      </c>
      <c r="B947" s="87" t="s">
        <v>2210</v>
      </c>
      <c r="C947" s="88" t="s">
        <v>226</v>
      </c>
      <c r="D947" s="89" t="s">
        <v>262</v>
      </c>
      <c r="E947" s="90">
        <f t="shared" si="185"/>
        <v>57651</v>
      </c>
      <c r="F947" s="90">
        <f t="shared" si="186"/>
        <v>48446.120475222582</v>
      </c>
      <c r="G947" s="91">
        <v>0.19</v>
      </c>
      <c r="H947" s="91" t="s">
        <v>228</v>
      </c>
      <c r="I947" s="91" t="s">
        <v>228</v>
      </c>
      <c r="J947" s="91"/>
      <c r="K947" s="91" t="s">
        <v>228</v>
      </c>
      <c r="L947" s="92" t="s">
        <v>2125</v>
      </c>
      <c r="M947" s="91" t="str">
        <f t="shared" si="187"/>
        <v>VER ARCHIVO ANEXO</v>
      </c>
      <c r="N947" s="93">
        <v>41608</v>
      </c>
      <c r="O947" s="94"/>
      <c r="P947" s="94"/>
      <c r="Q947" s="94">
        <v>804</v>
      </c>
      <c r="R947" s="95">
        <f t="shared" si="176"/>
        <v>48446.120475222582</v>
      </c>
      <c r="S947" s="94">
        <v>31703.374400000001</v>
      </c>
      <c r="T947" s="94">
        <f t="shared" si="182"/>
        <v>33849.692846880003</v>
      </c>
      <c r="U947" s="94">
        <f t="shared" si="183"/>
        <v>35796.050185575608</v>
      </c>
      <c r="V947" s="94">
        <f t="shared" si="184"/>
        <v>37260.10863816565</v>
      </c>
      <c r="W947" s="97">
        <f t="shared" si="179"/>
        <v>38444.980092859318</v>
      </c>
      <c r="X947" s="97">
        <f t="shared" si="180"/>
        <v>39905.889336387976</v>
      </c>
      <c r="Y947" s="97">
        <f t="shared" si="181"/>
        <v>40548.374154703823</v>
      </c>
      <c r="Z947" s="97">
        <f t="shared" si="177"/>
        <v>42827.192782198181</v>
      </c>
      <c r="AA947" s="97">
        <f t="shared" si="178"/>
        <v>48446.120475222582</v>
      </c>
    </row>
    <row r="948" spans="1:27" x14ac:dyDescent="0.25">
      <c r="A948" s="86" t="s">
        <v>2211</v>
      </c>
      <c r="B948" s="87" t="s">
        <v>2212</v>
      </c>
      <c r="C948" s="88" t="s">
        <v>226</v>
      </c>
      <c r="D948" s="89" t="s">
        <v>262</v>
      </c>
      <c r="E948" s="90">
        <f t="shared" si="185"/>
        <v>33796</v>
      </c>
      <c r="F948" s="90">
        <f t="shared" si="186"/>
        <v>28400.160018318911</v>
      </c>
      <c r="G948" s="91">
        <v>0.19</v>
      </c>
      <c r="H948" s="91" t="s">
        <v>228</v>
      </c>
      <c r="I948" s="91" t="s">
        <v>228</v>
      </c>
      <c r="J948" s="91"/>
      <c r="K948" s="91" t="s">
        <v>228</v>
      </c>
      <c r="L948" s="92" t="s">
        <v>2125</v>
      </c>
      <c r="M948" s="91" t="str">
        <f t="shared" si="187"/>
        <v>VER ARCHIVO ANEXO</v>
      </c>
      <c r="N948" s="93">
        <v>41608</v>
      </c>
      <c r="O948" s="94"/>
      <c r="P948" s="94"/>
      <c r="Q948" s="94">
        <v>805</v>
      </c>
      <c r="R948" s="95">
        <f t="shared" si="176"/>
        <v>28400.160018318911</v>
      </c>
      <c r="S948" s="94">
        <v>18585.201399999998</v>
      </c>
      <c r="T948" s="94">
        <f t="shared" si="182"/>
        <v>19843.419534780001</v>
      </c>
      <c r="U948" s="94">
        <f t="shared" si="183"/>
        <v>20984.416158029853</v>
      </c>
      <c r="V948" s="94">
        <f t="shared" si="184"/>
        <v>21842.678778893274</v>
      </c>
      <c r="W948" s="97">
        <f t="shared" si="179"/>
        <v>22537.275964062082</v>
      </c>
      <c r="X948" s="97">
        <f t="shared" si="180"/>
        <v>23393.692450696442</v>
      </c>
      <c r="Y948" s="97">
        <f t="shared" si="181"/>
        <v>23770.330899152654</v>
      </c>
      <c r="Z948" s="97">
        <f t="shared" si="177"/>
        <v>25106.223495685033</v>
      </c>
      <c r="AA948" s="97">
        <f t="shared" si="178"/>
        <v>28400.160018318911</v>
      </c>
    </row>
    <row r="949" spans="1:27" x14ac:dyDescent="0.25">
      <c r="A949" s="86" t="s">
        <v>1683</v>
      </c>
      <c r="B949" s="87" t="s">
        <v>2213</v>
      </c>
      <c r="C949" s="88" t="s">
        <v>226</v>
      </c>
      <c r="D949" s="89" t="s">
        <v>262</v>
      </c>
      <c r="E949" s="90">
        <f t="shared" si="185"/>
        <v>95424</v>
      </c>
      <c r="F949" s="90">
        <f t="shared" si="186"/>
        <v>80188.593932029558</v>
      </c>
      <c r="G949" s="91">
        <v>0.19</v>
      </c>
      <c r="H949" s="91" t="s">
        <v>228</v>
      </c>
      <c r="I949" s="91" t="s">
        <v>228</v>
      </c>
      <c r="J949" s="91"/>
      <c r="K949" s="91" t="s">
        <v>228</v>
      </c>
      <c r="L949" s="92" t="s">
        <v>2125</v>
      </c>
      <c r="M949" s="91" t="str">
        <f t="shared" si="187"/>
        <v>VER ARCHIVO ANEXO</v>
      </c>
      <c r="N949" s="93">
        <v>41608</v>
      </c>
      <c r="O949" s="94"/>
      <c r="P949" s="94"/>
      <c r="Q949" s="94">
        <v>806</v>
      </c>
      <c r="R949" s="95">
        <f t="shared" si="176"/>
        <v>80188.593932029558</v>
      </c>
      <c r="S949" s="94">
        <v>52475.801800000001</v>
      </c>
      <c r="T949" s="94">
        <f t="shared" si="182"/>
        <v>56028.413581860004</v>
      </c>
      <c r="U949" s="94">
        <f t="shared" si="183"/>
        <v>59250.047362816964</v>
      </c>
      <c r="V949" s="94">
        <f t="shared" si="184"/>
        <v>61673.374299956173</v>
      </c>
      <c r="W949" s="97">
        <f t="shared" si="179"/>
        <v>63634.587602694781</v>
      </c>
      <c r="X949" s="97">
        <f t="shared" si="180"/>
        <v>66052.701931597185</v>
      </c>
      <c r="Y949" s="97">
        <f t="shared" si="181"/>
        <v>67116.150432695897</v>
      </c>
      <c r="Z949" s="97">
        <f t="shared" si="177"/>
        <v>70888.078087013404</v>
      </c>
      <c r="AA949" s="97">
        <f t="shared" si="178"/>
        <v>80188.593932029558</v>
      </c>
    </row>
    <row r="950" spans="1:27" x14ac:dyDescent="0.25">
      <c r="A950" s="86" t="s">
        <v>2214</v>
      </c>
      <c r="B950" s="98" t="s">
        <v>2215</v>
      </c>
      <c r="C950" s="99" t="s">
        <v>226</v>
      </c>
      <c r="D950" s="100" t="s">
        <v>262</v>
      </c>
      <c r="E950" s="101">
        <f t="shared" si="185"/>
        <v>9142</v>
      </c>
      <c r="F950" s="90">
        <f t="shared" si="186"/>
        <v>7682.5688041076874</v>
      </c>
      <c r="G950" s="91">
        <v>0.19</v>
      </c>
      <c r="H950" s="91" t="s">
        <v>228</v>
      </c>
      <c r="I950" s="91" t="s">
        <v>228</v>
      </c>
      <c r="J950" s="91"/>
      <c r="K950" s="91" t="s">
        <v>228</v>
      </c>
      <c r="L950" s="92" t="s">
        <v>2125</v>
      </c>
      <c r="M950" s="91" t="str">
        <f t="shared" si="187"/>
        <v>VER ARCHIVO ANEXO</v>
      </c>
      <c r="N950" s="93">
        <v>41608</v>
      </c>
      <c r="O950" s="94"/>
      <c r="P950" s="94"/>
      <c r="Q950" s="94">
        <v>807</v>
      </c>
      <c r="R950" s="95">
        <f t="shared" si="176"/>
        <v>7682.5688041076874</v>
      </c>
      <c r="S950" s="94">
        <v>5027.51</v>
      </c>
      <c r="T950" s="94">
        <f t="shared" si="182"/>
        <v>5367.8724270000012</v>
      </c>
      <c r="U950" s="94">
        <f t="shared" si="183"/>
        <v>5676.5250915525021</v>
      </c>
      <c r="V950" s="94">
        <f t="shared" si="184"/>
        <v>5908.6949677969988</v>
      </c>
      <c r="W950" s="97">
        <f t="shared" si="179"/>
        <v>6096.5914677729434</v>
      </c>
      <c r="X950" s="97">
        <f t="shared" si="180"/>
        <v>6328.2619435483157</v>
      </c>
      <c r="Y950" s="97">
        <f t="shared" si="181"/>
        <v>6430.1469608394436</v>
      </c>
      <c r="Z950" s="97">
        <f t="shared" si="177"/>
        <v>6791.5212200386204</v>
      </c>
      <c r="AA950" s="97">
        <f t="shared" si="178"/>
        <v>7682.5688041076874</v>
      </c>
    </row>
    <row r="951" spans="1:27" x14ac:dyDescent="0.25">
      <c r="A951" s="86" t="s">
        <v>2216</v>
      </c>
      <c r="B951" s="87" t="s">
        <v>2217</v>
      </c>
      <c r="C951" s="88" t="s">
        <v>226</v>
      </c>
      <c r="D951" s="89" t="s">
        <v>262</v>
      </c>
      <c r="E951" s="90">
        <f t="shared" si="185"/>
        <v>182900</v>
      </c>
      <c r="F951" s="90">
        <f t="shared" si="186"/>
        <v>153697.31309149787</v>
      </c>
      <c r="G951" s="91">
        <v>0.19</v>
      </c>
      <c r="H951" s="91" t="s">
        <v>228</v>
      </c>
      <c r="I951" s="91" t="s">
        <v>228</v>
      </c>
      <c r="J951" s="91"/>
      <c r="K951" s="91" t="s">
        <v>228</v>
      </c>
      <c r="L951" s="92" t="s">
        <v>2125</v>
      </c>
      <c r="M951" s="91" t="str">
        <f t="shared" si="187"/>
        <v>VER ARCHIVO ANEXO</v>
      </c>
      <c r="N951" s="93">
        <v>41608</v>
      </c>
      <c r="O951" s="94"/>
      <c r="P951" s="94"/>
      <c r="Q951" s="94">
        <v>808</v>
      </c>
      <c r="R951" s="95">
        <f t="shared" si="176"/>
        <v>153697.31309149787</v>
      </c>
      <c r="S951" s="94">
        <v>100580.2614</v>
      </c>
      <c r="T951" s="94">
        <f t="shared" si="182"/>
        <v>107389.54509678001</v>
      </c>
      <c r="U951" s="94">
        <f t="shared" si="183"/>
        <v>113564.44393984487</v>
      </c>
      <c r="V951" s="94">
        <f t="shared" si="184"/>
        <v>118209.22969698452</v>
      </c>
      <c r="W951" s="97">
        <f t="shared" si="179"/>
        <v>121968.28320134863</v>
      </c>
      <c r="X951" s="97">
        <f t="shared" si="180"/>
        <v>126603.07796299989</v>
      </c>
      <c r="Y951" s="97">
        <f t="shared" si="181"/>
        <v>128641.38751820418</v>
      </c>
      <c r="Z951" s="97">
        <f t="shared" si="177"/>
        <v>135871.03349672726</v>
      </c>
      <c r="AA951" s="97">
        <f t="shared" si="178"/>
        <v>153697.31309149787</v>
      </c>
    </row>
    <row r="952" spans="1:27" x14ac:dyDescent="0.25">
      <c r="A952" s="86" t="s">
        <v>2218</v>
      </c>
      <c r="B952" s="116" t="s">
        <v>2219</v>
      </c>
      <c r="C952" s="128" t="s">
        <v>226</v>
      </c>
      <c r="D952" s="89" t="s">
        <v>262</v>
      </c>
      <c r="E952" s="90">
        <f t="shared" si="185"/>
        <v>954261</v>
      </c>
      <c r="F952" s="90">
        <f t="shared" si="186"/>
        <v>801900.19563354063</v>
      </c>
      <c r="G952" s="91">
        <v>0.19</v>
      </c>
      <c r="H952" s="91" t="s">
        <v>228</v>
      </c>
      <c r="I952" s="91" t="s">
        <v>228</v>
      </c>
      <c r="J952" s="91"/>
      <c r="K952" s="91" t="s">
        <v>228</v>
      </c>
      <c r="L952" s="92" t="s">
        <v>2125</v>
      </c>
      <c r="M952" s="91" t="str">
        <f t="shared" si="187"/>
        <v>VER ARCHIVO ANEXO</v>
      </c>
      <c r="N952" s="93">
        <v>41608</v>
      </c>
      <c r="O952" s="94"/>
      <c r="P952" s="94"/>
      <c r="Q952" s="94">
        <v>809</v>
      </c>
      <c r="R952" s="95">
        <f t="shared" si="176"/>
        <v>801900.19563354063</v>
      </c>
      <c r="S952" s="94">
        <v>524767.34739999997</v>
      </c>
      <c r="T952" s="94">
        <f t="shared" si="182"/>
        <v>560294.09681898006</v>
      </c>
      <c r="U952" s="94">
        <f t="shared" si="183"/>
        <v>592511.00738607149</v>
      </c>
      <c r="V952" s="94">
        <f t="shared" si="184"/>
        <v>616744.70758816181</v>
      </c>
      <c r="W952" s="97">
        <f t="shared" si="179"/>
        <v>636357.18928946543</v>
      </c>
      <c r="X952" s="97">
        <f t="shared" si="180"/>
        <v>660538.76248246513</v>
      </c>
      <c r="Y952" s="97">
        <f t="shared" si="181"/>
        <v>671173.43655843288</v>
      </c>
      <c r="Z952" s="97">
        <f t="shared" si="177"/>
        <v>708893.38369301683</v>
      </c>
      <c r="AA952" s="97">
        <f t="shared" si="178"/>
        <v>801900.19563354063</v>
      </c>
    </row>
    <row r="953" spans="1:27" x14ac:dyDescent="0.25">
      <c r="A953" s="86" t="s">
        <v>2220</v>
      </c>
      <c r="B953" s="110" t="s">
        <v>2221</v>
      </c>
      <c r="C953" s="128" t="s">
        <v>226</v>
      </c>
      <c r="D953" s="89" t="s">
        <v>262</v>
      </c>
      <c r="E953" s="90">
        <f t="shared" si="185"/>
        <v>513510</v>
      </c>
      <c r="F953" s="90">
        <f t="shared" si="186"/>
        <v>431521.17753530131</v>
      </c>
      <c r="G953" s="91">
        <v>0.19</v>
      </c>
      <c r="H953" s="91" t="s">
        <v>228</v>
      </c>
      <c r="I953" s="91" t="s">
        <v>228</v>
      </c>
      <c r="J953" s="91"/>
      <c r="K953" s="91" t="s">
        <v>228</v>
      </c>
      <c r="L953" s="92" t="s">
        <v>2125</v>
      </c>
      <c r="M953" s="91" t="str">
        <f t="shared" si="187"/>
        <v>VER ARCHIVO ANEXO</v>
      </c>
      <c r="N953" s="93">
        <v>41608</v>
      </c>
      <c r="O953" s="94"/>
      <c r="P953" s="94"/>
      <c r="Q953" s="94">
        <v>810</v>
      </c>
      <c r="R953" s="95">
        <f t="shared" si="176"/>
        <v>431521.17753530131</v>
      </c>
      <c r="S953" s="94">
        <v>282389.53539999999</v>
      </c>
      <c r="T953" s="94">
        <f t="shared" si="182"/>
        <v>301507.30694658001</v>
      </c>
      <c r="U953" s="94">
        <f t="shared" si="183"/>
        <v>318843.97709600837</v>
      </c>
      <c r="V953" s="94">
        <f t="shared" si="184"/>
        <v>331884.69575923507</v>
      </c>
      <c r="W953" s="97">
        <f t="shared" si="179"/>
        <v>342438.62908437877</v>
      </c>
      <c r="X953" s="97">
        <f t="shared" si="180"/>
        <v>355451.29698958516</v>
      </c>
      <c r="Y953" s="97">
        <f t="shared" si="181"/>
        <v>361174.06287111749</v>
      </c>
      <c r="Z953" s="97">
        <f t="shared" si="177"/>
        <v>381472.0452044743</v>
      </c>
      <c r="AA953" s="97">
        <f t="shared" si="178"/>
        <v>431521.17753530131</v>
      </c>
    </row>
    <row r="954" spans="1:27" x14ac:dyDescent="0.25">
      <c r="A954" s="86" t="s">
        <v>2222</v>
      </c>
      <c r="B954" s="87" t="s">
        <v>2223</v>
      </c>
      <c r="C954" s="88" t="s">
        <v>226</v>
      </c>
      <c r="D954" s="89" t="s">
        <v>262</v>
      </c>
      <c r="E954" s="90">
        <f t="shared" si="185"/>
        <v>114589</v>
      </c>
      <c r="F954" s="90">
        <f t="shared" si="186"/>
        <v>96293.475794166239</v>
      </c>
      <c r="G954" s="91">
        <v>0.19</v>
      </c>
      <c r="H954" s="91" t="s">
        <v>228</v>
      </c>
      <c r="I954" s="91" t="s">
        <v>228</v>
      </c>
      <c r="J954" s="91"/>
      <c r="K954" s="91" t="s">
        <v>228</v>
      </c>
      <c r="L954" s="92" t="s">
        <v>2224</v>
      </c>
      <c r="M954" s="91" t="str">
        <f t="shared" si="187"/>
        <v>VER ARCHIVO ANEXO</v>
      </c>
      <c r="N954" s="93">
        <v>41608</v>
      </c>
      <c r="O954" s="94"/>
      <c r="P954" s="94"/>
      <c r="Q954" s="94">
        <v>811</v>
      </c>
      <c r="R954" s="95">
        <f t="shared" si="176"/>
        <v>96293.475794166239</v>
      </c>
      <c r="S954" s="94">
        <v>63014.913999999997</v>
      </c>
      <c r="T954" s="94">
        <f t="shared" si="182"/>
        <v>67281.023677799996</v>
      </c>
      <c r="U954" s="94">
        <f t="shared" si="183"/>
        <v>71149.682539273505</v>
      </c>
      <c r="V954" s="94">
        <f t="shared" si="184"/>
        <v>74059.704555129792</v>
      </c>
      <c r="W954" s="97">
        <f t="shared" si="179"/>
        <v>76414.803159982926</v>
      </c>
      <c r="X954" s="97">
        <f t="shared" si="180"/>
        <v>79318.565680062282</v>
      </c>
      <c r="Y954" s="97">
        <f t="shared" si="181"/>
        <v>80595.594587511281</v>
      </c>
      <c r="Z954" s="97">
        <f t="shared" si="177"/>
        <v>85125.067003329415</v>
      </c>
      <c r="AA954" s="97">
        <f t="shared" si="178"/>
        <v>96293.475794166239</v>
      </c>
    </row>
    <row r="955" spans="1:27" x14ac:dyDescent="0.25">
      <c r="A955" s="86" t="s">
        <v>2225</v>
      </c>
      <c r="B955" s="87" t="s">
        <v>2226</v>
      </c>
      <c r="C955" s="88" t="s">
        <v>226</v>
      </c>
      <c r="D955" s="89" t="s">
        <v>262</v>
      </c>
      <c r="E955" s="90">
        <f t="shared" si="185"/>
        <v>214707</v>
      </c>
      <c r="F955" s="90">
        <f t="shared" si="186"/>
        <v>180426.31639057273</v>
      </c>
      <c r="G955" s="91">
        <v>0.19</v>
      </c>
      <c r="H955" s="91" t="s">
        <v>228</v>
      </c>
      <c r="I955" s="91" t="s">
        <v>228</v>
      </c>
      <c r="J955" s="91"/>
      <c r="K955" s="91" t="s">
        <v>228</v>
      </c>
      <c r="L955" s="92" t="s">
        <v>2224</v>
      </c>
      <c r="M955" s="91" t="str">
        <f t="shared" si="187"/>
        <v>VER ARCHIVO ANEXO</v>
      </c>
      <c r="N955" s="93">
        <v>41608</v>
      </c>
      <c r="O955" s="94"/>
      <c r="P955" s="94"/>
      <c r="Q955" s="94">
        <v>812</v>
      </c>
      <c r="R955" s="95">
        <f t="shared" si="176"/>
        <v>180426.31639057273</v>
      </c>
      <c r="S955" s="94">
        <v>118071.8498</v>
      </c>
      <c r="T955" s="94">
        <f t="shared" si="182"/>
        <v>126065.31403146</v>
      </c>
      <c r="U955" s="94">
        <f t="shared" si="183"/>
        <v>133314.06958826896</v>
      </c>
      <c r="V955" s="94">
        <f t="shared" si="184"/>
        <v>138766.61503442915</v>
      </c>
      <c r="W955" s="97">
        <f t="shared" si="179"/>
        <v>143179.39339252401</v>
      </c>
      <c r="X955" s="97">
        <f t="shared" si="180"/>
        <v>148620.21034143993</v>
      </c>
      <c r="Y955" s="97">
        <f t="shared" si="181"/>
        <v>151012.99572793712</v>
      </c>
      <c r="Z955" s="97">
        <f t="shared" si="177"/>
        <v>159499.92608784718</v>
      </c>
      <c r="AA955" s="97">
        <f t="shared" si="178"/>
        <v>180426.31639057273</v>
      </c>
    </row>
    <row r="956" spans="1:27" x14ac:dyDescent="0.25">
      <c r="A956" s="86" t="s">
        <v>2227</v>
      </c>
      <c r="B956" s="87" t="s">
        <v>2228</v>
      </c>
      <c r="C956" s="88" t="s">
        <v>226</v>
      </c>
      <c r="D956" s="89" t="s">
        <v>262</v>
      </c>
      <c r="E956" s="90">
        <f t="shared" si="185"/>
        <v>438165</v>
      </c>
      <c r="F956" s="90">
        <f t="shared" si="186"/>
        <v>368205.72234581935</v>
      </c>
      <c r="G956" s="91">
        <v>0.19</v>
      </c>
      <c r="H956" s="91" t="s">
        <v>228</v>
      </c>
      <c r="I956" s="91" t="s">
        <v>228</v>
      </c>
      <c r="J956" s="91"/>
      <c r="K956" s="91" t="s">
        <v>228</v>
      </c>
      <c r="L956" s="92" t="s">
        <v>302</v>
      </c>
      <c r="M956" s="91" t="str">
        <f t="shared" si="187"/>
        <v>no aplica</v>
      </c>
      <c r="N956" s="93">
        <v>41608</v>
      </c>
      <c r="O956" s="94"/>
      <c r="P956" s="94"/>
      <c r="Q956" s="94">
        <v>813</v>
      </c>
      <c r="R956" s="95">
        <f t="shared" si="176"/>
        <v>368205.72234581935</v>
      </c>
      <c r="S956" s="94">
        <v>240955.5968</v>
      </c>
      <c r="T956" s="94">
        <f t="shared" si="182"/>
        <v>257268.29070336002</v>
      </c>
      <c r="U956" s="94">
        <f t="shared" si="183"/>
        <v>272061.21741880325</v>
      </c>
      <c r="V956" s="94">
        <f t="shared" si="184"/>
        <v>283188.52121123229</v>
      </c>
      <c r="W956" s="97">
        <f t="shared" si="179"/>
        <v>292193.91618574952</v>
      </c>
      <c r="X956" s="97">
        <f t="shared" si="180"/>
        <v>303297.28500080801</v>
      </c>
      <c r="Y956" s="97">
        <f t="shared" si="181"/>
        <v>308180.37128932105</v>
      </c>
      <c r="Z956" s="97">
        <f t="shared" si="177"/>
        <v>325500.10815578088</v>
      </c>
      <c r="AA956" s="97">
        <f t="shared" si="178"/>
        <v>368205.72234581935</v>
      </c>
    </row>
    <row r="957" spans="1:27" x14ac:dyDescent="0.25">
      <c r="A957" s="86" t="s">
        <v>2229</v>
      </c>
      <c r="B957" s="129" t="s">
        <v>2230</v>
      </c>
      <c r="C957" s="130" t="s">
        <v>226</v>
      </c>
      <c r="D957" s="100" t="s">
        <v>262</v>
      </c>
      <c r="E957" s="101">
        <f t="shared" si="185"/>
        <v>638162</v>
      </c>
      <c r="F957" s="90">
        <f t="shared" si="186"/>
        <v>536270.23111840105</v>
      </c>
      <c r="G957" s="91">
        <v>0.19</v>
      </c>
      <c r="H957" s="91" t="s">
        <v>228</v>
      </c>
      <c r="I957" s="91" t="s">
        <v>228</v>
      </c>
      <c r="J957" s="91"/>
      <c r="K957" s="91" t="s">
        <v>228</v>
      </c>
      <c r="L957" s="92" t="s">
        <v>2231</v>
      </c>
      <c r="M957" s="91" t="str">
        <f t="shared" si="187"/>
        <v>VER ARCHIVO ANEXO</v>
      </c>
      <c r="N957" s="93">
        <v>41608</v>
      </c>
      <c r="O957" s="94"/>
      <c r="P957" s="94"/>
      <c r="Q957" s="94">
        <v>814</v>
      </c>
      <c r="R957" s="95">
        <f t="shared" si="176"/>
        <v>536270.23111840105</v>
      </c>
      <c r="S957" s="94">
        <v>350937.82020000002</v>
      </c>
      <c r="T957" s="94">
        <f t="shared" si="182"/>
        <v>374696.31062754005</v>
      </c>
      <c r="U957" s="94">
        <f t="shared" si="183"/>
        <v>396241.34848862363</v>
      </c>
      <c r="V957" s="94">
        <f t="shared" si="184"/>
        <v>412447.61964180833</v>
      </c>
      <c r="W957" s="97">
        <f t="shared" si="179"/>
        <v>425563.45394641784</v>
      </c>
      <c r="X957" s="97">
        <f t="shared" si="180"/>
        <v>441734.86519638175</v>
      </c>
      <c r="Y957" s="97">
        <f t="shared" si="181"/>
        <v>448846.7965260435</v>
      </c>
      <c r="Z957" s="97">
        <f t="shared" si="177"/>
        <v>474071.98649080715</v>
      </c>
      <c r="AA957" s="97">
        <f t="shared" si="178"/>
        <v>536270.23111840105</v>
      </c>
    </row>
    <row r="958" spans="1:27" x14ac:dyDescent="0.25">
      <c r="A958" s="86" t="s">
        <v>2232</v>
      </c>
      <c r="B958" s="116" t="s">
        <v>2233</v>
      </c>
      <c r="C958" s="128" t="s">
        <v>226</v>
      </c>
      <c r="D958" s="89" t="s">
        <v>262</v>
      </c>
      <c r="E958" s="90">
        <f t="shared" si="185"/>
        <v>827026</v>
      </c>
      <c r="F958" s="90">
        <f t="shared" si="186"/>
        <v>694979.43033282598</v>
      </c>
      <c r="G958" s="91">
        <v>0.19</v>
      </c>
      <c r="H958" s="91" t="s">
        <v>228</v>
      </c>
      <c r="I958" s="91" t="s">
        <v>228</v>
      </c>
      <c r="J958" s="91"/>
      <c r="K958" s="91" t="s">
        <v>228</v>
      </c>
      <c r="L958" s="92" t="s">
        <v>2234</v>
      </c>
      <c r="M958" s="91" t="str">
        <f t="shared" si="187"/>
        <v>VER ARCHIVO ANEXO</v>
      </c>
      <c r="N958" s="93">
        <v>41608</v>
      </c>
      <c r="O958" s="94"/>
      <c r="P958" s="94"/>
      <c r="Q958" s="94">
        <v>815</v>
      </c>
      <c r="R958" s="95">
        <f t="shared" si="176"/>
        <v>694979.43033282598</v>
      </c>
      <c r="S958" s="94">
        <v>454797.88399999996</v>
      </c>
      <c r="T958" s="94">
        <f t="shared" si="182"/>
        <v>485587.70074679999</v>
      </c>
      <c r="U958" s="94">
        <f t="shared" si="183"/>
        <v>513508.99353974103</v>
      </c>
      <c r="V958" s="94">
        <f t="shared" si="184"/>
        <v>534511.51137551642</v>
      </c>
      <c r="W958" s="97">
        <f t="shared" si="179"/>
        <v>551508.97743725788</v>
      </c>
      <c r="X958" s="97">
        <f t="shared" si="180"/>
        <v>572466.31857987365</v>
      </c>
      <c r="Y958" s="97">
        <f t="shared" si="181"/>
        <v>581683.02630900964</v>
      </c>
      <c r="Z958" s="97">
        <f t="shared" si="177"/>
        <v>614373.61238757602</v>
      </c>
      <c r="AA958" s="97">
        <f t="shared" si="178"/>
        <v>694979.43033282598</v>
      </c>
    </row>
    <row r="959" spans="1:27" x14ac:dyDescent="0.25">
      <c r="A959" s="86" t="s">
        <v>2235</v>
      </c>
      <c r="B959" s="116" t="s">
        <v>2236</v>
      </c>
      <c r="C959" s="128" t="s">
        <v>226</v>
      </c>
      <c r="D959" s="89" t="s">
        <v>262</v>
      </c>
      <c r="E959" s="90">
        <f t="shared" si="185"/>
        <v>1493023</v>
      </c>
      <c r="F959" s="90">
        <f t="shared" si="186"/>
        <v>1254641.1034162284</v>
      </c>
      <c r="G959" s="91">
        <v>0.19</v>
      </c>
      <c r="H959" s="91" t="s">
        <v>228</v>
      </c>
      <c r="I959" s="91" t="s">
        <v>228</v>
      </c>
      <c r="J959" s="91"/>
      <c r="K959" s="91" t="s">
        <v>228</v>
      </c>
      <c r="L959" s="92" t="s">
        <v>2234</v>
      </c>
      <c r="M959" s="91" t="str">
        <f t="shared" si="187"/>
        <v>VER ARCHIVO ANEXO</v>
      </c>
      <c r="N959" s="93">
        <v>41608</v>
      </c>
      <c r="O959" s="94"/>
      <c r="P959" s="94"/>
      <c r="Q959" s="94">
        <v>816</v>
      </c>
      <c r="R959" s="95">
        <f t="shared" si="176"/>
        <v>1254641.1034162284</v>
      </c>
      <c r="S959" s="94">
        <v>821043.1764</v>
      </c>
      <c r="T959" s="94">
        <f t="shared" si="182"/>
        <v>876627.79944228008</v>
      </c>
      <c r="U959" s="94">
        <f t="shared" si="183"/>
        <v>927033.89791021124</v>
      </c>
      <c r="V959" s="94">
        <f t="shared" si="184"/>
        <v>964949.58433473879</v>
      </c>
      <c r="W959" s="97">
        <f t="shared" si="179"/>
        <v>995634.98111658357</v>
      </c>
      <c r="X959" s="97">
        <f t="shared" si="180"/>
        <v>1033469.1103990137</v>
      </c>
      <c r="Y959" s="97">
        <f t="shared" si="181"/>
        <v>1050107.9630764378</v>
      </c>
      <c r="Z959" s="97">
        <f t="shared" si="177"/>
        <v>1109124.0306013336</v>
      </c>
      <c r="AA959" s="97">
        <f t="shared" si="178"/>
        <v>1254641.1034162284</v>
      </c>
    </row>
    <row r="960" spans="1:27" x14ac:dyDescent="0.25">
      <c r="A960" s="86" t="s">
        <v>2237</v>
      </c>
      <c r="B960" s="116" t="s">
        <v>2238</v>
      </c>
      <c r="C960" s="128" t="s">
        <v>226</v>
      </c>
      <c r="D960" s="89" t="s">
        <v>262</v>
      </c>
      <c r="E960" s="90">
        <f t="shared" si="185"/>
        <v>4592389</v>
      </c>
      <c r="F960" s="90">
        <f t="shared" si="186"/>
        <v>3859150.7306191069</v>
      </c>
      <c r="G960" s="91">
        <v>0.19</v>
      </c>
      <c r="H960" s="91" t="s">
        <v>228</v>
      </c>
      <c r="I960" s="91" t="s">
        <v>228</v>
      </c>
      <c r="J960" s="91"/>
      <c r="K960" s="91" t="s">
        <v>228</v>
      </c>
      <c r="L960" s="92" t="s">
        <v>2239</v>
      </c>
      <c r="M960" s="91" t="str">
        <f t="shared" si="187"/>
        <v>VER ARCHIVO ANEXO</v>
      </c>
      <c r="N960" s="93">
        <v>41608</v>
      </c>
      <c r="O960" s="94"/>
      <c r="P960" s="94"/>
      <c r="Q960" s="94">
        <v>817</v>
      </c>
      <c r="R960" s="95">
        <f t="shared" si="176"/>
        <v>3859150.7306191069</v>
      </c>
      <c r="S960" s="94">
        <v>2525446.8114</v>
      </c>
      <c r="T960" s="94">
        <f t="shared" si="182"/>
        <v>2696419.5605317801</v>
      </c>
      <c r="U960" s="94">
        <f t="shared" si="183"/>
        <v>2851463.6852623578</v>
      </c>
      <c r="V960" s="94">
        <f t="shared" si="184"/>
        <v>2968088.5499895881</v>
      </c>
      <c r="W960" s="97">
        <f t="shared" si="179"/>
        <v>3062473.7658792571</v>
      </c>
      <c r="X960" s="97">
        <f t="shared" si="180"/>
        <v>3178847.7689826689</v>
      </c>
      <c r="Y960" s="97">
        <f t="shared" si="181"/>
        <v>3230027.2180632898</v>
      </c>
      <c r="Z960" s="97">
        <f t="shared" si="177"/>
        <v>3411554.7477184469</v>
      </c>
      <c r="AA960" s="97">
        <f t="shared" si="178"/>
        <v>3859150.7306191069</v>
      </c>
    </row>
    <row r="961" spans="1:27" x14ac:dyDescent="0.25">
      <c r="A961" s="86" t="s">
        <v>2240</v>
      </c>
      <c r="B961" s="116" t="s">
        <v>2241</v>
      </c>
      <c r="C961" s="128" t="s">
        <v>226</v>
      </c>
      <c r="D961" s="89" t="s">
        <v>262</v>
      </c>
      <c r="E961" s="90">
        <f t="shared" si="185"/>
        <v>439358</v>
      </c>
      <c r="F961" s="90">
        <f t="shared" si="186"/>
        <v>369208.41637736565</v>
      </c>
      <c r="G961" s="91">
        <v>0.19</v>
      </c>
      <c r="H961" s="91" t="s">
        <v>228</v>
      </c>
      <c r="I961" s="91" t="s">
        <v>228</v>
      </c>
      <c r="J961" s="91"/>
      <c r="K961" s="91" t="s">
        <v>228</v>
      </c>
      <c r="L961" s="92" t="s">
        <v>2239</v>
      </c>
      <c r="M961" s="91" t="str">
        <f t="shared" si="187"/>
        <v>VER ARCHIVO ANEXO</v>
      </c>
      <c r="N961" s="93">
        <v>41608</v>
      </c>
      <c r="O961" s="94"/>
      <c r="P961" s="94"/>
      <c r="Q961" s="94">
        <v>818</v>
      </c>
      <c r="R961" s="95">
        <f t="shared" si="176"/>
        <v>369208.41637736565</v>
      </c>
      <c r="S961" s="94">
        <v>241611.76459999999</v>
      </c>
      <c r="T961" s="94">
        <f t="shared" si="182"/>
        <v>257968.88106342001</v>
      </c>
      <c r="U961" s="94">
        <f t="shared" si="183"/>
        <v>272802.09172456671</v>
      </c>
      <c r="V961" s="94">
        <f t="shared" si="184"/>
        <v>283959.69727610145</v>
      </c>
      <c r="W961" s="97">
        <f t="shared" si="179"/>
        <v>292989.61564948148</v>
      </c>
      <c r="X961" s="97">
        <f t="shared" si="180"/>
        <v>304123.22104416176</v>
      </c>
      <c r="Y961" s="97">
        <f t="shared" si="181"/>
        <v>309019.60490297276</v>
      </c>
      <c r="Z961" s="97">
        <f t="shared" si="177"/>
        <v>326386.50669851986</v>
      </c>
      <c r="AA961" s="97">
        <f t="shared" si="178"/>
        <v>369208.41637736565</v>
      </c>
    </row>
    <row r="962" spans="1:27" x14ac:dyDescent="0.25">
      <c r="A962" s="86" t="s">
        <v>2242</v>
      </c>
      <c r="B962" s="110" t="s">
        <v>2243</v>
      </c>
      <c r="C962" s="128" t="s">
        <v>226</v>
      </c>
      <c r="D962" s="89" t="s">
        <v>262</v>
      </c>
      <c r="E962" s="90">
        <f t="shared" si="185"/>
        <v>145675</v>
      </c>
      <c r="F962" s="90">
        <f t="shared" si="186"/>
        <v>122415.79376293735</v>
      </c>
      <c r="G962" s="91">
        <v>0.19</v>
      </c>
      <c r="H962" s="91" t="s">
        <v>228</v>
      </c>
      <c r="I962" s="91" t="s">
        <v>228</v>
      </c>
      <c r="J962" s="91"/>
      <c r="K962" s="91" t="s">
        <v>228</v>
      </c>
      <c r="L962" s="92" t="s">
        <v>2239</v>
      </c>
      <c r="M962" s="91" t="str">
        <f t="shared" si="187"/>
        <v>VER ARCHIVO ANEXO</v>
      </c>
      <c r="N962" s="93">
        <v>41608</v>
      </c>
      <c r="O962" s="94"/>
      <c r="P962" s="94"/>
      <c r="Q962" s="94">
        <v>819</v>
      </c>
      <c r="R962" s="95">
        <f t="shared" si="176"/>
        <v>122415.79376293735</v>
      </c>
      <c r="S962" s="94">
        <v>80109.484599999996</v>
      </c>
      <c r="T962" s="94">
        <f t="shared" si="182"/>
        <v>85532.896707420005</v>
      </c>
      <c r="U962" s="94">
        <f t="shared" si="183"/>
        <v>90451.038268096658</v>
      </c>
      <c r="V962" s="94">
        <f t="shared" si="184"/>
        <v>94150.485733261812</v>
      </c>
      <c r="W962" s="97">
        <f t="shared" si="179"/>
        <v>97144.471179579545</v>
      </c>
      <c r="X962" s="97">
        <f t="shared" si="180"/>
        <v>100835.96108440358</v>
      </c>
      <c r="Y962" s="97">
        <f t="shared" si="181"/>
        <v>102459.42005786247</v>
      </c>
      <c r="Z962" s="97">
        <f t="shared" si="177"/>
        <v>108217.63946511435</v>
      </c>
      <c r="AA962" s="97">
        <f t="shared" si="178"/>
        <v>122415.79376293735</v>
      </c>
    </row>
    <row r="963" spans="1:27" x14ac:dyDescent="0.25">
      <c r="A963" s="86" t="s">
        <v>2244</v>
      </c>
      <c r="B963" s="87" t="s">
        <v>2245</v>
      </c>
      <c r="C963" s="88" t="s">
        <v>226</v>
      </c>
      <c r="D963" s="89" t="s">
        <v>262</v>
      </c>
      <c r="E963" s="90">
        <f t="shared" si="185"/>
        <v>477644</v>
      </c>
      <c r="F963" s="90">
        <f t="shared" si="186"/>
        <v>401381.74730112479</v>
      </c>
      <c r="G963" s="91">
        <v>0.19</v>
      </c>
      <c r="H963" s="91" t="s">
        <v>228</v>
      </c>
      <c r="I963" s="91" t="s">
        <v>228</v>
      </c>
      <c r="J963" s="91"/>
      <c r="K963" s="91" t="s">
        <v>228</v>
      </c>
      <c r="L963" s="92" t="s">
        <v>2239</v>
      </c>
      <c r="M963" s="91" t="str">
        <f t="shared" si="187"/>
        <v>VER ARCHIVO ANEXO</v>
      </c>
      <c r="N963" s="93">
        <v>41608</v>
      </c>
      <c r="O963" s="94"/>
      <c r="P963" s="94"/>
      <c r="Q963" s="94">
        <v>820</v>
      </c>
      <c r="R963" s="95">
        <f t="shared" si="176"/>
        <v>401381.74730112479</v>
      </c>
      <c r="S963" s="94">
        <v>262666.14720000001</v>
      </c>
      <c r="T963" s="94">
        <f t="shared" si="182"/>
        <v>280448.64536544005</v>
      </c>
      <c r="U963" s="94">
        <f t="shared" si="183"/>
        <v>296574.44247395289</v>
      </c>
      <c r="V963" s="94">
        <f t="shared" si="184"/>
        <v>308704.33717113757</v>
      </c>
      <c r="W963" s="97">
        <f t="shared" si="179"/>
        <v>318521.13509317976</v>
      </c>
      <c r="X963" s="97">
        <f t="shared" si="180"/>
        <v>330624.93822672061</v>
      </c>
      <c r="Y963" s="97">
        <f t="shared" si="181"/>
        <v>335947.99973217084</v>
      </c>
      <c r="Z963" s="97">
        <f t="shared" si="177"/>
        <v>354828.27731711883</v>
      </c>
      <c r="AA963" s="97">
        <f t="shared" si="178"/>
        <v>401381.74730112479</v>
      </c>
    </row>
    <row r="964" spans="1:27" x14ac:dyDescent="0.25">
      <c r="A964" s="86" t="s">
        <v>2246</v>
      </c>
      <c r="B964" s="116" t="s">
        <v>2247</v>
      </c>
      <c r="C964" s="88" t="s">
        <v>226</v>
      </c>
      <c r="D964" s="89" t="s">
        <v>262</v>
      </c>
      <c r="E964" s="90">
        <f t="shared" si="185"/>
        <v>94088</v>
      </c>
      <c r="F964" s="90">
        <f t="shared" si="186"/>
        <v>79065.51325530537</v>
      </c>
      <c r="G964" s="91">
        <v>0.19</v>
      </c>
      <c r="H964" s="91" t="s">
        <v>228</v>
      </c>
      <c r="I964" s="91" t="s">
        <v>228</v>
      </c>
      <c r="J964" s="91"/>
      <c r="K964" s="91" t="s">
        <v>228</v>
      </c>
      <c r="L964" s="92" t="s">
        <v>2239</v>
      </c>
      <c r="M964" s="91" t="str">
        <f t="shared" si="187"/>
        <v>VER ARCHIVO ANEXO</v>
      </c>
      <c r="N964" s="93">
        <v>41608</v>
      </c>
      <c r="O964" s="94"/>
      <c r="P964" s="94"/>
      <c r="Q964" s="94">
        <v>821</v>
      </c>
      <c r="R964" s="95">
        <f t="shared" si="176"/>
        <v>79065.51325530537</v>
      </c>
      <c r="S964" s="94">
        <v>51740.852399999996</v>
      </c>
      <c r="T964" s="94">
        <f t="shared" si="182"/>
        <v>55243.708107480001</v>
      </c>
      <c r="U964" s="94">
        <f t="shared" si="183"/>
        <v>58420.221323660109</v>
      </c>
      <c r="V964" s="94">
        <f t="shared" si="184"/>
        <v>60809.608375797805</v>
      </c>
      <c r="W964" s="97">
        <f t="shared" si="179"/>
        <v>62743.353922148177</v>
      </c>
      <c r="X964" s="97">
        <f t="shared" si="180"/>
        <v>65127.601371189812</v>
      </c>
      <c r="Y964" s="97">
        <f t="shared" si="181"/>
        <v>66176.155753265964</v>
      </c>
      <c r="Z964" s="97">
        <f t="shared" si="177"/>
        <v>69895.255706599521</v>
      </c>
      <c r="AA964" s="97">
        <f t="shared" si="178"/>
        <v>79065.51325530537</v>
      </c>
    </row>
    <row r="965" spans="1:27" x14ac:dyDescent="0.25">
      <c r="A965" s="86" t="s">
        <v>2248</v>
      </c>
      <c r="B965" s="116" t="s">
        <v>2249</v>
      </c>
      <c r="C965" s="88" t="s">
        <v>226</v>
      </c>
      <c r="D965" s="89" t="s">
        <v>262</v>
      </c>
      <c r="E965" s="90">
        <f t="shared" si="185"/>
        <v>32390</v>
      </c>
      <c r="F965" s="90">
        <f t="shared" si="186"/>
        <v>27218.470053810801</v>
      </c>
      <c r="G965" s="91">
        <v>0.19</v>
      </c>
      <c r="H965" s="91" t="s">
        <v>228</v>
      </c>
      <c r="I965" s="91" t="s">
        <v>228</v>
      </c>
      <c r="J965" s="91"/>
      <c r="K965" s="91" t="s">
        <v>228</v>
      </c>
      <c r="L965" s="92" t="s">
        <v>2239</v>
      </c>
      <c r="M965" s="91" t="str">
        <f t="shared" si="187"/>
        <v>VER ARCHIVO ANEXO</v>
      </c>
      <c r="N965" s="93">
        <v>41608</v>
      </c>
      <c r="O965" s="94"/>
      <c r="P965" s="94"/>
      <c r="Q965" s="94">
        <v>822</v>
      </c>
      <c r="R965" s="95">
        <f t="shared" si="176"/>
        <v>27218.470053810801</v>
      </c>
      <c r="S965" s="94">
        <v>17811.897799999999</v>
      </c>
      <c r="T965" s="94">
        <f t="shared" si="182"/>
        <v>19017.763281060001</v>
      </c>
      <c r="U965" s="94">
        <f t="shared" si="183"/>
        <v>20111.284669720953</v>
      </c>
      <c r="V965" s="94">
        <f t="shared" si="184"/>
        <v>20933.83621271254</v>
      </c>
      <c r="W965" s="97">
        <f t="shared" si="179"/>
        <v>21599.532204276798</v>
      </c>
      <c r="X965" s="97">
        <f t="shared" si="180"/>
        <v>22420.314428039317</v>
      </c>
      <c r="Y965" s="97">
        <f t="shared" si="181"/>
        <v>22781.281490330752</v>
      </c>
      <c r="Z965" s="97">
        <f t="shared" si="177"/>
        <v>24061.589510087342</v>
      </c>
      <c r="AA965" s="97">
        <f t="shared" si="178"/>
        <v>27218.470053810801</v>
      </c>
    </row>
    <row r="966" spans="1:27" x14ac:dyDescent="0.25">
      <c r="A966" s="86" t="s">
        <v>2250</v>
      </c>
      <c r="B966" s="116" t="s">
        <v>2251</v>
      </c>
      <c r="C966" s="88" t="s">
        <v>226</v>
      </c>
      <c r="D966" s="89" t="s">
        <v>262</v>
      </c>
      <c r="E966" s="90">
        <f t="shared" si="185"/>
        <v>18678</v>
      </c>
      <c r="F966" s="90">
        <f t="shared" si="186"/>
        <v>15696.200882454237</v>
      </c>
      <c r="G966" s="91">
        <v>0.19</v>
      </c>
      <c r="H966" s="91" t="s">
        <v>228</v>
      </c>
      <c r="I966" s="91" t="s">
        <v>228</v>
      </c>
      <c r="J966" s="91"/>
      <c r="K966" s="91" t="s">
        <v>228</v>
      </c>
      <c r="L966" s="92" t="s">
        <v>2239</v>
      </c>
      <c r="M966" s="91" t="str">
        <f t="shared" si="187"/>
        <v>VER ARCHIVO ANEXO</v>
      </c>
      <c r="N966" s="93">
        <v>41608</v>
      </c>
      <c r="O966" s="94"/>
      <c r="P966" s="94"/>
      <c r="Q966" s="94">
        <v>823</v>
      </c>
      <c r="R966" s="95">
        <f t="shared" si="176"/>
        <v>15696.200882454237</v>
      </c>
      <c r="S966" s="94">
        <v>10271.669399999999</v>
      </c>
      <c r="T966" s="94">
        <f t="shared" si="182"/>
        <v>10967.061418379999</v>
      </c>
      <c r="U966" s="94">
        <f t="shared" si="183"/>
        <v>11597.667449936849</v>
      </c>
      <c r="V966" s="94">
        <f t="shared" si="184"/>
        <v>12072.012048639266</v>
      </c>
      <c r="W966" s="97">
        <f t="shared" si="179"/>
        <v>12455.902031785996</v>
      </c>
      <c r="X966" s="97">
        <f t="shared" si="180"/>
        <v>12929.226308993864</v>
      </c>
      <c r="Y966" s="97">
        <f t="shared" si="181"/>
        <v>13137.386852568665</v>
      </c>
      <c r="Z966" s="97">
        <f t="shared" si="177"/>
        <v>13875.707993683025</v>
      </c>
      <c r="AA966" s="97">
        <f t="shared" si="178"/>
        <v>15696.200882454237</v>
      </c>
    </row>
    <row r="967" spans="1:27" x14ac:dyDescent="0.25">
      <c r="A967" s="86" t="s">
        <v>2252</v>
      </c>
      <c r="B967" s="116" t="s">
        <v>2253</v>
      </c>
      <c r="C967" s="128" t="s">
        <v>226</v>
      </c>
      <c r="D967" s="89" t="s">
        <v>262</v>
      </c>
      <c r="E967" s="90">
        <f t="shared" si="185"/>
        <v>1192829</v>
      </c>
      <c r="F967" s="90">
        <f t="shared" si="186"/>
        <v>1002377.2245854315</v>
      </c>
      <c r="G967" s="91">
        <v>0.19</v>
      </c>
      <c r="H967" s="91" t="s">
        <v>228</v>
      </c>
      <c r="I967" s="91" t="s">
        <v>228</v>
      </c>
      <c r="J967" s="91"/>
      <c r="K967" s="91" t="s">
        <v>228</v>
      </c>
      <c r="L967" s="92" t="s">
        <v>2239</v>
      </c>
      <c r="M967" s="91" t="str">
        <f t="shared" si="187"/>
        <v>VER ARCHIVO ANEXO</v>
      </c>
      <c r="N967" s="93">
        <v>41608</v>
      </c>
      <c r="O967" s="94"/>
      <c r="P967" s="94"/>
      <c r="Q967" s="94">
        <v>824</v>
      </c>
      <c r="R967" s="95">
        <f t="shared" ref="R967:R1030" si="188">+AA967</f>
        <v>1002377.2245854315</v>
      </c>
      <c r="S967" s="94">
        <v>655960.48</v>
      </c>
      <c r="T967" s="94">
        <f t="shared" si="182"/>
        <v>700369.00449600001</v>
      </c>
      <c r="U967" s="94">
        <f t="shared" si="183"/>
        <v>740640.22225452005</v>
      </c>
      <c r="V967" s="94">
        <f t="shared" si="184"/>
        <v>770932.40734472987</v>
      </c>
      <c r="W967" s="97">
        <f t="shared" si="179"/>
        <v>795448.05789829232</v>
      </c>
      <c r="X967" s="97">
        <f t="shared" si="180"/>
        <v>825675.08409842744</v>
      </c>
      <c r="Y967" s="97">
        <f>+X967*(1+$Y$4)</f>
        <v>838968.45295241207</v>
      </c>
      <c r="Z967" s="97">
        <f t="shared" ref="Z967:Z1030" si="189">+Y967*(1+$Z$4)</f>
        <v>886118.48000833765</v>
      </c>
      <c r="AA967" s="97">
        <f t="shared" ref="AA967:AA1030" si="190">+Z967*(1+$AA$4)</f>
        <v>1002377.2245854315</v>
      </c>
    </row>
    <row r="968" spans="1:27" x14ac:dyDescent="0.25">
      <c r="A968" s="86" t="s">
        <v>2254</v>
      </c>
      <c r="B968" s="98" t="s">
        <v>2255</v>
      </c>
      <c r="C968" s="99" t="s">
        <v>226</v>
      </c>
      <c r="D968" s="100" t="s">
        <v>262</v>
      </c>
      <c r="E968" s="101">
        <f t="shared" si="185"/>
        <v>9207</v>
      </c>
      <c r="F968" s="90">
        <f t="shared" si="186"/>
        <v>7736.7554107199994</v>
      </c>
      <c r="G968" s="91">
        <v>0.19</v>
      </c>
      <c r="H968" s="91" t="s">
        <v>228</v>
      </c>
      <c r="I968" s="91" t="s">
        <v>228</v>
      </c>
      <c r="J968" s="91"/>
      <c r="K968" s="91" t="s">
        <v>228</v>
      </c>
      <c r="L968" s="92" t="s">
        <v>1879</v>
      </c>
      <c r="M968" s="91" t="str">
        <f t="shared" si="187"/>
        <v>VER ARCHIVO ANEXO</v>
      </c>
      <c r="N968" s="93">
        <v>41608</v>
      </c>
      <c r="O968" s="94">
        <v>6269</v>
      </c>
      <c r="P968" s="94" t="s">
        <v>1443</v>
      </c>
      <c r="Q968" s="94">
        <v>825</v>
      </c>
      <c r="R968" s="95">
        <f t="shared" si="188"/>
        <v>7736.7554107199994</v>
      </c>
      <c r="S968" s="94">
        <v>4689.5783999999994</v>
      </c>
      <c r="T968" s="94">
        <f t="shared" si="182"/>
        <v>5007.06285768</v>
      </c>
      <c r="U968" s="94">
        <f t="shared" si="183"/>
        <v>5294.9689719966009</v>
      </c>
      <c r="V968" s="94">
        <f t="shared" si="184"/>
        <v>5511.533202951262</v>
      </c>
      <c r="W968" s="97">
        <f t="shared" ref="W968:W1031" si="191">+V968*(1+$W$4)</f>
        <v>5686.7999588051125</v>
      </c>
      <c r="X968" s="97">
        <f t="shared" ref="X968:X1031" si="192">+W968*(1+$X$4)</f>
        <v>5902.8983572397074</v>
      </c>
      <c r="Y968" s="97">
        <v>6475.5</v>
      </c>
      <c r="Z968" s="97">
        <f t="shared" si="189"/>
        <v>6839.4231</v>
      </c>
      <c r="AA968" s="97">
        <f t="shared" si="190"/>
        <v>7736.7554107199994</v>
      </c>
    </row>
    <row r="969" spans="1:27" x14ac:dyDescent="0.25">
      <c r="A969" s="86" t="s">
        <v>2256</v>
      </c>
      <c r="B969" s="87" t="s">
        <v>2257</v>
      </c>
      <c r="C969" s="88" t="s">
        <v>226</v>
      </c>
      <c r="D969" s="89" t="s">
        <v>262</v>
      </c>
      <c r="E969" s="90">
        <f t="shared" si="185"/>
        <v>18913</v>
      </c>
      <c r="F969" s="90">
        <f t="shared" si="186"/>
        <v>15892.876298880001</v>
      </c>
      <c r="G969" s="91">
        <v>0.19</v>
      </c>
      <c r="H969" s="91" t="s">
        <v>228</v>
      </c>
      <c r="I969" s="91" t="s">
        <v>228</v>
      </c>
      <c r="J969" s="91"/>
      <c r="K969" s="91" t="s">
        <v>228</v>
      </c>
      <c r="L969" s="92" t="s">
        <v>1879</v>
      </c>
      <c r="M969" s="91" t="str">
        <f t="shared" si="187"/>
        <v>VER ARCHIVO ANEXO</v>
      </c>
      <c r="N969" s="93">
        <v>41608</v>
      </c>
      <c r="O969" s="94">
        <v>12876</v>
      </c>
      <c r="P969" s="94" t="s">
        <v>1443</v>
      </c>
      <c r="Q969" s="94">
        <v>826</v>
      </c>
      <c r="R969" s="95">
        <f t="shared" si="188"/>
        <v>15892.876298880001</v>
      </c>
      <c r="S969" s="94">
        <v>9631.0506000000005</v>
      </c>
      <c r="T969" s="94">
        <f t="shared" si="182"/>
        <v>10283.072725620001</v>
      </c>
      <c r="U969" s="94">
        <f t="shared" si="183"/>
        <v>10874.349407343152</v>
      </c>
      <c r="V969" s="94">
        <f t="shared" si="184"/>
        <v>11319.110298103486</v>
      </c>
      <c r="W969" s="97">
        <f t="shared" si="191"/>
        <v>11679.058005583176</v>
      </c>
      <c r="X969" s="97">
        <f t="shared" si="192"/>
        <v>12122.862209795338</v>
      </c>
      <c r="Y969" s="97">
        <v>13302</v>
      </c>
      <c r="Z969" s="97">
        <f t="shared" si="189"/>
        <v>14049.572400000001</v>
      </c>
      <c r="AA969" s="97">
        <f t="shared" si="190"/>
        <v>15892.876298880001</v>
      </c>
    </row>
    <row r="970" spans="1:27" x14ac:dyDescent="0.25">
      <c r="A970" s="86" t="s">
        <v>2258</v>
      </c>
      <c r="B970" s="98" t="s">
        <v>2259</v>
      </c>
      <c r="C970" s="99" t="s">
        <v>226</v>
      </c>
      <c r="D970" s="100" t="s">
        <v>262</v>
      </c>
      <c r="E970" s="101">
        <f t="shared" si="185"/>
        <v>32909</v>
      </c>
      <c r="F970" s="90">
        <f t="shared" si="186"/>
        <v>27654.464996928004</v>
      </c>
      <c r="G970" s="91">
        <v>0.19</v>
      </c>
      <c r="H970" s="91" t="s">
        <v>228</v>
      </c>
      <c r="I970" s="91" t="s">
        <v>228</v>
      </c>
      <c r="J970" s="91"/>
      <c r="K970" s="91" t="s">
        <v>228</v>
      </c>
      <c r="L970" s="92" t="s">
        <v>1879</v>
      </c>
      <c r="M970" s="91" t="str">
        <f t="shared" si="187"/>
        <v>VER ARCHIVO ANEXO</v>
      </c>
      <c r="N970" s="93">
        <v>41608</v>
      </c>
      <c r="O970" s="94">
        <v>22202</v>
      </c>
      <c r="P970" s="94" t="s">
        <v>1443</v>
      </c>
      <c r="Q970" s="94">
        <v>827</v>
      </c>
      <c r="R970" s="95">
        <f t="shared" si="188"/>
        <v>27654.464996928004</v>
      </c>
      <c r="S970" s="94">
        <v>16607.368599999998</v>
      </c>
      <c r="T970" s="94">
        <f t="shared" si="182"/>
        <v>17731.687454219998</v>
      </c>
      <c r="U970" s="94">
        <f t="shared" si="183"/>
        <v>18751.25948283765</v>
      </c>
      <c r="V970" s="94">
        <f t="shared" si="184"/>
        <v>19518.185995685708</v>
      </c>
      <c r="W970" s="97">
        <f t="shared" si="191"/>
        <v>20138.864310348516</v>
      </c>
      <c r="X970" s="97">
        <f t="shared" si="192"/>
        <v>20904.141154141758</v>
      </c>
      <c r="Y970" s="97">
        <v>23146.2</v>
      </c>
      <c r="Z970" s="97">
        <f t="shared" si="189"/>
        <v>24447.016440000003</v>
      </c>
      <c r="AA970" s="97">
        <f t="shared" si="190"/>
        <v>27654.464996928004</v>
      </c>
    </row>
    <row r="971" spans="1:27" x14ac:dyDescent="0.25">
      <c r="A971" s="86" t="s">
        <v>2260</v>
      </c>
      <c r="B971" s="87" t="s">
        <v>2261</v>
      </c>
      <c r="C971" s="88" t="s">
        <v>226</v>
      </c>
      <c r="D971" s="89" t="s">
        <v>262</v>
      </c>
      <c r="E971" s="90">
        <f t="shared" si="185"/>
        <v>155705</v>
      </c>
      <c r="F971" s="90">
        <f t="shared" si="186"/>
        <v>130844.179553472</v>
      </c>
      <c r="G971" s="91">
        <v>0.19</v>
      </c>
      <c r="H971" s="91" t="s">
        <v>228</v>
      </c>
      <c r="I971" s="91" t="s">
        <v>228</v>
      </c>
      <c r="J971" s="91"/>
      <c r="K971" s="91" t="s">
        <v>228</v>
      </c>
      <c r="L971" s="92" t="s">
        <v>1879</v>
      </c>
      <c r="M971" s="91" t="str">
        <f t="shared" si="187"/>
        <v>VER ARCHIVO ANEXO</v>
      </c>
      <c r="N971" s="93">
        <v>41608</v>
      </c>
      <c r="O971" s="94">
        <v>106017</v>
      </c>
      <c r="P971" s="94" t="s">
        <v>1443</v>
      </c>
      <c r="Q971" s="94">
        <v>828</v>
      </c>
      <c r="R971" s="95">
        <f t="shared" si="188"/>
        <v>130844.179553472</v>
      </c>
      <c r="S971" s="94">
        <v>79312.339200000002</v>
      </c>
      <c r="T971" s="94">
        <f t="shared" ref="T971:T1027" si="193">+S971*1.0677</f>
        <v>84681.784563840003</v>
      </c>
      <c r="U971" s="94">
        <f t="shared" ref="U971:U1034" si="194">+T971*(1+$U$4)</f>
        <v>89550.987176260809</v>
      </c>
      <c r="V971" s="94">
        <f t="shared" ref="V971:V1034" si="195">+U971*(1+$V$4)</f>
        <v>93213.622551769877</v>
      </c>
      <c r="W971" s="97">
        <f t="shared" si="191"/>
        <v>96177.815748916168</v>
      </c>
      <c r="X971" s="97">
        <f t="shared" si="192"/>
        <v>99832.572747374987</v>
      </c>
      <c r="Y971" s="97">
        <v>109513.8</v>
      </c>
      <c r="Z971" s="97">
        <f t="shared" si="189"/>
        <v>115668.47556000001</v>
      </c>
      <c r="AA971" s="97">
        <f t="shared" si="190"/>
        <v>130844.179553472</v>
      </c>
    </row>
    <row r="972" spans="1:27" x14ac:dyDescent="0.25">
      <c r="A972" s="86" t="s">
        <v>2262</v>
      </c>
      <c r="B972" s="87" t="s">
        <v>2263</v>
      </c>
      <c r="C972" s="88" t="s">
        <v>226</v>
      </c>
      <c r="D972" s="89" t="s">
        <v>262</v>
      </c>
      <c r="E972" s="90">
        <f t="shared" si="185"/>
        <v>0</v>
      </c>
      <c r="F972" s="90">
        <f t="shared" si="186"/>
        <v>0</v>
      </c>
      <c r="G972" s="91">
        <v>0.19</v>
      </c>
      <c r="H972" s="91" t="s">
        <v>228</v>
      </c>
      <c r="I972" s="91" t="s">
        <v>228</v>
      </c>
      <c r="J972" s="91"/>
      <c r="K972" s="91" t="s">
        <v>228</v>
      </c>
      <c r="L972" s="92" t="s">
        <v>302</v>
      </c>
      <c r="M972" s="91" t="str">
        <f t="shared" si="187"/>
        <v>no aplica</v>
      </c>
      <c r="N972" s="93">
        <v>41608</v>
      </c>
      <c r="O972" s="94"/>
      <c r="P972" s="94"/>
      <c r="Q972" s="94"/>
      <c r="R972" s="95">
        <f t="shared" si="188"/>
        <v>0</v>
      </c>
      <c r="S972" s="94"/>
      <c r="T972" s="94"/>
      <c r="U972" s="94">
        <f t="shared" si="194"/>
        <v>0</v>
      </c>
      <c r="V972" s="94">
        <f t="shared" si="195"/>
        <v>0</v>
      </c>
      <c r="W972" s="97">
        <f t="shared" si="191"/>
        <v>0</v>
      </c>
      <c r="X972" s="97">
        <f t="shared" si="192"/>
        <v>0</v>
      </c>
      <c r="Y972" s="97">
        <f>+X972*(1+$Y$4)</f>
        <v>0</v>
      </c>
      <c r="Z972" s="97">
        <f t="shared" si="189"/>
        <v>0</v>
      </c>
      <c r="AA972" s="97">
        <f t="shared" si="190"/>
        <v>0</v>
      </c>
    </row>
    <row r="973" spans="1:27" x14ac:dyDescent="0.25">
      <c r="A973" s="86" t="s">
        <v>2264</v>
      </c>
      <c r="B973" s="87" t="s">
        <v>2265</v>
      </c>
      <c r="C973" s="88" t="s">
        <v>226</v>
      </c>
      <c r="D973" s="89" t="s">
        <v>262</v>
      </c>
      <c r="E973" s="90">
        <f t="shared" ref="E973:E1036" si="196">+ROUND(F973*(1+G973),0)</f>
        <v>0</v>
      </c>
      <c r="F973" s="90">
        <f t="shared" si="186"/>
        <v>0</v>
      </c>
      <c r="G973" s="91">
        <v>0.19</v>
      </c>
      <c r="H973" s="91"/>
      <c r="I973" s="91" t="s">
        <v>228</v>
      </c>
      <c r="J973" s="91"/>
      <c r="K973" s="91"/>
      <c r="L973" s="92" t="s">
        <v>1879</v>
      </c>
      <c r="M973" s="91" t="str">
        <f t="shared" si="187"/>
        <v>VER ARCHIVO ANEXO</v>
      </c>
      <c r="N973" s="93">
        <v>41608</v>
      </c>
      <c r="O973" s="94"/>
      <c r="P973" s="94"/>
      <c r="Q973" s="94"/>
      <c r="R973" s="95">
        <f t="shared" si="188"/>
        <v>0</v>
      </c>
      <c r="S973" s="94"/>
      <c r="T973" s="94"/>
      <c r="U973" s="94">
        <f t="shared" si="194"/>
        <v>0</v>
      </c>
      <c r="V973" s="94">
        <f t="shared" si="195"/>
        <v>0</v>
      </c>
      <c r="W973" s="97">
        <f t="shared" si="191"/>
        <v>0</v>
      </c>
      <c r="X973" s="97">
        <f t="shared" si="192"/>
        <v>0</v>
      </c>
      <c r="Y973" s="97">
        <f>+X973*(1+$Y$4)</f>
        <v>0</v>
      </c>
      <c r="Z973" s="97">
        <f t="shared" si="189"/>
        <v>0</v>
      </c>
      <c r="AA973" s="97">
        <f t="shared" si="190"/>
        <v>0</v>
      </c>
    </row>
    <row r="974" spans="1:27" x14ac:dyDescent="0.25">
      <c r="A974" s="86" t="s">
        <v>2266</v>
      </c>
      <c r="B974" s="87" t="s">
        <v>2267</v>
      </c>
      <c r="C974" s="88" t="s">
        <v>226</v>
      </c>
      <c r="D974" s="89" t="s">
        <v>262</v>
      </c>
      <c r="E974" s="90">
        <f t="shared" si="196"/>
        <v>114526</v>
      </c>
      <c r="F974" s="90">
        <f t="shared" si="186"/>
        <v>96240.075888096006</v>
      </c>
      <c r="G974" s="91">
        <v>0.19</v>
      </c>
      <c r="H974" s="91"/>
      <c r="I974" s="91" t="s">
        <v>228</v>
      </c>
      <c r="J974" s="91"/>
      <c r="K974" s="91"/>
      <c r="L974" s="92" t="s">
        <v>1442</v>
      </c>
      <c r="M974" s="91" t="str">
        <f t="shared" si="187"/>
        <v>VER ARCHIVO ANEXO</v>
      </c>
      <c r="N974" s="93">
        <v>41608</v>
      </c>
      <c r="O974" s="94">
        <v>113645</v>
      </c>
      <c r="P974" s="94" t="s">
        <v>1443</v>
      </c>
      <c r="Q974" s="94">
        <v>831</v>
      </c>
      <c r="R974" s="95">
        <f t="shared" si="188"/>
        <v>96240.075888096006</v>
      </c>
      <c r="S974" s="94">
        <v>69633.604999999996</v>
      </c>
      <c r="T974" s="94">
        <f t="shared" si="193"/>
        <v>74347.800058499997</v>
      </c>
      <c r="U974" s="94">
        <f t="shared" si="194"/>
        <v>78622.798561863761</v>
      </c>
      <c r="V974" s="94">
        <f t="shared" si="195"/>
        <v>81838.471023043981</v>
      </c>
      <c r="W974" s="97">
        <f t="shared" si="191"/>
        <v>84440.934401576786</v>
      </c>
      <c r="X974" s="97">
        <f t="shared" si="192"/>
        <v>87649.689908836706</v>
      </c>
      <c r="Y974" s="97">
        <v>80550.900000000009</v>
      </c>
      <c r="Z974" s="97">
        <f t="shared" si="189"/>
        <v>85077.860580000008</v>
      </c>
      <c r="AA974" s="97">
        <f t="shared" si="190"/>
        <v>96240.075888096006</v>
      </c>
    </row>
    <row r="975" spans="1:27" x14ac:dyDescent="0.25">
      <c r="A975" s="86" t="s">
        <v>2268</v>
      </c>
      <c r="B975" s="87" t="s">
        <v>2269</v>
      </c>
      <c r="C975" s="88" t="s">
        <v>226</v>
      </c>
      <c r="D975" s="89" t="s">
        <v>262</v>
      </c>
      <c r="E975" s="90">
        <f t="shared" si="196"/>
        <v>132800</v>
      </c>
      <c r="F975" s="90">
        <f t="shared" si="186"/>
        <v>111596.37943507201</v>
      </c>
      <c r="G975" s="91">
        <v>0.19</v>
      </c>
      <c r="H975" s="91"/>
      <c r="I975" s="91" t="s">
        <v>228</v>
      </c>
      <c r="J975" s="91"/>
      <c r="K975" s="91"/>
      <c r="L975" s="92" t="s">
        <v>1442</v>
      </c>
      <c r="M975" s="91" t="str">
        <f t="shared" si="187"/>
        <v>VER ARCHIVO ANEXO</v>
      </c>
      <c r="N975" s="93">
        <v>41608</v>
      </c>
      <c r="O975" s="94">
        <v>128474</v>
      </c>
      <c r="P975" s="94" t="s">
        <v>1443</v>
      </c>
      <c r="Q975" s="94">
        <v>832</v>
      </c>
      <c r="R975" s="95">
        <f t="shared" si="188"/>
        <v>111596.37943507201</v>
      </c>
      <c r="S975" s="94">
        <v>78718.367400000003</v>
      </c>
      <c r="T975" s="94">
        <f t="shared" si="193"/>
        <v>84047.600872980009</v>
      </c>
      <c r="U975" s="94">
        <f t="shared" si="194"/>
        <v>88880.337923176368</v>
      </c>
      <c r="V975" s="94">
        <f t="shared" si="195"/>
        <v>92515.543744234281</v>
      </c>
      <c r="W975" s="97">
        <f t="shared" si="191"/>
        <v>95457.538035300939</v>
      </c>
      <c r="X975" s="97">
        <f t="shared" si="192"/>
        <v>99084.924480642381</v>
      </c>
      <c r="Y975" s="97">
        <v>93403.8</v>
      </c>
      <c r="Z975" s="97">
        <f t="shared" si="189"/>
        <v>98653.093560000008</v>
      </c>
      <c r="AA975" s="97">
        <f t="shared" si="190"/>
        <v>111596.37943507201</v>
      </c>
    </row>
    <row r="976" spans="1:27" x14ac:dyDescent="0.25">
      <c r="A976" s="86" t="s">
        <v>2270</v>
      </c>
      <c r="B976" s="121" t="s">
        <v>2271</v>
      </c>
      <c r="C976" s="88" t="s">
        <v>226</v>
      </c>
      <c r="D976" s="89" t="s">
        <v>262</v>
      </c>
      <c r="E976" s="90">
        <f t="shared" si="196"/>
        <v>205888</v>
      </c>
      <c r="F976" s="90">
        <f t="shared" si="186"/>
        <v>173015.14184640002</v>
      </c>
      <c r="G976" s="91">
        <v>0.19</v>
      </c>
      <c r="H976" s="91"/>
      <c r="I976" s="91" t="s">
        <v>228</v>
      </c>
      <c r="J976" s="91"/>
      <c r="K976" s="91"/>
      <c r="L976" s="92" t="s">
        <v>1442</v>
      </c>
      <c r="M976" s="91" t="str">
        <f t="shared" si="187"/>
        <v>VER ARCHIVO ANEXO</v>
      </c>
      <c r="N976" s="93">
        <v>41608</v>
      </c>
      <c r="O976" s="94">
        <v>193177</v>
      </c>
      <c r="P976" s="94" t="s">
        <v>1443</v>
      </c>
      <c r="Q976" s="94">
        <v>833</v>
      </c>
      <c r="R976" s="95">
        <f t="shared" si="188"/>
        <v>173015.14184640002</v>
      </c>
      <c r="S976" s="94">
        <v>175408.269</v>
      </c>
      <c r="T976" s="94">
        <f t="shared" si="193"/>
        <v>187283.4088113</v>
      </c>
      <c r="U976" s="94">
        <f t="shared" si="194"/>
        <v>198052.20481794977</v>
      </c>
      <c r="V976" s="94">
        <f t="shared" si="195"/>
        <v>206152.5399950039</v>
      </c>
      <c r="W976" s="97">
        <f t="shared" si="191"/>
        <v>212708.19076684504</v>
      </c>
      <c r="X976" s="97">
        <f t="shared" si="192"/>
        <v>220791.10201598518</v>
      </c>
      <c r="Y976" s="97">
        <v>144810</v>
      </c>
      <c r="Z976" s="97">
        <f t="shared" si="189"/>
        <v>152948.32200000001</v>
      </c>
      <c r="AA976" s="97">
        <f t="shared" si="190"/>
        <v>173015.14184640002</v>
      </c>
    </row>
    <row r="977" spans="1:27" x14ac:dyDescent="0.25">
      <c r="A977" s="86" t="s">
        <v>2272</v>
      </c>
      <c r="B977" s="121" t="s">
        <v>2273</v>
      </c>
      <c r="C977" s="88" t="s">
        <v>226</v>
      </c>
      <c r="D977" s="89" t="s">
        <v>262</v>
      </c>
      <c r="E977" s="90">
        <f t="shared" si="196"/>
        <v>309970</v>
      </c>
      <c r="F977" s="90">
        <f t="shared" si="186"/>
        <v>260478.65099894401</v>
      </c>
      <c r="G977" s="91">
        <v>0.19</v>
      </c>
      <c r="H977" s="91"/>
      <c r="I977" s="91" t="s">
        <v>228</v>
      </c>
      <c r="J977" s="91"/>
      <c r="K977" s="91"/>
      <c r="L977" s="92" t="s">
        <v>1442</v>
      </c>
      <c r="M977" s="91" t="str">
        <f t="shared" si="187"/>
        <v>VER ARCHIVO ANEXO</v>
      </c>
      <c r="N977" s="93">
        <v>41608</v>
      </c>
      <c r="O977" s="94">
        <v>378047</v>
      </c>
      <c r="P977" s="94" t="s">
        <v>1443</v>
      </c>
      <c r="Q977" s="94">
        <v>834</v>
      </c>
      <c r="R977" s="95">
        <f t="shared" si="188"/>
        <v>260478.65099894401</v>
      </c>
      <c r="S977" s="94">
        <v>191771</v>
      </c>
      <c r="T977" s="94">
        <f t="shared" si="193"/>
        <v>204753.89670000001</v>
      </c>
      <c r="U977" s="94">
        <f t="shared" si="194"/>
        <v>216527.24576025002</v>
      </c>
      <c r="V977" s="94">
        <f t="shared" si="195"/>
        <v>225383.21011184424</v>
      </c>
      <c r="W977" s="97">
        <f t="shared" si="191"/>
        <v>232550.3961934009</v>
      </c>
      <c r="X977" s="97">
        <f t="shared" si="192"/>
        <v>241387.31124875013</v>
      </c>
      <c r="Y977" s="97">
        <v>218015.1</v>
      </c>
      <c r="Z977" s="97">
        <f t="shared" si="189"/>
        <v>230267.54862000002</v>
      </c>
      <c r="AA977" s="97">
        <f t="shared" si="190"/>
        <v>260478.65099894401</v>
      </c>
    </row>
    <row r="978" spans="1:27" x14ac:dyDescent="0.25">
      <c r="A978" s="86" t="s">
        <v>2274</v>
      </c>
      <c r="B978" s="87" t="s">
        <v>2275</v>
      </c>
      <c r="C978" s="88" t="s">
        <v>226</v>
      </c>
      <c r="D978" s="89" t="s">
        <v>262</v>
      </c>
      <c r="E978" s="90">
        <f t="shared" si="196"/>
        <v>114526</v>
      </c>
      <c r="F978" s="90">
        <f t="shared" si="186"/>
        <v>96240.075888096006</v>
      </c>
      <c r="G978" s="91">
        <v>0.19</v>
      </c>
      <c r="H978" s="91"/>
      <c r="I978" s="91" t="s">
        <v>228</v>
      </c>
      <c r="J978" s="91"/>
      <c r="K978" s="91"/>
      <c r="L978" s="92" t="s">
        <v>1442</v>
      </c>
      <c r="M978" s="91" t="str">
        <f t="shared" si="187"/>
        <v>VER ARCHIVO ANEXO</v>
      </c>
      <c r="N978" s="93">
        <v>41608</v>
      </c>
      <c r="O978" s="94">
        <v>113645</v>
      </c>
      <c r="P978" s="94" t="s">
        <v>1443</v>
      </c>
      <c r="Q978" s="94">
        <v>835</v>
      </c>
      <c r="R978" s="95">
        <f t="shared" si="188"/>
        <v>96240.075888096006</v>
      </c>
      <c r="S978" s="94">
        <v>69633.604999999996</v>
      </c>
      <c r="T978" s="94">
        <f t="shared" si="193"/>
        <v>74347.800058499997</v>
      </c>
      <c r="U978" s="94">
        <f t="shared" si="194"/>
        <v>78622.798561863761</v>
      </c>
      <c r="V978" s="94">
        <f t="shared" si="195"/>
        <v>81838.471023043981</v>
      </c>
      <c r="W978" s="97">
        <f t="shared" si="191"/>
        <v>84440.934401576786</v>
      </c>
      <c r="X978" s="97">
        <f t="shared" si="192"/>
        <v>87649.689908836706</v>
      </c>
      <c r="Y978" s="97">
        <v>80550.900000000009</v>
      </c>
      <c r="Z978" s="97">
        <f t="shared" si="189"/>
        <v>85077.860580000008</v>
      </c>
      <c r="AA978" s="97">
        <f t="shared" si="190"/>
        <v>96240.075888096006</v>
      </c>
    </row>
    <row r="979" spans="1:27" x14ac:dyDescent="0.25">
      <c r="A979" s="86" t="s">
        <v>2276</v>
      </c>
      <c r="B979" s="87" t="s">
        <v>2277</v>
      </c>
      <c r="C979" s="88" t="s">
        <v>226</v>
      </c>
      <c r="D979" s="89" t="s">
        <v>262</v>
      </c>
      <c r="E979" s="90">
        <f t="shared" si="196"/>
        <v>132800</v>
      </c>
      <c r="F979" s="90">
        <f t="shared" si="186"/>
        <v>111596.37943507201</v>
      </c>
      <c r="G979" s="91">
        <v>0.19</v>
      </c>
      <c r="H979" s="91"/>
      <c r="I979" s="91" t="s">
        <v>228</v>
      </c>
      <c r="J979" s="91"/>
      <c r="K979" s="91"/>
      <c r="L979" s="92" t="s">
        <v>1442</v>
      </c>
      <c r="M979" s="91" t="str">
        <f t="shared" si="187"/>
        <v>VER ARCHIVO ANEXO</v>
      </c>
      <c r="N979" s="93">
        <v>41608</v>
      </c>
      <c r="O979" s="94">
        <v>128474</v>
      </c>
      <c r="P979" s="94" t="s">
        <v>1443</v>
      </c>
      <c r="Q979" s="94">
        <v>836</v>
      </c>
      <c r="R979" s="95">
        <f t="shared" si="188"/>
        <v>111596.37943507201</v>
      </c>
      <c r="S979" s="94">
        <v>78718.367400000003</v>
      </c>
      <c r="T979" s="94">
        <f t="shared" si="193"/>
        <v>84047.600872980009</v>
      </c>
      <c r="U979" s="94">
        <f t="shared" si="194"/>
        <v>88880.337923176368</v>
      </c>
      <c r="V979" s="94">
        <f t="shared" si="195"/>
        <v>92515.543744234281</v>
      </c>
      <c r="W979" s="97">
        <f t="shared" si="191"/>
        <v>95457.538035300939</v>
      </c>
      <c r="X979" s="97">
        <f t="shared" si="192"/>
        <v>99084.924480642381</v>
      </c>
      <c r="Y979" s="97">
        <v>93403.8</v>
      </c>
      <c r="Z979" s="97">
        <f t="shared" si="189"/>
        <v>98653.093560000008</v>
      </c>
      <c r="AA979" s="97">
        <f t="shared" si="190"/>
        <v>111596.37943507201</v>
      </c>
    </row>
    <row r="980" spans="1:27" x14ac:dyDescent="0.25">
      <c r="A980" s="86" t="s">
        <v>2278</v>
      </c>
      <c r="B980" s="87" t="s">
        <v>2279</v>
      </c>
      <c r="C980" s="88" t="s">
        <v>226</v>
      </c>
      <c r="D980" s="89" t="s">
        <v>262</v>
      </c>
      <c r="E980" s="90">
        <f t="shared" si="196"/>
        <v>205888</v>
      </c>
      <c r="F980" s="90">
        <f t="shared" si="186"/>
        <v>173015.14184640002</v>
      </c>
      <c r="G980" s="91">
        <v>0.19</v>
      </c>
      <c r="H980" s="91"/>
      <c r="I980" s="91" t="s">
        <v>228</v>
      </c>
      <c r="J980" s="91"/>
      <c r="K980" s="91"/>
      <c r="L980" s="92" t="s">
        <v>1442</v>
      </c>
      <c r="M980" s="91" t="str">
        <f t="shared" si="187"/>
        <v>VER ARCHIVO ANEXO</v>
      </c>
      <c r="N980" s="93">
        <v>41608</v>
      </c>
      <c r="O980" s="94">
        <v>193177</v>
      </c>
      <c r="P980" s="94" t="s">
        <v>1443</v>
      </c>
      <c r="Q980" s="94">
        <v>837</v>
      </c>
      <c r="R980" s="95">
        <f t="shared" si="188"/>
        <v>173015.14184640002</v>
      </c>
      <c r="S980" s="94">
        <v>175408.269</v>
      </c>
      <c r="T980" s="94">
        <f t="shared" si="193"/>
        <v>187283.4088113</v>
      </c>
      <c r="U980" s="94">
        <f t="shared" si="194"/>
        <v>198052.20481794977</v>
      </c>
      <c r="V980" s="94">
        <f t="shared" si="195"/>
        <v>206152.5399950039</v>
      </c>
      <c r="W980" s="97">
        <f t="shared" si="191"/>
        <v>212708.19076684504</v>
      </c>
      <c r="X980" s="97">
        <f t="shared" si="192"/>
        <v>220791.10201598518</v>
      </c>
      <c r="Y980" s="97">
        <v>144810</v>
      </c>
      <c r="Z980" s="97">
        <f t="shared" si="189"/>
        <v>152948.32200000001</v>
      </c>
      <c r="AA980" s="97">
        <f t="shared" si="190"/>
        <v>173015.14184640002</v>
      </c>
    </row>
    <row r="981" spans="1:27" x14ac:dyDescent="0.25">
      <c r="A981" s="86" t="s">
        <v>2280</v>
      </c>
      <c r="B981" s="87" t="s">
        <v>2281</v>
      </c>
      <c r="C981" s="88" t="s">
        <v>226</v>
      </c>
      <c r="D981" s="89" t="s">
        <v>262</v>
      </c>
      <c r="E981" s="90">
        <f t="shared" si="196"/>
        <v>339871</v>
      </c>
      <c r="F981" s="90">
        <f t="shared" si="186"/>
        <v>285606.170170272</v>
      </c>
      <c r="G981" s="91">
        <v>0.19</v>
      </c>
      <c r="H981" s="91"/>
      <c r="I981" s="91" t="s">
        <v>228</v>
      </c>
      <c r="J981" s="91"/>
      <c r="K981" s="91"/>
      <c r="L981" s="92" t="s">
        <v>1442</v>
      </c>
      <c r="M981" s="91" t="str">
        <f t="shared" si="187"/>
        <v>VER ARCHIVO ANEXO</v>
      </c>
      <c r="N981" s="93">
        <v>41608</v>
      </c>
      <c r="O981" s="94">
        <v>215423</v>
      </c>
      <c r="P981" s="94" t="s">
        <v>1443</v>
      </c>
      <c r="Q981" s="94">
        <v>838</v>
      </c>
      <c r="R981" s="95">
        <f t="shared" si="188"/>
        <v>285606.170170272</v>
      </c>
      <c r="S981" s="94">
        <v>131995.46099999998</v>
      </c>
      <c r="T981" s="94">
        <f t="shared" si="193"/>
        <v>140931.55370970001</v>
      </c>
      <c r="U981" s="94">
        <f t="shared" si="194"/>
        <v>149035.11804800777</v>
      </c>
      <c r="V981" s="94">
        <f t="shared" si="195"/>
        <v>155130.6543761713</v>
      </c>
      <c r="W981" s="97">
        <f t="shared" si="191"/>
        <v>160063.80918533355</v>
      </c>
      <c r="X981" s="97">
        <f t="shared" si="192"/>
        <v>166146.23393437624</v>
      </c>
      <c r="Y981" s="97">
        <v>239046.30000000002</v>
      </c>
      <c r="Z981" s="97">
        <f t="shared" si="189"/>
        <v>252480.70206000001</v>
      </c>
      <c r="AA981" s="97">
        <f t="shared" si="190"/>
        <v>285606.170170272</v>
      </c>
    </row>
    <row r="982" spans="1:27" x14ac:dyDescent="0.25">
      <c r="A982" s="86" t="s">
        <v>2282</v>
      </c>
      <c r="B982" s="87" t="s">
        <v>2283</v>
      </c>
      <c r="C982" s="88" t="s">
        <v>226</v>
      </c>
      <c r="D982" s="89" t="s">
        <v>262</v>
      </c>
      <c r="E982" s="90">
        <f t="shared" si="196"/>
        <v>363534</v>
      </c>
      <c r="F982" s="90">
        <f t="shared" si="186"/>
        <v>305490.54557750397</v>
      </c>
      <c r="G982" s="91">
        <v>0.19</v>
      </c>
      <c r="H982" s="91"/>
      <c r="I982" s="91" t="s">
        <v>228</v>
      </c>
      <c r="J982" s="91"/>
      <c r="K982" s="91"/>
      <c r="L982" s="92" t="s">
        <v>1442</v>
      </c>
      <c r="M982" s="91" t="str">
        <f t="shared" si="187"/>
        <v>VER ARCHIVO ANEXO</v>
      </c>
      <c r="N982" s="93">
        <v>41608</v>
      </c>
      <c r="O982" s="94">
        <v>230421</v>
      </c>
      <c r="P982" s="94" t="s">
        <v>1443</v>
      </c>
      <c r="Q982" s="94">
        <v>839</v>
      </c>
      <c r="R982" s="95">
        <f t="shared" si="188"/>
        <v>305490.54557750397</v>
      </c>
      <c r="S982" s="94">
        <v>141184.91999999998</v>
      </c>
      <c r="T982" s="94">
        <f t="shared" si="193"/>
        <v>150743.13908399999</v>
      </c>
      <c r="U982" s="94">
        <f t="shared" si="194"/>
        <v>159410.86958133001</v>
      </c>
      <c r="V982" s="94">
        <f t="shared" si="195"/>
        <v>165930.77414720639</v>
      </c>
      <c r="W982" s="97">
        <f t="shared" si="191"/>
        <v>171207.37276508755</v>
      </c>
      <c r="X982" s="97">
        <f t="shared" si="192"/>
        <v>177713.25293016087</v>
      </c>
      <c r="Y982" s="97">
        <v>255689.1</v>
      </c>
      <c r="Z982" s="97">
        <f t="shared" si="189"/>
        <v>270058.82741999999</v>
      </c>
      <c r="AA982" s="97">
        <f t="shared" si="190"/>
        <v>305490.54557750397</v>
      </c>
    </row>
    <row r="983" spans="1:27" x14ac:dyDescent="0.25">
      <c r="A983" s="86" t="s">
        <v>2284</v>
      </c>
      <c r="B983" s="87" t="s">
        <v>2285</v>
      </c>
      <c r="C983" s="88" t="s">
        <v>226</v>
      </c>
      <c r="D983" s="89" t="s">
        <v>262</v>
      </c>
      <c r="E983" s="90">
        <f t="shared" si="196"/>
        <v>554576</v>
      </c>
      <c r="F983" s="90">
        <f t="shared" si="186"/>
        <v>466030.10211811203</v>
      </c>
      <c r="G983" s="91">
        <v>0.19</v>
      </c>
      <c r="H983" s="91"/>
      <c r="I983" s="91" t="s">
        <v>228</v>
      </c>
      <c r="J983" s="91"/>
      <c r="K983" s="91"/>
      <c r="L983" s="92" t="s">
        <v>1442</v>
      </c>
      <c r="M983" s="91" t="str">
        <f t="shared" si="187"/>
        <v>VER ARCHIVO ANEXO</v>
      </c>
      <c r="N983" s="93">
        <v>41608</v>
      </c>
      <c r="O983" s="94">
        <v>351510</v>
      </c>
      <c r="P983" s="94" t="s">
        <v>1443</v>
      </c>
      <c r="Q983" s="94">
        <v>840</v>
      </c>
      <c r="R983" s="95">
        <f t="shared" si="188"/>
        <v>466030.10211811203</v>
      </c>
      <c r="S983" s="94">
        <v>215380.60159999999</v>
      </c>
      <c r="T983" s="94">
        <f t="shared" si="193"/>
        <v>229961.86832832001</v>
      </c>
      <c r="U983" s="94">
        <f t="shared" si="194"/>
        <v>243184.67575719842</v>
      </c>
      <c r="V983" s="94">
        <f t="shared" si="195"/>
        <v>253130.92899566781</v>
      </c>
      <c r="W983" s="97">
        <f t="shared" si="191"/>
        <v>261180.49253773005</v>
      </c>
      <c r="X983" s="97">
        <f t="shared" si="192"/>
        <v>271105.35125416378</v>
      </c>
      <c r="Y983" s="97">
        <v>390057.3</v>
      </c>
      <c r="Z983" s="97">
        <f t="shared" si="189"/>
        <v>411978.52026000002</v>
      </c>
      <c r="AA983" s="97">
        <f t="shared" si="190"/>
        <v>466030.10211811203</v>
      </c>
    </row>
    <row r="984" spans="1:27" x14ac:dyDescent="0.25">
      <c r="A984" s="86" t="s">
        <v>2286</v>
      </c>
      <c r="B984" s="87" t="s">
        <v>2287</v>
      </c>
      <c r="C984" s="88" t="s">
        <v>226</v>
      </c>
      <c r="D984" s="89" t="s">
        <v>262</v>
      </c>
      <c r="E984" s="90">
        <f t="shared" si="196"/>
        <v>455190</v>
      </c>
      <c r="F984" s="90">
        <f t="shared" ref="F984:F1047" si="197">R984</f>
        <v>382512.92963788804</v>
      </c>
      <c r="G984" s="91">
        <v>0.19</v>
      </c>
      <c r="H984" s="91"/>
      <c r="I984" s="91" t="s">
        <v>228</v>
      </c>
      <c r="J984" s="91"/>
      <c r="K984" s="91"/>
      <c r="L984" s="92" t="s">
        <v>1442</v>
      </c>
      <c r="M984" s="91" t="str">
        <f t="shared" ref="M984:M1047" si="198">+IF(L984="no aplica","no aplica","VER ARCHIVO ANEXO")</f>
        <v>VER ARCHIVO ANEXO</v>
      </c>
      <c r="N984" s="93">
        <v>41608</v>
      </c>
      <c r="O984" s="94">
        <v>288516</v>
      </c>
      <c r="P984" s="94" t="s">
        <v>1443</v>
      </c>
      <c r="Q984" s="94">
        <v>841</v>
      </c>
      <c r="R984" s="95">
        <f t="shared" si="188"/>
        <v>382512.92963788804</v>
      </c>
      <c r="S984" s="94">
        <v>176780.7274</v>
      </c>
      <c r="T984" s="94">
        <f t="shared" si="193"/>
        <v>188748.78264498003</v>
      </c>
      <c r="U984" s="94">
        <f t="shared" si="194"/>
        <v>199601.83764706639</v>
      </c>
      <c r="V984" s="94">
        <f t="shared" si="195"/>
        <v>207765.5528068314</v>
      </c>
      <c r="W984" s="97">
        <f t="shared" si="191"/>
        <v>214372.49738608865</v>
      </c>
      <c r="X984" s="97">
        <f t="shared" si="192"/>
        <v>222518.65228676004</v>
      </c>
      <c r="Y984" s="97">
        <v>320155.2</v>
      </c>
      <c r="Z984" s="97">
        <f t="shared" si="189"/>
        <v>338147.92224000004</v>
      </c>
      <c r="AA984" s="97">
        <f t="shared" si="190"/>
        <v>382512.92963788804</v>
      </c>
    </row>
    <row r="985" spans="1:27" x14ac:dyDescent="0.25">
      <c r="A985" s="86" t="s">
        <v>2288</v>
      </c>
      <c r="B985" s="87" t="s">
        <v>2289</v>
      </c>
      <c r="C985" s="88" t="s">
        <v>226</v>
      </c>
      <c r="D985" s="89" t="s">
        <v>262</v>
      </c>
      <c r="E985" s="90">
        <f t="shared" si="196"/>
        <v>565022</v>
      </c>
      <c r="F985" s="90">
        <f t="shared" si="197"/>
        <v>474808.81944585603</v>
      </c>
      <c r="G985" s="91">
        <v>0.19</v>
      </c>
      <c r="H985" s="91"/>
      <c r="I985" s="91" t="s">
        <v>228</v>
      </c>
      <c r="J985" s="91"/>
      <c r="K985" s="91"/>
      <c r="L985" s="92" t="s">
        <v>1442</v>
      </c>
      <c r="M985" s="91" t="str">
        <f t="shared" si="198"/>
        <v>VER ARCHIVO ANEXO</v>
      </c>
      <c r="N985" s="93">
        <v>41608</v>
      </c>
      <c r="O985" s="94">
        <v>358131</v>
      </c>
      <c r="P985" s="94" t="s">
        <v>1443</v>
      </c>
      <c r="Q985" s="94">
        <v>842</v>
      </c>
      <c r="R985" s="95">
        <f t="shared" si="188"/>
        <v>474808.81944585603</v>
      </c>
      <c r="S985" s="94">
        <v>219437.85399999999</v>
      </c>
      <c r="T985" s="94">
        <f t="shared" si="193"/>
        <v>234293.79671580001</v>
      </c>
      <c r="U985" s="94">
        <f t="shared" si="194"/>
        <v>247765.69002695853</v>
      </c>
      <c r="V985" s="94">
        <f t="shared" si="195"/>
        <v>257899.30674906113</v>
      </c>
      <c r="W985" s="97">
        <f t="shared" si="191"/>
        <v>266100.50470368128</v>
      </c>
      <c r="X985" s="97">
        <f t="shared" si="192"/>
        <v>276212.32388242119</v>
      </c>
      <c r="Y985" s="97">
        <v>397404.9</v>
      </c>
      <c r="Z985" s="97">
        <f t="shared" si="189"/>
        <v>419739.05538000003</v>
      </c>
      <c r="AA985" s="97">
        <f t="shared" si="190"/>
        <v>474808.81944585603</v>
      </c>
    </row>
    <row r="986" spans="1:27" x14ac:dyDescent="0.25">
      <c r="A986" s="86" t="s">
        <v>2290</v>
      </c>
      <c r="B986" s="87" t="s">
        <v>2291</v>
      </c>
      <c r="C986" s="88" t="s">
        <v>226</v>
      </c>
      <c r="D986" s="89" t="s">
        <v>227</v>
      </c>
      <c r="E986" s="90">
        <f t="shared" si="196"/>
        <v>0</v>
      </c>
      <c r="F986" s="90">
        <f t="shared" si="197"/>
        <v>0</v>
      </c>
      <c r="G986" s="91">
        <v>0.19</v>
      </c>
      <c r="H986" s="91"/>
      <c r="I986" s="91" t="s">
        <v>228</v>
      </c>
      <c r="J986" s="91"/>
      <c r="K986" s="91"/>
      <c r="L986" s="92" t="s">
        <v>1442</v>
      </c>
      <c r="M986" s="91" t="str">
        <f t="shared" si="198"/>
        <v>VER ARCHIVO ANEXO</v>
      </c>
      <c r="N986" s="93">
        <v>41608</v>
      </c>
      <c r="O986" s="94"/>
      <c r="P986" s="94"/>
      <c r="Q986" s="94"/>
      <c r="R986" s="95">
        <f t="shared" si="188"/>
        <v>0</v>
      </c>
      <c r="S986" s="94"/>
      <c r="T986" s="94"/>
      <c r="U986" s="94">
        <f t="shared" si="194"/>
        <v>0</v>
      </c>
      <c r="V986" s="94">
        <f t="shared" si="195"/>
        <v>0</v>
      </c>
      <c r="W986" s="97">
        <f t="shared" si="191"/>
        <v>0</v>
      </c>
      <c r="X986" s="97">
        <f t="shared" si="192"/>
        <v>0</v>
      </c>
      <c r="Y986" s="97">
        <f>+X986*(1+$Y$4)</f>
        <v>0</v>
      </c>
      <c r="Z986" s="97">
        <f t="shared" si="189"/>
        <v>0</v>
      </c>
      <c r="AA986" s="97">
        <f t="shared" si="190"/>
        <v>0</v>
      </c>
    </row>
    <row r="987" spans="1:27" x14ac:dyDescent="0.25">
      <c r="A987" s="86" t="s">
        <v>2292</v>
      </c>
      <c r="B987" s="87" t="s">
        <v>2293</v>
      </c>
      <c r="C987" s="88" t="s">
        <v>226</v>
      </c>
      <c r="D987" s="89" t="s">
        <v>262</v>
      </c>
      <c r="E987" s="90">
        <f t="shared" si="196"/>
        <v>0</v>
      </c>
      <c r="F987" s="90">
        <f t="shared" si="197"/>
        <v>0</v>
      </c>
      <c r="G987" s="91">
        <v>0.19</v>
      </c>
      <c r="H987" s="91"/>
      <c r="I987" s="91" t="s">
        <v>228</v>
      </c>
      <c r="J987" s="91"/>
      <c r="K987" s="91"/>
      <c r="L987" s="92" t="s">
        <v>1442</v>
      </c>
      <c r="M987" s="91" t="str">
        <f t="shared" si="198"/>
        <v>VER ARCHIVO ANEXO</v>
      </c>
      <c r="N987" s="93">
        <v>41608</v>
      </c>
      <c r="O987" s="94"/>
      <c r="P987" s="94"/>
      <c r="Q987" s="94"/>
      <c r="R987" s="95">
        <f t="shared" si="188"/>
        <v>0</v>
      </c>
      <c r="S987" s="94"/>
      <c r="T987" s="94"/>
      <c r="U987" s="94">
        <f t="shared" si="194"/>
        <v>0</v>
      </c>
      <c r="V987" s="94">
        <f t="shared" si="195"/>
        <v>0</v>
      </c>
      <c r="W987" s="97">
        <f t="shared" si="191"/>
        <v>0</v>
      </c>
      <c r="X987" s="97">
        <f t="shared" si="192"/>
        <v>0</v>
      </c>
      <c r="Y987" s="97">
        <f>+X987*(1+$Y$4)</f>
        <v>0</v>
      </c>
      <c r="Z987" s="97">
        <f t="shared" si="189"/>
        <v>0</v>
      </c>
      <c r="AA987" s="97">
        <f t="shared" si="190"/>
        <v>0</v>
      </c>
    </row>
    <row r="988" spans="1:27" x14ac:dyDescent="0.25">
      <c r="A988" s="86" t="s">
        <v>2294</v>
      </c>
      <c r="B988" s="98" t="s">
        <v>2295</v>
      </c>
      <c r="C988" s="99" t="s">
        <v>226</v>
      </c>
      <c r="D988" s="100" t="s">
        <v>255</v>
      </c>
      <c r="E988" s="90">
        <f t="shared" si="196"/>
        <v>16023</v>
      </c>
      <c r="F988" s="90">
        <f t="shared" si="197"/>
        <v>13464.857714111999</v>
      </c>
      <c r="G988" s="91">
        <v>0.19</v>
      </c>
      <c r="H988" s="91"/>
      <c r="I988" s="91" t="s">
        <v>228</v>
      </c>
      <c r="J988" s="91"/>
      <c r="K988" s="91"/>
      <c r="L988" s="92" t="s">
        <v>1768</v>
      </c>
      <c r="M988" s="91" t="str">
        <f t="shared" si="198"/>
        <v>VER ARCHIVO ANEXO</v>
      </c>
      <c r="N988" s="93">
        <v>41608</v>
      </c>
      <c r="O988" s="135">
        <f>51234/6</f>
        <v>8539</v>
      </c>
      <c r="P988" s="94" t="s">
        <v>1443</v>
      </c>
      <c r="Q988" s="94">
        <v>845</v>
      </c>
      <c r="R988" s="95">
        <f t="shared" si="188"/>
        <v>13464.857714111999</v>
      </c>
      <c r="S988" s="94">
        <v>5271.4684482758621</v>
      </c>
      <c r="T988" s="94">
        <f t="shared" si="193"/>
        <v>5628.346862224138</v>
      </c>
      <c r="U988" s="94">
        <f t="shared" si="194"/>
        <v>5951.9768068020267</v>
      </c>
      <c r="V988" s="94">
        <f t="shared" si="195"/>
        <v>6195.4126582002291</v>
      </c>
      <c r="W988" s="97">
        <f t="shared" si="191"/>
        <v>6392.4267807309971</v>
      </c>
      <c r="X988" s="97">
        <f t="shared" si="192"/>
        <v>6635.3389983987754</v>
      </c>
      <c r="Y988" s="97">
        <v>11269.8</v>
      </c>
      <c r="Z988" s="97">
        <f t="shared" si="189"/>
        <v>11903.162759999999</v>
      </c>
      <c r="AA988" s="97">
        <f t="shared" si="190"/>
        <v>13464.857714111999</v>
      </c>
    </row>
    <row r="989" spans="1:27" x14ac:dyDescent="0.25">
      <c r="A989" s="86" t="s">
        <v>2296</v>
      </c>
      <c r="B989" s="98" t="s">
        <v>2297</v>
      </c>
      <c r="C989" s="99" t="s">
        <v>226</v>
      </c>
      <c r="D989" s="100" t="s">
        <v>255</v>
      </c>
      <c r="E989" s="101">
        <f t="shared" si="196"/>
        <v>33719</v>
      </c>
      <c r="F989" s="90">
        <f t="shared" si="197"/>
        <v>28335.485857728003</v>
      </c>
      <c r="G989" s="91">
        <v>0.19</v>
      </c>
      <c r="H989" s="91"/>
      <c r="I989" s="91" t="s">
        <v>228</v>
      </c>
      <c r="J989" s="91"/>
      <c r="K989" s="91"/>
      <c r="L989" s="92" t="s">
        <v>1768</v>
      </c>
      <c r="M989" s="91" t="str">
        <f t="shared" si="198"/>
        <v>VER ARCHIVO ANEXO</v>
      </c>
      <c r="N989" s="93">
        <v>41608</v>
      </c>
      <c r="O989" s="135">
        <f>112131/6</f>
        <v>18688.5</v>
      </c>
      <c r="P989" s="94" t="s">
        <v>1443</v>
      </c>
      <c r="Q989" s="94">
        <v>846</v>
      </c>
      <c r="R989" s="95">
        <f t="shared" si="188"/>
        <v>28335.485857728003</v>
      </c>
      <c r="S989" s="94">
        <v>11531.281379310345</v>
      </c>
      <c r="T989" s="94">
        <f t="shared" si="193"/>
        <v>12311.949128689657</v>
      </c>
      <c r="U989" s="94">
        <f t="shared" si="194"/>
        <v>13019.886203589314</v>
      </c>
      <c r="V989" s="94">
        <f t="shared" si="195"/>
        <v>13552.399549316116</v>
      </c>
      <c r="W989" s="97">
        <f t="shared" si="191"/>
        <v>13983.365854984369</v>
      </c>
      <c r="X989" s="97">
        <f t="shared" si="192"/>
        <v>14514.733757473776</v>
      </c>
      <c r="Y989" s="97">
        <v>23716.2</v>
      </c>
      <c r="Z989" s="97">
        <f t="shared" si="189"/>
        <v>25049.050440000003</v>
      </c>
      <c r="AA989" s="97">
        <f t="shared" si="190"/>
        <v>28335.485857728003</v>
      </c>
    </row>
    <row r="990" spans="1:27" x14ac:dyDescent="0.25">
      <c r="A990" s="86" t="s">
        <v>2298</v>
      </c>
      <c r="B990" s="98" t="s">
        <v>2299</v>
      </c>
      <c r="C990" s="99" t="s">
        <v>226</v>
      </c>
      <c r="D990" s="100" t="s">
        <v>255</v>
      </c>
      <c r="E990" s="90">
        <f t="shared" si="196"/>
        <v>49848</v>
      </c>
      <c r="F990" s="90">
        <f t="shared" si="197"/>
        <v>41889.413931791998</v>
      </c>
      <c r="G990" s="91">
        <v>0.19</v>
      </c>
      <c r="H990" s="91"/>
      <c r="I990" s="91" t="s">
        <v>228</v>
      </c>
      <c r="J990" s="91"/>
      <c r="K990" s="91"/>
      <c r="L990" s="92" t="s">
        <v>1768</v>
      </c>
      <c r="M990" s="91" t="str">
        <f t="shared" si="198"/>
        <v>VER ARCHIVO ANEXO</v>
      </c>
      <c r="N990" s="93">
        <v>41608</v>
      </c>
      <c r="O990" s="135">
        <f>185009/6</f>
        <v>30834.833333333332</v>
      </c>
      <c r="P990" s="94" t="s">
        <v>1443</v>
      </c>
      <c r="Q990" s="94">
        <v>847</v>
      </c>
      <c r="R990" s="95">
        <f t="shared" si="188"/>
        <v>41889.413931791998</v>
      </c>
      <c r="S990" s="94">
        <v>19026.971724137933</v>
      </c>
      <c r="T990" s="94">
        <f t="shared" si="193"/>
        <v>20315.097709862071</v>
      </c>
      <c r="U990" s="94">
        <f t="shared" si="194"/>
        <v>21483.215828179142</v>
      </c>
      <c r="V990" s="94">
        <f t="shared" si="195"/>
        <v>22361.879355551668</v>
      </c>
      <c r="W990" s="97">
        <f t="shared" si="191"/>
        <v>23072.987119058213</v>
      </c>
      <c r="X990" s="97">
        <f t="shared" si="192"/>
        <v>23949.760629582426</v>
      </c>
      <c r="Y990" s="97">
        <v>35060.549999999996</v>
      </c>
      <c r="Z990" s="97">
        <f t="shared" si="189"/>
        <v>37030.95291</v>
      </c>
      <c r="AA990" s="97">
        <f t="shared" si="190"/>
        <v>41889.413931791998</v>
      </c>
    </row>
    <row r="991" spans="1:27" x14ac:dyDescent="0.25">
      <c r="A991" s="86" t="s">
        <v>2300</v>
      </c>
      <c r="B991" s="98" t="s">
        <v>2301</v>
      </c>
      <c r="C991" s="99" t="s">
        <v>226</v>
      </c>
      <c r="D991" s="100" t="s">
        <v>255</v>
      </c>
      <c r="E991" s="90">
        <f t="shared" si="196"/>
        <v>108845</v>
      </c>
      <c r="F991" s="90">
        <f t="shared" si="197"/>
        <v>91466.298869903985</v>
      </c>
      <c r="G991" s="91">
        <v>0.19</v>
      </c>
      <c r="H991" s="91"/>
      <c r="I991" s="91" t="s">
        <v>228</v>
      </c>
      <c r="J991" s="91"/>
      <c r="K991" s="91"/>
      <c r="L991" s="92" t="s">
        <v>1768</v>
      </c>
      <c r="M991" s="91" t="str">
        <f t="shared" si="198"/>
        <v>VER ARCHIVO ANEXO</v>
      </c>
      <c r="N991" s="93">
        <v>41608</v>
      </c>
      <c r="O991" s="135">
        <f>403970/6</f>
        <v>67328.333333333328</v>
      </c>
      <c r="P991" s="94" t="s">
        <v>1443</v>
      </c>
      <c r="Q991" s="94">
        <v>848</v>
      </c>
      <c r="R991" s="95">
        <f t="shared" si="188"/>
        <v>91466.298869903985</v>
      </c>
      <c r="S991" s="94">
        <v>41556.936551724139</v>
      </c>
      <c r="T991" s="94">
        <f t="shared" si="193"/>
        <v>44370.34115627587</v>
      </c>
      <c r="U991" s="94">
        <f t="shared" si="194"/>
        <v>46921.635772761736</v>
      </c>
      <c r="V991" s="94">
        <f t="shared" si="195"/>
        <v>48840.730675867686</v>
      </c>
      <c r="W991" s="97">
        <f t="shared" si="191"/>
        <v>50393.865911360284</v>
      </c>
      <c r="X991" s="97">
        <f t="shared" si="192"/>
        <v>52308.832815991977</v>
      </c>
      <c r="Y991" s="97">
        <v>76555.349999999991</v>
      </c>
      <c r="Z991" s="97">
        <f t="shared" si="189"/>
        <v>80857.760669999989</v>
      </c>
      <c r="AA991" s="97">
        <f t="shared" si="190"/>
        <v>91466.298869903985</v>
      </c>
    </row>
    <row r="992" spans="1:27" x14ac:dyDescent="0.25">
      <c r="A992" s="86" t="s">
        <v>2302</v>
      </c>
      <c r="B992" s="98" t="s">
        <v>2303</v>
      </c>
      <c r="C992" s="99" t="s">
        <v>226</v>
      </c>
      <c r="D992" s="100" t="s">
        <v>255</v>
      </c>
      <c r="E992" s="90">
        <f t="shared" si="196"/>
        <v>184370</v>
      </c>
      <c r="F992" s="90">
        <f t="shared" si="197"/>
        <v>154932.962696064</v>
      </c>
      <c r="G992" s="91">
        <v>0.19</v>
      </c>
      <c r="H992" s="91"/>
      <c r="I992" s="91" t="s">
        <v>228</v>
      </c>
      <c r="J992" s="91"/>
      <c r="K992" s="91"/>
      <c r="L992" s="92" t="s">
        <v>1768</v>
      </c>
      <c r="M992" s="91" t="str">
        <f t="shared" si="198"/>
        <v>VER ARCHIVO ANEXO</v>
      </c>
      <c r="N992" s="93">
        <v>41608</v>
      </c>
      <c r="O992" s="135">
        <f>684278/6</f>
        <v>114046.33333333333</v>
      </c>
      <c r="P992" s="94" t="s">
        <v>1443</v>
      </c>
      <c r="Q992" s="94">
        <v>849</v>
      </c>
      <c r="R992" s="95">
        <f t="shared" si="188"/>
        <v>154932.962696064</v>
      </c>
      <c r="S992" s="94">
        <v>70368.161206896548</v>
      </c>
      <c r="T992" s="94">
        <f t="shared" si="193"/>
        <v>75132.085720603456</v>
      </c>
      <c r="U992" s="94">
        <f t="shared" si="194"/>
        <v>79452.180649538161</v>
      </c>
      <c r="V992" s="94">
        <f t="shared" si="195"/>
        <v>82701.774838104262</v>
      </c>
      <c r="W992" s="97">
        <f t="shared" si="191"/>
        <v>85331.691277955979</v>
      </c>
      <c r="X992" s="97">
        <f t="shared" si="192"/>
        <v>88574.295546518304</v>
      </c>
      <c r="Y992" s="97">
        <v>129675.59999999999</v>
      </c>
      <c r="Z992" s="97">
        <f t="shared" si="189"/>
        <v>136963.36872</v>
      </c>
      <c r="AA992" s="97">
        <f t="shared" si="190"/>
        <v>154932.962696064</v>
      </c>
    </row>
    <row r="993" spans="1:27" x14ac:dyDescent="0.25">
      <c r="A993" s="86" t="s">
        <v>2304</v>
      </c>
      <c r="B993" s="98" t="s">
        <v>2305</v>
      </c>
      <c r="C993" s="99" t="s">
        <v>226</v>
      </c>
      <c r="D993" s="100" t="s">
        <v>255</v>
      </c>
      <c r="E993" s="90">
        <f t="shared" si="196"/>
        <v>290236</v>
      </c>
      <c r="F993" s="90">
        <f t="shared" si="197"/>
        <v>243895.97225448</v>
      </c>
      <c r="G993" s="91">
        <v>0.19</v>
      </c>
      <c r="H993" s="91"/>
      <c r="I993" s="91" t="s">
        <v>228</v>
      </c>
      <c r="J993" s="91"/>
      <c r="K993" s="91"/>
      <c r="L993" s="92" t="s">
        <v>1768</v>
      </c>
      <c r="M993" s="91" t="str">
        <f t="shared" si="198"/>
        <v>VER ARCHIVO ANEXO</v>
      </c>
      <c r="N993" s="93">
        <v>41608</v>
      </c>
      <c r="O993" s="135">
        <f>1077193/6</f>
        <v>179532.16666666666</v>
      </c>
      <c r="P993" s="94" t="s">
        <v>1443</v>
      </c>
      <c r="Q993" s="94">
        <v>850</v>
      </c>
      <c r="R993" s="95">
        <f t="shared" si="188"/>
        <v>243895.97225448</v>
      </c>
      <c r="S993" s="94">
        <v>110772.32706896552</v>
      </c>
      <c r="T993" s="94">
        <f t="shared" si="193"/>
        <v>118271.6136115345</v>
      </c>
      <c r="U993" s="94">
        <f t="shared" si="194"/>
        <v>125072.23139419775</v>
      </c>
      <c r="V993" s="94">
        <f t="shared" si="195"/>
        <v>130187.68565822043</v>
      </c>
      <c r="W993" s="97">
        <f t="shared" si="191"/>
        <v>134327.65406215185</v>
      </c>
      <c r="X993" s="97">
        <f t="shared" si="192"/>
        <v>139432.10491651364</v>
      </c>
      <c r="Y993" s="97">
        <v>204135.75</v>
      </c>
      <c r="Z993" s="97">
        <f t="shared" si="189"/>
        <v>215608.17915000001</v>
      </c>
      <c r="AA993" s="97">
        <f t="shared" si="190"/>
        <v>243895.97225448</v>
      </c>
    </row>
    <row r="994" spans="1:27" x14ac:dyDescent="0.25">
      <c r="A994" s="86" t="s">
        <v>2306</v>
      </c>
      <c r="B994" s="98" t="s">
        <v>2307</v>
      </c>
      <c r="C994" s="99" t="s">
        <v>226</v>
      </c>
      <c r="D994" s="100" t="s">
        <v>255</v>
      </c>
      <c r="E994" s="90">
        <f t="shared" si="196"/>
        <v>406096</v>
      </c>
      <c r="F994" s="90">
        <f t="shared" si="197"/>
        <v>341257.22353867203</v>
      </c>
      <c r="G994" s="91">
        <v>0.19</v>
      </c>
      <c r="H994" s="91"/>
      <c r="I994" s="91" t="s">
        <v>228</v>
      </c>
      <c r="J994" s="91"/>
      <c r="K994" s="91"/>
      <c r="L994" s="92" t="s">
        <v>1768</v>
      </c>
      <c r="M994" s="91" t="str">
        <f t="shared" si="198"/>
        <v>VER ARCHIVO ANEXO</v>
      </c>
      <c r="N994" s="93">
        <v>41608</v>
      </c>
      <c r="O994" s="135">
        <f>1507198/6</f>
        <v>251199.66666666666</v>
      </c>
      <c r="P994" s="94" t="s">
        <v>1443</v>
      </c>
      <c r="Q994" s="94">
        <v>851</v>
      </c>
      <c r="R994" s="95">
        <f t="shared" si="188"/>
        <v>341257.22353867203</v>
      </c>
      <c r="S994" s="94">
        <v>154991.35965517242</v>
      </c>
      <c r="T994" s="94">
        <f t="shared" si="193"/>
        <v>165484.2747038276</v>
      </c>
      <c r="U994" s="94">
        <f t="shared" si="194"/>
        <v>174999.62049929771</v>
      </c>
      <c r="V994" s="94">
        <f t="shared" si="195"/>
        <v>182157.10497771899</v>
      </c>
      <c r="W994" s="97">
        <f t="shared" si="191"/>
        <v>187949.70091601045</v>
      </c>
      <c r="X994" s="97">
        <f t="shared" si="192"/>
        <v>195091.78955081885</v>
      </c>
      <c r="Y994" s="97">
        <v>285625.05</v>
      </c>
      <c r="Z994" s="97">
        <f t="shared" si="189"/>
        <v>301677.17781000002</v>
      </c>
      <c r="AA994" s="97">
        <f t="shared" si="190"/>
        <v>341257.22353867203</v>
      </c>
    </row>
    <row r="995" spans="1:27" x14ac:dyDescent="0.25">
      <c r="A995" s="86" t="s">
        <v>2308</v>
      </c>
      <c r="B995" s="98" t="s">
        <v>2309</v>
      </c>
      <c r="C995" s="99" t="s">
        <v>226</v>
      </c>
      <c r="D995" s="100" t="s">
        <v>255</v>
      </c>
      <c r="E995" s="90">
        <f t="shared" si="196"/>
        <v>503609</v>
      </c>
      <c r="F995" s="90">
        <f t="shared" si="197"/>
        <v>423200.52096638398</v>
      </c>
      <c r="G995" s="91">
        <v>0.19</v>
      </c>
      <c r="H995" s="91"/>
      <c r="I995" s="91" t="s">
        <v>228</v>
      </c>
      <c r="J995" s="91"/>
      <c r="K995" s="91"/>
      <c r="L995" s="92" t="s">
        <v>1768</v>
      </c>
      <c r="M995" s="91" t="str">
        <f t="shared" si="198"/>
        <v>VER ARCHIVO ANEXO</v>
      </c>
      <c r="N995" s="93">
        <v>41608</v>
      </c>
      <c r="O995" s="135">
        <f>1869111/6</f>
        <v>311518.5</v>
      </c>
      <c r="P995" s="94" t="s">
        <v>1443</v>
      </c>
      <c r="Q995" s="94">
        <v>852</v>
      </c>
      <c r="R995" s="95">
        <f t="shared" si="188"/>
        <v>423200.52096638398</v>
      </c>
      <c r="S995" s="94">
        <v>192207.98051724138</v>
      </c>
      <c r="T995" s="94">
        <f t="shared" si="193"/>
        <v>205220.46079825863</v>
      </c>
      <c r="U995" s="94">
        <f t="shared" si="194"/>
        <v>217020.63729415851</v>
      </c>
      <c r="V995" s="94">
        <f t="shared" si="195"/>
        <v>225896.78135948957</v>
      </c>
      <c r="W995" s="97">
        <f t="shared" si="191"/>
        <v>233080.29900672135</v>
      </c>
      <c r="X995" s="97">
        <f t="shared" si="192"/>
        <v>241937.35036897677</v>
      </c>
      <c r="Y995" s="97">
        <v>354209.85</v>
      </c>
      <c r="Z995" s="97">
        <f t="shared" si="189"/>
        <v>374116.44357</v>
      </c>
      <c r="AA995" s="97">
        <f t="shared" si="190"/>
        <v>423200.52096638398</v>
      </c>
    </row>
    <row r="996" spans="1:27" x14ac:dyDescent="0.25">
      <c r="A996" s="86" t="s">
        <v>2310</v>
      </c>
      <c r="B996" s="98" t="s">
        <v>2311</v>
      </c>
      <c r="C996" s="99" t="s">
        <v>226</v>
      </c>
      <c r="D996" s="100" t="s">
        <v>255</v>
      </c>
      <c r="E996" s="90">
        <f t="shared" si="196"/>
        <v>660994</v>
      </c>
      <c r="F996" s="90">
        <f t="shared" si="197"/>
        <v>555457.10194195202</v>
      </c>
      <c r="G996" s="91">
        <v>0.19</v>
      </c>
      <c r="H996" s="91"/>
      <c r="I996" s="91" t="s">
        <v>228</v>
      </c>
      <c r="J996" s="91"/>
      <c r="K996" s="91"/>
      <c r="L996" s="92" t="s">
        <v>1768</v>
      </c>
      <c r="M996" s="91" t="str">
        <f t="shared" si="198"/>
        <v>VER ARCHIVO ANEXO</v>
      </c>
      <c r="N996" s="93">
        <v>41608</v>
      </c>
      <c r="O996" s="135">
        <f>2453235/6</f>
        <v>408872.5</v>
      </c>
      <c r="P996" s="94" t="s">
        <v>1443</v>
      </c>
      <c r="Q996" s="94">
        <v>853</v>
      </c>
      <c r="R996" s="95">
        <f t="shared" si="188"/>
        <v>555457.10194195202</v>
      </c>
      <c r="S996" s="94">
        <v>252278.05689655175</v>
      </c>
      <c r="T996" s="94">
        <f t="shared" si="193"/>
        <v>269357.2813484483</v>
      </c>
      <c r="U996" s="94">
        <f t="shared" si="194"/>
        <v>284845.32502598409</v>
      </c>
      <c r="V996" s="94">
        <f t="shared" si="195"/>
        <v>296495.49881954683</v>
      </c>
      <c r="W996" s="97">
        <f t="shared" si="191"/>
        <v>305924.05568200845</v>
      </c>
      <c r="X996" s="97">
        <f t="shared" si="192"/>
        <v>317549.16979792475</v>
      </c>
      <c r="Y996" s="97">
        <v>464905.8</v>
      </c>
      <c r="Z996" s="97">
        <f t="shared" si="189"/>
        <v>491033.50595999998</v>
      </c>
      <c r="AA996" s="97">
        <f t="shared" si="190"/>
        <v>555457.10194195202</v>
      </c>
    </row>
    <row r="997" spans="1:27" x14ac:dyDescent="0.25">
      <c r="A997" s="86" t="s">
        <v>2312</v>
      </c>
      <c r="B997" s="87" t="s">
        <v>2313</v>
      </c>
      <c r="C997" s="88" t="s">
        <v>226</v>
      </c>
      <c r="D997" s="89" t="s">
        <v>255</v>
      </c>
      <c r="E997" s="90">
        <f t="shared" si="196"/>
        <v>848374</v>
      </c>
      <c r="F997" s="90">
        <f t="shared" si="197"/>
        <v>712919.69870385597</v>
      </c>
      <c r="G997" s="91">
        <v>0.19</v>
      </c>
      <c r="H997" s="91"/>
      <c r="I997" s="91" t="s">
        <v>228</v>
      </c>
      <c r="J997" s="91"/>
      <c r="K997" s="91"/>
      <c r="L997" s="92" t="s">
        <v>1768</v>
      </c>
      <c r="M997" s="91" t="str">
        <f t="shared" si="198"/>
        <v>VER ARCHIVO ANEXO</v>
      </c>
      <c r="N997" s="93">
        <v>41608</v>
      </c>
      <c r="O997" s="135">
        <f>3148684/6</f>
        <v>524780.66666666663</v>
      </c>
      <c r="P997" s="94" t="s">
        <v>1443</v>
      </c>
      <c r="Q997" s="94">
        <v>854</v>
      </c>
      <c r="R997" s="95">
        <f t="shared" si="188"/>
        <v>712919.69870385597</v>
      </c>
      <c r="S997" s="94">
        <v>263639.51459999999</v>
      </c>
      <c r="T997" s="94">
        <f t="shared" si="193"/>
        <v>281487.90973842004</v>
      </c>
      <c r="U997" s="94">
        <f t="shared" si="194"/>
        <v>297673.46454837924</v>
      </c>
      <c r="V997" s="94">
        <f t="shared" si="195"/>
        <v>309848.30924840795</v>
      </c>
      <c r="W997" s="97">
        <f t="shared" si="191"/>
        <v>319701.48548250733</v>
      </c>
      <c r="X997" s="97">
        <f t="shared" si="192"/>
        <v>331850.1419308426</v>
      </c>
      <c r="Y997" s="97">
        <v>596698.65</v>
      </c>
      <c r="Z997" s="97">
        <f t="shared" si="189"/>
        <v>630233.11413</v>
      </c>
      <c r="AA997" s="97">
        <f t="shared" si="190"/>
        <v>712919.69870385597</v>
      </c>
    </row>
    <row r="998" spans="1:27" x14ac:dyDescent="0.25">
      <c r="A998" s="86" t="s">
        <v>2314</v>
      </c>
      <c r="B998" s="87" t="s">
        <v>2315</v>
      </c>
      <c r="C998" s="88" t="s">
        <v>226</v>
      </c>
      <c r="D998" s="89" t="s">
        <v>255</v>
      </c>
      <c r="E998" s="90">
        <f t="shared" si="196"/>
        <v>1056747</v>
      </c>
      <c r="F998" s="90">
        <f t="shared" si="197"/>
        <v>888022.52792063996</v>
      </c>
      <c r="G998" s="91">
        <v>0.19</v>
      </c>
      <c r="H998" s="91"/>
      <c r="I998" s="91" t="s">
        <v>228</v>
      </c>
      <c r="J998" s="91"/>
      <c r="K998" s="91"/>
      <c r="L998" s="92" t="s">
        <v>1768</v>
      </c>
      <c r="M998" s="91" t="str">
        <f t="shared" si="198"/>
        <v>VER ARCHIVO ANEXO</v>
      </c>
      <c r="N998" s="93">
        <v>41608</v>
      </c>
      <c r="O998" s="135">
        <f>3922046/6</f>
        <v>653674.33333333337</v>
      </c>
      <c r="P998" s="94" t="s">
        <v>1443</v>
      </c>
      <c r="Q998" s="94">
        <v>855</v>
      </c>
      <c r="R998" s="95">
        <f t="shared" si="188"/>
        <v>888022.52792063996</v>
      </c>
      <c r="S998" s="94">
        <v>336949.93979999999</v>
      </c>
      <c r="T998" s="94">
        <f t="shared" si="193"/>
        <v>359761.45072446001</v>
      </c>
      <c r="U998" s="94">
        <f t="shared" si="194"/>
        <v>380447.7341411165</v>
      </c>
      <c r="V998" s="94">
        <f t="shared" si="195"/>
        <v>396008.04646748811</v>
      </c>
      <c r="W998" s="97">
        <f t="shared" si="191"/>
        <v>408601.10234515427</v>
      </c>
      <c r="X998" s="97">
        <f t="shared" si="192"/>
        <v>424127.94423427014</v>
      </c>
      <c r="Y998" s="97">
        <v>743256</v>
      </c>
      <c r="Z998" s="97">
        <f t="shared" si="189"/>
        <v>785026.98719999997</v>
      </c>
      <c r="AA998" s="97">
        <f t="shared" si="190"/>
        <v>888022.52792063996</v>
      </c>
    </row>
    <row r="999" spans="1:27" x14ac:dyDescent="0.25">
      <c r="A999" s="86" t="s">
        <v>2316</v>
      </c>
      <c r="B999" s="87" t="s">
        <v>2317</v>
      </c>
      <c r="C999" s="88" t="s">
        <v>226</v>
      </c>
      <c r="D999" s="89" t="s">
        <v>255</v>
      </c>
      <c r="E999" s="90">
        <f t="shared" si="196"/>
        <v>1703579</v>
      </c>
      <c r="F999" s="90">
        <f t="shared" si="197"/>
        <v>1431578.6111040961</v>
      </c>
      <c r="G999" s="91">
        <v>0.19</v>
      </c>
      <c r="H999" s="91"/>
      <c r="I999" s="91" t="s">
        <v>228</v>
      </c>
      <c r="J999" s="91"/>
      <c r="K999" s="91"/>
      <c r="L999" s="92" t="s">
        <v>1768</v>
      </c>
      <c r="M999" s="91" t="str">
        <f t="shared" si="198"/>
        <v>VER ARCHIVO ANEXO</v>
      </c>
      <c r="N999" s="93">
        <v>41608</v>
      </c>
      <c r="O999" s="135">
        <f>5795825/6</f>
        <v>965970.83333333337</v>
      </c>
      <c r="P999" s="94" t="s">
        <v>1443</v>
      </c>
      <c r="Q999" s="94">
        <v>856</v>
      </c>
      <c r="R999" s="95">
        <f t="shared" si="188"/>
        <v>1431578.6111040961</v>
      </c>
      <c r="S999" s="94">
        <v>497929.77340000001</v>
      </c>
      <c r="T999" s="94">
        <f t="shared" si="193"/>
        <v>531639.61905918003</v>
      </c>
      <c r="U999" s="94">
        <f t="shared" si="194"/>
        <v>562208.8971550829</v>
      </c>
      <c r="V999" s="94">
        <f t="shared" si="195"/>
        <v>585203.24104872579</v>
      </c>
      <c r="W999" s="97">
        <f t="shared" si="191"/>
        <v>603812.70411407528</v>
      </c>
      <c r="X999" s="97">
        <f t="shared" si="192"/>
        <v>626757.58687041013</v>
      </c>
      <c r="Y999" s="97">
        <v>1198200.8999999999</v>
      </c>
      <c r="Z999" s="97">
        <f t="shared" si="189"/>
        <v>1265539.79058</v>
      </c>
      <c r="AA999" s="97">
        <f t="shared" si="190"/>
        <v>1431578.6111040961</v>
      </c>
    </row>
    <row r="1000" spans="1:27" x14ac:dyDescent="0.25">
      <c r="A1000" s="86" t="s">
        <v>2318</v>
      </c>
      <c r="B1000" s="87" t="s">
        <v>2319</v>
      </c>
      <c r="C1000" s="88" t="s">
        <v>226</v>
      </c>
      <c r="D1000" s="89" t="s">
        <v>255</v>
      </c>
      <c r="E1000" s="90">
        <f t="shared" si="196"/>
        <v>54731</v>
      </c>
      <c r="F1000" s="90">
        <f t="shared" si="197"/>
        <v>45992.706666666665</v>
      </c>
      <c r="G1000" s="91">
        <v>0.19</v>
      </c>
      <c r="H1000" s="91"/>
      <c r="I1000" s="91" t="s">
        <v>228</v>
      </c>
      <c r="J1000" s="91"/>
      <c r="K1000" s="91"/>
      <c r="L1000" s="92" t="s">
        <v>2320</v>
      </c>
      <c r="M1000" s="91" t="str">
        <f t="shared" si="198"/>
        <v>VER ARCHIVO ANEXO</v>
      </c>
      <c r="N1000" s="93">
        <v>41608</v>
      </c>
      <c r="O1000" s="94">
        <f>112131/6</f>
        <v>18688.5</v>
      </c>
      <c r="P1000" s="94" t="s">
        <v>1443</v>
      </c>
      <c r="Q1000" s="94">
        <v>857</v>
      </c>
      <c r="R1000" s="95">
        <f t="shared" si="188"/>
        <v>45992.706666666665</v>
      </c>
      <c r="S1000" s="94">
        <v>9633.1237999999994</v>
      </c>
      <c r="T1000" s="94">
        <f t="shared" si="193"/>
        <v>10285.28628126</v>
      </c>
      <c r="U1000" s="94">
        <f t="shared" si="194"/>
        <v>10876.690242432451</v>
      </c>
      <c r="V1000" s="94">
        <f t="shared" si="195"/>
        <v>11321.546873347937</v>
      </c>
      <c r="W1000" s="97">
        <f t="shared" si="191"/>
        <v>11681.572063920403</v>
      </c>
      <c r="X1000" s="97">
        <f t="shared" si="192"/>
        <v>12125.471802349379</v>
      </c>
      <c r="Y1000" s="97">
        <v>23716.2</v>
      </c>
      <c r="Z1000" s="97">
        <v>40658.333333333336</v>
      </c>
      <c r="AA1000" s="97">
        <f t="shared" si="190"/>
        <v>45992.706666666665</v>
      </c>
    </row>
    <row r="1001" spans="1:27" x14ac:dyDescent="0.25">
      <c r="A1001" s="86" t="s">
        <v>2321</v>
      </c>
      <c r="B1001" s="98" t="s">
        <v>2322</v>
      </c>
      <c r="C1001" s="99" t="s">
        <v>226</v>
      </c>
      <c r="D1001" s="100" t="s">
        <v>255</v>
      </c>
      <c r="E1001" s="90">
        <f t="shared" si="196"/>
        <v>72292</v>
      </c>
      <c r="F1001" s="90">
        <f t="shared" si="197"/>
        <v>60749.210666666666</v>
      </c>
      <c r="G1001" s="91">
        <v>0.19</v>
      </c>
      <c r="H1001" s="91"/>
      <c r="I1001" s="91" t="s">
        <v>228</v>
      </c>
      <c r="J1001" s="91"/>
      <c r="K1001" s="91"/>
      <c r="L1001" s="92" t="s">
        <v>2320</v>
      </c>
      <c r="M1001" s="91" t="str">
        <f t="shared" si="198"/>
        <v>VER ARCHIVO ANEXO</v>
      </c>
      <c r="N1001" s="93">
        <v>41608</v>
      </c>
      <c r="O1001" s="94">
        <f>185009/6</f>
        <v>30834.833333333332</v>
      </c>
      <c r="P1001" s="94" t="s">
        <v>1443</v>
      </c>
      <c r="Q1001" s="94">
        <v>858</v>
      </c>
      <c r="R1001" s="95">
        <f t="shared" si="188"/>
        <v>60749.210666666666</v>
      </c>
      <c r="S1001" s="94">
        <v>19048.418620689656</v>
      </c>
      <c r="T1001" s="94">
        <f t="shared" si="193"/>
        <v>20337.996561310349</v>
      </c>
      <c r="U1001" s="94">
        <f t="shared" si="194"/>
        <v>21507.431363585696</v>
      </c>
      <c r="V1001" s="94">
        <f t="shared" si="195"/>
        <v>22387.085306356348</v>
      </c>
      <c r="W1001" s="97">
        <f t="shared" si="191"/>
        <v>23098.994619098481</v>
      </c>
      <c r="X1001" s="97">
        <f t="shared" si="192"/>
        <v>23976.756414624226</v>
      </c>
      <c r="Y1001" s="97">
        <v>35060.549999999996</v>
      </c>
      <c r="Z1001" s="97">
        <v>53703.333333333336</v>
      </c>
      <c r="AA1001" s="97">
        <f t="shared" si="190"/>
        <v>60749.210666666666</v>
      </c>
    </row>
    <row r="1002" spans="1:27" x14ac:dyDescent="0.25">
      <c r="A1002" s="86" t="s">
        <v>2323</v>
      </c>
      <c r="B1002" s="98" t="s">
        <v>2324</v>
      </c>
      <c r="C1002" s="99" t="s">
        <v>226</v>
      </c>
      <c r="D1002" s="100" t="s">
        <v>255</v>
      </c>
      <c r="E1002" s="90">
        <f t="shared" si="196"/>
        <v>148523</v>
      </c>
      <c r="F1002" s="90">
        <f t="shared" si="197"/>
        <v>124808.87813333333</v>
      </c>
      <c r="G1002" s="91">
        <v>0.19</v>
      </c>
      <c r="H1002" s="91"/>
      <c r="I1002" s="91" t="s">
        <v>228</v>
      </c>
      <c r="J1002" s="91"/>
      <c r="K1002" s="91"/>
      <c r="L1002" s="92" t="s">
        <v>2320</v>
      </c>
      <c r="M1002" s="91" t="str">
        <f t="shared" si="198"/>
        <v>VER ARCHIVO ANEXO</v>
      </c>
      <c r="N1002" s="93">
        <v>41608</v>
      </c>
      <c r="O1002" s="94">
        <f>403970/6</f>
        <v>67328.333333333328</v>
      </c>
      <c r="P1002" s="94" t="s">
        <v>1443</v>
      </c>
      <c r="Q1002" s="94">
        <v>859</v>
      </c>
      <c r="R1002" s="95">
        <f t="shared" si="188"/>
        <v>124808.87813333333</v>
      </c>
      <c r="S1002" s="94">
        <v>41556.936551724139</v>
      </c>
      <c r="T1002" s="94">
        <f t="shared" si="193"/>
        <v>44370.34115627587</v>
      </c>
      <c r="U1002" s="94">
        <f t="shared" si="194"/>
        <v>46921.635772761736</v>
      </c>
      <c r="V1002" s="94">
        <f t="shared" si="195"/>
        <v>48840.730675867686</v>
      </c>
      <c r="W1002" s="97">
        <f t="shared" si="191"/>
        <v>50393.865911360284</v>
      </c>
      <c r="X1002" s="97">
        <f t="shared" si="192"/>
        <v>52308.832815991977</v>
      </c>
      <c r="Y1002" s="97">
        <v>76555.349999999991</v>
      </c>
      <c r="Z1002" s="97">
        <v>110333.16666666667</v>
      </c>
      <c r="AA1002" s="97">
        <f t="shared" si="190"/>
        <v>124808.87813333333</v>
      </c>
    </row>
    <row r="1003" spans="1:27" x14ac:dyDescent="0.25">
      <c r="A1003" s="86" t="s">
        <v>2325</v>
      </c>
      <c r="B1003" s="98" t="s">
        <v>2326</v>
      </c>
      <c r="C1003" s="99" t="s">
        <v>226</v>
      </c>
      <c r="D1003" s="100" t="s">
        <v>255</v>
      </c>
      <c r="E1003" s="90">
        <f t="shared" si="196"/>
        <v>251580</v>
      </c>
      <c r="F1003" s="90">
        <f t="shared" si="197"/>
        <v>211411.47626666666</v>
      </c>
      <c r="G1003" s="91">
        <v>0.19</v>
      </c>
      <c r="H1003" s="91"/>
      <c r="I1003" s="91" t="s">
        <v>228</v>
      </c>
      <c r="J1003" s="91"/>
      <c r="K1003" s="91"/>
      <c r="L1003" s="92" t="s">
        <v>2320</v>
      </c>
      <c r="M1003" s="91" t="str">
        <f t="shared" si="198"/>
        <v>VER ARCHIVO ANEXO</v>
      </c>
      <c r="N1003" s="93">
        <v>41608</v>
      </c>
      <c r="O1003" s="94">
        <f>684278/6</f>
        <v>114046.33333333333</v>
      </c>
      <c r="P1003" s="94" t="s">
        <v>1443</v>
      </c>
      <c r="Q1003" s="94">
        <v>860</v>
      </c>
      <c r="R1003" s="95">
        <f t="shared" si="188"/>
        <v>211411.47626666666</v>
      </c>
      <c r="S1003" s="94">
        <v>70368.161206896548</v>
      </c>
      <c r="T1003" s="94">
        <f t="shared" si="193"/>
        <v>75132.085720603456</v>
      </c>
      <c r="U1003" s="94">
        <f t="shared" si="194"/>
        <v>79452.180649538161</v>
      </c>
      <c r="V1003" s="94">
        <f t="shared" si="195"/>
        <v>82701.774838104262</v>
      </c>
      <c r="W1003" s="97">
        <f t="shared" si="191"/>
        <v>85331.691277955979</v>
      </c>
      <c r="X1003" s="97">
        <f t="shared" si="192"/>
        <v>88574.295546518304</v>
      </c>
      <c r="Y1003" s="97">
        <v>129675.59999999999</v>
      </c>
      <c r="Z1003" s="97">
        <v>186891.33333333334</v>
      </c>
      <c r="AA1003" s="97">
        <f t="shared" si="190"/>
        <v>211411.47626666666</v>
      </c>
    </row>
    <row r="1004" spans="1:27" x14ac:dyDescent="0.25">
      <c r="A1004" s="86" t="s">
        <v>2327</v>
      </c>
      <c r="B1004" s="98" t="s">
        <v>2328</v>
      </c>
      <c r="C1004" s="99" t="s">
        <v>226</v>
      </c>
      <c r="D1004" s="100" t="s">
        <v>255</v>
      </c>
      <c r="E1004" s="90">
        <f t="shared" si="196"/>
        <v>290236</v>
      </c>
      <c r="F1004" s="90">
        <f t="shared" si="197"/>
        <v>243895.97225448</v>
      </c>
      <c r="G1004" s="91">
        <v>0.19</v>
      </c>
      <c r="H1004" s="91"/>
      <c r="I1004" s="91" t="s">
        <v>228</v>
      </c>
      <c r="J1004" s="91"/>
      <c r="K1004" s="91"/>
      <c r="L1004" s="92" t="s">
        <v>2320</v>
      </c>
      <c r="M1004" s="91" t="str">
        <f t="shared" si="198"/>
        <v>VER ARCHIVO ANEXO</v>
      </c>
      <c r="N1004" s="93">
        <v>41608</v>
      </c>
      <c r="O1004" s="94">
        <f>1077193/6</f>
        <v>179532.16666666666</v>
      </c>
      <c r="P1004" s="94" t="s">
        <v>1443</v>
      </c>
      <c r="Q1004" s="94">
        <v>861</v>
      </c>
      <c r="R1004" s="95">
        <f t="shared" si="188"/>
        <v>243895.97225448</v>
      </c>
      <c r="S1004" s="94">
        <v>110772.32706896552</v>
      </c>
      <c r="T1004" s="94">
        <f t="shared" si="193"/>
        <v>118271.6136115345</v>
      </c>
      <c r="U1004" s="94">
        <f t="shared" si="194"/>
        <v>125072.23139419775</v>
      </c>
      <c r="V1004" s="94">
        <f t="shared" si="195"/>
        <v>130187.68565822043</v>
      </c>
      <c r="W1004" s="97">
        <f t="shared" si="191"/>
        <v>134327.65406215185</v>
      </c>
      <c r="X1004" s="97">
        <f t="shared" si="192"/>
        <v>139432.10491651364</v>
      </c>
      <c r="Y1004" s="97">
        <v>204135.75</v>
      </c>
      <c r="Z1004" s="97">
        <f t="shared" si="189"/>
        <v>215608.17915000001</v>
      </c>
      <c r="AA1004" s="97">
        <f t="shared" si="190"/>
        <v>243895.97225448</v>
      </c>
    </row>
    <row r="1005" spans="1:27" x14ac:dyDescent="0.25">
      <c r="A1005" s="86" t="s">
        <v>2329</v>
      </c>
      <c r="B1005" s="98" t="s">
        <v>2330</v>
      </c>
      <c r="C1005" s="99" t="s">
        <v>226</v>
      </c>
      <c r="D1005" s="100" t="s">
        <v>255</v>
      </c>
      <c r="E1005" s="90">
        <f t="shared" si="196"/>
        <v>406096</v>
      </c>
      <c r="F1005" s="90">
        <f t="shared" si="197"/>
        <v>341257.22353867203</v>
      </c>
      <c r="G1005" s="91">
        <v>0.19</v>
      </c>
      <c r="H1005" s="91"/>
      <c r="I1005" s="91" t="s">
        <v>228</v>
      </c>
      <c r="J1005" s="91"/>
      <c r="K1005" s="91"/>
      <c r="L1005" s="92" t="s">
        <v>2320</v>
      </c>
      <c r="M1005" s="91" t="str">
        <f t="shared" si="198"/>
        <v>VER ARCHIVO ANEXO</v>
      </c>
      <c r="N1005" s="93">
        <v>41608</v>
      </c>
      <c r="O1005" s="94">
        <f>1507198/6</f>
        <v>251199.66666666666</v>
      </c>
      <c r="P1005" s="94" t="s">
        <v>1443</v>
      </c>
      <c r="Q1005" s="94">
        <v>862</v>
      </c>
      <c r="R1005" s="95">
        <f t="shared" si="188"/>
        <v>341257.22353867203</v>
      </c>
      <c r="S1005" s="94">
        <v>154991.35965517242</v>
      </c>
      <c r="T1005" s="94">
        <f t="shared" si="193"/>
        <v>165484.2747038276</v>
      </c>
      <c r="U1005" s="94">
        <f t="shared" si="194"/>
        <v>174999.62049929771</v>
      </c>
      <c r="V1005" s="94">
        <f t="shared" si="195"/>
        <v>182157.10497771899</v>
      </c>
      <c r="W1005" s="97">
        <f t="shared" si="191"/>
        <v>187949.70091601045</v>
      </c>
      <c r="X1005" s="97">
        <f t="shared" si="192"/>
        <v>195091.78955081885</v>
      </c>
      <c r="Y1005" s="97">
        <v>285625.05</v>
      </c>
      <c r="Z1005" s="97">
        <f t="shared" si="189"/>
        <v>301677.17781000002</v>
      </c>
      <c r="AA1005" s="97">
        <f t="shared" si="190"/>
        <v>341257.22353867203</v>
      </c>
    </row>
    <row r="1006" spans="1:27" x14ac:dyDescent="0.25">
      <c r="A1006" s="86" t="s">
        <v>2331</v>
      </c>
      <c r="B1006" s="98" t="s">
        <v>2332</v>
      </c>
      <c r="C1006" s="99" t="s">
        <v>226</v>
      </c>
      <c r="D1006" s="100" t="s">
        <v>255</v>
      </c>
      <c r="E1006" s="90">
        <f t="shared" si="196"/>
        <v>503609</v>
      </c>
      <c r="F1006" s="90">
        <f t="shared" si="197"/>
        <v>423200.52096638398</v>
      </c>
      <c r="G1006" s="91">
        <v>0.19</v>
      </c>
      <c r="H1006" s="91"/>
      <c r="I1006" s="91" t="s">
        <v>228</v>
      </c>
      <c r="J1006" s="91"/>
      <c r="K1006" s="91"/>
      <c r="L1006" s="92" t="s">
        <v>2320</v>
      </c>
      <c r="M1006" s="91" t="str">
        <f t="shared" si="198"/>
        <v>VER ARCHIVO ANEXO</v>
      </c>
      <c r="N1006" s="93">
        <v>41608</v>
      </c>
      <c r="O1006" s="94">
        <f>1869111/6</f>
        <v>311518.5</v>
      </c>
      <c r="P1006" s="94" t="s">
        <v>1443</v>
      </c>
      <c r="Q1006" s="94">
        <v>863</v>
      </c>
      <c r="R1006" s="95">
        <f t="shared" si="188"/>
        <v>423200.52096638398</v>
      </c>
      <c r="S1006" s="94">
        <v>192207.98051724138</v>
      </c>
      <c r="T1006" s="94">
        <f t="shared" si="193"/>
        <v>205220.46079825863</v>
      </c>
      <c r="U1006" s="94">
        <f t="shared" si="194"/>
        <v>217020.63729415851</v>
      </c>
      <c r="V1006" s="94">
        <f t="shared" si="195"/>
        <v>225896.78135948957</v>
      </c>
      <c r="W1006" s="97">
        <f t="shared" si="191"/>
        <v>233080.29900672135</v>
      </c>
      <c r="X1006" s="97">
        <f t="shared" si="192"/>
        <v>241937.35036897677</v>
      </c>
      <c r="Y1006" s="97">
        <v>354209.85</v>
      </c>
      <c r="Z1006" s="97">
        <f t="shared" si="189"/>
        <v>374116.44357</v>
      </c>
      <c r="AA1006" s="97">
        <f t="shared" si="190"/>
        <v>423200.52096638398</v>
      </c>
    </row>
    <row r="1007" spans="1:27" x14ac:dyDescent="0.25">
      <c r="A1007" s="86" t="s">
        <v>2333</v>
      </c>
      <c r="B1007" s="98" t="s">
        <v>2334</v>
      </c>
      <c r="C1007" s="99" t="s">
        <v>226</v>
      </c>
      <c r="D1007" s="100" t="s">
        <v>255</v>
      </c>
      <c r="E1007" s="90">
        <f t="shared" si="196"/>
        <v>660994</v>
      </c>
      <c r="F1007" s="90">
        <f t="shared" si="197"/>
        <v>555457.10194195202</v>
      </c>
      <c r="G1007" s="91">
        <v>0.19</v>
      </c>
      <c r="H1007" s="91"/>
      <c r="I1007" s="91" t="s">
        <v>228</v>
      </c>
      <c r="J1007" s="91"/>
      <c r="K1007" s="91"/>
      <c r="L1007" s="92" t="s">
        <v>2320</v>
      </c>
      <c r="M1007" s="91" t="str">
        <f t="shared" si="198"/>
        <v>VER ARCHIVO ANEXO</v>
      </c>
      <c r="N1007" s="93">
        <v>41608</v>
      </c>
      <c r="O1007" s="94">
        <f>2453235/6</f>
        <v>408872.5</v>
      </c>
      <c r="P1007" s="94" t="s">
        <v>1443</v>
      </c>
      <c r="Q1007" s="94">
        <v>864</v>
      </c>
      <c r="R1007" s="95">
        <f t="shared" si="188"/>
        <v>555457.10194195202</v>
      </c>
      <c r="S1007" s="94">
        <v>252278.05689655175</v>
      </c>
      <c r="T1007" s="94">
        <f t="shared" si="193"/>
        <v>269357.2813484483</v>
      </c>
      <c r="U1007" s="94">
        <f t="shared" si="194"/>
        <v>284845.32502598409</v>
      </c>
      <c r="V1007" s="94">
        <f t="shared" si="195"/>
        <v>296495.49881954683</v>
      </c>
      <c r="W1007" s="97">
        <f t="shared" si="191"/>
        <v>305924.05568200845</v>
      </c>
      <c r="X1007" s="97">
        <f t="shared" si="192"/>
        <v>317549.16979792475</v>
      </c>
      <c r="Y1007" s="97">
        <v>464905.8</v>
      </c>
      <c r="Z1007" s="97">
        <f t="shared" si="189"/>
        <v>491033.50595999998</v>
      </c>
      <c r="AA1007" s="97">
        <f t="shared" si="190"/>
        <v>555457.10194195202</v>
      </c>
    </row>
    <row r="1008" spans="1:27" x14ac:dyDescent="0.25">
      <c r="A1008" s="86" t="s">
        <v>2335</v>
      </c>
      <c r="B1008" s="98" t="s">
        <v>2336</v>
      </c>
      <c r="C1008" s="99" t="s">
        <v>226</v>
      </c>
      <c r="D1008" s="100" t="s">
        <v>255</v>
      </c>
      <c r="E1008" s="90">
        <f t="shared" si="196"/>
        <v>848374</v>
      </c>
      <c r="F1008" s="90">
        <f t="shared" si="197"/>
        <v>712919.69870385597</v>
      </c>
      <c r="G1008" s="91">
        <v>0.19</v>
      </c>
      <c r="H1008" s="91"/>
      <c r="I1008" s="91" t="s">
        <v>228</v>
      </c>
      <c r="J1008" s="91"/>
      <c r="K1008" s="91"/>
      <c r="L1008" s="92" t="s">
        <v>2320</v>
      </c>
      <c r="M1008" s="91" t="str">
        <f t="shared" si="198"/>
        <v>VER ARCHIVO ANEXO</v>
      </c>
      <c r="N1008" s="93">
        <v>41608</v>
      </c>
      <c r="O1008" s="94">
        <f>3148684/6</f>
        <v>524780.66666666663</v>
      </c>
      <c r="P1008" s="94" t="s">
        <v>1443</v>
      </c>
      <c r="Q1008" s="94">
        <v>865</v>
      </c>
      <c r="R1008" s="95">
        <f t="shared" si="188"/>
        <v>712919.69870385597</v>
      </c>
      <c r="S1008" s="94">
        <v>324178.77758620691</v>
      </c>
      <c r="T1008" s="94">
        <f t="shared" si="193"/>
        <v>346125.68082879315</v>
      </c>
      <c r="U1008" s="94">
        <f t="shared" si="194"/>
        <v>366027.9074764488</v>
      </c>
      <c r="V1008" s="94">
        <f t="shared" si="195"/>
        <v>380998.44889223552</v>
      </c>
      <c r="W1008" s="97">
        <f t="shared" si="191"/>
        <v>393114.19956700865</v>
      </c>
      <c r="X1008" s="97">
        <f t="shared" si="192"/>
        <v>408052.53915055498</v>
      </c>
      <c r="Y1008" s="97">
        <v>596698.65</v>
      </c>
      <c r="Z1008" s="97">
        <f t="shared" si="189"/>
        <v>630233.11413</v>
      </c>
      <c r="AA1008" s="97">
        <f t="shared" si="190"/>
        <v>712919.69870385597</v>
      </c>
    </row>
    <row r="1009" spans="1:27" x14ac:dyDescent="0.25">
      <c r="A1009" s="86" t="s">
        <v>2337</v>
      </c>
      <c r="B1009" s="98" t="s">
        <v>2338</v>
      </c>
      <c r="C1009" s="99" t="s">
        <v>226</v>
      </c>
      <c r="D1009" s="100" t="s">
        <v>255</v>
      </c>
      <c r="E1009" s="90">
        <f t="shared" si="196"/>
        <v>1056747</v>
      </c>
      <c r="F1009" s="90">
        <f t="shared" si="197"/>
        <v>888022.52792063996</v>
      </c>
      <c r="G1009" s="91">
        <v>0.19</v>
      </c>
      <c r="H1009" s="91"/>
      <c r="I1009" s="91" t="s">
        <v>228</v>
      </c>
      <c r="J1009" s="91"/>
      <c r="K1009" s="91"/>
      <c r="L1009" s="92" t="s">
        <v>2320</v>
      </c>
      <c r="M1009" s="91" t="str">
        <f t="shared" si="198"/>
        <v>VER ARCHIVO ANEXO</v>
      </c>
      <c r="N1009" s="93">
        <v>41608</v>
      </c>
      <c r="O1009" s="94">
        <f>3922046/6</f>
        <v>653674.33333333337</v>
      </c>
      <c r="P1009" s="94" t="s">
        <v>1443</v>
      </c>
      <c r="Q1009" s="94">
        <v>866</v>
      </c>
      <c r="R1009" s="95">
        <f t="shared" si="188"/>
        <v>888022.52792063996</v>
      </c>
      <c r="S1009" s="94">
        <v>407947.67465517239</v>
      </c>
      <c r="T1009" s="94">
        <f t="shared" si="193"/>
        <v>435565.73222932761</v>
      </c>
      <c r="U1009" s="94">
        <f t="shared" si="194"/>
        <v>460610.76183251402</v>
      </c>
      <c r="V1009" s="94">
        <f t="shared" si="195"/>
        <v>479449.74199146382</v>
      </c>
      <c r="W1009" s="97">
        <f t="shared" si="191"/>
        <v>494696.24378679239</v>
      </c>
      <c r="X1009" s="97">
        <f t="shared" si="192"/>
        <v>513494.70105069049</v>
      </c>
      <c r="Y1009" s="97">
        <v>743256</v>
      </c>
      <c r="Z1009" s="97">
        <f t="shared" si="189"/>
        <v>785026.98719999997</v>
      </c>
      <c r="AA1009" s="97">
        <f t="shared" si="190"/>
        <v>888022.52792063996</v>
      </c>
    </row>
    <row r="1010" spans="1:27" x14ac:dyDescent="0.25">
      <c r="A1010" s="86" t="s">
        <v>2339</v>
      </c>
      <c r="B1010" s="136" t="s">
        <v>2340</v>
      </c>
      <c r="C1010" s="88" t="s">
        <v>226</v>
      </c>
      <c r="D1010" s="89" t="s">
        <v>255</v>
      </c>
      <c r="E1010" s="90">
        <f t="shared" si="196"/>
        <v>3926</v>
      </c>
      <c r="F1010" s="90">
        <f t="shared" si="197"/>
        <v>3299.5444987538781</v>
      </c>
      <c r="G1010" s="91">
        <v>0.19</v>
      </c>
      <c r="H1010" s="91"/>
      <c r="I1010" s="91" t="s">
        <v>228</v>
      </c>
      <c r="J1010" s="91"/>
      <c r="K1010" s="91"/>
      <c r="L1010" s="92" t="s">
        <v>1797</v>
      </c>
      <c r="M1010" s="91" t="str">
        <f t="shared" si="198"/>
        <v>VER ARCHIVO ANEXO</v>
      </c>
      <c r="N1010" s="93">
        <v>41608</v>
      </c>
      <c r="O1010" s="94">
        <v>2324</v>
      </c>
      <c r="P1010" s="94" t="s">
        <v>1443</v>
      </c>
      <c r="Q1010" s="94">
        <v>867</v>
      </c>
      <c r="R1010" s="95">
        <f t="shared" si="188"/>
        <v>3299.5444987538781</v>
      </c>
      <c r="S1010" s="94">
        <v>2159.2377999999999</v>
      </c>
      <c r="T1010" s="94">
        <f t="shared" si="193"/>
        <v>2305.41819906</v>
      </c>
      <c r="U1010" s="94">
        <f t="shared" si="194"/>
        <v>2437.9797455059502</v>
      </c>
      <c r="V1010" s="94">
        <f t="shared" si="195"/>
        <v>2537.6931170971434</v>
      </c>
      <c r="W1010" s="97">
        <f t="shared" si="191"/>
        <v>2618.3917582208328</v>
      </c>
      <c r="X1010" s="97">
        <f t="shared" si="192"/>
        <v>2717.8906450332247</v>
      </c>
      <c r="Y1010" s="97">
        <f>+X1010*(1+$Y$4)</f>
        <v>2761.6486844182596</v>
      </c>
      <c r="Z1010" s="97">
        <f t="shared" si="189"/>
        <v>2916.8533404825657</v>
      </c>
      <c r="AA1010" s="97">
        <f t="shared" si="190"/>
        <v>3299.5444987538781</v>
      </c>
    </row>
    <row r="1011" spans="1:27" x14ac:dyDescent="0.25">
      <c r="A1011" s="86" t="s">
        <v>2341</v>
      </c>
      <c r="B1011" s="136" t="s">
        <v>2342</v>
      </c>
      <c r="C1011" s="88" t="s">
        <v>226</v>
      </c>
      <c r="D1011" s="89" t="s">
        <v>255</v>
      </c>
      <c r="E1011" s="90">
        <f t="shared" si="196"/>
        <v>1774</v>
      </c>
      <c r="F1011" s="90">
        <f t="shared" si="197"/>
        <v>1490.5767514773879</v>
      </c>
      <c r="G1011" s="91">
        <v>0.19</v>
      </c>
      <c r="H1011" s="91"/>
      <c r="I1011" s="91" t="s">
        <v>228</v>
      </c>
      <c r="J1011" s="91"/>
      <c r="K1011" s="91"/>
      <c r="L1011" s="92" t="s">
        <v>1797</v>
      </c>
      <c r="M1011" s="91" t="str">
        <f t="shared" si="198"/>
        <v>VER ARCHIVO ANEXO</v>
      </c>
      <c r="N1011" s="93">
        <v>41608</v>
      </c>
      <c r="O1011" s="94">
        <v>1344</v>
      </c>
      <c r="P1011" s="94" t="s">
        <v>1443</v>
      </c>
      <c r="Q1011" s="94">
        <v>868</v>
      </c>
      <c r="R1011" s="95">
        <f t="shared" si="188"/>
        <v>1490.5767514773879</v>
      </c>
      <c r="S1011" s="94">
        <v>975.44060000000002</v>
      </c>
      <c r="T1011" s="94">
        <f t="shared" si="193"/>
        <v>1041.4779286200001</v>
      </c>
      <c r="U1011" s="94">
        <f t="shared" si="194"/>
        <v>1101.3629095156502</v>
      </c>
      <c r="V1011" s="94">
        <f t="shared" si="195"/>
        <v>1146.4086525148402</v>
      </c>
      <c r="W1011" s="97">
        <f t="shared" si="191"/>
        <v>1182.8644476648121</v>
      </c>
      <c r="X1011" s="97">
        <f t="shared" si="192"/>
        <v>1227.813296676075</v>
      </c>
      <c r="Y1011" s="97">
        <f>+X1011*(1+$Y$4)</f>
        <v>1247.5810907525597</v>
      </c>
      <c r="Z1011" s="97">
        <f t="shared" si="189"/>
        <v>1317.6951480528535</v>
      </c>
      <c r="AA1011" s="97">
        <f t="shared" si="190"/>
        <v>1490.5767514773879</v>
      </c>
    </row>
    <row r="1012" spans="1:27" x14ac:dyDescent="0.25">
      <c r="A1012" s="86" t="s">
        <v>2343</v>
      </c>
      <c r="B1012" s="87" t="s">
        <v>2344</v>
      </c>
      <c r="C1012" s="88" t="s">
        <v>226</v>
      </c>
      <c r="D1012" s="89" t="s">
        <v>262</v>
      </c>
      <c r="E1012" s="90">
        <f t="shared" si="196"/>
        <v>99774</v>
      </c>
      <c r="F1012" s="90">
        <f t="shared" si="197"/>
        <v>83844.062493407982</v>
      </c>
      <c r="G1012" s="91">
        <v>0.19</v>
      </c>
      <c r="H1012" s="91"/>
      <c r="I1012" s="91" t="s">
        <v>228</v>
      </c>
      <c r="J1012" s="91"/>
      <c r="K1012" s="91"/>
      <c r="L1012" s="92" t="s">
        <v>1797</v>
      </c>
      <c r="M1012" s="91" t="str">
        <f t="shared" si="198"/>
        <v>VER ARCHIVO ANEXO</v>
      </c>
      <c r="N1012" s="93">
        <v>41608</v>
      </c>
      <c r="O1012" s="94"/>
      <c r="P1012" s="94"/>
      <c r="Q1012" s="94">
        <v>869</v>
      </c>
      <c r="R1012" s="95">
        <f t="shared" si="188"/>
        <v>83844.062493407982</v>
      </c>
      <c r="S1012" s="94">
        <v>11489.6744</v>
      </c>
      <c r="T1012" s="94">
        <f t="shared" si="193"/>
        <v>12267.525356880002</v>
      </c>
      <c r="U1012" s="94">
        <f t="shared" si="194"/>
        <v>12972.908064900603</v>
      </c>
      <c r="V1012" s="94">
        <f t="shared" si="195"/>
        <v>13503.500004755037</v>
      </c>
      <c r="W1012" s="97">
        <f t="shared" si="191"/>
        <v>13932.911304906247</v>
      </c>
      <c r="X1012" s="97">
        <f t="shared" si="192"/>
        <v>14462.361934492685</v>
      </c>
      <c r="Y1012" s="97">
        <v>70175.7</v>
      </c>
      <c r="Z1012" s="97">
        <f t="shared" si="189"/>
        <v>74119.574339999992</v>
      </c>
      <c r="AA1012" s="97">
        <f t="shared" si="190"/>
        <v>83844.062493407982</v>
      </c>
    </row>
    <row r="1013" spans="1:27" x14ac:dyDescent="0.25">
      <c r="A1013" s="86" t="s">
        <v>2345</v>
      </c>
      <c r="B1013" s="87" t="s">
        <v>2346</v>
      </c>
      <c r="C1013" s="88" t="s">
        <v>226</v>
      </c>
      <c r="D1013" s="89" t="s">
        <v>262</v>
      </c>
      <c r="E1013" s="90">
        <f t="shared" si="196"/>
        <v>81781</v>
      </c>
      <c r="F1013" s="90">
        <f t="shared" si="197"/>
        <v>68723.248791456004</v>
      </c>
      <c r="G1013" s="91">
        <v>0.19</v>
      </c>
      <c r="H1013" s="91"/>
      <c r="I1013" s="91" t="s">
        <v>228</v>
      </c>
      <c r="J1013" s="91"/>
      <c r="K1013" s="91"/>
      <c r="L1013" s="92" t="s">
        <v>1797</v>
      </c>
      <c r="M1013" s="91" t="str">
        <f t="shared" si="198"/>
        <v>VER ARCHIVO ANEXO</v>
      </c>
      <c r="N1013" s="93">
        <v>41608</v>
      </c>
      <c r="O1013" s="94"/>
      <c r="P1013" s="94"/>
      <c r="Q1013" s="94">
        <v>870</v>
      </c>
      <c r="R1013" s="95">
        <f t="shared" si="188"/>
        <v>68723.248791456004</v>
      </c>
      <c r="S1013" s="94">
        <v>9138.6656000000003</v>
      </c>
      <c r="T1013" s="94">
        <f t="shared" si="193"/>
        <v>9757.3532611200008</v>
      </c>
      <c r="U1013" s="94">
        <f t="shared" si="194"/>
        <v>10318.401073634403</v>
      </c>
      <c r="V1013" s="94">
        <f t="shared" si="195"/>
        <v>10740.423677546049</v>
      </c>
      <c r="W1013" s="97">
        <f t="shared" si="191"/>
        <v>11081.969150492014</v>
      </c>
      <c r="X1013" s="97">
        <f t="shared" si="192"/>
        <v>11503.08397821071</v>
      </c>
      <c r="Y1013" s="97">
        <v>57519.9</v>
      </c>
      <c r="Z1013" s="97">
        <f t="shared" si="189"/>
        <v>60752.518380000001</v>
      </c>
      <c r="AA1013" s="97">
        <f t="shared" si="190"/>
        <v>68723.248791456004</v>
      </c>
    </row>
    <row r="1014" spans="1:27" x14ac:dyDescent="0.25">
      <c r="A1014" s="86" t="s">
        <v>2347</v>
      </c>
      <c r="B1014" s="87" t="s">
        <v>2348</v>
      </c>
      <c r="C1014" s="88" t="s">
        <v>226</v>
      </c>
      <c r="D1014" s="89" t="s">
        <v>262</v>
      </c>
      <c r="E1014" s="90">
        <f t="shared" si="196"/>
        <v>81781</v>
      </c>
      <c r="F1014" s="90">
        <f t="shared" si="197"/>
        <v>68723.248791456004</v>
      </c>
      <c r="G1014" s="91">
        <v>0.19</v>
      </c>
      <c r="H1014" s="91"/>
      <c r="I1014" s="91" t="s">
        <v>228</v>
      </c>
      <c r="J1014" s="91"/>
      <c r="K1014" s="91"/>
      <c r="L1014" s="92" t="s">
        <v>1797</v>
      </c>
      <c r="M1014" s="91" t="str">
        <f t="shared" si="198"/>
        <v>VER ARCHIVO ANEXO</v>
      </c>
      <c r="N1014" s="93">
        <v>41608</v>
      </c>
      <c r="O1014" s="94"/>
      <c r="P1014" s="94"/>
      <c r="Q1014" s="94">
        <v>871</v>
      </c>
      <c r="R1014" s="95">
        <f t="shared" si="188"/>
        <v>68723.248791456004</v>
      </c>
      <c r="S1014" s="94">
        <v>9036.0421999999999</v>
      </c>
      <c r="T1014" s="94">
        <f t="shared" si="193"/>
        <v>9647.7822569400014</v>
      </c>
      <c r="U1014" s="94">
        <f t="shared" si="194"/>
        <v>10202.529736714052</v>
      </c>
      <c r="V1014" s="94">
        <f t="shared" si="195"/>
        <v>10619.813202945656</v>
      </c>
      <c r="W1014" s="97">
        <f t="shared" si="191"/>
        <v>10957.523262799328</v>
      </c>
      <c r="X1014" s="97">
        <f t="shared" si="192"/>
        <v>11373.909146785703</v>
      </c>
      <c r="Y1014" s="97">
        <v>57519.9</v>
      </c>
      <c r="Z1014" s="97">
        <f t="shared" si="189"/>
        <v>60752.518380000001</v>
      </c>
      <c r="AA1014" s="97">
        <f t="shared" si="190"/>
        <v>68723.248791456004</v>
      </c>
    </row>
    <row r="1015" spans="1:27" x14ac:dyDescent="0.25">
      <c r="A1015" s="86" t="s">
        <v>2349</v>
      </c>
      <c r="B1015" s="87" t="s">
        <v>2350</v>
      </c>
      <c r="C1015" s="88" t="s">
        <v>226</v>
      </c>
      <c r="D1015" s="89" t="s">
        <v>262</v>
      </c>
      <c r="E1015" s="90">
        <f t="shared" si="196"/>
        <v>71090</v>
      </c>
      <c r="F1015" s="90">
        <f t="shared" si="197"/>
        <v>59739.149909375999</v>
      </c>
      <c r="G1015" s="91">
        <v>0.19</v>
      </c>
      <c r="H1015" s="91"/>
      <c r="I1015" s="91" t="s">
        <v>228</v>
      </c>
      <c r="J1015" s="91"/>
      <c r="K1015" s="91"/>
      <c r="L1015" s="92" t="s">
        <v>1797</v>
      </c>
      <c r="M1015" s="91" t="str">
        <f t="shared" si="198"/>
        <v>VER ARCHIVO ANEXO</v>
      </c>
      <c r="N1015" s="93">
        <v>41608</v>
      </c>
      <c r="O1015" s="94"/>
      <c r="P1015" s="94"/>
      <c r="Q1015" s="94">
        <v>872</v>
      </c>
      <c r="R1015" s="95">
        <f t="shared" si="188"/>
        <v>59739.149909375999</v>
      </c>
      <c r="S1015" s="94">
        <v>7443.8245999999999</v>
      </c>
      <c r="T1015" s="94">
        <f t="shared" si="193"/>
        <v>7947.7715254200002</v>
      </c>
      <c r="U1015" s="94">
        <f t="shared" si="194"/>
        <v>8404.7683881316516</v>
      </c>
      <c r="V1015" s="94">
        <f t="shared" si="195"/>
        <v>8748.5234152062349</v>
      </c>
      <c r="W1015" s="97">
        <f t="shared" si="191"/>
        <v>9026.7264598097936</v>
      </c>
      <c r="X1015" s="97">
        <f t="shared" si="192"/>
        <v>9369.7420652825658</v>
      </c>
      <c r="Y1015" s="97">
        <v>50000.4</v>
      </c>
      <c r="Z1015" s="97">
        <f t="shared" si="189"/>
        <v>52810.422480000001</v>
      </c>
      <c r="AA1015" s="97">
        <f t="shared" si="190"/>
        <v>59739.149909375999</v>
      </c>
    </row>
    <row r="1016" spans="1:27" x14ac:dyDescent="0.25">
      <c r="A1016" s="86" t="s">
        <v>2351</v>
      </c>
      <c r="B1016" s="87" t="s">
        <v>2352</v>
      </c>
      <c r="C1016" s="88" t="s">
        <v>226</v>
      </c>
      <c r="D1016" s="89" t="s">
        <v>262</v>
      </c>
      <c r="E1016" s="90">
        <f t="shared" si="196"/>
        <v>71090</v>
      </c>
      <c r="F1016" s="90">
        <f t="shared" si="197"/>
        <v>59739.149909375999</v>
      </c>
      <c r="G1016" s="91">
        <v>0.19</v>
      </c>
      <c r="H1016" s="91"/>
      <c r="I1016" s="91" t="s">
        <v>228</v>
      </c>
      <c r="J1016" s="91"/>
      <c r="K1016" s="91"/>
      <c r="L1016" s="92" t="s">
        <v>1797</v>
      </c>
      <c r="M1016" s="91" t="str">
        <f t="shared" si="198"/>
        <v>VER ARCHIVO ANEXO</v>
      </c>
      <c r="N1016" s="93">
        <v>41608</v>
      </c>
      <c r="O1016" s="94"/>
      <c r="P1016" s="94"/>
      <c r="Q1016" s="94">
        <v>873</v>
      </c>
      <c r="R1016" s="95">
        <f t="shared" si="188"/>
        <v>59739.149909375999</v>
      </c>
      <c r="S1016" s="94">
        <v>7967.3076000000001</v>
      </c>
      <c r="T1016" s="94">
        <f t="shared" si="193"/>
        <v>8506.69432452</v>
      </c>
      <c r="U1016" s="94">
        <f t="shared" si="194"/>
        <v>8995.8292481799017</v>
      </c>
      <c r="V1016" s="94">
        <f t="shared" si="195"/>
        <v>9363.7586644304592</v>
      </c>
      <c r="W1016" s="97">
        <f t="shared" si="191"/>
        <v>9661.5261899593479</v>
      </c>
      <c r="X1016" s="97">
        <f t="shared" si="192"/>
        <v>10028.664185177804</v>
      </c>
      <c r="Y1016" s="97">
        <v>50000.4</v>
      </c>
      <c r="Z1016" s="97">
        <f t="shared" si="189"/>
        <v>52810.422480000001</v>
      </c>
      <c r="AA1016" s="97">
        <f t="shared" si="190"/>
        <v>59739.149909375999</v>
      </c>
    </row>
    <row r="1017" spans="1:27" x14ac:dyDescent="0.25">
      <c r="A1017" s="86" t="s">
        <v>2353</v>
      </c>
      <c r="B1017" s="87" t="s">
        <v>2354</v>
      </c>
      <c r="C1017" s="88" t="s">
        <v>226</v>
      </c>
      <c r="D1017" s="89" t="s">
        <v>262</v>
      </c>
      <c r="E1017" s="90">
        <f t="shared" si="196"/>
        <v>8626</v>
      </c>
      <c r="F1017" s="90">
        <f t="shared" si="197"/>
        <v>7248.5432675457259</v>
      </c>
      <c r="G1017" s="91">
        <v>0.19</v>
      </c>
      <c r="H1017" s="91"/>
      <c r="I1017" s="91" t="s">
        <v>228</v>
      </c>
      <c r="J1017" s="91"/>
      <c r="K1017" s="91"/>
      <c r="L1017" s="92" t="s">
        <v>1797</v>
      </c>
      <c r="M1017" s="91" t="str">
        <f t="shared" si="198"/>
        <v>VER ARCHIVO ANEXO</v>
      </c>
      <c r="N1017" s="93">
        <v>41608</v>
      </c>
      <c r="O1017" s="94"/>
      <c r="P1017" s="94"/>
      <c r="Q1017" s="94">
        <v>874</v>
      </c>
      <c r="R1017" s="95">
        <f t="shared" si="188"/>
        <v>7248.5432675457259</v>
      </c>
      <c r="S1017" s="94">
        <v>4743.4816000000001</v>
      </c>
      <c r="T1017" s="94">
        <f t="shared" si="193"/>
        <v>5064.6153043200002</v>
      </c>
      <c r="U1017" s="94">
        <f t="shared" si="194"/>
        <v>5355.8306843184009</v>
      </c>
      <c r="V1017" s="94">
        <f t="shared" si="195"/>
        <v>5574.8841593070229</v>
      </c>
      <c r="W1017" s="97">
        <f t="shared" si="191"/>
        <v>5752.1654755729869</v>
      </c>
      <c r="X1017" s="97">
        <f t="shared" si="192"/>
        <v>5970.7477636447602</v>
      </c>
      <c r="Y1017" s="97">
        <f t="shared" ref="Y1017:Y1080" si="199">+X1017*(1+$Y$4)</f>
        <v>6066.8768026394409</v>
      </c>
      <c r="Z1017" s="97">
        <f t="shared" si="189"/>
        <v>6407.8352789477776</v>
      </c>
      <c r="AA1017" s="97">
        <f t="shared" si="190"/>
        <v>7248.5432675457259</v>
      </c>
    </row>
    <row r="1018" spans="1:27" x14ac:dyDescent="0.25">
      <c r="A1018" s="86" t="s">
        <v>2355</v>
      </c>
      <c r="B1018" s="87" t="s">
        <v>2356</v>
      </c>
      <c r="C1018" s="88" t="s">
        <v>226</v>
      </c>
      <c r="D1018" s="89" t="s">
        <v>262</v>
      </c>
      <c r="E1018" s="90">
        <f t="shared" si="196"/>
        <v>6767</v>
      </c>
      <c r="F1018" s="90">
        <f t="shared" si="197"/>
        <v>5686.6849498446591</v>
      </c>
      <c r="G1018" s="91">
        <v>0.19</v>
      </c>
      <c r="H1018" s="91"/>
      <c r="I1018" s="91" t="s">
        <v>228</v>
      </c>
      <c r="J1018" s="91"/>
      <c r="K1018" s="91"/>
      <c r="L1018" s="92" t="s">
        <v>1797</v>
      </c>
      <c r="M1018" s="91" t="str">
        <f t="shared" si="198"/>
        <v>VER ARCHIVO ANEXO</v>
      </c>
      <c r="N1018" s="93">
        <v>41608</v>
      </c>
      <c r="O1018" s="94"/>
      <c r="P1018" s="94"/>
      <c r="Q1018" s="94">
        <v>875</v>
      </c>
      <c r="R1018" s="95">
        <f t="shared" si="188"/>
        <v>5686.6849498446591</v>
      </c>
      <c r="S1018" s="94">
        <v>3721.3939999999998</v>
      </c>
      <c r="T1018" s="94">
        <f t="shared" si="193"/>
        <v>3973.3323737999999</v>
      </c>
      <c r="U1018" s="94">
        <f t="shared" si="194"/>
        <v>4201.7989852935007</v>
      </c>
      <c r="V1018" s="94">
        <f t="shared" si="195"/>
        <v>4373.6525637920049</v>
      </c>
      <c r="W1018" s="97">
        <f t="shared" si="191"/>
        <v>4512.734715320591</v>
      </c>
      <c r="X1018" s="97">
        <f t="shared" si="192"/>
        <v>4684.218634502774</v>
      </c>
      <c r="Y1018" s="97">
        <f t="shared" si="199"/>
        <v>4759.6345545182685</v>
      </c>
      <c r="Z1018" s="97">
        <f t="shared" si="189"/>
        <v>5027.1260164821952</v>
      </c>
      <c r="AA1018" s="97">
        <f t="shared" si="190"/>
        <v>5686.6849498446591</v>
      </c>
    </row>
    <row r="1019" spans="1:27" x14ac:dyDescent="0.25">
      <c r="A1019" s="86" t="s">
        <v>2357</v>
      </c>
      <c r="B1019" s="87" t="s">
        <v>2358</v>
      </c>
      <c r="C1019" s="88" t="s">
        <v>226</v>
      </c>
      <c r="D1019" s="89" t="s">
        <v>262</v>
      </c>
      <c r="E1019" s="90">
        <f t="shared" si="196"/>
        <v>24863</v>
      </c>
      <c r="F1019" s="90">
        <f t="shared" si="197"/>
        <v>20893.419077562965</v>
      </c>
      <c r="G1019" s="91">
        <v>0.19</v>
      </c>
      <c r="H1019" s="91"/>
      <c r="I1019" s="91" t="s">
        <v>228</v>
      </c>
      <c r="J1019" s="91"/>
      <c r="K1019" s="91"/>
      <c r="L1019" s="92" t="s">
        <v>2359</v>
      </c>
      <c r="M1019" s="91" t="str">
        <f t="shared" si="198"/>
        <v>VER ARCHIVO ANEXO</v>
      </c>
      <c r="N1019" s="93">
        <v>41608</v>
      </c>
      <c r="O1019" s="94"/>
      <c r="P1019" s="94"/>
      <c r="Q1019" s="94">
        <v>876</v>
      </c>
      <c r="R1019" s="95">
        <f t="shared" si="188"/>
        <v>20893.419077562965</v>
      </c>
      <c r="S1019" s="94">
        <v>13672.753999999999</v>
      </c>
      <c r="T1019" s="94">
        <f t="shared" si="193"/>
        <v>14598.3994458</v>
      </c>
      <c r="U1019" s="94">
        <f t="shared" si="194"/>
        <v>15437.807413933502</v>
      </c>
      <c r="V1019" s="94">
        <f t="shared" si="195"/>
        <v>16069.213737163382</v>
      </c>
      <c r="W1019" s="97">
        <f t="shared" si="191"/>
        <v>16580.214734005178</v>
      </c>
      <c r="X1019" s="97">
        <f t="shared" si="192"/>
        <v>17210.262893897376</v>
      </c>
      <c r="Y1019" s="97">
        <f t="shared" si="199"/>
        <v>17487.348126489123</v>
      </c>
      <c r="Z1019" s="97">
        <f t="shared" si="189"/>
        <v>18470.137091197812</v>
      </c>
      <c r="AA1019" s="97">
        <f t="shared" si="190"/>
        <v>20893.419077562965</v>
      </c>
    </row>
    <row r="1020" spans="1:27" x14ac:dyDescent="0.25">
      <c r="A1020" s="86" t="s">
        <v>2360</v>
      </c>
      <c r="B1020" s="87" t="s">
        <v>2361</v>
      </c>
      <c r="C1020" s="88" t="s">
        <v>226</v>
      </c>
      <c r="D1020" s="89" t="s">
        <v>262</v>
      </c>
      <c r="E1020" s="90">
        <f t="shared" si="196"/>
        <v>308703</v>
      </c>
      <c r="F1020" s="90">
        <f t="shared" si="197"/>
        <v>259414.21194043456</v>
      </c>
      <c r="G1020" s="91">
        <v>0.19</v>
      </c>
      <c r="H1020" s="91"/>
      <c r="I1020" s="91" t="s">
        <v>228</v>
      </c>
      <c r="J1020" s="91"/>
      <c r="K1020" s="91"/>
      <c r="L1020" s="92" t="s">
        <v>2359</v>
      </c>
      <c r="M1020" s="91" t="str">
        <f t="shared" si="198"/>
        <v>VER ARCHIVO ANEXO</v>
      </c>
      <c r="N1020" s="93">
        <v>41608</v>
      </c>
      <c r="O1020" s="94"/>
      <c r="P1020" s="94"/>
      <c r="Q1020" s="94">
        <v>877</v>
      </c>
      <c r="R1020" s="95">
        <f t="shared" si="188"/>
        <v>259414.21194043456</v>
      </c>
      <c r="S1020" s="94">
        <v>169761.9088</v>
      </c>
      <c r="T1020" s="94">
        <f t="shared" si="193"/>
        <v>181254.79002576001</v>
      </c>
      <c r="U1020" s="94">
        <f t="shared" si="194"/>
        <v>191676.94045224122</v>
      </c>
      <c r="V1020" s="94">
        <f t="shared" si="195"/>
        <v>199516.52731673786</v>
      </c>
      <c r="W1020" s="97">
        <f t="shared" si="191"/>
        <v>205861.15288541015</v>
      </c>
      <c r="X1020" s="97">
        <f t="shared" si="192"/>
        <v>213683.87669505575</v>
      </c>
      <c r="Y1020" s="97">
        <f t="shared" si="199"/>
        <v>217124.18710984616</v>
      </c>
      <c r="Z1020" s="97">
        <f t="shared" si="189"/>
        <v>229326.56642541953</v>
      </c>
      <c r="AA1020" s="97">
        <f t="shared" si="190"/>
        <v>259414.21194043456</v>
      </c>
    </row>
    <row r="1021" spans="1:27" x14ac:dyDescent="0.25">
      <c r="A1021" s="86" t="s">
        <v>2362</v>
      </c>
      <c r="B1021" s="87" t="s">
        <v>2363</v>
      </c>
      <c r="C1021" s="88" t="s">
        <v>226</v>
      </c>
      <c r="D1021" s="89" t="s">
        <v>262</v>
      </c>
      <c r="E1021" s="90">
        <f t="shared" si="196"/>
        <v>40624</v>
      </c>
      <c r="F1021" s="90">
        <f t="shared" si="197"/>
        <v>34137.534081922633</v>
      </c>
      <c r="G1021" s="91">
        <v>0.19</v>
      </c>
      <c r="H1021" s="91"/>
      <c r="I1021" s="91" t="s">
        <v>228</v>
      </c>
      <c r="J1021" s="91"/>
      <c r="K1021" s="91"/>
      <c r="L1021" s="92" t="s">
        <v>1838</v>
      </c>
      <c r="M1021" s="91" t="str">
        <f t="shared" si="198"/>
        <v>VER ARCHIVO ANEXO</v>
      </c>
      <c r="N1021" s="93">
        <v>41608</v>
      </c>
      <c r="O1021" s="94"/>
      <c r="P1021" s="94"/>
      <c r="Q1021" s="94">
        <v>878</v>
      </c>
      <c r="R1021" s="95">
        <f t="shared" si="188"/>
        <v>34137.534081922633</v>
      </c>
      <c r="S1021" s="94">
        <v>22339.766599999999</v>
      </c>
      <c r="T1021" s="94">
        <f t="shared" si="193"/>
        <v>23852.168798820003</v>
      </c>
      <c r="U1021" s="94">
        <f t="shared" si="194"/>
        <v>25223.668504752157</v>
      </c>
      <c r="V1021" s="94">
        <f t="shared" si="195"/>
        <v>26255.316546596518</v>
      </c>
      <c r="W1021" s="97">
        <f t="shared" si="191"/>
        <v>27090.235612778288</v>
      </c>
      <c r="X1021" s="97">
        <f t="shared" si="192"/>
        <v>28119.664566063864</v>
      </c>
      <c r="Y1021" s="97">
        <f t="shared" si="199"/>
        <v>28572.391165577494</v>
      </c>
      <c r="Z1021" s="97">
        <f t="shared" si="189"/>
        <v>30178.15954908295</v>
      </c>
      <c r="AA1021" s="97">
        <f t="shared" si="190"/>
        <v>34137.534081922633</v>
      </c>
    </row>
    <row r="1022" spans="1:27" x14ac:dyDescent="0.25">
      <c r="A1022" s="86" t="s">
        <v>2364</v>
      </c>
      <c r="B1022" s="87" t="s">
        <v>2365</v>
      </c>
      <c r="C1022" s="88" t="s">
        <v>226</v>
      </c>
      <c r="D1022" s="89" t="s">
        <v>262</v>
      </c>
      <c r="E1022" s="90">
        <f>+ROUND(F1022*(1+G1022),0)</f>
        <v>120521</v>
      </c>
      <c r="F1022" s="90">
        <f t="shared" si="197"/>
        <v>101278.43332540887</v>
      </c>
      <c r="G1022" s="91">
        <v>0.19</v>
      </c>
      <c r="H1022" s="91"/>
      <c r="I1022" s="91" t="s">
        <v>228</v>
      </c>
      <c r="J1022" s="91"/>
      <c r="K1022" s="91"/>
      <c r="L1022" s="92" t="s">
        <v>1838</v>
      </c>
      <c r="M1022" s="91" t="str">
        <f t="shared" si="198"/>
        <v>VER ARCHIVO ANEXO</v>
      </c>
      <c r="N1022" s="93">
        <v>41608</v>
      </c>
      <c r="O1022" s="94"/>
      <c r="P1022" s="94"/>
      <c r="Q1022" s="94">
        <v>879</v>
      </c>
      <c r="R1022" s="95">
        <f t="shared" si="188"/>
        <v>101278.43332540887</v>
      </c>
      <c r="S1022" s="94">
        <v>66277.094199999992</v>
      </c>
      <c r="T1022" s="94">
        <f t="shared" si="193"/>
        <v>70764.05347734</v>
      </c>
      <c r="U1022" s="94">
        <f t="shared" si="194"/>
        <v>74832.986552287053</v>
      </c>
      <c r="V1022" s="94">
        <f t="shared" si="195"/>
        <v>77893.655702275588</v>
      </c>
      <c r="W1022" s="97">
        <f t="shared" si="191"/>
        <v>80370.673953607955</v>
      </c>
      <c r="X1022" s="97">
        <f t="shared" si="192"/>
        <v>83424.759563845058</v>
      </c>
      <c r="Y1022" s="97">
        <f t="shared" si="199"/>
        <v>84767.898192822962</v>
      </c>
      <c r="Z1022" s="97">
        <f t="shared" si="189"/>
        <v>89531.854071259615</v>
      </c>
      <c r="AA1022" s="97">
        <f t="shared" si="190"/>
        <v>101278.43332540887</v>
      </c>
    </row>
    <row r="1023" spans="1:27" x14ac:dyDescent="0.25">
      <c r="A1023" s="86" t="s">
        <v>2366</v>
      </c>
      <c r="B1023" s="87" t="s">
        <v>2367</v>
      </c>
      <c r="C1023" s="88" t="s">
        <v>226</v>
      </c>
      <c r="D1023" s="89" t="s">
        <v>262</v>
      </c>
      <c r="E1023" s="90">
        <f t="shared" si="196"/>
        <v>70684</v>
      </c>
      <c r="F1023" s="90">
        <f t="shared" si="197"/>
        <v>59398.137116789687</v>
      </c>
      <c r="G1023" s="91">
        <v>0.19</v>
      </c>
      <c r="H1023" s="91"/>
      <c r="I1023" s="91" t="s">
        <v>228</v>
      </c>
      <c r="J1023" s="91"/>
      <c r="K1023" s="91"/>
      <c r="L1023" s="92" t="s">
        <v>1838</v>
      </c>
      <c r="M1023" s="91" t="str">
        <f t="shared" si="198"/>
        <v>VER ARCHIVO ANEXO</v>
      </c>
      <c r="N1023" s="93">
        <v>41608</v>
      </c>
      <c r="O1023" s="94"/>
      <c r="P1023" s="94"/>
      <c r="Q1023" s="94">
        <v>880</v>
      </c>
      <c r="R1023" s="95">
        <f t="shared" si="188"/>
        <v>59398.137116789687</v>
      </c>
      <c r="S1023" s="94">
        <v>38870.426800000001</v>
      </c>
      <c r="T1023" s="94">
        <f t="shared" si="193"/>
        <v>41501.954694360007</v>
      </c>
      <c r="U1023" s="94">
        <f t="shared" si="194"/>
        <v>43888.317089285709</v>
      </c>
      <c r="V1023" s="94">
        <f t="shared" si="195"/>
        <v>45683.349258237489</v>
      </c>
      <c r="W1023" s="97">
        <f t="shared" si="191"/>
        <v>47136.079764649447</v>
      </c>
      <c r="X1023" s="97">
        <f t="shared" si="192"/>
        <v>48927.250795706124</v>
      </c>
      <c r="Y1023" s="97">
        <f t="shared" si="199"/>
        <v>49714.979533516991</v>
      </c>
      <c r="Z1023" s="97">
        <f t="shared" si="189"/>
        <v>52508.961383300644</v>
      </c>
      <c r="AA1023" s="97">
        <f t="shared" si="190"/>
        <v>59398.137116789687</v>
      </c>
    </row>
    <row r="1024" spans="1:27" x14ac:dyDescent="0.25">
      <c r="A1024" s="86" t="s">
        <v>2368</v>
      </c>
      <c r="B1024" s="87" t="s">
        <v>2369</v>
      </c>
      <c r="C1024" s="88" t="s">
        <v>226</v>
      </c>
      <c r="D1024" s="89" t="s">
        <v>262</v>
      </c>
      <c r="E1024" s="90">
        <f t="shared" si="196"/>
        <v>503738</v>
      </c>
      <c r="F1024" s="90">
        <f t="shared" si="197"/>
        <v>423309.54110633355</v>
      </c>
      <c r="G1024" s="91">
        <v>0.19</v>
      </c>
      <c r="H1024" s="91"/>
      <c r="I1024" s="91" t="s">
        <v>228</v>
      </c>
      <c r="J1024" s="91"/>
      <c r="K1024" s="91"/>
      <c r="L1024" s="92" t="s">
        <v>1838</v>
      </c>
      <c r="M1024" s="91" t="str">
        <f t="shared" si="198"/>
        <v>VER ARCHIVO ANEXO</v>
      </c>
      <c r="N1024" s="93">
        <v>41608</v>
      </c>
      <c r="O1024" s="94"/>
      <c r="P1024" s="94"/>
      <c r="Q1024" s="94">
        <v>881</v>
      </c>
      <c r="R1024" s="95">
        <f t="shared" si="188"/>
        <v>423309.54110633355</v>
      </c>
      <c r="S1024" s="94">
        <v>277015.80099999998</v>
      </c>
      <c r="T1024" s="94">
        <f t="shared" si="193"/>
        <v>295769.77072770003</v>
      </c>
      <c r="U1024" s="94">
        <f t="shared" si="194"/>
        <v>312776.5325445428</v>
      </c>
      <c r="V1024" s="94">
        <f t="shared" si="195"/>
        <v>325569.09272561461</v>
      </c>
      <c r="W1024" s="97">
        <f t="shared" si="191"/>
        <v>335922.18987428915</v>
      </c>
      <c r="X1024" s="97">
        <f t="shared" si="192"/>
        <v>348687.23308951216</v>
      </c>
      <c r="Y1024" s="97">
        <f t="shared" si="199"/>
        <v>354301.09754225332</v>
      </c>
      <c r="Z1024" s="97">
        <f t="shared" si="189"/>
        <v>374212.81922412798</v>
      </c>
      <c r="AA1024" s="97">
        <f t="shared" si="190"/>
        <v>423309.54110633355</v>
      </c>
    </row>
    <row r="1025" spans="1:27" x14ac:dyDescent="0.25">
      <c r="A1025" s="86" t="s">
        <v>2370</v>
      </c>
      <c r="B1025" s="87" t="s">
        <v>2371</v>
      </c>
      <c r="C1025" s="88" t="s">
        <v>226</v>
      </c>
      <c r="D1025" s="89" t="s">
        <v>262</v>
      </c>
      <c r="E1025" s="90">
        <f t="shared" si="196"/>
        <v>198244</v>
      </c>
      <c r="F1025" s="90">
        <f t="shared" si="197"/>
        <v>166591.35640395901</v>
      </c>
      <c r="G1025" s="91">
        <v>0.19</v>
      </c>
      <c r="H1025" s="91"/>
      <c r="I1025" s="91" t="s">
        <v>228</v>
      </c>
      <c r="J1025" s="91"/>
      <c r="K1025" s="91"/>
      <c r="L1025" s="92" t="s">
        <v>1838</v>
      </c>
      <c r="M1025" s="91" t="str">
        <f t="shared" si="198"/>
        <v>VER ARCHIVO ANEXO</v>
      </c>
      <c r="N1025" s="93">
        <v>41608</v>
      </c>
      <c r="O1025" s="94"/>
      <c r="P1025" s="94"/>
      <c r="Q1025" s="94">
        <v>882</v>
      </c>
      <c r="R1025" s="95">
        <f t="shared" si="188"/>
        <v>166591.35640395901</v>
      </c>
      <c r="S1025" s="94">
        <v>109018.1854</v>
      </c>
      <c r="T1025" s="94">
        <f t="shared" si="193"/>
        <v>116398.71655158002</v>
      </c>
      <c r="U1025" s="94">
        <f t="shared" si="194"/>
        <v>123091.64275329588</v>
      </c>
      <c r="V1025" s="94">
        <f t="shared" si="195"/>
        <v>128126.09094190567</v>
      </c>
      <c r="W1025" s="97">
        <f t="shared" si="191"/>
        <v>132200.50063385829</v>
      </c>
      <c r="X1025" s="97">
        <f t="shared" si="192"/>
        <v>137224.11965794492</v>
      </c>
      <c r="Y1025" s="97">
        <f t="shared" si="199"/>
        <v>139433.42798443782</v>
      </c>
      <c r="Z1025" s="97">
        <f t="shared" si="189"/>
        <v>147269.58663716321</v>
      </c>
      <c r="AA1025" s="97">
        <f t="shared" si="190"/>
        <v>166591.35640395901</v>
      </c>
    </row>
    <row r="1026" spans="1:27" x14ac:dyDescent="0.25">
      <c r="A1026" s="86" t="s">
        <v>2372</v>
      </c>
      <c r="B1026" s="87" t="s">
        <v>2373</v>
      </c>
      <c r="C1026" s="88" t="s">
        <v>226</v>
      </c>
      <c r="D1026" s="89" t="s">
        <v>262</v>
      </c>
      <c r="E1026" s="90">
        <f t="shared" si="196"/>
        <v>200187</v>
      </c>
      <c r="F1026" s="90">
        <f t="shared" si="197"/>
        <v>168224.49628788375</v>
      </c>
      <c r="G1026" s="91">
        <v>0.19</v>
      </c>
      <c r="H1026" s="91"/>
      <c r="I1026" s="91" t="s">
        <v>228</v>
      </c>
      <c r="J1026" s="91"/>
      <c r="K1026" s="91"/>
      <c r="L1026" s="92" t="s">
        <v>1768</v>
      </c>
      <c r="M1026" s="91" t="str">
        <f t="shared" si="198"/>
        <v>VER ARCHIVO ANEXO</v>
      </c>
      <c r="N1026" s="93">
        <v>41608</v>
      </c>
      <c r="O1026" s="94"/>
      <c r="P1026" s="94"/>
      <c r="Q1026" s="94">
        <v>883</v>
      </c>
      <c r="R1026" s="95">
        <f t="shared" si="188"/>
        <v>168224.49628788375</v>
      </c>
      <c r="S1026" s="94">
        <v>110086.92</v>
      </c>
      <c r="T1026" s="94">
        <f t="shared" si="193"/>
        <v>117539.80448400001</v>
      </c>
      <c r="U1026" s="94">
        <f t="shared" si="194"/>
        <v>124298.34324183002</v>
      </c>
      <c r="V1026" s="94">
        <f t="shared" si="195"/>
        <v>129382.14548042086</v>
      </c>
      <c r="W1026" s="97">
        <f t="shared" si="191"/>
        <v>133496.49770669825</v>
      </c>
      <c r="X1026" s="97">
        <f t="shared" si="192"/>
        <v>138569.3646195528</v>
      </c>
      <c r="Y1026" s="97">
        <f t="shared" si="199"/>
        <v>140800.3313899276</v>
      </c>
      <c r="Z1026" s="97">
        <f t="shared" si="189"/>
        <v>148713.31001404152</v>
      </c>
      <c r="AA1026" s="97">
        <f t="shared" si="190"/>
        <v>168224.49628788375</v>
      </c>
    </row>
    <row r="1027" spans="1:27" x14ac:dyDescent="0.25">
      <c r="A1027" s="86" t="s">
        <v>2374</v>
      </c>
      <c r="B1027" s="87" t="s">
        <v>2375</v>
      </c>
      <c r="C1027" s="88" t="s">
        <v>226</v>
      </c>
      <c r="D1027" s="89" t="s">
        <v>262</v>
      </c>
      <c r="E1027" s="90">
        <f t="shared" si="196"/>
        <v>222242</v>
      </c>
      <c r="F1027" s="90">
        <f t="shared" si="197"/>
        <v>186757.70350604047</v>
      </c>
      <c r="G1027" s="91">
        <v>0.19</v>
      </c>
      <c r="H1027" s="91"/>
      <c r="I1027" s="91" t="s">
        <v>228</v>
      </c>
      <c r="J1027" s="91"/>
      <c r="K1027" s="91"/>
      <c r="L1027" s="92" t="s">
        <v>1768</v>
      </c>
      <c r="M1027" s="91" t="str">
        <f t="shared" si="198"/>
        <v>VER ARCHIVO ANEXO</v>
      </c>
      <c r="N1027" s="93">
        <v>41608</v>
      </c>
      <c r="O1027" s="94"/>
      <c r="P1027" s="94"/>
      <c r="Q1027" s="94">
        <v>884</v>
      </c>
      <c r="R1027" s="95">
        <f t="shared" si="188"/>
        <v>186757.70350604047</v>
      </c>
      <c r="S1027" s="94">
        <v>122215.14</v>
      </c>
      <c r="T1027" s="94">
        <f t="shared" si="193"/>
        <v>130489.10497800002</v>
      </c>
      <c r="U1027" s="94">
        <f t="shared" si="194"/>
        <v>137992.22851423503</v>
      </c>
      <c r="V1027" s="94">
        <f t="shared" si="195"/>
        <v>143636.11066046724</v>
      </c>
      <c r="W1027" s="97">
        <f t="shared" si="191"/>
        <v>148203.7389794701</v>
      </c>
      <c r="X1027" s="97">
        <f t="shared" si="192"/>
        <v>153835.48106068996</v>
      </c>
      <c r="Y1027" s="97">
        <f t="shared" si="199"/>
        <v>156312.23230576707</v>
      </c>
      <c r="Z1027" s="97">
        <f t="shared" si="189"/>
        <v>165096.97976135119</v>
      </c>
      <c r="AA1027" s="97">
        <f t="shared" si="190"/>
        <v>186757.70350604047</v>
      </c>
    </row>
    <row r="1028" spans="1:27" x14ac:dyDescent="0.25">
      <c r="A1028" s="86" t="s">
        <v>2376</v>
      </c>
      <c r="B1028" s="87" t="s">
        <v>2377</v>
      </c>
      <c r="C1028" s="88" t="s">
        <v>226</v>
      </c>
      <c r="D1028" s="89" t="s">
        <v>255</v>
      </c>
      <c r="E1028" s="90">
        <f t="shared" si="196"/>
        <v>338326</v>
      </c>
      <c r="F1028" s="90">
        <f t="shared" si="197"/>
        <v>284307.60018104722</v>
      </c>
      <c r="G1028" s="91">
        <v>0.19</v>
      </c>
      <c r="H1028" s="91"/>
      <c r="I1028" s="91" t="s">
        <v>228</v>
      </c>
      <c r="J1028" s="91"/>
      <c r="K1028" s="91"/>
      <c r="L1028" s="92" t="s">
        <v>1797</v>
      </c>
      <c r="M1028" s="91" t="str">
        <f t="shared" si="198"/>
        <v>VER ARCHIVO ANEXO</v>
      </c>
      <c r="N1028" s="93">
        <v>41608</v>
      </c>
      <c r="O1028" s="94">
        <v>319011.5</v>
      </c>
      <c r="P1028" s="94" t="s">
        <v>1443</v>
      </c>
      <c r="Q1028" s="94">
        <v>885</v>
      </c>
      <c r="R1028" s="95">
        <f t="shared" si="188"/>
        <v>284307.60018104722</v>
      </c>
      <c r="S1028" s="94">
        <v>184778.09639999998</v>
      </c>
      <c r="T1028" s="94">
        <v>198648</v>
      </c>
      <c r="U1028" s="94">
        <f t="shared" si="194"/>
        <v>210070.26</v>
      </c>
      <c r="V1028" s="94">
        <f t="shared" si="195"/>
        <v>218662.133634</v>
      </c>
      <c r="W1028" s="97">
        <f t="shared" si="191"/>
        <v>225615.5894835612</v>
      </c>
      <c r="X1028" s="97">
        <f t="shared" si="192"/>
        <v>234188.98188393653</v>
      </c>
      <c r="Y1028" s="97">
        <f t="shared" si="199"/>
        <v>237959.42449226792</v>
      </c>
      <c r="Z1028" s="97">
        <f t="shared" si="189"/>
        <v>251332.74414873339</v>
      </c>
      <c r="AA1028" s="97">
        <f t="shared" si="190"/>
        <v>284307.60018104722</v>
      </c>
    </row>
    <row r="1029" spans="1:27" x14ac:dyDescent="0.25">
      <c r="A1029" s="86" t="s">
        <v>2378</v>
      </c>
      <c r="B1029" s="87" t="s">
        <v>2379</v>
      </c>
      <c r="C1029" s="88" t="s">
        <v>226</v>
      </c>
      <c r="D1029" s="89" t="s">
        <v>255</v>
      </c>
      <c r="E1029" s="90">
        <f t="shared" si="196"/>
        <v>419110</v>
      </c>
      <c r="F1029" s="90">
        <f t="shared" si="197"/>
        <v>352192.89523454604</v>
      </c>
      <c r="G1029" s="91">
        <v>0.19</v>
      </c>
      <c r="H1029" s="91"/>
      <c r="I1029" s="91" t="s">
        <v>228</v>
      </c>
      <c r="J1029" s="91"/>
      <c r="K1029" s="91"/>
      <c r="L1029" s="92" t="s">
        <v>1797</v>
      </c>
      <c r="M1029" s="91" t="str">
        <f t="shared" si="198"/>
        <v>VER ARCHIVO ANEXO</v>
      </c>
      <c r="N1029" s="93">
        <v>41608</v>
      </c>
      <c r="O1029" s="94"/>
      <c r="P1029" s="94">
        <v>0</v>
      </c>
      <c r="Q1029" s="94"/>
      <c r="R1029" s="95">
        <f t="shared" si="188"/>
        <v>352192.89523454604</v>
      </c>
      <c r="S1029" s="94"/>
      <c r="T1029" s="94">
        <v>246080</v>
      </c>
      <c r="U1029" s="94">
        <f t="shared" si="194"/>
        <v>260229.60000000003</v>
      </c>
      <c r="V1029" s="94">
        <f t="shared" si="195"/>
        <v>270872.99064000003</v>
      </c>
      <c r="W1029" s="97">
        <f t="shared" si="191"/>
        <v>279486.75174235203</v>
      </c>
      <c r="X1029" s="97">
        <f t="shared" si="192"/>
        <v>290107.24830856139</v>
      </c>
      <c r="Y1029" s="97">
        <f t="shared" si="199"/>
        <v>294777.97500632924</v>
      </c>
      <c r="Z1029" s="97">
        <f t="shared" si="189"/>
        <v>311344.49720168498</v>
      </c>
      <c r="AA1029" s="97">
        <f t="shared" si="190"/>
        <v>352192.89523454604</v>
      </c>
    </row>
    <row r="1030" spans="1:27" x14ac:dyDescent="0.25">
      <c r="A1030" s="86" t="s">
        <v>2380</v>
      </c>
      <c r="B1030" s="87" t="s">
        <v>2381</v>
      </c>
      <c r="C1030" s="88" t="s">
        <v>226</v>
      </c>
      <c r="D1030" s="89" t="s">
        <v>255</v>
      </c>
      <c r="E1030" s="90">
        <f t="shared" si="196"/>
        <v>499200</v>
      </c>
      <c r="F1030" s="90">
        <f t="shared" si="197"/>
        <v>419495.40035412286</v>
      </c>
      <c r="G1030" s="91">
        <v>0.19</v>
      </c>
      <c r="H1030" s="91"/>
      <c r="I1030" s="91" t="s">
        <v>228</v>
      </c>
      <c r="J1030" s="91"/>
      <c r="K1030" s="91"/>
      <c r="L1030" s="92" t="s">
        <v>1797</v>
      </c>
      <c r="M1030" s="91" t="str">
        <f t="shared" si="198"/>
        <v>VER ARCHIVO ANEXO</v>
      </c>
      <c r="N1030" s="93">
        <v>41608</v>
      </c>
      <c r="O1030" s="94">
        <v>470768.8333</v>
      </c>
      <c r="P1030" s="94" t="s">
        <v>1443</v>
      </c>
      <c r="Q1030" s="94">
        <v>887</v>
      </c>
      <c r="R1030" s="95">
        <f t="shared" si="188"/>
        <v>419495.40035412286</v>
      </c>
      <c r="S1030" s="94">
        <v>272605.06799999997</v>
      </c>
      <c r="T1030" s="94">
        <v>293104.8</v>
      </c>
      <c r="U1030" s="94">
        <f t="shared" si="194"/>
        <v>309958.326</v>
      </c>
      <c r="V1030" s="94">
        <f t="shared" si="195"/>
        <v>322635.62153339997</v>
      </c>
      <c r="W1030" s="97">
        <f t="shared" si="191"/>
        <v>332895.43429816212</v>
      </c>
      <c r="X1030" s="97">
        <f t="shared" si="192"/>
        <v>345545.46080149227</v>
      </c>
      <c r="Y1030" s="97">
        <f t="shared" si="199"/>
        <v>351108.74272039632</v>
      </c>
      <c r="Z1030" s="97">
        <f t="shared" si="189"/>
        <v>370841.0540612826</v>
      </c>
      <c r="AA1030" s="97">
        <f t="shared" si="190"/>
        <v>419495.40035412286</v>
      </c>
    </row>
    <row r="1031" spans="1:27" x14ac:dyDescent="0.25">
      <c r="A1031" s="86" t="s">
        <v>2382</v>
      </c>
      <c r="B1031" s="87" t="s">
        <v>2383</v>
      </c>
      <c r="C1031" s="88" t="s">
        <v>226</v>
      </c>
      <c r="D1031" s="89" t="s">
        <v>255</v>
      </c>
      <c r="E1031" s="90">
        <f t="shared" si="196"/>
        <v>266056</v>
      </c>
      <c r="F1031" s="90">
        <f t="shared" si="197"/>
        <v>223576.08019070004</v>
      </c>
      <c r="G1031" s="91">
        <v>0.19</v>
      </c>
      <c r="H1031" s="91"/>
      <c r="I1031" s="91" t="s">
        <v>228</v>
      </c>
      <c r="J1031" s="91"/>
      <c r="K1031" s="91"/>
      <c r="L1031" s="92" t="s">
        <v>1797</v>
      </c>
      <c r="M1031" s="91" t="str">
        <f t="shared" si="198"/>
        <v>VER ARCHIVO ANEXO</v>
      </c>
      <c r="N1031" s="93">
        <v>41608</v>
      </c>
      <c r="O1031" s="94">
        <v>250881.3333</v>
      </c>
      <c r="P1031" s="94" t="s">
        <v>1443</v>
      </c>
      <c r="Q1031" s="94">
        <v>888</v>
      </c>
      <c r="R1031" s="95">
        <f t="shared" ref="R1031:R1094" si="200">+AA1031</f>
        <v>223576.08019070004</v>
      </c>
      <c r="S1031" s="94">
        <v>107997.1344</v>
      </c>
      <c r="T1031" s="94">
        <v>156214.39999999999</v>
      </c>
      <c r="U1031" s="94">
        <f t="shared" si="194"/>
        <v>165196.728</v>
      </c>
      <c r="V1031" s="94">
        <f t="shared" si="195"/>
        <v>171953.2741752</v>
      </c>
      <c r="W1031" s="97">
        <f t="shared" si="191"/>
        <v>177421.38829397137</v>
      </c>
      <c r="X1031" s="97">
        <f t="shared" si="192"/>
        <v>184163.4010491423</v>
      </c>
      <c r="Y1031" s="97">
        <f t="shared" si="199"/>
        <v>187128.43180603348</v>
      </c>
      <c r="Z1031" s="97">
        <f t="shared" ref="Z1031:Z1094" si="201">+Y1031*(1+$Z$4)</f>
        <v>197645.04967353257</v>
      </c>
      <c r="AA1031" s="97">
        <f t="shared" ref="AA1031:AA1094" si="202">+Z1031*(1+$AA$4)</f>
        <v>223576.08019070004</v>
      </c>
    </row>
    <row r="1032" spans="1:27" x14ac:dyDescent="0.25">
      <c r="A1032" s="86" t="s">
        <v>2384</v>
      </c>
      <c r="B1032" s="87" t="s">
        <v>2385</v>
      </c>
      <c r="C1032" s="88" t="s">
        <v>226</v>
      </c>
      <c r="D1032" s="89" t="s">
        <v>255</v>
      </c>
      <c r="E1032" s="90">
        <f t="shared" si="196"/>
        <v>325081</v>
      </c>
      <c r="F1032" s="90">
        <f t="shared" si="197"/>
        <v>273177.34291649901</v>
      </c>
      <c r="G1032" s="91">
        <v>0.19</v>
      </c>
      <c r="H1032" s="91"/>
      <c r="I1032" s="91" t="s">
        <v>228</v>
      </c>
      <c r="J1032" s="91"/>
      <c r="K1032" s="91"/>
      <c r="L1032" s="92" t="s">
        <v>1797</v>
      </c>
      <c r="M1032" s="91" t="str">
        <f t="shared" si="198"/>
        <v>VER ARCHIVO ANEXO</v>
      </c>
      <c r="N1032" s="93">
        <v>41608</v>
      </c>
      <c r="O1032" s="94"/>
      <c r="P1032" s="94">
        <v>0</v>
      </c>
      <c r="Q1032" s="94"/>
      <c r="R1032" s="95">
        <f t="shared" si="200"/>
        <v>273177.34291649901</v>
      </c>
      <c r="S1032" s="94"/>
      <c r="T1032" s="94">
        <v>190871.2</v>
      </c>
      <c r="U1032" s="94">
        <f t="shared" si="194"/>
        <v>201846.29400000002</v>
      </c>
      <c r="V1032" s="94">
        <f t="shared" si="195"/>
        <v>210101.8074246</v>
      </c>
      <c r="W1032" s="97">
        <f t="shared" ref="W1032:W1095" si="203">+V1032*(1+$W$4)</f>
        <v>216783.04490070228</v>
      </c>
      <c r="X1032" s="97">
        <f t="shared" ref="X1032:X1095" si="204">+W1032*(1+$X$4)</f>
        <v>225020.80060692897</v>
      </c>
      <c r="Y1032" s="97">
        <f t="shared" si="199"/>
        <v>228643.63549670053</v>
      </c>
      <c r="Z1032" s="97">
        <f t="shared" si="201"/>
        <v>241493.40781161512</v>
      </c>
      <c r="AA1032" s="97">
        <f t="shared" si="202"/>
        <v>273177.34291649901</v>
      </c>
    </row>
    <row r="1033" spans="1:27" x14ac:dyDescent="0.25">
      <c r="A1033" s="86" t="s">
        <v>2386</v>
      </c>
      <c r="B1033" s="87" t="s">
        <v>2387</v>
      </c>
      <c r="C1033" s="88" t="s">
        <v>226</v>
      </c>
      <c r="D1033" s="89" t="s">
        <v>255</v>
      </c>
      <c r="E1033" s="90">
        <f t="shared" si="196"/>
        <v>393355</v>
      </c>
      <c r="F1033" s="90">
        <f t="shared" si="197"/>
        <v>330550.66472179128</v>
      </c>
      <c r="G1033" s="91">
        <v>0.19</v>
      </c>
      <c r="H1033" s="91"/>
      <c r="I1033" s="91" t="s">
        <v>228</v>
      </c>
      <c r="J1033" s="91"/>
      <c r="K1033" s="91"/>
      <c r="L1033" s="92" t="s">
        <v>1797</v>
      </c>
      <c r="M1033" s="91" t="str">
        <f t="shared" si="198"/>
        <v>VER ARCHIVO ANEXO</v>
      </c>
      <c r="N1033" s="93">
        <v>41608</v>
      </c>
      <c r="O1033" s="94">
        <v>370946.8333</v>
      </c>
      <c r="P1033" s="94" t="s">
        <v>1443</v>
      </c>
      <c r="Q1033" s="94">
        <v>890</v>
      </c>
      <c r="R1033" s="95">
        <f t="shared" si="200"/>
        <v>330550.66472179128</v>
      </c>
      <c r="S1033" s="94">
        <v>214818.76439999999</v>
      </c>
      <c r="T1033" s="94">
        <v>230958.4</v>
      </c>
      <c r="U1033" s="94">
        <f t="shared" si="194"/>
        <v>244238.50800000003</v>
      </c>
      <c r="V1033" s="94">
        <f t="shared" si="195"/>
        <v>254227.86297720001</v>
      </c>
      <c r="W1033" s="97">
        <f t="shared" si="203"/>
        <v>262312.30901987501</v>
      </c>
      <c r="X1033" s="97">
        <f t="shared" si="204"/>
        <v>272280.17676263029</v>
      </c>
      <c r="Y1033" s="97">
        <f t="shared" si="199"/>
        <v>276663.88760850864</v>
      </c>
      <c r="Z1033" s="97">
        <f t="shared" si="201"/>
        <v>292212.39809210686</v>
      </c>
      <c r="AA1033" s="97">
        <f t="shared" si="202"/>
        <v>330550.66472179128</v>
      </c>
    </row>
    <row r="1034" spans="1:27" x14ac:dyDescent="0.25">
      <c r="A1034" s="86" t="s">
        <v>2388</v>
      </c>
      <c r="B1034" s="137" t="s">
        <v>2389</v>
      </c>
      <c r="C1034" s="138" t="s">
        <v>226</v>
      </c>
      <c r="D1034" s="139" t="s">
        <v>255</v>
      </c>
      <c r="E1034" s="90">
        <f t="shared" si="196"/>
        <v>167144</v>
      </c>
      <c r="F1034" s="90">
        <f t="shared" si="197"/>
        <v>140456.95395678628</v>
      </c>
      <c r="G1034" s="91">
        <v>0.19</v>
      </c>
      <c r="H1034" s="91"/>
      <c r="I1034" s="91" t="s">
        <v>228</v>
      </c>
      <c r="J1034" s="91"/>
      <c r="K1034" s="91"/>
      <c r="L1034" s="92" t="s">
        <v>1797</v>
      </c>
      <c r="M1034" s="91" t="str">
        <f t="shared" si="198"/>
        <v>VER ARCHIVO ANEXO</v>
      </c>
      <c r="N1034" s="93">
        <v>41608</v>
      </c>
      <c r="O1034" s="94">
        <v>156876.5</v>
      </c>
      <c r="P1034" s="94" t="s">
        <v>1443</v>
      </c>
      <c r="Q1034" s="94">
        <v>891</v>
      </c>
      <c r="R1034" s="95">
        <f t="shared" si="200"/>
        <v>140456.95395678628</v>
      </c>
      <c r="S1034" s="94">
        <v>91287.142399999997</v>
      </c>
      <c r="T1034" s="94">
        <v>98138.4</v>
      </c>
      <c r="U1034" s="94">
        <f t="shared" si="194"/>
        <v>103781.35800000001</v>
      </c>
      <c r="V1034" s="94">
        <f t="shared" si="195"/>
        <v>108026.0155422</v>
      </c>
      <c r="W1034" s="97">
        <f t="shared" si="203"/>
        <v>111461.24283644196</v>
      </c>
      <c r="X1034" s="97">
        <f t="shared" si="204"/>
        <v>115696.77006422676</v>
      </c>
      <c r="Y1034" s="97">
        <f t="shared" si="199"/>
        <v>117559.4880622608</v>
      </c>
      <c r="Z1034" s="97">
        <f t="shared" si="201"/>
        <v>124166.33129135986</v>
      </c>
      <c r="AA1034" s="97">
        <f t="shared" si="202"/>
        <v>140456.95395678628</v>
      </c>
    </row>
    <row r="1035" spans="1:27" x14ac:dyDescent="0.25">
      <c r="A1035" s="86" t="s">
        <v>2390</v>
      </c>
      <c r="B1035" s="137" t="s">
        <v>2391</v>
      </c>
      <c r="C1035" s="138" t="s">
        <v>226</v>
      </c>
      <c r="D1035" s="139" t="s">
        <v>255</v>
      </c>
      <c r="E1035" s="90">
        <f t="shared" si="196"/>
        <v>204629</v>
      </c>
      <c r="F1035" s="90">
        <f t="shared" si="197"/>
        <v>171957.37961898668</v>
      </c>
      <c r="G1035" s="91">
        <v>0.19</v>
      </c>
      <c r="H1035" s="91"/>
      <c r="I1035" s="91" t="s">
        <v>228</v>
      </c>
      <c r="J1035" s="91"/>
      <c r="K1035" s="91"/>
      <c r="L1035" s="92" t="s">
        <v>1797</v>
      </c>
      <c r="M1035" s="91" t="str">
        <f t="shared" si="198"/>
        <v>VER ARCHIVO ANEXO</v>
      </c>
      <c r="N1035" s="93">
        <v>41608</v>
      </c>
      <c r="O1035" s="94"/>
      <c r="P1035" s="94">
        <v>0</v>
      </c>
      <c r="Q1035" s="94"/>
      <c r="R1035" s="95">
        <f t="shared" si="200"/>
        <v>171957.37961898668</v>
      </c>
      <c r="S1035" s="94"/>
      <c r="T1035" s="94">
        <v>120148</v>
      </c>
      <c r="U1035" s="94">
        <f t="shared" ref="U1035:U1098" si="205">+T1035*(1+$U$4)</f>
        <v>127056.51000000001</v>
      </c>
      <c r="V1035" s="94">
        <f t="shared" ref="V1035:V1098" si="206">+U1035*(1+$V$4)</f>
        <v>132253.12125900001</v>
      </c>
      <c r="W1035" s="97">
        <f t="shared" si="203"/>
        <v>136458.77051503622</v>
      </c>
      <c r="X1035" s="97">
        <f t="shared" si="204"/>
        <v>141644.2037946076</v>
      </c>
      <c r="Y1035" s="97">
        <f t="shared" si="199"/>
        <v>143924.67547570079</v>
      </c>
      <c r="Z1035" s="97">
        <f t="shared" si="201"/>
        <v>152013.24223743519</v>
      </c>
      <c r="AA1035" s="97">
        <f t="shared" si="202"/>
        <v>171957.37961898668</v>
      </c>
    </row>
    <row r="1036" spans="1:27" x14ac:dyDescent="0.25">
      <c r="A1036" s="86" t="s">
        <v>2392</v>
      </c>
      <c r="B1036" s="137" t="s">
        <v>2393</v>
      </c>
      <c r="C1036" s="138" t="s">
        <v>226</v>
      </c>
      <c r="D1036" s="139" t="s">
        <v>255</v>
      </c>
      <c r="E1036" s="90">
        <f t="shared" si="196"/>
        <v>247779</v>
      </c>
      <c r="F1036" s="90">
        <f t="shared" si="197"/>
        <v>208217.44723661616</v>
      </c>
      <c r="G1036" s="91">
        <v>0.19</v>
      </c>
      <c r="H1036" s="91"/>
      <c r="I1036" s="91" t="s">
        <v>228</v>
      </c>
      <c r="J1036" s="91"/>
      <c r="K1036" s="91"/>
      <c r="L1036" s="92" t="s">
        <v>1797</v>
      </c>
      <c r="M1036" s="91" t="str">
        <f t="shared" si="198"/>
        <v>VER ARCHIVO ANEXO</v>
      </c>
      <c r="N1036" s="93">
        <v>41608</v>
      </c>
      <c r="O1036" s="94">
        <v>233709</v>
      </c>
      <c r="P1036" s="94" t="s">
        <v>1443</v>
      </c>
      <c r="Q1036" s="94">
        <v>893</v>
      </c>
      <c r="R1036" s="95">
        <f t="shared" si="200"/>
        <v>208217.44723661616</v>
      </c>
      <c r="S1036" s="94">
        <v>135321.91039999999</v>
      </c>
      <c r="T1036" s="94">
        <v>145483.20000000001</v>
      </c>
      <c r="U1036" s="94">
        <f t="shared" si="205"/>
        <v>153848.48400000003</v>
      </c>
      <c r="V1036" s="94">
        <f t="shared" si="206"/>
        <v>160140.88699560001</v>
      </c>
      <c r="W1036" s="97">
        <f t="shared" si="203"/>
        <v>165233.36720206009</v>
      </c>
      <c r="X1036" s="97">
        <f t="shared" si="204"/>
        <v>171512.2351557384</v>
      </c>
      <c r="Y1036" s="97">
        <f t="shared" si="199"/>
        <v>174273.58214174578</v>
      </c>
      <c r="Z1036" s="97">
        <f t="shared" si="201"/>
        <v>184067.75745811188</v>
      </c>
      <c r="AA1036" s="97">
        <f t="shared" si="202"/>
        <v>208217.44723661616</v>
      </c>
    </row>
    <row r="1037" spans="1:27" x14ac:dyDescent="0.25">
      <c r="A1037" s="86" t="s">
        <v>2394</v>
      </c>
      <c r="B1037" s="137" t="s">
        <v>2395</v>
      </c>
      <c r="C1037" s="138" t="s">
        <v>226</v>
      </c>
      <c r="D1037" s="139" t="s">
        <v>255</v>
      </c>
      <c r="E1037" s="90">
        <f t="shared" ref="E1037:E1100" si="207">+ROUND(F1037*(1+G1037),0)</f>
        <v>107479</v>
      </c>
      <c r="F1037" s="90">
        <f t="shared" si="197"/>
        <v>90318.700113090672</v>
      </c>
      <c r="G1037" s="91">
        <v>0.19</v>
      </c>
      <c r="H1037" s="91"/>
      <c r="I1037" s="91" t="s">
        <v>228</v>
      </c>
      <c r="J1037" s="91"/>
      <c r="K1037" s="91"/>
      <c r="L1037" s="92" t="s">
        <v>1797</v>
      </c>
      <c r="M1037" s="91" t="str">
        <f t="shared" si="198"/>
        <v>VER ARCHIVO ANEXO</v>
      </c>
      <c r="N1037" s="93">
        <v>41608</v>
      </c>
      <c r="O1037" s="94">
        <v>97199.333329999994</v>
      </c>
      <c r="P1037" s="94" t="s">
        <v>1443</v>
      </c>
      <c r="Q1037" s="94">
        <v>894</v>
      </c>
      <c r="R1037" s="95">
        <f t="shared" si="200"/>
        <v>90318.700113090672</v>
      </c>
      <c r="S1037" s="94">
        <v>58699.548199999997</v>
      </c>
      <c r="T1037" s="94">
        <v>63106.400000000001</v>
      </c>
      <c r="U1037" s="94">
        <f t="shared" si="205"/>
        <v>66735.018000000011</v>
      </c>
      <c r="V1037" s="94">
        <f t="shared" si="206"/>
        <v>69464.480236200005</v>
      </c>
      <c r="W1037" s="97">
        <f t="shared" si="203"/>
        <v>71673.450707711163</v>
      </c>
      <c r="X1037" s="97">
        <f t="shared" si="204"/>
        <v>74397.041834604184</v>
      </c>
      <c r="Y1037" s="97">
        <f t="shared" si="199"/>
        <v>75594.834208141314</v>
      </c>
      <c r="Z1037" s="97">
        <f t="shared" si="201"/>
        <v>79843.26389063886</v>
      </c>
      <c r="AA1037" s="97">
        <f t="shared" si="202"/>
        <v>90318.700113090672</v>
      </c>
    </row>
    <row r="1038" spans="1:27" x14ac:dyDescent="0.25">
      <c r="A1038" s="86" t="s">
        <v>2396</v>
      </c>
      <c r="B1038" s="137" t="s">
        <v>2397</v>
      </c>
      <c r="C1038" s="138" t="s">
        <v>226</v>
      </c>
      <c r="D1038" s="139" t="s">
        <v>255</v>
      </c>
      <c r="E1038" s="90">
        <f t="shared" si="207"/>
        <v>130799</v>
      </c>
      <c r="F1038" s="90">
        <f t="shared" si="197"/>
        <v>109914.86851991533</v>
      </c>
      <c r="G1038" s="91">
        <v>0.19</v>
      </c>
      <c r="H1038" s="91"/>
      <c r="I1038" s="91" t="s">
        <v>228</v>
      </c>
      <c r="J1038" s="91"/>
      <c r="K1038" s="91"/>
      <c r="L1038" s="92" t="s">
        <v>1797</v>
      </c>
      <c r="M1038" s="91" t="str">
        <f t="shared" si="198"/>
        <v>VER ARCHIVO ANEXO</v>
      </c>
      <c r="N1038" s="93">
        <v>41608</v>
      </c>
      <c r="O1038" s="94"/>
      <c r="P1038" s="94">
        <v>0</v>
      </c>
      <c r="Q1038" s="94"/>
      <c r="R1038" s="95">
        <f t="shared" si="200"/>
        <v>109914.86851991533</v>
      </c>
      <c r="S1038" s="94"/>
      <c r="T1038" s="94">
        <v>76798.399999999994</v>
      </c>
      <c r="U1038" s="94">
        <f t="shared" si="205"/>
        <v>81214.308000000005</v>
      </c>
      <c r="V1038" s="94">
        <f t="shared" si="206"/>
        <v>84535.973197200001</v>
      </c>
      <c r="W1038" s="97">
        <f t="shared" si="203"/>
        <v>87224.217144870971</v>
      </c>
      <c r="X1038" s="97">
        <f t="shared" si="204"/>
        <v>90538.737396376077</v>
      </c>
      <c r="Y1038" s="97">
        <f t="shared" si="199"/>
        <v>91996.411068457732</v>
      </c>
      <c r="Z1038" s="97">
        <f t="shared" si="201"/>
        <v>97166.609370505059</v>
      </c>
      <c r="AA1038" s="97">
        <f t="shared" si="202"/>
        <v>109914.86851991533</v>
      </c>
    </row>
    <row r="1039" spans="1:27" x14ac:dyDescent="0.25">
      <c r="A1039" s="86" t="s">
        <v>2398</v>
      </c>
      <c r="B1039" s="137" t="s">
        <v>2399</v>
      </c>
      <c r="C1039" s="138" t="s">
        <v>226</v>
      </c>
      <c r="D1039" s="139" t="s">
        <v>255</v>
      </c>
      <c r="E1039" s="90">
        <f t="shared" si="207"/>
        <v>252252</v>
      </c>
      <c r="F1039" s="90">
        <f t="shared" si="197"/>
        <v>211976.12228799998</v>
      </c>
      <c r="G1039" s="91">
        <v>0.19</v>
      </c>
      <c r="H1039" s="91"/>
      <c r="I1039" s="91" t="s">
        <v>228</v>
      </c>
      <c r="J1039" s="91"/>
      <c r="K1039" s="91"/>
      <c r="L1039" s="92" t="s">
        <v>1797</v>
      </c>
      <c r="M1039" s="91" t="str">
        <f t="shared" si="198"/>
        <v>VER ARCHIVO ANEXO</v>
      </c>
      <c r="N1039" s="93">
        <v>41608</v>
      </c>
      <c r="O1039" s="94">
        <v>146235</v>
      </c>
      <c r="P1039" s="94" t="s">
        <v>1443</v>
      </c>
      <c r="Q1039" s="94">
        <v>896</v>
      </c>
      <c r="R1039" s="95">
        <f t="shared" si="200"/>
        <v>211976.12228799998</v>
      </c>
      <c r="S1039" s="94">
        <v>86772.749400000001</v>
      </c>
      <c r="T1039" s="94">
        <v>93294.399999999994</v>
      </c>
      <c r="U1039" s="94">
        <f t="shared" si="205"/>
        <v>98658.828000000009</v>
      </c>
      <c r="V1039" s="94">
        <f t="shared" si="206"/>
        <v>102693.9740652</v>
      </c>
      <c r="W1039" s="97">
        <f t="shared" si="203"/>
        <v>105959.64244047337</v>
      </c>
      <c r="X1039" s="97">
        <f t="shared" si="204"/>
        <v>109986.10885321136</v>
      </c>
      <c r="Y1039" s="97">
        <f t="shared" si="199"/>
        <v>111756.88520574807</v>
      </c>
      <c r="Z1039" s="97">
        <v>187390.49</v>
      </c>
      <c r="AA1039" s="97">
        <f t="shared" si="202"/>
        <v>211976.12228799998</v>
      </c>
    </row>
    <row r="1040" spans="1:27" x14ac:dyDescent="0.25">
      <c r="A1040" s="86" t="s">
        <v>2400</v>
      </c>
      <c r="B1040" s="137" t="s">
        <v>2401</v>
      </c>
      <c r="C1040" s="138" t="s">
        <v>226</v>
      </c>
      <c r="D1040" s="139" t="s">
        <v>255</v>
      </c>
      <c r="E1040" s="90">
        <f t="shared" si="207"/>
        <v>68660</v>
      </c>
      <c r="F1040" s="90">
        <f t="shared" si="197"/>
        <v>57697.348428671139</v>
      </c>
      <c r="G1040" s="91">
        <v>0.19</v>
      </c>
      <c r="H1040" s="91"/>
      <c r="I1040" s="91" t="s">
        <v>228</v>
      </c>
      <c r="J1040" s="91"/>
      <c r="K1040" s="91"/>
      <c r="L1040" s="92" t="s">
        <v>1797</v>
      </c>
      <c r="M1040" s="91" t="str">
        <f t="shared" si="198"/>
        <v>VER ARCHIVO ANEXO</v>
      </c>
      <c r="N1040" s="93">
        <v>41608</v>
      </c>
      <c r="O1040" s="94">
        <v>62255.666669999999</v>
      </c>
      <c r="P1040" s="94" t="s">
        <v>1443</v>
      </c>
      <c r="Q1040" s="94">
        <v>897</v>
      </c>
      <c r="R1040" s="95">
        <f t="shared" si="200"/>
        <v>57697.348428671139</v>
      </c>
      <c r="S1040" s="94">
        <v>37493.822</v>
      </c>
      <c r="T1040" s="94">
        <v>40313.599999999999</v>
      </c>
      <c r="U1040" s="94">
        <f t="shared" si="205"/>
        <v>42631.632000000005</v>
      </c>
      <c r="V1040" s="94">
        <f t="shared" si="206"/>
        <v>44375.265748800004</v>
      </c>
      <c r="W1040" s="97">
        <f t="shared" si="203"/>
        <v>45786.399199611849</v>
      </c>
      <c r="X1040" s="97">
        <f t="shared" si="204"/>
        <v>47526.282369197099</v>
      </c>
      <c r="Y1040" s="97">
        <f t="shared" si="199"/>
        <v>48291.455515341171</v>
      </c>
      <c r="Z1040" s="97">
        <f t="shared" si="201"/>
        <v>51005.435315303344</v>
      </c>
      <c r="AA1040" s="97">
        <f t="shared" si="202"/>
        <v>57697.348428671139</v>
      </c>
    </row>
    <row r="1041" spans="1:27" x14ac:dyDescent="0.25">
      <c r="A1041" s="86" t="s">
        <v>2402</v>
      </c>
      <c r="B1041" s="137" t="s">
        <v>2403</v>
      </c>
      <c r="C1041" s="138" t="s">
        <v>226</v>
      </c>
      <c r="D1041" s="139" t="s">
        <v>255</v>
      </c>
      <c r="E1041" s="90">
        <f t="shared" si="207"/>
        <v>83985</v>
      </c>
      <c r="F1041" s="90">
        <f t="shared" si="197"/>
        <v>70575.97549498509</v>
      </c>
      <c r="G1041" s="91">
        <v>0.19</v>
      </c>
      <c r="H1041" s="91"/>
      <c r="I1041" s="91" t="s">
        <v>228</v>
      </c>
      <c r="J1041" s="91"/>
      <c r="K1041" s="91"/>
      <c r="L1041" s="92" t="s">
        <v>1797</v>
      </c>
      <c r="M1041" s="91" t="str">
        <f t="shared" si="198"/>
        <v>VER ARCHIVO ANEXO</v>
      </c>
      <c r="N1041" s="93">
        <v>41608</v>
      </c>
      <c r="O1041" s="94"/>
      <c r="P1041" s="94">
        <v>0</v>
      </c>
      <c r="Q1041" s="94"/>
      <c r="R1041" s="95">
        <f t="shared" si="200"/>
        <v>70575.97549498509</v>
      </c>
      <c r="S1041" s="94"/>
      <c r="T1041" s="94">
        <v>49312</v>
      </c>
      <c r="U1041" s="94">
        <f t="shared" si="205"/>
        <v>52147.44</v>
      </c>
      <c r="V1041" s="94">
        <f t="shared" si="206"/>
        <v>54280.270296000002</v>
      </c>
      <c r="W1041" s="97">
        <f t="shared" si="203"/>
        <v>56006.382891412803</v>
      </c>
      <c r="X1041" s="97">
        <f t="shared" si="204"/>
        <v>58134.625441286487</v>
      </c>
      <c r="Y1041" s="97">
        <f t="shared" si="199"/>
        <v>59070.592910891202</v>
      </c>
      <c r="Z1041" s="97">
        <f t="shared" si="201"/>
        <v>62390.36023248329</v>
      </c>
      <c r="AA1041" s="97">
        <f t="shared" si="202"/>
        <v>70575.97549498509</v>
      </c>
    </row>
    <row r="1042" spans="1:27" x14ac:dyDescent="0.25">
      <c r="A1042" s="86" t="s">
        <v>2404</v>
      </c>
      <c r="B1042" s="137" t="s">
        <v>2405</v>
      </c>
      <c r="C1042" s="138" t="s">
        <v>226</v>
      </c>
      <c r="D1042" s="139" t="s">
        <v>255</v>
      </c>
      <c r="E1042" s="90">
        <f t="shared" si="207"/>
        <v>101957</v>
      </c>
      <c r="F1042" s="90">
        <f t="shared" si="197"/>
        <v>85678.135079327272</v>
      </c>
      <c r="G1042" s="91">
        <v>0.19</v>
      </c>
      <c r="H1042" s="91"/>
      <c r="I1042" s="91" t="s">
        <v>228</v>
      </c>
      <c r="J1042" s="91"/>
      <c r="K1042" s="91"/>
      <c r="L1042" s="92" t="s">
        <v>1797</v>
      </c>
      <c r="M1042" s="91" t="str">
        <f t="shared" si="198"/>
        <v>VER ARCHIVO ANEXO</v>
      </c>
      <c r="N1042" s="93">
        <v>41608</v>
      </c>
      <c r="O1042" s="94">
        <v>93356</v>
      </c>
      <c r="P1042" s="94" t="s">
        <v>1443</v>
      </c>
      <c r="Q1042" s="94">
        <v>899</v>
      </c>
      <c r="R1042" s="95">
        <f t="shared" si="200"/>
        <v>85678.135079327272</v>
      </c>
      <c r="S1042" s="94">
        <v>55667.493199999997</v>
      </c>
      <c r="T1042" s="94">
        <v>59864</v>
      </c>
      <c r="U1042" s="94">
        <f t="shared" si="205"/>
        <v>63306.180000000008</v>
      </c>
      <c r="V1042" s="94">
        <f t="shared" si="206"/>
        <v>65895.402761999998</v>
      </c>
      <c r="W1042" s="97">
        <f t="shared" si="203"/>
        <v>67990.876569831598</v>
      </c>
      <c r="X1042" s="97">
        <f t="shared" si="204"/>
        <v>70574.529879485199</v>
      </c>
      <c r="Y1042" s="97">
        <f t="shared" si="199"/>
        <v>71710.779810544904</v>
      </c>
      <c r="Z1042" s="97">
        <f t="shared" si="201"/>
        <v>75740.925635897525</v>
      </c>
      <c r="AA1042" s="97">
        <f t="shared" si="202"/>
        <v>85678.135079327272</v>
      </c>
    </row>
    <row r="1043" spans="1:27" x14ac:dyDescent="0.25">
      <c r="A1043" s="86" t="s">
        <v>2406</v>
      </c>
      <c r="B1043" s="137" t="s">
        <v>2407</v>
      </c>
      <c r="C1043" s="138" t="s">
        <v>226</v>
      </c>
      <c r="D1043" s="139" t="s">
        <v>255</v>
      </c>
      <c r="E1043" s="90">
        <f t="shared" si="207"/>
        <v>32775</v>
      </c>
      <c r="F1043" s="90">
        <f t="shared" si="197"/>
        <v>27542.26298721393</v>
      </c>
      <c r="G1043" s="91">
        <v>0.19</v>
      </c>
      <c r="H1043" s="91"/>
      <c r="I1043" s="91" t="s">
        <v>228</v>
      </c>
      <c r="J1043" s="91"/>
      <c r="K1043" s="91"/>
      <c r="L1043" s="92" t="s">
        <v>1797</v>
      </c>
      <c r="M1043" s="91" t="str">
        <f t="shared" si="198"/>
        <v>VER ARCHIVO ANEXO</v>
      </c>
      <c r="N1043" s="93">
        <v>41608</v>
      </c>
      <c r="O1043" s="94">
        <v>29697</v>
      </c>
      <c r="P1043" s="94" t="s">
        <v>1443</v>
      </c>
      <c r="Q1043" s="94">
        <v>900</v>
      </c>
      <c r="R1043" s="95">
        <f t="shared" si="200"/>
        <v>27542.26298721393</v>
      </c>
      <c r="S1043" s="94">
        <v>15924.2492</v>
      </c>
      <c r="T1043" s="94">
        <v>19244</v>
      </c>
      <c r="U1043" s="94">
        <f t="shared" si="205"/>
        <v>20350.530000000002</v>
      </c>
      <c r="V1043" s="94">
        <f t="shared" si="206"/>
        <v>21182.866677000002</v>
      </c>
      <c r="W1043" s="97">
        <f t="shared" si="203"/>
        <v>21856.481837328603</v>
      </c>
      <c r="X1043" s="97">
        <f t="shared" si="204"/>
        <v>22687.028147147092</v>
      </c>
      <c r="Y1043" s="97">
        <f t="shared" si="199"/>
        <v>23052.289300316159</v>
      </c>
      <c r="Z1043" s="97">
        <f t="shared" si="201"/>
        <v>24347.827958993927</v>
      </c>
      <c r="AA1043" s="97">
        <f t="shared" si="202"/>
        <v>27542.26298721393</v>
      </c>
    </row>
    <row r="1044" spans="1:27" x14ac:dyDescent="0.25">
      <c r="A1044" s="86" t="s">
        <v>2408</v>
      </c>
      <c r="B1044" s="137" t="s">
        <v>2409</v>
      </c>
      <c r="C1044" s="138" t="s">
        <v>226</v>
      </c>
      <c r="D1044" s="139" t="s">
        <v>255</v>
      </c>
      <c r="E1044" s="90">
        <f t="shared" si="207"/>
        <v>39642</v>
      </c>
      <c r="F1044" s="90">
        <f t="shared" si="197"/>
        <v>33312.91380640155</v>
      </c>
      <c r="G1044" s="91">
        <v>0.19</v>
      </c>
      <c r="H1044" s="91"/>
      <c r="I1044" s="91" t="s">
        <v>228</v>
      </c>
      <c r="J1044" s="91"/>
      <c r="K1044" s="91"/>
      <c r="L1044" s="92" t="s">
        <v>1797</v>
      </c>
      <c r="M1044" s="91" t="str">
        <f t="shared" si="198"/>
        <v>VER ARCHIVO ANEXO</v>
      </c>
      <c r="N1044" s="93">
        <v>41608</v>
      </c>
      <c r="O1044" s="94"/>
      <c r="P1044" s="94">
        <v>0</v>
      </c>
      <c r="Q1044" s="94"/>
      <c r="R1044" s="95">
        <f t="shared" si="200"/>
        <v>33312.91380640155</v>
      </c>
      <c r="S1044" s="94"/>
      <c r="T1044" s="94">
        <v>23276</v>
      </c>
      <c r="U1044" s="94">
        <f t="shared" si="205"/>
        <v>24614.370000000003</v>
      </c>
      <c r="V1044" s="94">
        <f t="shared" si="206"/>
        <v>25621.097733000002</v>
      </c>
      <c r="W1044" s="97">
        <f t="shared" si="203"/>
        <v>26435.848640909404</v>
      </c>
      <c r="X1044" s="97">
        <f t="shared" si="204"/>
        <v>27440.410889263963</v>
      </c>
      <c r="Y1044" s="97">
        <f t="shared" si="199"/>
        <v>27882.201504581113</v>
      </c>
      <c r="Z1044" s="97">
        <f t="shared" si="201"/>
        <v>29449.181229138572</v>
      </c>
      <c r="AA1044" s="97">
        <f t="shared" si="202"/>
        <v>33312.91380640155</v>
      </c>
    </row>
    <row r="1045" spans="1:27" x14ac:dyDescent="0.25">
      <c r="A1045" s="86" t="s">
        <v>2410</v>
      </c>
      <c r="B1045" s="137" t="s">
        <v>2411</v>
      </c>
      <c r="C1045" s="138" t="s">
        <v>226</v>
      </c>
      <c r="D1045" s="139" t="s">
        <v>255</v>
      </c>
      <c r="E1045" s="90">
        <f t="shared" si="207"/>
        <v>75826</v>
      </c>
      <c r="F1045" s="90">
        <f t="shared" si="197"/>
        <v>63718.968879999993</v>
      </c>
      <c r="G1045" s="91">
        <v>0.19</v>
      </c>
      <c r="H1045" s="91"/>
      <c r="I1045" s="91" t="s">
        <v>228</v>
      </c>
      <c r="J1045" s="91"/>
      <c r="K1045" s="91"/>
      <c r="L1045" s="92" t="s">
        <v>1797</v>
      </c>
      <c r="M1045" s="91" t="str">
        <f t="shared" si="198"/>
        <v>VER ARCHIVO ANEXO</v>
      </c>
      <c r="N1045" s="93">
        <v>41608</v>
      </c>
      <c r="O1045" s="94">
        <v>44143</v>
      </c>
      <c r="P1045" s="94" t="s">
        <v>1443</v>
      </c>
      <c r="Q1045" s="94">
        <v>902</v>
      </c>
      <c r="R1045" s="95">
        <f t="shared" si="200"/>
        <v>63718.968879999993</v>
      </c>
      <c r="S1045" s="94">
        <v>26224.9434</v>
      </c>
      <c r="T1045" s="94">
        <v>28201.599999999999</v>
      </c>
      <c r="U1045" s="94">
        <f t="shared" si="205"/>
        <v>29823.192000000003</v>
      </c>
      <c r="V1045" s="94">
        <f t="shared" si="206"/>
        <v>31042.960552799999</v>
      </c>
      <c r="W1045" s="97">
        <f t="shared" si="203"/>
        <v>32030.126698379041</v>
      </c>
      <c r="X1045" s="97">
        <f t="shared" si="204"/>
        <v>33247.271512917447</v>
      </c>
      <c r="Y1045" s="97">
        <f t="shared" si="199"/>
        <v>33782.552584275414</v>
      </c>
      <c r="Z1045" s="97">
        <v>56328.649999999994</v>
      </c>
      <c r="AA1045" s="97">
        <f t="shared" si="202"/>
        <v>63718.968879999993</v>
      </c>
    </row>
    <row r="1046" spans="1:27" x14ac:dyDescent="0.25">
      <c r="A1046" s="86" t="s">
        <v>2412</v>
      </c>
      <c r="B1046" s="140" t="s">
        <v>2413</v>
      </c>
      <c r="C1046" s="138" t="s">
        <v>226</v>
      </c>
      <c r="D1046" s="139" t="s">
        <v>255</v>
      </c>
      <c r="E1046" s="90">
        <f t="shared" si="207"/>
        <v>21943</v>
      </c>
      <c r="F1046" s="90">
        <f t="shared" si="197"/>
        <v>18439.748302185835</v>
      </c>
      <c r="G1046" s="91">
        <v>0.19</v>
      </c>
      <c r="H1046" s="91"/>
      <c r="I1046" s="91" t="s">
        <v>228</v>
      </c>
      <c r="J1046" s="91"/>
      <c r="K1046" s="91"/>
      <c r="L1046" s="92" t="s">
        <v>1797</v>
      </c>
      <c r="M1046" s="91" t="str">
        <f t="shared" si="198"/>
        <v>VER ARCHIVO ANEXO</v>
      </c>
      <c r="N1046" s="93">
        <v>41608</v>
      </c>
      <c r="O1046" s="94">
        <v>20374</v>
      </c>
      <c r="P1046" s="94" t="s">
        <v>1443</v>
      </c>
      <c r="Q1046" s="94">
        <v>903</v>
      </c>
      <c r="R1046" s="95">
        <f t="shared" si="200"/>
        <v>18439.748302185835</v>
      </c>
      <c r="S1046" s="94">
        <v>10843.872599999999</v>
      </c>
      <c r="T1046" s="94">
        <v>12884</v>
      </c>
      <c r="U1046" s="94">
        <f t="shared" si="205"/>
        <v>13624.830000000002</v>
      </c>
      <c r="V1046" s="94">
        <f t="shared" si="206"/>
        <v>14182.085547000001</v>
      </c>
      <c r="W1046" s="97">
        <f t="shared" si="203"/>
        <v>14633.075867394602</v>
      </c>
      <c r="X1046" s="97">
        <f t="shared" si="204"/>
        <v>15189.132750355597</v>
      </c>
      <c r="Y1046" s="97">
        <f t="shared" si="199"/>
        <v>15433.677787636321</v>
      </c>
      <c r="Z1046" s="97">
        <f t="shared" si="201"/>
        <v>16301.050479301482</v>
      </c>
      <c r="AA1046" s="97">
        <f t="shared" si="202"/>
        <v>18439.748302185835</v>
      </c>
    </row>
    <row r="1047" spans="1:27" x14ac:dyDescent="0.25">
      <c r="A1047" s="86" t="s">
        <v>2414</v>
      </c>
      <c r="B1047" s="137" t="s">
        <v>2415</v>
      </c>
      <c r="C1047" s="138" t="s">
        <v>226</v>
      </c>
      <c r="D1047" s="139" t="s">
        <v>255</v>
      </c>
      <c r="E1047" s="90">
        <f t="shared" si="207"/>
        <v>26810</v>
      </c>
      <c r="F1047" s="90">
        <f t="shared" si="197"/>
        <v>22529.582573244999</v>
      </c>
      <c r="G1047" s="91">
        <v>0.19</v>
      </c>
      <c r="H1047" s="91"/>
      <c r="I1047" s="91" t="s">
        <v>228</v>
      </c>
      <c r="J1047" s="91"/>
      <c r="K1047" s="91"/>
      <c r="L1047" s="92" t="s">
        <v>1797</v>
      </c>
      <c r="M1047" s="91" t="str">
        <f t="shared" si="198"/>
        <v>VER ARCHIVO ANEXO</v>
      </c>
      <c r="N1047" s="93">
        <v>41608</v>
      </c>
      <c r="O1047" s="94"/>
      <c r="P1047" s="94">
        <v>0</v>
      </c>
      <c r="Q1047" s="94"/>
      <c r="R1047" s="95">
        <f t="shared" si="200"/>
        <v>22529.582573244999</v>
      </c>
      <c r="S1047" s="94"/>
      <c r="T1047" s="94">
        <v>15741.6</v>
      </c>
      <c r="U1047" s="94">
        <f t="shared" si="205"/>
        <v>16646.742000000002</v>
      </c>
      <c r="V1047" s="94">
        <f t="shared" si="206"/>
        <v>17327.593747800001</v>
      </c>
      <c r="W1047" s="97">
        <f t="shared" si="203"/>
        <v>17878.611228980044</v>
      </c>
      <c r="X1047" s="97">
        <f t="shared" si="204"/>
        <v>18557.998455681285</v>
      </c>
      <c r="Y1047" s="97">
        <f t="shared" si="199"/>
        <v>18856.782230817753</v>
      </c>
      <c r="Z1047" s="97">
        <f t="shared" si="201"/>
        <v>19916.533392189711</v>
      </c>
      <c r="AA1047" s="97">
        <f t="shared" si="202"/>
        <v>22529.582573244999</v>
      </c>
    </row>
    <row r="1048" spans="1:27" x14ac:dyDescent="0.25">
      <c r="A1048" s="86" t="s">
        <v>2416</v>
      </c>
      <c r="B1048" s="137" t="s">
        <v>2417</v>
      </c>
      <c r="C1048" s="138" t="s">
        <v>226</v>
      </c>
      <c r="D1048" s="139" t="s">
        <v>255</v>
      </c>
      <c r="E1048" s="90">
        <f t="shared" si="207"/>
        <v>51081</v>
      </c>
      <c r="F1048" s="90">
        <f t="shared" ref="F1048:F1111" si="208">R1048</f>
        <v>42925.329663999997</v>
      </c>
      <c r="G1048" s="91">
        <v>0.19</v>
      </c>
      <c r="H1048" s="91"/>
      <c r="I1048" s="91" t="s">
        <v>228</v>
      </c>
      <c r="J1048" s="91"/>
      <c r="K1048" s="91"/>
      <c r="L1048" s="92" t="s">
        <v>1797</v>
      </c>
      <c r="M1048" s="91" t="str">
        <f t="shared" ref="M1048:M1111" si="209">+IF(L1048="no aplica","no aplica","VER ARCHIVO ANEXO")</f>
        <v>VER ARCHIVO ANEXO</v>
      </c>
      <c r="N1048" s="93">
        <v>41608</v>
      </c>
      <c r="O1048" s="94">
        <v>28620</v>
      </c>
      <c r="P1048" s="94" t="s">
        <v>1443</v>
      </c>
      <c r="Q1048" s="94">
        <v>905</v>
      </c>
      <c r="R1048" s="95">
        <f t="shared" si="200"/>
        <v>42925.329663999997</v>
      </c>
      <c r="S1048" s="94">
        <v>17584.882399999999</v>
      </c>
      <c r="T1048" s="94">
        <v>18920</v>
      </c>
      <c r="U1048" s="94">
        <f t="shared" si="205"/>
        <v>20007.900000000001</v>
      </c>
      <c r="V1048" s="94">
        <f t="shared" si="206"/>
        <v>20826.223109999999</v>
      </c>
      <c r="W1048" s="97">
        <f t="shared" si="203"/>
        <v>21488.497004897999</v>
      </c>
      <c r="X1048" s="97">
        <f t="shared" si="204"/>
        <v>22305.059891084125</v>
      </c>
      <c r="Y1048" s="97">
        <f t="shared" si="199"/>
        <v>22664.171355330582</v>
      </c>
      <c r="Z1048" s="97">
        <v>37946.720000000001</v>
      </c>
      <c r="AA1048" s="97">
        <f t="shared" si="202"/>
        <v>42925.329663999997</v>
      </c>
    </row>
    <row r="1049" spans="1:27" x14ac:dyDescent="0.25">
      <c r="A1049" s="86" t="s">
        <v>2418</v>
      </c>
      <c r="B1049" s="137" t="s">
        <v>2419</v>
      </c>
      <c r="C1049" s="138" t="s">
        <v>226</v>
      </c>
      <c r="D1049" s="139" t="s">
        <v>255</v>
      </c>
      <c r="E1049" s="90">
        <f t="shared" si="207"/>
        <v>15238</v>
      </c>
      <c r="F1049" s="90">
        <f t="shared" si="208"/>
        <v>12805.348960673484</v>
      </c>
      <c r="G1049" s="91">
        <v>0.19</v>
      </c>
      <c r="H1049" s="91"/>
      <c r="I1049" s="91" t="s">
        <v>228</v>
      </c>
      <c r="J1049" s="91"/>
      <c r="K1049" s="91"/>
      <c r="L1049" s="92" t="s">
        <v>1797</v>
      </c>
      <c r="M1049" s="91" t="str">
        <f t="shared" si="209"/>
        <v>VER ARCHIVO ANEXO</v>
      </c>
      <c r="N1049" s="93">
        <v>41608</v>
      </c>
      <c r="O1049" s="94">
        <v>14037</v>
      </c>
      <c r="P1049" s="94" t="s">
        <v>1443</v>
      </c>
      <c r="Q1049" s="94">
        <v>906</v>
      </c>
      <c r="R1049" s="95">
        <f t="shared" si="200"/>
        <v>12805.348960673484</v>
      </c>
      <c r="S1049" s="94">
        <v>8506.3395999999993</v>
      </c>
      <c r="T1049" s="94">
        <v>8947.2000000000007</v>
      </c>
      <c r="U1049" s="94">
        <f t="shared" si="205"/>
        <v>9461.6640000000025</v>
      </c>
      <c r="V1049" s="94">
        <f t="shared" si="206"/>
        <v>9848.6460576000027</v>
      </c>
      <c r="W1049" s="97">
        <f t="shared" si="203"/>
        <v>10161.833002231684</v>
      </c>
      <c r="X1049" s="97">
        <f t="shared" si="204"/>
        <v>10547.982656316488</v>
      </c>
      <c r="Y1049" s="97">
        <f t="shared" si="199"/>
        <v>10717.805177083183</v>
      </c>
      <c r="Z1049" s="97">
        <f t="shared" si="201"/>
        <v>11320.145828035258</v>
      </c>
      <c r="AA1049" s="97">
        <f t="shared" si="202"/>
        <v>12805.348960673484</v>
      </c>
    </row>
    <row r="1050" spans="1:27" x14ac:dyDescent="0.25">
      <c r="A1050" s="86" t="s">
        <v>2420</v>
      </c>
      <c r="B1050" s="137" t="s">
        <v>2421</v>
      </c>
      <c r="C1050" s="138" t="s">
        <v>226</v>
      </c>
      <c r="D1050" s="139" t="s">
        <v>255</v>
      </c>
      <c r="E1050" s="90">
        <f t="shared" si="207"/>
        <v>18688</v>
      </c>
      <c r="F1050" s="90">
        <f t="shared" si="208"/>
        <v>15704.414015074879</v>
      </c>
      <c r="G1050" s="91">
        <v>0.19</v>
      </c>
      <c r="H1050" s="91"/>
      <c r="I1050" s="91" t="s">
        <v>228</v>
      </c>
      <c r="J1050" s="91"/>
      <c r="K1050" s="91"/>
      <c r="L1050" s="92" t="s">
        <v>1797</v>
      </c>
      <c r="M1050" s="91" t="str">
        <f t="shared" si="209"/>
        <v>VER ARCHIVO ANEXO</v>
      </c>
      <c r="N1050" s="93">
        <v>41608</v>
      </c>
      <c r="O1050" s="94"/>
      <c r="P1050" s="94">
        <v>0</v>
      </c>
      <c r="Q1050" s="94"/>
      <c r="R1050" s="95">
        <f t="shared" si="200"/>
        <v>15704.414015074879</v>
      </c>
      <c r="S1050" s="94"/>
      <c r="T1050" s="94">
        <v>10972.8</v>
      </c>
      <c r="U1050" s="94">
        <f t="shared" si="205"/>
        <v>11603.736000000001</v>
      </c>
      <c r="V1050" s="94">
        <f t="shared" si="206"/>
        <v>12078.328802399999</v>
      </c>
      <c r="W1050" s="97">
        <f t="shared" si="203"/>
        <v>12462.419658316319</v>
      </c>
      <c r="X1050" s="97">
        <f t="shared" si="204"/>
        <v>12935.99160533234</v>
      </c>
      <c r="Y1050" s="97">
        <f t="shared" si="199"/>
        <v>13144.26107017819</v>
      </c>
      <c r="Z1050" s="97">
        <f t="shared" si="201"/>
        <v>13882.968542322205</v>
      </c>
      <c r="AA1050" s="97">
        <f t="shared" si="202"/>
        <v>15704.414015074879</v>
      </c>
    </row>
    <row r="1051" spans="1:27" x14ac:dyDescent="0.25">
      <c r="A1051" s="86" t="s">
        <v>2422</v>
      </c>
      <c r="B1051" s="137" t="s">
        <v>2423</v>
      </c>
      <c r="C1051" s="138" t="s">
        <v>226</v>
      </c>
      <c r="D1051" s="139" t="s">
        <v>255</v>
      </c>
      <c r="E1051" s="90">
        <f t="shared" si="207"/>
        <v>22280</v>
      </c>
      <c r="F1051" s="90">
        <f t="shared" si="208"/>
        <v>18722.555991142053</v>
      </c>
      <c r="G1051" s="91">
        <v>0.19</v>
      </c>
      <c r="H1051" s="91"/>
      <c r="I1051" s="91" t="s">
        <v>228</v>
      </c>
      <c r="J1051" s="91"/>
      <c r="K1051" s="91"/>
      <c r="L1051" s="92" t="s">
        <v>1797</v>
      </c>
      <c r="M1051" s="91" t="str">
        <f t="shared" si="209"/>
        <v>VER ARCHIVO ANEXO</v>
      </c>
      <c r="N1051" s="93">
        <v>41608</v>
      </c>
      <c r="O1051" s="94"/>
      <c r="P1051" s="94">
        <v>0</v>
      </c>
      <c r="Q1051" s="94"/>
      <c r="R1051" s="95">
        <f t="shared" si="200"/>
        <v>18722.555991142053</v>
      </c>
      <c r="S1051" s="94"/>
      <c r="T1051" s="94">
        <v>13081.6</v>
      </c>
      <c r="U1051" s="94">
        <f t="shared" si="205"/>
        <v>13833.792000000001</v>
      </c>
      <c r="V1051" s="94">
        <f t="shared" si="206"/>
        <v>14399.5940928</v>
      </c>
      <c r="W1051" s="97">
        <f t="shared" si="203"/>
        <v>14857.501184951041</v>
      </c>
      <c r="X1051" s="97">
        <f t="shared" si="204"/>
        <v>15422.086229979181</v>
      </c>
      <c r="Y1051" s="97">
        <f t="shared" si="199"/>
        <v>15670.381818281845</v>
      </c>
      <c r="Z1051" s="97">
        <f t="shared" si="201"/>
        <v>16551.057276469284</v>
      </c>
      <c r="AA1051" s="97">
        <f t="shared" si="202"/>
        <v>18722.555991142053</v>
      </c>
    </row>
    <row r="1052" spans="1:27" x14ac:dyDescent="0.25">
      <c r="A1052" s="86" t="s">
        <v>2424</v>
      </c>
      <c r="B1052" s="137" t="s">
        <v>2425</v>
      </c>
      <c r="C1052" s="138" t="s">
        <v>226</v>
      </c>
      <c r="D1052" s="139" t="s">
        <v>255</v>
      </c>
      <c r="E1052" s="90">
        <f t="shared" si="207"/>
        <v>10803</v>
      </c>
      <c r="F1052" s="90">
        <f t="shared" si="208"/>
        <v>9078.4703066148068</v>
      </c>
      <c r="G1052" s="91">
        <v>0.19</v>
      </c>
      <c r="H1052" s="91"/>
      <c r="I1052" s="91" t="s">
        <v>228</v>
      </c>
      <c r="J1052" s="91"/>
      <c r="K1052" s="91"/>
      <c r="L1052" s="92" t="s">
        <v>1797</v>
      </c>
      <c r="M1052" s="91" t="str">
        <f t="shared" si="209"/>
        <v>VER ARCHIVO ANEXO</v>
      </c>
      <c r="N1052" s="93">
        <v>41608</v>
      </c>
      <c r="O1052" s="94">
        <v>10208</v>
      </c>
      <c r="P1052" s="94" t="s">
        <v>1443</v>
      </c>
      <c r="Q1052" s="94">
        <v>909</v>
      </c>
      <c r="R1052" s="95">
        <f t="shared" si="200"/>
        <v>9078.4703066148068</v>
      </c>
      <c r="S1052" s="94">
        <v>7266.5659999999998</v>
      </c>
      <c r="T1052" s="94">
        <v>6343.2</v>
      </c>
      <c r="U1052" s="94">
        <f t="shared" si="205"/>
        <v>6707.9340000000002</v>
      </c>
      <c r="V1052" s="94">
        <f t="shared" si="206"/>
        <v>6982.2885005999997</v>
      </c>
      <c r="W1052" s="97">
        <f t="shared" si="203"/>
        <v>7204.3252749190797</v>
      </c>
      <c r="X1052" s="97">
        <f t="shared" si="204"/>
        <v>7478.0896353660046</v>
      </c>
      <c r="Y1052" s="97">
        <f t="shared" si="199"/>
        <v>7598.4868784953969</v>
      </c>
      <c r="Z1052" s="97">
        <f t="shared" si="201"/>
        <v>8025.5218410668385</v>
      </c>
      <c r="AA1052" s="97">
        <f t="shared" si="202"/>
        <v>9078.4703066148068</v>
      </c>
    </row>
    <row r="1053" spans="1:27" x14ac:dyDescent="0.25">
      <c r="A1053" s="86" t="s">
        <v>2426</v>
      </c>
      <c r="B1053" s="137" t="s">
        <v>2427</v>
      </c>
      <c r="C1053" s="138" t="s">
        <v>226</v>
      </c>
      <c r="D1053" s="139" t="s">
        <v>255</v>
      </c>
      <c r="E1053" s="90">
        <f t="shared" si="207"/>
        <v>13161</v>
      </c>
      <c r="F1053" s="90">
        <f t="shared" si="208"/>
        <v>11059.269099708976</v>
      </c>
      <c r="G1053" s="91">
        <v>0.19</v>
      </c>
      <c r="H1053" s="91"/>
      <c r="I1053" s="91" t="s">
        <v>228</v>
      </c>
      <c r="J1053" s="91"/>
      <c r="K1053" s="91"/>
      <c r="L1053" s="92" t="s">
        <v>1797</v>
      </c>
      <c r="M1053" s="91" t="str">
        <f t="shared" si="209"/>
        <v>VER ARCHIVO ANEXO</v>
      </c>
      <c r="N1053" s="93">
        <v>41608</v>
      </c>
      <c r="O1053" s="94">
        <v>12130</v>
      </c>
      <c r="P1053" s="94" t="s">
        <v>1443</v>
      </c>
      <c r="Q1053" s="94">
        <v>910</v>
      </c>
      <c r="R1053" s="95">
        <f t="shared" si="200"/>
        <v>11059.269099708976</v>
      </c>
      <c r="S1053" s="94">
        <v>7265.5293999999994</v>
      </c>
      <c r="T1053" s="94">
        <v>7727.2</v>
      </c>
      <c r="U1053" s="94">
        <f t="shared" si="205"/>
        <v>8171.514000000001</v>
      </c>
      <c r="V1053" s="94">
        <f t="shared" si="206"/>
        <v>8505.7289226000012</v>
      </c>
      <c r="W1053" s="97">
        <f t="shared" si="203"/>
        <v>8776.2111023386824</v>
      </c>
      <c r="X1053" s="97">
        <f t="shared" si="204"/>
        <v>9109.7071242275524</v>
      </c>
      <c r="Y1053" s="97">
        <f t="shared" si="199"/>
        <v>9256.3734089276168</v>
      </c>
      <c r="Z1053" s="97">
        <f t="shared" si="201"/>
        <v>9776.5815945093491</v>
      </c>
      <c r="AA1053" s="97">
        <f t="shared" si="202"/>
        <v>11059.269099708976</v>
      </c>
    </row>
    <row r="1054" spans="1:27" x14ac:dyDescent="0.25">
      <c r="A1054" s="86" t="s">
        <v>2428</v>
      </c>
      <c r="B1054" s="137" t="s">
        <v>2429</v>
      </c>
      <c r="C1054" s="138" t="s">
        <v>226</v>
      </c>
      <c r="D1054" s="139" t="s">
        <v>255</v>
      </c>
      <c r="E1054" s="90">
        <f t="shared" si="207"/>
        <v>15935</v>
      </c>
      <c r="F1054" s="90">
        <f t="shared" si="208"/>
        <v>13390.428835396669</v>
      </c>
      <c r="G1054" s="91">
        <v>0.19</v>
      </c>
      <c r="H1054" s="91"/>
      <c r="I1054" s="91" t="s">
        <v>228</v>
      </c>
      <c r="J1054" s="91"/>
      <c r="K1054" s="91"/>
      <c r="L1054" s="92" t="s">
        <v>1797</v>
      </c>
      <c r="M1054" s="91" t="str">
        <f t="shared" si="209"/>
        <v>VER ARCHIVO ANEXO</v>
      </c>
      <c r="N1054" s="93">
        <v>41608</v>
      </c>
      <c r="O1054" s="94">
        <v>14597</v>
      </c>
      <c r="P1054" s="94" t="s">
        <v>1443</v>
      </c>
      <c r="Q1054" s="94">
        <v>911</v>
      </c>
      <c r="R1054" s="95">
        <f t="shared" si="200"/>
        <v>13390.428835396669</v>
      </c>
      <c r="S1054" s="94">
        <v>8693.9642000000003</v>
      </c>
      <c r="T1054" s="94">
        <v>9356</v>
      </c>
      <c r="U1054" s="94">
        <f t="shared" si="205"/>
        <v>9893.9700000000012</v>
      </c>
      <c r="V1054" s="94">
        <f t="shared" si="206"/>
        <v>10298.633373000001</v>
      </c>
      <c r="W1054" s="97">
        <f t="shared" si="203"/>
        <v>10626.129914261401</v>
      </c>
      <c r="X1054" s="97">
        <f t="shared" si="204"/>
        <v>11029.922851003334</v>
      </c>
      <c r="Y1054" s="97">
        <f t="shared" si="199"/>
        <v>11207.504608904488</v>
      </c>
      <c r="Z1054" s="97">
        <f t="shared" si="201"/>
        <v>11837.36636792492</v>
      </c>
      <c r="AA1054" s="97">
        <f t="shared" si="202"/>
        <v>13390.428835396669</v>
      </c>
    </row>
    <row r="1055" spans="1:27" x14ac:dyDescent="0.25">
      <c r="A1055" s="86" t="s">
        <v>2430</v>
      </c>
      <c r="B1055" s="137" t="s">
        <v>2431</v>
      </c>
      <c r="C1055" s="138" t="s">
        <v>226</v>
      </c>
      <c r="D1055" s="139" t="s">
        <v>255</v>
      </c>
      <c r="E1055" s="90">
        <f t="shared" si="207"/>
        <v>6894</v>
      </c>
      <c r="F1055" s="90">
        <f t="shared" si="208"/>
        <v>5793.5502272002686</v>
      </c>
      <c r="G1055" s="91">
        <v>0.19</v>
      </c>
      <c r="H1055" s="91"/>
      <c r="I1055" s="91" t="s">
        <v>228</v>
      </c>
      <c r="J1055" s="91"/>
      <c r="K1055" s="91"/>
      <c r="L1055" s="92" t="s">
        <v>1797</v>
      </c>
      <c r="M1055" s="91" t="str">
        <f t="shared" si="209"/>
        <v>VER ARCHIVO ANEXO</v>
      </c>
      <c r="N1055" s="93">
        <v>41608</v>
      </c>
      <c r="O1055" s="94"/>
      <c r="P1055" s="94">
        <v>0</v>
      </c>
      <c r="Q1055" s="94">
        <v>912</v>
      </c>
      <c r="R1055" s="95">
        <f t="shared" si="200"/>
        <v>5793.5502272002686</v>
      </c>
      <c r="S1055" s="94">
        <v>3628.1</v>
      </c>
      <c r="T1055" s="94">
        <v>4048</v>
      </c>
      <c r="U1055" s="94">
        <f t="shared" si="205"/>
        <v>4280.76</v>
      </c>
      <c r="V1055" s="94">
        <f t="shared" si="206"/>
        <v>4455.8430840000001</v>
      </c>
      <c r="W1055" s="97">
        <f t="shared" si="203"/>
        <v>4597.5388940712</v>
      </c>
      <c r="X1055" s="97">
        <f t="shared" si="204"/>
        <v>4772.2453720459062</v>
      </c>
      <c r="Y1055" s="97">
        <f t="shared" si="199"/>
        <v>4849.078522535845</v>
      </c>
      <c r="Z1055" s="97">
        <f t="shared" si="201"/>
        <v>5121.5967355023595</v>
      </c>
      <c r="AA1055" s="97">
        <f t="shared" si="202"/>
        <v>5793.5502272002686</v>
      </c>
    </row>
    <row r="1056" spans="1:27" x14ac:dyDescent="0.25">
      <c r="A1056" s="86" t="s">
        <v>2432</v>
      </c>
      <c r="B1056" s="137" t="s">
        <v>2433</v>
      </c>
      <c r="C1056" s="138" t="s">
        <v>226</v>
      </c>
      <c r="D1056" s="139" t="s">
        <v>255</v>
      </c>
      <c r="E1056" s="90">
        <f t="shared" si="207"/>
        <v>8073</v>
      </c>
      <c r="F1056" s="90">
        <f t="shared" si="208"/>
        <v>6783.9496237473504</v>
      </c>
      <c r="G1056" s="91">
        <v>0.19</v>
      </c>
      <c r="H1056" s="91"/>
      <c r="I1056" s="91" t="s">
        <v>228</v>
      </c>
      <c r="J1056" s="91"/>
      <c r="K1056" s="91"/>
      <c r="L1056" s="92" t="s">
        <v>1797</v>
      </c>
      <c r="M1056" s="91" t="str">
        <f t="shared" si="209"/>
        <v>VER ARCHIVO ANEXO</v>
      </c>
      <c r="N1056" s="93">
        <v>41608</v>
      </c>
      <c r="O1056" s="94"/>
      <c r="P1056" s="94">
        <v>0</v>
      </c>
      <c r="Q1056" s="94"/>
      <c r="R1056" s="95">
        <f t="shared" si="200"/>
        <v>6783.9496237473504</v>
      </c>
      <c r="S1056" s="94"/>
      <c r="T1056" s="94">
        <v>4740</v>
      </c>
      <c r="U1056" s="94">
        <f t="shared" si="205"/>
        <v>5012.55</v>
      </c>
      <c r="V1056" s="94">
        <f t="shared" si="206"/>
        <v>5217.5632949999999</v>
      </c>
      <c r="W1056" s="97">
        <f t="shared" si="203"/>
        <v>5383.4818077810005</v>
      </c>
      <c r="X1056" s="97">
        <f t="shared" si="204"/>
        <v>5588.0541164766782</v>
      </c>
      <c r="Y1056" s="97">
        <f t="shared" si="199"/>
        <v>5678.0217877519526</v>
      </c>
      <c r="Z1056" s="97">
        <f t="shared" si="201"/>
        <v>5997.1266122236129</v>
      </c>
      <c r="AA1056" s="97">
        <f t="shared" si="202"/>
        <v>6783.9496237473504</v>
      </c>
    </row>
    <row r="1057" spans="1:27" x14ac:dyDescent="0.25">
      <c r="A1057" s="86" t="s">
        <v>2434</v>
      </c>
      <c r="B1057" s="137" t="s">
        <v>2435</v>
      </c>
      <c r="C1057" s="138" t="s">
        <v>226</v>
      </c>
      <c r="D1057" s="139" t="s">
        <v>255</v>
      </c>
      <c r="E1057" s="90">
        <f t="shared" si="207"/>
        <v>10040</v>
      </c>
      <c r="F1057" s="90">
        <f t="shared" si="208"/>
        <v>8437.2868822606306</v>
      </c>
      <c r="G1057" s="91">
        <v>0.19</v>
      </c>
      <c r="H1057" s="91"/>
      <c r="I1057" s="91" t="s">
        <v>228</v>
      </c>
      <c r="J1057" s="91"/>
      <c r="K1057" s="91"/>
      <c r="L1057" s="92" t="s">
        <v>1797</v>
      </c>
      <c r="M1057" s="91" t="str">
        <f t="shared" si="209"/>
        <v>VER ARCHIVO ANEXO</v>
      </c>
      <c r="N1057" s="93">
        <v>41608</v>
      </c>
      <c r="O1057" s="94"/>
      <c r="P1057" s="94">
        <v>0</v>
      </c>
      <c r="Q1057" s="94"/>
      <c r="R1057" s="95">
        <f t="shared" si="200"/>
        <v>8437.2868822606306</v>
      </c>
      <c r="S1057" s="94"/>
      <c r="T1057" s="94">
        <v>5895.2</v>
      </c>
      <c r="U1057" s="94">
        <f t="shared" si="205"/>
        <v>6234.1740000000009</v>
      </c>
      <c r="V1057" s="94">
        <f t="shared" si="206"/>
        <v>6489.1517166000003</v>
      </c>
      <c r="W1057" s="97">
        <f t="shared" si="203"/>
        <v>6695.5067411878808</v>
      </c>
      <c r="X1057" s="97">
        <f t="shared" si="204"/>
        <v>6949.9359973530209</v>
      </c>
      <c r="Y1057" s="97">
        <f t="shared" si="199"/>
        <v>7061.8299669104044</v>
      </c>
      <c r="Z1057" s="97">
        <f t="shared" si="201"/>
        <v>7458.7048110507694</v>
      </c>
      <c r="AA1057" s="97">
        <f t="shared" si="202"/>
        <v>8437.2868822606306</v>
      </c>
    </row>
    <row r="1058" spans="1:27" x14ac:dyDescent="0.25">
      <c r="A1058" s="86" t="s">
        <v>2436</v>
      </c>
      <c r="B1058" s="87" t="s">
        <v>2437</v>
      </c>
      <c r="C1058" s="88" t="s">
        <v>226</v>
      </c>
      <c r="D1058" s="89" t="s">
        <v>255</v>
      </c>
      <c r="E1058" s="90">
        <f t="shared" si="207"/>
        <v>2330</v>
      </c>
      <c r="F1058" s="90">
        <f t="shared" si="208"/>
        <v>1957.8670189437321</v>
      </c>
      <c r="G1058" s="91">
        <v>0.19</v>
      </c>
      <c r="H1058" s="91"/>
      <c r="I1058" s="91" t="s">
        <v>228</v>
      </c>
      <c r="J1058" s="91"/>
      <c r="K1058" s="91"/>
      <c r="L1058" s="92" t="s">
        <v>1797</v>
      </c>
      <c r="M1058" s="91" t="str">
        <f t="shared" si="209"/>
        <v>VER ARCHIVO ANEXO</v>
      </c>
      <c r="N1058" s="93">
        <v>41608</v>
      </c>
      <c r="O1058" s="94">
        <v>1812</v>
      </c>
      <c r="P1058" s="94" t="s">
        <v>1443</v>
      </c>
      <c r="Q1058" s="94">
        <v>915</v>
      </c>
      <c r="R1058" s="95">
        <f t="shared" si="200"/>
        <v>1957.8670189437321</v>
      </c>
      <c r="S1058" s="94">
        <v>1281.2375999999999</v>
      </c>
      <c r="T1058" s="94">
        <f t="shared" ref="T1058:T1121" si="210">+S1058*1.0677</f>
        <v>1367.9773855200001</v>
      </c>
      <c r="U1058" s="94">
        <f t="shared" si="205"/>
        <v>1446.6360851874003</v>
      </c>
      <c r="V1058" s="94">
        <f t="shared" si="206"/>
        <v>1505.8035010715648</v>
      </c>
      <c r="W1058" s="97">
        <f t="shared" si="203"/>
        <v>1553.6880524056407</v>
      </c>
      <c r="X1058" s="97">
        <f t="shared" si="204"/>
        <v>1612.7281983970552</v>
      </c>
      <c r="Y1058" s="97">
        <f t="shared" si="199"/>
        <v>1638.6931223912477</v>
      </c>
      <c r="Z1058" s="97">
        <f t="shared" si="201"/>
        <v>1730.7876758696359</v>
      </c>
      <c r="AA1058" s="97">
        <f t="shared" si="202"/>
        <v>1957.8670189437321</v>
      </c>
    </row>
    <row r="1059" spans="1:27" x14ac:dyDescent="0.25">
      <c r="A1059" s="86" t="s">
        <v>2438</v>
      </c>
      <c r="B1059" s="87" t="s">
        <v>2439</v>
      </c>
      <c r="C1059" s="88" t="s">
        <v>226</v>
      </c>
      <c r="D1059" s="89" t="s">
        <v>255</v>
      </c>
      <c r="E1059" s="90">
        <f t="shared" si="207"/>
        <v>6234</v>
      </c>
      <c r="F1059" s="90">
        <f t="shared" si="208"/>
        <v>5238.8425797119999</v>
      </c>
      <c r="G1059" s="91">
        <v>0.19</v>
      </c>
      <c r="H1059" s="91"/>
      <c r="I1059" s="91" t="s">
        <v>228</v>
      </c>
      <c r="J1059" s="91"/>
      <c r="K1059" s="91"/>
      <c r="L1059" s="92" t="s">
        <v>1797</v>
      </c>
      <c r="M1059" s="91" t="str">
        <f t="shared" si="209"/>
        <v>VER ARCHIVO ANEXO</v>
      </c>
      <c r="N1059" s="93">
        <v>41608</v>
      </c>
      <c r="O1059" s="94">
        <v>4224</v>
      </c>
      <c r="P1059" s="94" t="s">
        <v>1443</v>
      </c>
      <c r="Q1059" s="94">
        <v>916</v>
      </c>
      <c r="R1059" s="95">
        <f t="shared" si="200"/>
        <v>5238.8425797119999</v>
      </c>
      <c r="S1059" s="94">
        <v>2280.52</v>
      </c>
      <c r="T1059" s="94">
        <f t="shared" si="210"/>
        <v>2434.911204</v>
      </c>
      <c r="U1059" s="94">
        <f t="shared" si="205"/>
        <v>2574.91859823</v>
      </c>
      <c r="V1059" s="94">
        <f t="shared" si="206"/>
        <v>2680.232768897607</v>
      </c>
      <c r="W1059" s="97">
        <f t="shared" si="203"/>
        <v>2765.4641709485509</v>
      </c>
      <c r="X1059" s="97">
        <f t="shared" si="204"/>
        <v>2870.5518094445961</v>
      </c>
      <c r="Y1059" s="97">
        <v>4384.8</v>
      </c>
      <c r="Z1059" s="97">
        <f t="shared" si="201"/>
        <v>4631.2257600000003</v>
      </c>
      <c r="AA1059" s="97">
        <f t="shared" si="202"/>
        <v>5238.8425797119999</v>
      </c>
    </row>
    <row r="1060" spans="1:27" x14ac:dyDescent="0.25">
      <c r="A1060" s="86" t="s">
        <v>2440</v>
      </c>
      <c r="B1060" s="87" t="s">
        <v>2441</v>
      </c>
      <c r="C1060" s="88" t="s">
        <v>226</v>
      </c>
      <c r="D1060" s="89" t="s">
        <v>262</v>
      </c>
      <c r="E1060" s="90">
        <f t="shared" si="207"/>
        <v>13155</v>
      </c>
      <c r="F1060" s="90">
        <f t="shared" si="208"/>
        <v>11054.978903890213</v>
      </c>
      <c r="G1060" s="91">
        <v>0.19</v>
      </c>
      <c r="H1060" s="91"/>
      <c r="I1060" s="91" t="s">
        <v>228</v>
      </c>
      <c r="J1060" s="91"/>
      <c r="K1060" s="91"/>
      <c r="L1060" s="92" t="s">
        <v>1797</v>
      </c>
      <c r="M1060" s="91" t="str">
        <f t="shared" si="209"/>
        <v>VER ARCHIVO ANEXO</v>
      </c>
      <c r="N1060" s="93">
        <v>41608</v>
      </c>
      <c r="O1060" s="94">
        <v>14618</v>
      </c>
      <c r="P1060" s="94" t="s">
        <v>1443</v>
      </c>
      <c r="Q1060" s="94">
        <v>917</v>
      </c>
      <c r="R1060" s="95">
        <f t="shared" si="200"/>
        <v>11054.978903890213</v>
      </c>
      <c r="S1060" s="94">
        <v>7234.4313999999995</v>
      </c>
      <c r="T1060" s="94">
        <f t="shared" si="210"/>
        <v>7724.2024057799999</v>
      </c>
      <c r="U1060" s="94">
        <f t="shared" si="205"/>
        <v>8168.3440441123512</v>
      </c>
      <c r="V1060" s="94">
        <f t="shared" si="206"/>
        <v>8502.4293155165451</v>
      </c>
      <c r="W1060" s="97">
        <f t="shared" si="203"/>
        <v>8772.8065677499708</v>
      </c>
      <c r="X1060" s="97">
        <f t="shared" si="204"/>
        <v>9106.1732173244691</v>
      </c>
      <c r="Y1060" s="97">
        <f t="shared" si="199"/>
        <v>9252.7826061233936</v>
      </c>
      <c r="Z1060" s="97">
        <f t="shared" si="201"/>
        <v>9772.7889885875284</v>
      </c>
      <c r="AA1060" s="97">
        <f t="shared" si="202"/>
        <v>11054.978903890213</v>
      </c>
    </row>
    <row r="1061" spans="1:27" x14ac:dyDescent="0.25">
      <c r="A1061" s="86" t="s">
        <v>2442</v>
      </c>
      <c r="B1061" s="87" t="s">
        <v>2443</v>
      </c>
      <c r="C1061" s="88" t="s">
        <v>226</v>
      </c>
      <c r="D1061" s="89" t="s">
        <v>262</v>
      </c>
      <c r="E1061" s="90">
        <f t="shared" si="207"/>
        <v>13155</v>
      </c>
      <c r="F1061" s="90">
        <f t="shared" si="208"/>
        <v>11054.978903890213</v>
      </c>
      <c r="G1061" s="91">
        <v>0.19</v>
      </c>
      <c r="H1061" s="91"/>
      <c r="I1061" s="91" t="s">
        <v>228</v>
      </c>
      <c r="J1061" s="91"/>
      <c r="K1061" s="91"/>
      <c r="L1061" s="92" t="s">
        <v>1797</v>
      </c>
      <c r="M1061" s="91" t="str">
        <f t="shared" si="209"/>
        <v>VER ARCHIVO ANEXO</v>
      </c>
      <c r="N1061" s="93">
        <v>41608</v>
      </c>
      <c r="O1061" s="94">
        <v>14618</v>
      </c>
      <c r="P1061" s="94" t="s">
        <v>1443</v>
      </c>
      <c r="Q1061" s="94">
        <v>918</v>
      </c>
      <c r="R1061" s="95">
        <f t="shared" si="200"/>
        <v>11054.978903890213</v>
      </c>
      <c r="S1061" s="94">
        <v>7234.4313999999995</v>
      </c>
      <c r="T1061" s="94">
        <f t="shared" si="210"/>
        <v>7724.2024057799999</v>
      </c>
      <c r="U1061" s="94">
        <f t="shared" si="205"/>
        <v>8168.3440441123512</v>
      </c>
      <c r="V1061" s="94">
        <f t="shared" si="206"/>
        <v>8502.4293155165451</v>
      </c>
      <c r="W1061" s="97">
        <f t="shared" si="203"/>
        <v>8772.8065677499708</v>
      </c>
      <c r="X1061" s="97">
        <f t="shared" si="204"/>
        <v>9106.1732173244691</v>
      </c>
      <c r="Y1061" s="97">
        <f t="shared" si="199"/>
        <v>9252.7826061233936</v>
      </c>
      <c r="Z1061" s="97">
        <f t="shared" si="201"/>
        <v>9772.7889885875284</v>
      </c>
      <c r="AA1061" s="97">
        <f t="shared" si="202"/>
        <v>11054.978903890213</v>
      </c>
    </row>
    <row r="1062" spans="1:27" x14ac:dyDescent="0.25">
      <c r="A1062" s="86" t="s">
        <v>2444</v>
      </c>
      <c r="B1062" s="87" t="s">
        <v>2445</v>
      </c>
      <c r="C1062" s="88" t="s">
        <v>226</v>
      </c>
      <c r="D1062" s="89" t="s">
        <v>262</v>
      </c>
      <c r="E1062" s="90">
        <f t="shared" si="207"/>
        <v>5199</v>
      </c>
      <c r="F1062" s="90">
        <f t="shared" si="208"/>
        <v>4368.7679921090721</v>
      </c>
      <c r="G1062" s="91">
        <v>0.19</v>
      </c>
      <c r="H1062" s="91"/>
      <c r="I1062" s="91" t="s">
        <v>228</v>
      </c>
      <c r="J1062" s="91"/>
      <c r="K1062" s="91"/>
      <c r="L1062" s="92" t="s">
        <v>302</v>
      </c>
      <c r="M1062" s="91" t="str">
        <f t="shared" si="209"/>
        <v>no aplica</v>
      </c>
      <c r="N1062" s="93">
        <v>41608</v>
      </c>
      <c r="O1062" s="94"/>
      <c r="P1062" s="94"/>
      <c r="Q1062" s="94">
        <v>919</v>
      </c>
      <c r="R1062" s="95">
        <f t="shared" si="200"/>
        <v>4368.7679921090721</v>
      </c>
      <c r="S1062" s="94">
        <v>2858.9427999999998</v>
      </c>
      <c r="T1062" s="94">
        <f t="shared" si="210"/>
        <v>3052.4932275599999</v>
      </c>
      <c r="U1062" s="94">
        <f t="shared" si="205"/>
        <v>3228.0115881447005</v>
      </c>
      <c r="V1062" s="94">
        <f t="shared" si="206"/>
        <v>3360.0372620998187</v>
      </c>
      <c r="W1062" s="97">
        <f t="shared" si="203"/>
        <v>3466.8864470345929</v>
      </c>
      <c r="X1062" s="97">
        <f t="shared" si="204"/>
        <v>3598.6281320219077</v>
      </c>
      <c r="Y1062" s="97">
        <f t="shared" si="199"/>
        <v>3656.5660449474603</v>
      </c>
      <c r="Z1062" s="97">
        <f t="shared" si="201"/>
        <v>3862.0650566735076</v>
      </c>
      <c r="AA1062" s="97">
        <f t="shared" si="202"/>
        <v>4368.7679921090721</v>
      </c>
    </row>
    <row r="1063" spans="1:27" x14ac:dyDescent="0.25">
      <c r="A1063" s="86" t="s">
        <v>2446</v>
      </c>
      <c r="B1063" s="87" t="s">
        <v>2447</v>
      </c>
      <c r="C1063" s="88" t="s">
        <v>226</v>
      </c>
      <c r="D1063" s="89" t="s">
        <v>262</v>
      </c>
      <c r="E1063" s="90">
        <f t="shared" si="207"/>
        <v>6648</v>
      </c>
      <c r="F1063" s="90">
        <f t="shared" si="208"/>
        <v>5586.8907571315076</v>
      </c>
      <c r="G1063" s="91">
        <v>0.19</v>
      </c>
      <c r="H1063" s="91"/>
      <c r="I1063" s="91" t="s">
        <v>228</v>
      </c>
      <c r="J1063" s="91"/>
      <c r="K1063" s="91"/>
      <c r="L1063" s="92" t="s">
        <v>2448</v>
      </c>
      <c r="M1063" s="91" t="str">
        <f t="shared" si="209"/>
        <v>VER ARCHIVO ANEXO</v>
      </c>
      <c r="N1063" s="93">
        <v>41608</v>
      </c>
      <c r="O1063" s="94"/>
      <c r="P1063" s="94"/>
      <c r="Q1063" s="94">
        <v>920</v>
      </c>
      <c r="R1063" s="95">
        <f t="shared" si="200"/>
        <v>5586.8907571315076</v>
      </c>
      <c r="S1063" s="94">
        <v>3656.0881999999997</v>
      </c>
      <c r="T1063" s="94">
        <f t="shared" si="210"/>
        <v>3903.60537114</v>
      </c>
      <c r="U1063" s="94">
        <f t="shared" si="205"/>
        <v>4128.0626799805505</v>
      </c>
      <c r="V1063" s="94">
        <f t="shared" si="206"/>
        <v>4296.900443591755</v>
      </c>
      <c r="W1063" s="97">
        <f t="shared" si="203"/>
        <v>4433.5418776979732</v>
      </c>
      <c r="X1063" s="97">
        <f t="shared" si="204"/>
        <v>4602.0164690504962</v>
      </c>
      <c r="Y1063" s="97">
        <f t="shared" si="199"/>
        <v>4676.1089342022096</v>
      </c>
      <c r="Z1063" s="97">
        <f t="shared" si="201"/>
        <v>4938.9062563043735</v>
      </c>
      <c r="AA1063" s="97">
        <f t="shared" si="202"/>
        <v>5586.8907571315076</v>
      </c>
    </row>
    <row r="1064" spans="1:27" x14ac:dyDescent="0.25">
      <c r="A1064" s="86" t="s">
        <v>2449</v>
      </c>
      <c r="B1064" s="87" t="s">
        <v>2450</v>
      </c>
      <c r="C1064" s="88" t="s">
        <v>226</v>
      </c>
      <c r="D1064" s="89" t="s">
        <v>262</v>
      </c>
      <c r="E1064" s="90">
        <f t="shared" si="207"/>
        <v>1429302</v>
      </c>
      <c r="F1064" s="90">
        <f t="shared" si="208"/>
        <v>1201094.3908690002</v>
      </c>
      <c r="G1064" s="91">
        <v>0.19</v>
      </c>
      <c r="H1064" s="91"/>
      <c r="I1064" s="91" t="s">
        <v>228</v>
      </c>
      <c r="J1064" s="91"/>
      <c r="K1064" s="91"/>
      <c r="L1064" s="92" t="s">
        <v>2239</v>
      </c>
      <c r="M1064" s="91" t="str">
        <f t="shared" si="209"/>
        <v>VER ARCHIVO ANEXO</v>
      </c>
      <c r="N1064" s="93">
        <v>41608</v>
      </c>
      <c r="O1064" s="94"/>
      <c r="P1064" s="94"/>
      <c r="Q1064" s="94">
        <v>921</v>
      </c>
      <c r="R1064" s="95">
        <f t="shared" si="200"/>
        <v>1201094.3908690002</v>
      </c>
      <c r="S1064" s="94">
        <v>786001.95</v>
      </c>
      <c r="T1064" s="94">
        <f t="shared" si="210"/>
        <v>839214.282015</v>
      </c>
      <c r="U1064" s="94">
        <f t="shared" si="205"/>
        <v>887469.10323086265</v>
      </c>
      <c r="V1064" s="94">
        <f t="shared" si="206"/>
        <v>923766.58955300483</v>
      </c>
      <c r="W1064" s="97">
        <f t="shared" si="203"/>
        <v>953142.36710079038</v>
      </c>
      <c r="X1064" s="97">
        <f t="shared" si="204"/>
        <v>989361.77705062041</v>
      </c>
      <c r="Y1064" s="97">
        <f t="shared" si="199"/>
        <v>1005290.5016611353</v>
      </c>
      <c r="Z1064" s="97">
        <f t="shared" si="201"/>
        <v>1061787.8278544911</v>
      </c>
      <c r="AA1064" s="97">
        <f t="shared" si="202"/>
        <v>1201094.3908690002</v>
      </c>
    </row>
    <row r="1065" spans="1:27" x14ac:dyDescent="0.25">
      <c r="A1065" s="86" t="s">
        <v>2451</v>
      </c>
      <c r="B1065" s="87" t="s">
        <v>2452</v>
      </c>
      <c r="C1065" s="88" t="s">
        <v>226</v>
      </c>
      <c r="D1065" s="89" t="s">
        <v>262</v>
      </c>
      <c r="E1065" s="90">
        <f t="shared" si="207"/>
        <v>792266</v>
      </c>
      <c r="F1065" s="90">
        <f t="shared" si="208"/>
        <v>665769.82852916699</v>
      </c>
      <c r="G1065" s="91">
        <v>0.19</v>
      </c>
      <c r="H1065" s="91"/>
      <c r="I1065" s="91" t="s">
        <v>228</v>
      </c>
      <c r="J1065" s="91"/>
      <c r="K1065" s="91"/>
      <c r="L1065" s="92" t="s">
        <v>2239</v>
      </c>
      <c r="M1065" s="91" t="str">
        <f t="shared" si="209"/>
        <v>VER ARCHIVO ANEXO</v>
      </c>
      <c r="N1065" s="93">
        <v>41608</v>
      </c>
      <c r="O1065" s="94"/>
      <c r="P1065" s="94"/>
      <c r="Q1065" s="94">
        <v>922</v>
      </c>
      <c r="R1065" s="95">
        <f t="shared" si="200"/>
        <v>665769.82852916699</v>
      </c>
      <c r="S1065" s="94">
        <v>435682.98</v>
      </c>
      <c r="T1065" s="94">
        <f t="shared" si="210"/>
        <v>465178.71774600004</v>
      </c>
      <c r="U1065" s="94">
        <f t="shared" si="205"/>
        <v>491926.49401639507</v>
      </c>
      <c r="V1065" s="94">
        <f t="shared" si="206"/>
        <v>512046.28762166557</v>
      </c>
      <c r="W1065" s="97">
        <f t="shared" si="203"/>
        <v>528329.35956803453</v>
      </c>
      <c r="X1065" s="97">
        <f t="shared" si="204"/>
        <v>548405.87523161981</v>
      </c>
      <c r="Y1065" s="97">
        <f t="shared" si="199"/>
        <v>557235.2098228489</v>
      </c>
      <c r="Z1065" s="97">
        <f t="shared" si="201"/>
        <v>588551.82861489302</v>
      </c>
      <c r="AA1065" s="97">
        <f t="shared" si="202"/>
        <v>665769.82852916699</v>
      </c>
    </row>
    <row r="1066" spans="1:27" x14ac:dyDescent="0.25">
      <c r="A1066" s="86" t="s">
        <v>2453</v>
      </c>
      <c r="B1066" s="87" t="s">
        <v>2454</v>
      </c>
      <c r="C1066" s="88" t="s">
        <v>226</v>
      </c>
      <c r="D1066" s="89" t="s">
        <v>262</v>
      </c>
      <c r="E1066" s="90">
        <f t="shared" si="207"/>
        <v>610740</v>
      </c>
      <c r="F1066" s="90">
        <f t="shared" si="208"/>
        <v>513227.27681049274</v>
      </c>
      <c r="G1066" s="91">
        <v>0.19</v>
      </c>
      <c r="H1066" s="91"/>
      <c r="I1066" s="91" t="s">
        <v>228</v>
      </c>
      <c r="J1066" s="91"/>
      <c r="K1066" s="91"/>
      <c r="L1066" s="92" t="s">
        <v>2239</v>
      </c>
      <c r="M1066" s="91" t="str">
        <f t="shared" si="209"/>
        <v>VER ARCHIVO ANEXO</v>
      </c>
      <c r="N1066" s="93">
        <v>41608</v>
      </c>
      <c r="O1066" s="94"/>
      <c r="P1066" s="94"/>
      <c r="Q1066" s="94">
        <v>923</v>
      </c>
      <c r="R1066" s="95">
        <f t="shared" si="200"/>
        <v>513227.27681049274</v>
      </c>
      <c r="S1066" s="94">
        <v>335858.39999999997</v>
      </c>
      <c r="T1066" s="94">
        <f t="shared" si="210"/>
        <v>358596.01367999997</v>
      </c>
      <c r="U1066" s="94">
        <f t="shared" si="205"/>
        <v>379215.28446659999</v>
      </c>
      <c r="V1066" s="94">
        <f t="shared" si="206"/>
        <v>394725.18960128393</v>
      </c>
      <c r="W1066" s="97">
        <f t="shared" si="203"/>
        <v>407277.45063060476</v>
      </c>
      <c r="X1066" s="97">
        <f t="shared" si="204"/>
        <v>422753.99375456775</v>
      </c>
      <c r="Y1066" s="97">
        <f t="shared" si="199"/>
        <v>429560.33305401629</v>
      </c>
      <c r="Z1066" s="97">
        <f t="shared" si="201"/>
        <v>453701.623771652</v>
      </c>
      <c r="AA1066" s="97">
        <f t="shared" si="202"/>
        <v>513227.27681049274</v>
      </c>
    </row>
    <row r="1067" spans="1:27" x14ac:dyDescent="0.25">
      <c r="A1067" s="86" t="s">
        <v>2455</v>
      </c>
      <c r="B1067" s="87" t="s">
        <v>2456</v>
      </c>
      <c r="C1067" s="88" t="s">
        <v>226</v>
      </c>
      <c r="D1067" s="89" t="s">
        <v>262</v>
      </c>
      <c r="E1067" s="90">
        <f t="shared" si="207"/>
        <v>2347958</v>
      </c>
      <c r="F1067" s="90">
        <f t="shared" si="208"/>
        <v>1973073.7530714502</v>
      </c>
      <c r="G1067" s="91">
        <v>0.19</v>
      </c>
      <c r="H1067" s="91"/>
      <c r="I1067" s="91" t="s">
        <v>228</v>
      </c>
      <c r="J1067" s="91"/>
      <c r="K1067" s="91"/>
      <c r="L1067" s="92" t="s">
        <v>2239</v>
      </c>
      <c r="M1067" s="91" t="str">
        <f t="shared" si="209"/>
        <v>VER ARCHIVO ANEXO</v>
      </c>
      <c r="N1067" s="93">
        <v>41608</v>
      </c>
      <c r="O1067" s="94"/>
      <c r="P1067" s="94"/>
      <c r="Q1067" s="94">
        <v>924</v>
      </c>
      <c r="R1067" s="95">
        <f t="shared" si="200"/>
        <v>1973073.7530714502</v>
      </c>
      <c r="S1067" s="94">
        <v>1291188.96</v>
      </c>
      <c r="T1067" s="94">
        <f t="shared" si="210"/>
        <v>1378602.4525920001</v>
      </c>
      <c r="U1067" s="94">
        <f t="shared" si="205"/>
        <v>1457872.0936160402</v>
      </c>
      <c r="V1067" s="94">
        <f t="shared" si="206"/>
        <v>1517499.0622449361</v>
      </c>
      <c r="W1067" s="97">
        <f t="shared" si="203"/>
        <v>1565755.5324243251</v>
      </c>
      <c r="X1067" s="97">
        <f t="shared" si="204"/>
        <v>1625254.2426564496</v>
      </c>
      <c r="Y1067" s="97">
        <f t="shared" si="199"/>
        <v>1651420.8359632185</v>
      </c>
      <c r="Z1067" s="97">
        <f t="shared" si="201"/>
        <v>1744230.6869443513</v>
      </c>
      <c r="AA1067" s="97">
        <f t="shared" si="202"/>
        <v>1973073.7530714502</v>
      </c>
    </row>
    <row r="1068" spans="1:27" x14ac:dyDescent="0.25">
      <c r="A1068" s="86" t="s">
        <v>2457</v>
      </c>
      <c r="B1068" s="87" t="s">
        <v>2458</v>
      </c>
      <c r="C1068" s="88" t="s">
        <v>226</v>
      </c>
      <c r="D1068" s="89" t="s">
        <v>262</v>
      </c>
      <c r="E1068" s="90">
        <f t="shared" si="207"/>
        <v>1672750</v>
      </c>
      <c r="F1068" s="90">
        <f t="shared" si="208"/>
        <v>1405672.4859309609</v>
      </c>
      <c r="G1068" s="91">
        <v>0.19</v>
      </c>
      <c r="H1068" s="91"/>
      <c r="I1068" s="91" t="s">
        <v>228</v>
      </c>
      <c r="J1068" s="91"/>
      <c r="K1068" s="91"/>
      <c r="L1068" s="92" t="s">
        <v>2239</v>
      </c>
      <c r="M1068" s="91" t="str">
        <f t="shared" si="209"/>
        <v>VER ARCHIVO ANEXO</v>
      </c>
      <c r="N1068" s="93">
        <v>41608</v>
      </c>
      <c r="O1068" s="94"/>
      <c r="P1068" s="94"/>
      <c r="Q1068" s="94">
        <v>925</v>
      </c>
      <c r="R1068" s="95">
        <f t="shared" si="200"/>
        <v>1405672.4859309609</v>
      </c>
      <c r="S1068" s="94">
        <v>919878.84</v>
      </c>
      <c r="T1068" s="94">
        <f t="shared" si="210"/>
        <v>982154.63746800006</v>
      </c>
      <c r="U1068" s="94">
        <f t="shared" si="205"/>
        <v>1038628.5291224101</v>
      </c>
      <c r="V1068" s="94">
        <f t="shared" si="206"/>
        <v>1081108.4359635166</v>
      </c>
      <c r="W1068" s="97">
        <f t="shared" si="203"/>
        <v>1115487.6842271565</v>
      </c>
      <c r="X1068" s="97">
        <f t="shared" si="204"/>
        <v>1157876.2162277885</v>
      </c>
      <c r="Y1068" s="97">
        <f t="shared" si="199"/>
        <v>1176518.0233090559</v>
      </c>
      <c r="Z1068" s="97">
        <f t="shared" si="201"/>
        <v>1242638.3362190248</v>
      </c>
      <c r="AA1068" s="97">
        <f t="shared" si="202"/>
        <v>1405672.4859309609</v>
      </c>
    </row>
    <row r="1069" spans="1:27" x14ac:dyDescent="0.25">
      <c r="A1069" s="86" t="s">
        <v>2459</v>
      </c>
      <c r="B1069" s="87" t="s">
        <v>2460</v>
      </c>
      <c r="C1069" s="88" t="s">
        <v>226</v>
      </c>
      <c r="D1069" s="89" t="s">
        <v>262</v>
      </c>
      <c r="E1069" s="90">
        <f t="shared" si="207"/>
        <v>894056</v>
      </c>
      <c r="F1069" s="90">
        <f t="shared" si="208"/>
        <v>751307.7079975825</v>
      </c>
      <c r="G1069" s="91">
        <v>0.19</v>
      </c>
      <c r="H1069" s="91"/>
      <c r="I1069" s="91" t="s">
        <v>228</v>
      </c>
      <c r="J1069" s="91"/>
      <c r="K1069" s="91"/>
      <c r="L1069" s="92" t="s">
        <v>2239</v>
      </c>
      <c r="M1069" s="91" t="str">
        <f t="shared" si="209"/>
        <v>VER ARCHIVO ANEXO</v>
      </c>
      <c r="N1069" s="93">
        <v>41608</v>
      </c>
      <c r="O1069" s="94"/>
      <c r="P1069" s="94"/>
      <c r="Q1069" s="94">
        <v>926</v>
      </c>
      <c r="R1069" s="95">
        <f t="shared" si="200"/>
        <v>751307.7079975825</v>
      </c>
      <c r="S1069" s="94">
        <v>491659.38</v>
      </c>
      <c r="T1069" s="94">
        <f t="shared" si="210"/>
        <v>524944.72002600005</v>
      </c>
      <c r="U1069" s="94">
        <f t="shared" si="205"/>
        <v>555129.04142749507</v>
      </c>
      <c r="V1069" s="94">
        <f t="shared" si="206"/>
        <v>577833.81922187959</v>
      </c>
      <c r="W1069" s="97">
        <f t="shared" si="203"/>
        <v>596208.9346731354</v>
      </c>
      <c r="X1069" s="97">
        <f t="shared" si="204"/>
        <v>618864.87419071456</v>
      </c>
      <c r="Y1069" s="97">
        <f t="shared" si="199"/>
        <v>628828.59866518504</v>
      </c>
      <c r="Z1069" s="97">
        <f t="shared" si="201"/>
        <v>664168.76591016841</v>
      </c>
      <c r="AA1069" s="97">
        <f t="shared" si="202"/>
        <v>751307.7079975825</v>
      </c>
    </row>
    <row r="1070" spans="1:27" x14ac:dyDescent="0.25">
      <c r="A1070" s="86" t="s">
        <v>2461</v>
      </c>
      <c r="B1070" s="87" t="s">
        <v>2462</v>
      </c>
      <c r="C1070" s="88" t="s">
        <v>226</v>
      </c>
      <c r="D1070" s="89" t="s">
        <v>262</v>
      </c>
      <c r="E1070" s="90">
        <f t="shared" si="207"/>
        <v>716772</v>
      </c>
      <c r="F1070" s="90">
        <f t="shared" si="208"/>
        <v>602329.23459009221</v>
      </c>
      <c r="G1070" s="91">
        <v>0.19</v>
      </c>
      <c r="H1070" s="91"/>
      <c r="I1070" s="91" t="s">
        <v>228</v>
      </c>
      <c r="J1070" s="91"/>
      <c r="K1070" s="91"/>
      <c r="L1070" s="92" t="s">
        <v>2239</v>
      </c>
      <c r="M1070" s="91" t="str">
        <f t="shared" si="209"/>
        <v>VER ARCHIVO ANEXO</v>
      </c>
      <c r="N1070" s="93">
        <v>41608</v>
      </c>
      <c r="O1070" s="94"/>
      <c r="P1070" s="94"/>
      <c r="Q1070" s="94">
        <v>927</v>
      </c>
      <c r="R1070" s="95">
        <f t="shared" si="200"/>
        <v>602329.23459009221</v>
      </c>
      <c r="S1070" s="94">
        <v>394167.14999999997</v>
      </c>
      <c r="T1070" s="94">
        <f t="shared" si="210"/>
        <v>420852.26605500001</v>
      </c>
      <c r="U1070" s="94">
        <f t="shared" si="205"/>
        <v>445051.27135316253</v>
      </c>
      <c r="V1070" s="94">
        <f t="shared" si="206"/>
        <v>463253.86835150683</v>
      </c>
      <c r="W1070" s="97">
        <f t="shared" si="203"/>
        <v>477985.34136508475</v>
      </c>
      <c r="X1070" s="97">
        <f t="shared" si="204"/>
        <v>496148.78433695796</v>
      </c>
      <c r="Y1070" s="97">
        <f t="shared" si="199"/>
        <v>504136.77976478299</v>
      </c>
      <c r="Z1070" s="97">
        <f t="shared" si="201"/>
        <v>532469.2667875638</v>
      </c>
      <c r="AA1070" s="97">
        <f t="shared" si="202"/>
        <v>602329.23459009221</v>
      </c>
    </row>
    <row r="1071" spans="1:27" x14ac:dyDescent="0.25">
      <c r="A1071" s="86" t="s">
        <v>2463</v>
      </c>
      <c r="B1071" s="87" t="s">
        <v>2464</v>
      </c>
      <c r="C1071" s="88" t="s">
        <v>226</v>
      </c>
      <c r="D1071" s="89" t="s">
        <v>262</v>
      </c>
      <c r="E1071" s="90">
        <f t="shared" si="207"/>
        <v>475869</v>
      </c>
      <c r="F1071" s="90">
        <f t="shared" si="208"/>
        <v>399889.58651484235</v>
      </c>
      <c r="G1071" s="91">
        <v>0.19</v>
      </c>
      <c r="H1071" s="91"/>
      <c r="I1071" s="91" t="s">
        <v>228</v>
      </c>
      <c r="J1071" s="91"/>
      <c r="K1071" s="91"/>
      <c r="L1071" s="92" t="s">
        <v>2239</v>
      </c>
      <c r="M1071" s="91" t="str">
        <f t="shared" si="209"/>
        <v>VER ARCHIVO ANEXO</v>
      </c>
      <c r="N1071" s="93">
        <v>41608</v>
      </c>
      <c r="O1071" s="94"/>
      <c r="P1071" s="94"/>
      <c r="Q1071" s="94">
        <v>928</v>
      </c>
      <c r="R1071" s="95">
        <f t="shared" si="200"/>
        <v>399889.58651484235</v>
      </c>
      <c r="S1071" s="94">
        <v>261689.66999999998</v>
      </c>
      <c r="T1071" s="94">
        <f t="shared" si="210"/>
        <v>279406.06065900001</v>
      </c>
      <c r="U1071" s="94">
        <f t="shared" si="205"/>
        <v>295471.90914689255</v>
      </c>
      <c r="V1071" s="94">
        <f t="shared" si="206"/>
        <v>307556.71023100044</v>
      </c>
      <c r="W1071" s="97">
        <f t="shared" si="203"/>
        <v>317337.01361634629</v>
      </c>
      <c r="X1071" s="97">
        <f t="shared" si="204"/>
        <v>329395.82013376744</v>
      </c>
      <c r="Y1071" s="97">
        <f t="shared" si="199"/>
        <v>334699.09283792111</v>
      </c>
      <c r="Z1071" s="97">
        <f t="shared" si="201"/>
        <v>353509.18185541226</v>
      </c>
      <c r="AA1071" s="97">
        <f t="shared" si="202"/>
        <v>399889.58651484235</v>
      </c>
    </row>
    <row r="1072" spans="1:27" x14ac:dyDescent="0.25">
      <c r="A1072" s="86" t="s">
        <v>2465</v>
      </c>
      <c r="B1072" s="87" t="s">
        <v>2466</v>
      </c>
      <c r="C1072" s="88" t="s">
        <v>226</v>
      </c>
      <c r="D1072" s="89" t="s">
        <v>262</v>
      </c>
      <c r="E1072" s="90">
        <f t="shared" si="207"/>
        <v>3768778</v>
      </c>
      <c r="F1072" s="90">
        <f t="shared" si="208"/>
        <v>3167039.9873180836</v>
      </c>
      <c r="G1072" s="91">
        <v>0.19</v>
      </c>
      <c r="H1072" s="91"/>
      <c r="I1072" s="91" t="s">
        <v>228</v>
      </c>
      <c r="J1072" s="91"/>
      <c r="K1072" s="91"/>
      <c r="L1072" s="92" t="s">
        <v>1812</v>
      </c>
      <c r="M1072" s="91" t="str">
        <f t="shared" si="209"/>
        <v>VER ARCHIVO ANEXO</v>
      </c>
      <c r="N1072" s="93">
        <v>41608</v>
      </c>
      <c r="O1072" s="94"/>
      <c r="P1072" s="94"/>
      <c r="Q1072" s="94">
        <v>929</v>
      </c>
      <c r="R1072" s="95">
        <f t="shared" si="200"/>
        <v>3167039.9873180836</v>
      </c>
      <c r="S1072" s="94">
        <v>2072526.21</v>
      </c>
      <c r="T1072" s="94">
        <f t="shared" si="210"/>
        <v>2212836.2344170003</v>
      </c>
      <c r="U1072" s="94">
        <f t="shared" si="205"/>
        <v>2340074.3178959782</v>
      </c>
      <c r="V1072" s="94">
        <f t="shared" si="206"/>
        <v>2435783.3574979235</v>
      </c>
      <c r="W1072" s="97">
        <f t="shared" si="203"/>
        <v>2513241.2682663575</v>
      </c>
      <c r="X1072" s="97">
        <f t="shared" si="204"/>
        <v>2608744.4364604792</v>
      </c>
      <c r="Y1072" s="97">
        <f t="shared" si="199"/>
        <v>2650745.221887493</v>
      </c>
      <c r="Z1072" s="97">
        <f t="shared" si="201"/>
        <v>2799717.1033575702</v>
      </c>
      <c r="AA1072" s="97">
        <f t="shared" si="202"/>
        <v>3167039.9873180836</v>
      </c>
    </row>
    <row r="1073" spans="1:27" x14ac:dyDescent="0.25">
      <c r="A1073" s="86" t="s">
        <v>2467</v>
      </c>
      <c r="B1073" s="98" t="s">
        <v>2468</v>
      </c>
      <c r="C1073" s="99" t="s">
        <v>226</v>
      </c>
      <c r="D1073" s="100" t="s">
        <v>262</v>
      </c>
      <c r="E1073" s="101">
        <f t="shared" si="207"/>
        <v>2563413</v>
      </c>
      <c r="F1073" s="90">
        <f t="shared" si="208"/>
        <v>2154128.9312795964</v>
      </c>
      <c r="G1073" s="91">
        <v>0.19</v>
      </c>
      <c r="H1073" s="91"/>
      <c r="I1073" s="91" t="s">
        <v>228</v>
      </c>
      <c r="J1073" s="91"/>
      <c r="K1073" s="91"/>
      <c r="L1073" s="92" t="s">
        <v>1812</v>
      </c>
      <c r="M1073" s="91" t="str">
        <f t="shared" si="209"/>
        <v>VER ARCHIVO ANEXO</v>
      </c>
      <c r="N1073" s="93">
        <v>41608</v>
      </c>
      <c r="O1073" s="94"/>
      <c r="P1073" s="94"/>
      <c r="Q1073" s="94">
        <v>930</v>
      </c>
      <c r="R1073" s="95">
        <f t="shared" si="200"/>
        <v>2154128.9312795964</v>
      </c>
      <c r="S1073" s="94">
        <v>1409672.3399999999</v>
      </c>
      <c r="T1073" s="94">
        <f t="shared" si="210"/>
        <v>1505107.157418</v>
      </c>
      <c r="U1073" s="94">
        <f t="shared" si="205"/>
        <v>1591650.8189695352</v>
      </c>
      <c r="V1073" s="94">
        <f t="shared" si="206"/>
        <v>1656749.3374653892</v>
      </c>
      <c r="W1073" s="97">
        <f t="shared" si="203"/>
        <v>1709433.9663967886</v>
      </c>
      <c r="X1073" s="97">
        <f t="shared" si="204"/>
        <v>1774392.4571198667</v>
      </c>
      <c r="Y1073" s="97">
        <f t="shared" si="199"/>
        <v>1802960.1756794965</v>
      </c>
      <c r="Z1073" s="97">
        <f t="shared" si="201"/>
        <v>1904286.5375526843</v>
      </c>
      <c r="AA1073" s="97">
        <f t="shared" si="202"/>
        <v>2154128.9312795964</v>
      </c>
    </row>
    <row r="1074" spans="1:27" x14ac:dyDescent="0.25">
      <c r="A1074" s="86" t="s">
        <v>2469</v>
      </c>
      <c r="B1074" s="98" t="s">
        <v>2470</v>
      </c>
      <c r="C1074" s="99" t="s">
        <v>226</v>
      </c>
      <c r="D1074" s="100" t="s">
        <v>262</v>
      </c>
      <c r="E1074" s="101">
        <f t="shared" si="207"/>
        <v>92835</v>
      </c>
      <c r="F1074" s="101">
        <f>+R1074</f>
        <v>78012.848989279213</v>
      </c>
      <c r="G1074" s="91">
        <v>0.19</v>
      </c>
      <c r="H1074" s="91"/>
      <c r="I1074" s="91" t="s">
        <v>228</v>
      </c>
      <c r="J1074" s="91"/>
      <c r="K1074" s="91"/>
      <c r="L1074" s="92" t="s">
        <v>279</v>
      </c>
      <c r="M1074" s="91" t="str">
        <f t="shared" si="209"/>
        <v>VER ARCHIVO ANEXO</v>
      </c>
      <c r="N1074" s="93">
        <v>41608</v>
      </c>
      <c r="O1074" s="94"/>
      <c r="P1074" s="94"/>
      <c r="Q1074" s="94">
        <v>931</v>
      </c>
      <c r="R1074" s="95">
        <f t="shared" si="200"/>
        <v>78012.848989279213</v>
      </c>
      <c r="S1074" s="94">
        <v>85001.2</v>
      </c>
      <c r="T1074" s="94">
        <f t="shared" si="210"/>
        <v>90755.781240000011</v>
      </c>
      <c r="U1074" s="94">
        <f t="shared" si="205"/>
        <v>95974.238661300027</v>
      </c>
      <c r="V1074" s="94">
        <v>60000</v>
      </c>
      <c r="W1074" s="97">
        <f t="shared" si="203"/>
        <v>61908</v>
      </c>
      <c r="X1074" s="97">
        <f t="shared" si="204"/>
        <v>64260.504000000001</v>
      </c>
      <c r="Y1074" s="97">
        <f t="shared" si="199"/>
        <v>65295.098114400003</v>
      </c>
      <c r="Z1074" s="97">
        <f t="shared" si="201"/>
        <v>68964.682628429291</v>
      </c>
      <c r="AA1074" s="97">
        <f t="shared" si="202"/>
        <v>78012.848989279213</v>
      </c>
    </row>
    <row r="1075" spans="1:27" x14ac:dyDescent="0.25">
      <c r="A1075" s="86" t="s">
        <v>2471</v>
      </c>
      <c r="B1075" s="87" t="s">
        <v>2472</v>
      </c>
      <c r="C1075" s="88" t="s">
        <v>226</v>
      </c>
      <c r="D1075" s="89" t="s">
        <v>262</v>
      </c>
      <c r="E1075" s="90">
        <f t="shared" si="207"/>
        <v>83300</v>
      </c>
      <c r="F1075" s="90">
        <v>70000</v>
      </c>
      <c r="G1075" s="91">
        <v>0.19</v>
      </c>
      <c r="H1075" s="91"/>
      <c r="I1075" s="91" t="s">
        <v>228</v>
      </c>
      <c r="J1075" s="91"/>
      <c r="K1075" s="91"/>
      <c r="L1075" s="92" t="s">
        <v>279</v>
      </c>
      <c r="M1075" s="91" t="str">
        <f t="shared" si="209"/>
        <v>VER ARCHIVO ANEXO</v>
      </c>
      <c r="N1075" s="93">
        <v>41608</v>
      </c>
      <c r="O1075" s="94"/>
      <c r="P1075" s="94"/>
      <c r="Q1075" s="94">
        <v>932</v>
      </c>
      <c r="R1075" s="95">
        <f t="shared" si="200"/>
        <v>65737.444406282273</v>
      </c>
      <c r="S1075" s="94">
        <v>43018.9</v>
      </c>
      <c r="T1075" s="94">
        <f t="shared" si="210"/>
        <v>45931.279530000007</v>
      </c>
      <c r="U1075" s="94">
        <f t="shared" si="205"/>
        <v>48572.328102975014</v>
      </c>
      <c r="V1075" s="94">
        <f t="shared" si="206"/>
        <v>50558.936322386689</v>
      </c>
      <c r="W1075" s="97">
        <f t="shared" si="203"/>
        <v>52166.710497438587</v>
      </c>
      <c r="X1075" s="97">
        <f t="shared" si="204"/>
        <v>54149.045496341256</v>
      </c>
      <c r="Y1075" s="97">
        <f t="shared" si="199"/>
        <v>55020.845128832349</v>
      </c>
      <c r="Z1075" s="97">
        <f t="shared" si="201"/>
        <v>58113.016625072727</v>
      </c>
      <c r="AA1075" s="97">
        <f t="shared" si="202"/>
        <v>65737.444406282273</v>
      </c>
    </row>
    <row r="1076" spans="1:27" x14ac:dyDescent="0.25">
      <c r="A1076" s="86" t="s">
        <v>2473</v>
      </c>
      <c r="B1076" s="87" t="s">
        <v>2474</v>
      </c>
      <c r="C1076" s="88" t="s">
        <v>226</v>
      </c>
      <c r="D1076" s="89" t="s">
        <v>262</v>
      </c>
      <c r="E1076" s="90">
        <f t="shared" si="207"/>
        <v>56192</v>
      </c>
      <c r="F1076" s="90">
        <f t="shared" si="208"/>
        <v>47220.077536175282</v>
      </c>
      <c r="G1076" s="91">
        <v>0.19</v>
      </c>
      <c r="H1076" s="91"/>
      <c r="I1076" s="91" t="s">
        <v>228</v>
      </c>
      <c r="J1076" s="91"/>
      <c r="K1076" s="91"/>
      <c r="L1076" s="92" t="s">
        <v>1879</v>
      </c>
      <c r="M1076" s="91" t="str">
        <f t="shared" si="209"/>
        <v>VER ARCHIVO ANEXO</v>
      </c>
      <c r="N1076" s="93">
        <v>41608</v>
      </c>
      <c r="O1076" s="94">
        <v>44861</v>
      </c>
      <c r="P1076" s="94" t="s">
        <v>1443</v>
      </c>
      <c r="Q1076" s="94">
        <v>933</v>
      </c>
      <c r="R1076" s="95">
        <f t="shared" si="200"/>
        <v>47220.077536175282</v>
      </c>
      <c r="S1076" s="94">
        <v>30901.045999999998</v>
      </c>
      <c r="T1076" s="94">
        <f t="shared" si="210"/>
        <v>32993.046814200003</v>
      </c>
      <c r="U1076" s="94">
        <f t="shared" si="205"/>
        <v>34890.147006016508</v>
      </c>
      <c r="V1076" s="94">
        <f t="shared" si="206"/>
        <v>36317.154018562578</v>
      </c>
      <c r="W1076" s="97">
        <f t="shared" si="203"/>
        <v>37472.039516352866</v>
      </c>
      <c r="X1076" s="97">
        <f t="shared" si="204"/>
        <v>38895.977017974277</v>
      </c>
      <c r="Y1076" s="97">
        <f t="shared" si="199"/>
        <v>39522.202247963665</v>
      </c>
      <c r="Z1076" s="97">
        <f t="shared" si="201"/>
        <v>41743.350014299227</v>
      </c>
      <c r="AA1076" s="97">
        <f t="shared" si="202"/>
        <v>47220.077536175282</v>
      </c>
    </row>
    <row r="1077" spans="1:27" x14ac:dyDescent="0.25">
      <c r="A1077" s="86" t="s">
        <v>2475</v>
      </c>
      <c r="B1077" s="87" t="s">
        <v>2476</v>
      </c>
      <c r="C1077" s="88" t="s">
        <v>226</v>
      </c>
      <c r="D1077" s="89" t="s">
        <v>262</v>
      </c>
      <c r="E1077" s="90">
        <f t="shared" si="207"/>
        <v>45018</v>
      </c>
      <c r="F1077" s="90">
        <f t="shared" si="208"/>
        <v>37829.919212309243</v>
      </c>
      <c r="G1077" s="91">
        <v>0.19</v>
      </c>
      <c r="H1077" s="91"/>
      <c r="I1077" s="91" t="s">
        <v>228</v>
      </c>
      <c r="J1077" s="91"/>
      <c r="K1077" s="91"/>
      <c r="L1077" s="92" t="s">
        <v>1879</v>
      </c>
      <c r="M1077" s="91" t="str">
        <f t="shared" si="209"/>
        <v>VER ARCHIVO ANEXO</v>
      </c>
      <c r="N1077" s="93">
        <v>41608</v>
      </c>
      <c r="O1077" s="94"/>
      <c r="P1077" s="94"/>
      <c r="Q1077" s="94">
        <v>934</v>
      </c>
      <c r="R1077" s="95">
        <f t="shared" si="200"/>
        <v>37829.919212309243</v>
      </c>
      <c r="S1077" s="94">
        <v>24756.081200000001</v>
      </c>
      <c r="T1077" s="94">
        <f t="shared" si="210"/>
        <v>26432.067897240002</v>
      </c>
      <c r="U1077" s="94">
        <f t="shared" si="205"/>
        <v>27951.911801331305</v>
      </c>
      <c r="V1077" s="94">
        <f t="shared" si="206"/>
        <v>29095.144994005754</v>
      </c>
      <c r="W1077" s="97">
        <f t="shared" si="203"/>
        <v>30020.37060481514</v>
      </c>
      <c r="X1077" s="97">
        <f t="shared" si="204"/>
        <v>31161.144687798118</v>
      </c>
      <c r="Y1077" s="97">
        <f t="shared" si="199"/>
        <v>31662.839117271669</v>
      </c>
      <c r="Z1077" s="97">
        <f t="shared" si="201"/>
        <v>33442.290675662342</v>
      </c>
      <c r="AA1077" s="97">
        <f t="shared" si="202"/>
        <v>37829.919212309243</v>
      </c>
    </row>
    <row r="1078" spans="1:27" x14ac:dyDescent="0.25">
      <c r="A1078" s="86" t="s">
        <v>2477</v>
      </c>
      <c r="B1078" s="87" t="s">
        <v>2478</v>
      </c>
      <c r="C1078" s="88" t="s">
        <v>226</v>
      </c>
      <c r="D1078" s="89" t="s">
        <v>255</v>
      </c>
      <c r="E1078" s="90">
        <f t="shared" si="207"/>
        <v>45174</v>
      </c>
      <c r="F1078" s="90">
        <f t="shared" si="208"/>
        <v>37961.39410112179</v>
      </c>
      <c r="G1078" s="91">
        <v>0.19</v>
      </c>
      <c r="H1078" s="91"/>
      <c r="I1078" s="91" t="s">
        <v>228</v>
      </c>
      <c r="J1078" s="91"/>
      <c r="K1078" s="91"/>
      <c r="L1078" s="92" t="s">
        <v>1879</v>
      </c>
      <c r="M1078" s="91" t="str">
        <f t="shared" si="209"/>
        <v>VER ARCHIVO ANEXO</v>
      </c>
      <c r="N1078" s="93">
        <v>41608</v>
      </c>
      <c r="O1078" s="94"/>
      <c r="P1078" s="94"/>
      <c r="Q1078" s="94">
        <v>935</v>
      </c>
      <c r="R1078" s="95">
        <f t="shared" si="200"/>
        <v>37961.39410112179</v>
      </c>
      <c r="S1078" s="94">
        <v>24842.118999999999</v>
      </c>
      <c r="T1078" s="94">
        <f t="shared" si="210"/>
        <v>26523.930456300001</v>
      </c>
      <c r="U1078" s="94">
        <f t="shared" si="205"/>
        <v>28049.056457537252</v>
      </c>
      <c r="V1078" s="94">
        <f t="shared" si="206"/>
        <v>29196.262866650522</v>
      </c>
      <c r="W1078" s="97">
        <f t="shared" si="203"/>
        <v>30124.70402581001</v>
      </c>
      <c r="X1078" s="97">
        <f t="shared" si="204"/>
        <v>31269.442778790792</v>
      </c>
      <c r="Y1078" s="97">
        <f t="shared" si="199"/>
        <v>31772.880807529324</v>
      </c>
      <c r="Z1078" s="97">
        <f t="shared" si="201"/>
        <v>33558.516708912473</v>
      </c>
      <c r="AA1078" s="97">
        <f t="shared" si="202"/>
        <v>37961.39410112179</v>
      </c>
    </row>
    <row r="1079" spans="1:27" x14ac:dyDescent="0.25">
      <c r="A1079" s="86" t="s">
        <v>2479</v>
      </c>
      <c r="B1079" s="141" t="s">
        <v>2480</v>
      </c>
      <c r="C1079" s="99" t="s">
        <v>226</v>
      </c>
      <c r="D1079" s="100" t="s">
        <v>255</v>
      </c>
      <c r="E1079" s="101">
        <f t="shared" si="207"/>
        <v>43953</v>
      </c>
      <c r="F1079" s="90">
        <f t="shared" si="208"/>
        <v>36934.939547500813</v>
      </c>
      <c r="G1079" s="91">
        <v>0.19</v>
      </c>
      <c r="H1079" s="91" t="s">
        <v>228</v>
      </c>
      <c r="I1079" s="91" t="s">
        <v>228</v>
      </c>
      <c r="J1079" s="91" t="s">
        <v>228</v>
      </c>
      <c r="K1079" s="91" t="s">
        <v>228</v>
      </c>
      <c r="L1079" s="92" t="s">
        <v>1879</v>
      </c>
      <c r="M1079" s="91" t="str">
        <f t="shared" si="209"/>
        <v>VER ARCHIVO ANEXO</v>
      </c>
      <c r="N1079" s="93"/>
      <c r="O1079" s="94"/>
      <c r="P1079" s="94"/>
      <c r="Q1079" s="94">
        <v>936</v>
      </c>
      <c r="R1079" s="95">
        <f t="shared" si="200"/>
        <v>36934.939547500813</v>
      </c>
      <c r="S1079" s="94">
        <v>24170.4022</v>
      </c>
      <c r="T1079" s="94">
        <f t="shared" si="210"/>
        <v>25806.738428940003</v>
      </c>
      <c r="U1079" s="94">
        <f t="shared" si="205"/>
        <v>27290.625888604056</v>
      </c>
      <c r="V1079" s="94">
        <f t="shared" si="206"/>
        <v>28406.812487447962</v>
      </c>
      <c r="W1079" s="97">
        <f t="shared" si="203"/>
        <v>29310.149124548807</v>
      </c>
      <c r="X1079" s="97">
        <f t="shared" si="204"/>
        <v>30423.934791281663</v>
      </c>
      <c r="Y1079" s="97">
        <f t="shared" si="199"/>
        <v>30913.760141421299</v>
      </c>
      <c r="Z1079" s="97">
        <f t="shared" si="201"/>
        <v>32651.113461369176</v>
      </c>
      <c r="AA1079" s="97">
        <f t="shared" si="202"/>
        <v>36934.939547500813</v>
      </c>
    </row>
    <row r="1080" spans="1:27" x14ac:dyDescent="0.25">
      <c r="A1080" s="105" t="s">
        <v>2481</v>
      </c>
      <c r="B1080" s="142" t="s">
        <v>2482</v>
      </c>
      <c r="C1080" s="107"/>
      <c r="D1080" s="108"/>
      <c r="E1080" s="90">
        <f t="shared" si="207"/>
        <v>0</v>
      </c>
      <c r="F1080" s="90">
        <f t="shared" si="208"/>
        <v>0</v>
      </c>
      <c r="G1080" s="81"/>
      <c r="H1080" s="81"/>
      <c r="I1080" s="81"/>
      <c r="J1080" s="81"/>
      <c r="K1080" s="81"/>
      <c r="L1080" s="92"/>
      <c r="M1080" s="91"/>
      <c r="N1080" s="93">
        <v>41608</v>
      </c>
      <c r="O1080" s="109"/>
      <c r="P1080" s="109"/>
      <c r="Q1080" s="109">
        <v>0</v>
      </c>
      <c r="R1080" s="95">
        <f t="shared" si="200"/>
        <v>0</v>
      </c>
      <c r="S1080" s="109">
        <v>0</v>
      </c>
      <c r="T1080" s="94">
        <f t="shared" si="210"/>
        <v>0</v>
      </c>
      <c r="U1080" s="94">
        <f t="shared" si="205"/>
        <v>0</v>
      </c>
      <c r="V1080" s="94">
        <f t="shared" si="206"/>
        <v>0</v>
      </c>
      <c r="W1080" s="97">
        <f t="shared" si="203"/>
        <v>0</v>
      </c>
      <c r="X1080" s="97">
        <f t="shared" si="204"/>
        <v>0</v>
      </c>
      <c r="Y1080" s="97">
        <f t="shared" si="199"/>
        <v>0</v>
      </c>
      <c r="Z1080" s="97">
        <f t="shared" si="201"/>
        <v>0</v>
      </c>
      <c r="AA1080" s="97">
        <f t="shared" si="202"/>
        <v>0</v>
      </c>
    </row>
    <row r="1081" spans="1:27" x14ac:dyDescent="0.25">
      <c r="A1081" s="102" t="s">
        <v>2483</v>
      </c>
      <c r="B1081" s="110" t="s">
        <v>2484</v>
      </c>
      <c r="C1081" s="88" t="s">
        <v>226</v>
      </c>
      <c r="D1081" s="89" t="s">
        <v>262</v>
      </c>
      <c r="E1081" s="90">
        <f t="shared" si="207"/>
        <v>4713</v>
      </c>
      <c r="F1081" s="90">
        <f t="shared" si="208"/>
        <v>3960.0870124266421</v>
      </c>
      <c r="G1081" s="91">
        <v>0.19</v>
      </c>
      <c r="H1081" s="91" t="s">
        <v>228</v>
      </c>
      <c r="I1081" s="81"/>
      <c r="J1081" s="81"/>
      <c r="K1081" s="91" t="s">
        <v>228</v>
      </c>
      <c r="L1081" s="92" t="s">
        <v>2485</v>
      </c>
      <c r="M1081" s="91" t="str">
        <f t="shared" si="209"/>
        <v>VER ARCHIVO ANEXO</v>
      </c>
      <c r="N1081" s="93">
        <v>41608</v>
      </c>
      <c r="O1081" s="109"/>
      <c r="P1081" s="109"/>
      <c r="Q1081" s="94">
        <v>937</v>
      </c>
      <c r="R1081" s="95">
        <f t="shared" si="200"/>
        <v>3960.0870124266421</v>
      </c>
      <c r="S1081" s="109">
        <v>2591.5</v>
      </c>
      <c r="T1081" s="94">
        <f t="shared" si="210"/>
        <v>2766.9445500000002</v>
      </c>
      <c r="U1081" s="94">
        <f t="shared" si="205"/>
        <v>2926.0438616250003</v>
      </c>
      <c r="V1081" s="94">
        <f t="shared" si="206"/>
        <v>3045.7190555654624</v>
      </c>
      <c r="W1081" s="97">
        <f t="shared" si="203"/>
        <v>3142.5729215324445</v>
      </c>
      <c r="X1081" s="97">
        <f t="shared" si="204"/>
        <v>3261.9906925506775</v>
      </c>
      <c r="Y1081" s="97">
        <f t="shared" ref="Y1081:Y1144" si="211">+X1081*(1+$Y$4)</f>
        <v>3314.5087427007434</v>
      </c>
      <c r="Z1081" s="97">
        <f t="shared" si="201"/>
        <v>3500.7841340405253</v>
      </c>
      <c r="AA1081" s="97">
        <f t="shared" si="202"/>
        <v>3960.0870124266421</v>
      </c>
    </row>
    <row r="1082" spans="1:27" x14ac:dyDescent="0.25">
      <c r="A1082" s="102" t="s">
        <v>2486</v>
      </c>
      <c r="B1082" s="110" t="s">
        <v>2487</v>
      </c>
      <c r="C1082" s="88" t="s">
        <v>226</v>
      </c>
      <c r="D1082" s="89" t="s">
        <v>262</v>
      </c>
      <c r="E1082" s="90">
        <f t="shared" si="207"/>
        <v>4882</v>
      </c>
      <c r="F1082" s="90">
        <f t="shared" si="208"/>
        <v>4102.6501448740009</v>
      </c>
      <c r="G1082" s="91">
        <v>0.19</v>
      </c>
      <c r="H1082" s="91" t="s">
        <v>228</v>
      </c>
      <c r="I1082" s="81"/>
      <c r="J1082" s="81"/>
      <c r="K1082" s="91" t="s">
        <v>228</v>
      </c>
      <c r="L1082" s="92" t="s">
        <v>2488</v>
      </c>
      <c r="M1082" s="91" t="str">
        <f t="shared" si="209"/>
        <v>VER ARCHIVO ANEXO</v>
      </c>
      <c r="N1082" s="93">
        <v>41608</v>
      </c>
      <c r="O1082" s="94"/>
      <c r="P1082" s="94"/>
      <c r="Q1082" s="94">
        <v>938</v>
      </c>
      <c r="R1082" s="95">
        <f t="shared" si="200"/>
        <v>4102.6501448740009</v>
      </c>
      <c r="S1082" s="94">
        <v>2684.7939999999999</v>
      </c>
      <c r="T1082" s="94">
        <f t="shared" si="210"/>
        <v>2866.5545538000001</v>
      </c>
      <c r="U1082" s="94">
        <f t="shared" si="205"/>
        <v>3031.3814406435004</v>
      </c>
      <c r="V1082" s="94">
        <f t="shared" si="206"/>
        <v>3155.3649415658192</v>
      </c>
      <c r="W1082" s="97">
        <f t="shared" si="203"/>
        <v>3255.7055467076125</v>
      </c>
      <c r="X1082" s="97">
        <f t="shared" si="204"/>
        <v>3379.4223574825019</v>
      </c>
      <c r="Y1082" s="97">
        <f t="shared" si="211"/>
        <v>3433.8310574379702</v>
      </c>
      <c r="Z1082" s="97">
        <f t="shared" si="201"/>
        <v>3626.8123628659841</v>
      </c>
      <c r="AA1082" s="97">
        <f t="shared" si="202"/>
        <v>4102.6501448740009</v>
      </c>
    </row>
    <row r="1083" spans="1:27" x14ac:dyDescent="0.25">
      <c r="A1083" s="102" t="s">
        <v>2489</v>
      </c>
      <c r="B1083" s="110" t="s">
        <v>2490</v>
      </c>
      <c r="C1083" s="88" t="s">
        <v>226</v>
      </c>
      <c r="D1083" s="89" t="s">
        <v>262</v>
      </c>
      <c r="E1083" s="90">
        <f t="shared" si="207"/>
        <v>3597</v>
      </c>
      <c r="F1083" s="90">
        <f t="shared" si="208"/>
        <v>3022.3384078840131</v>
      </c>
      <c r="G1083" s="91">
        <v>0.19</v>
      </c>
      <c r="H1083" s="91" t="s">
        <v>228</v>
      </c>
      <c r="I1083" s="81"/>
      <c r="J1083" s="81"/>
      <c r="K1083" s="91" t="s">
        <v>228</v>
      </c>
      <c r="L1083" s="92" t="s">
        <v>2485</v>
      </c>
      <c r="M1083" s="91" t="str">
        <f t="shared" si="209"/>
        <v>VER ARCHIVO ANEXO</v>
      </c>
      <c r="N1083" s="93">
        <v>41608</v>
      </c>
      <c r="O1083" s="94"/>
      <c r="P1083" s="94"/>
      <c r="Q1083" s="94">
        <v>939</v>
      </c>
      <c r="R1083" s="95">
        <f t="shared" si="200"/>
        <v>3022.3384078840131</v>
      </c>
      <c r="S1083" s="94">
        <v>1977.8327999999999</v>
      </c>
      <c r="T1083" s="94">
        <f t="shared" si="210"/>
        <v>2111.7320805600002</v>
      </c>
      <c r="U1083" s="94">
        <f t="shared" si="205"/>
        <v>2233.1566751922005</v>
      </c>
      <c r="V1083" s="94">
        <f t="shared" si="206"/>
        <v>2324.4927832075614</v>
      </c>
      <c r="W1083" s="97">
        <f t="shared" si="203"/>
        <v>2398.4116537135619</v>
      </c>
      <c r="X1083" s="97">
        <f t="shared" si="204"/>
        <v>2489.5512965546773</v>
      </c>
      <c r="Y1083" s="97">
        <f t="shared" si="211"/>
        <v>2529.6330724292075</v>
      </c>
      <c r="Z1083" s="97">
        <f t="shared" si="201"/>
        <v>2671.7984510997289</v>
      </c>
      <c r="AA1083" s="97">
        <f t="shared" si="202"/>
        <v>3022.3384078840131</v>
      </c>
    </row>
    <row r="1084" spans="1:27" x14ac:dyDescent="0.25">
      <c r="A1084" s="102" t="s">
        <v>2491</v>
      </c>
      <c r="B1084" s="87" t="s">
        <v>2492</v>
      </c>
      <c r="C1084" s="88" t="s">
        <v>226</v>
      </c>
      <c r="D1084" s="89" t="s">
        <v>262</v>
      </c>
      <c r="E1084" s="90">
        <f t="shared" si="207"/>
        <v>405</v>
      </c>
      <c r="F1084" s="90">
        <f t="shared" si="208"/>
        <v>340.56748306869127</v>
      </c>
      <c r="G1084" s="91">
        <v>0.19</v>
      </c>
      <c r="H1084" s="91" t="s">
        <v>228</v>
      </c>
      <c r="I1084" s="81"/>
      <c r="J1084" s="81"/>
      <c r="K1084" s="91" t="s">
        <v>228</v>
      </c>
      <c r="L1084" s="92" t="s">
        <v>2493</v>
      </c>
      <c r="M1084" s="91" t="str">
        <f t="shared" si="209"/>
        <v>VER ARCHIVO ANEXO</v>
      </c>
      <c r="N1084" s="93">
        <v>41608</v>
      </c>
      <c r="O1084" s="94"/>
      <c r="P1084" s="94"/>
      <c r="Q1084" s="94">
        <v>940</v>
      </c>
      <c r="R1084" s="95">
        <f t="shared" si="200"/>
        <v>340.56748306869127</v>
      </c>
      <c r="S1084" s="94">
        <v>222.869</v>
      </c>
      <c r="T1084" s="94">
        <f t="shared" si="210"/>
        <v>237.95723130000002</v>
      </c>
      <c r="U1084" s="94">
        <f t="shared" si="205"/>
        <v>251.63977209975005</v>
      </c>
      <c r="V1084" s="94">
        <f t="shared" si="206"/>
        <v>261.93183877862981</v>
      </c>
      <c r="W1084" s="97">
        <f t="shared" si="203"/>
        <v>270.26127125179028</v>
      </c>
      <c r="X1084" s="97">
        <f t="shared" si="204"/>
        <v>280.5311995593583</v>
      </c>
      <c r="Y1084" s="97">
        <f t="shared" si="211"/>
        <v>285.04775187226397</v>
      </c>
      <c r="Z1084" s="97">
        <f t="shared" si="201"/>
        <v>301.0674355274852</v>
      </c>
      <c r="AA1084" s="97">
        <f t="shared" si="202"/>
        <v>340.56748306869127</v>
      </c>
    </row>
    <row r="1085" spans="1:27" x14ac:dyDescent="0.25">
      <c r="A1085" s="102" t="s">
        <v>2494</v>
      </c>
      <c r="B1085" s="87" t="s">
        <v>2495</v>
      </c>
      <c r="C1085" s="88" t="s">
        <v>226</v>
      </c>
      <c r="D1085" s="89" t="s">
        <v>262</v>
      </c>
      <c r="E1085" s="90">
        <f t="shared" si="207"/>
        <v>2026</v>
      </c>
      <c r="F1085" s="90">
        <f t="shared" si="208"/>
        <v>1702.8374153434561</v>
      </c>
      <c r="G1085" s="91">
        <v>0.19</v>
      </c>
      <c r="H1085" s="91" t="s">
        <v>228</v>
      </c>
      <c r="I1085" s="81"/>
      <c r="J1085" s="81"/>
      <c r="K1085" s="91" t="s">
        <v>228</v>
      </c>
      <c r="L1085" s="92" t="s">
        <v>2496</v>
      </c>
      <c r="M1085" s="91" t="str">
        <f t="shared" si="209"/>
        <v>VER ARCHIVO ANEXO</v>
      </c>
      <c r="N1085" s="93">
        <v>41608</v>
      </c>
      <c r="O1085" s="94"/>
      <c r="P1085" s="94"/>
      <c r="Q1085" s="94">
        <v>941</v>
      </c>
      <c r="R1085" s="95">
        <f t="shared" si="200"/>
        <v>1702.8374153434561</v>
      </c>
      <c r="S1085" s="94">
        <v>1114.345</v>
      </c>
      <c r="T1085" s="94">
        <f t="shared" si="210"/>
        <v>1189.7861565000001</v>
      </c>
      <c r="U1085" s="94">
        <f t="shared" si="205"/>
        <v>1258.1988604987503</v>
      </c>
      <c r="V1085" s="94">
        <f t="shared" si="206"/>
        <v>1309.659193893149</v>
      </c>
      <c r="W1085" s="97">
        <f t="shared" si="203"/>
        <v>1351.3063562589512</v>
      </c>
      <c r="X1085" s="97">
        <f t="shared" si="204"/>
        <v>1402.6559977967913</v>
      </c>
      <c r="Y1085" s="97">
        <f t="shared" si="211"/>
        <v>1425.2387593613196</v>
      </c>
      <c r="Z1085" s="97">
        <f t="shared" si="201"/>
        <v>1505.3371776374258</v>
      </c>
      <c r="AA1085" s="97">
        <f t="shared" si="202"/>
        <v>1702.8374153434561</v>
      </c>
    </row>
    <row r="1086" spans="1:27" x14ac:dyDescent="0.25">
      <c r="A1086" s="102" t="s">
        <v>2497</v>
      </c>
      <c r="B1086" s="110" t="s">
        <v>2498</v>
      </c>
      <c r="C1086" s="88" t="s">
        <v>226</v>
      </c>
      <c r="D1086" s="89" t="s">
        <v>262</v>
      </c>
      <c r="E1086" s="90">
        <f t="shared" si="207"/>
        <v>2452</v>
      </c>
      <c r="F1086" s="90">
        <f t="shared" si="208"/>
        <v>2060.8292812668251</v>
      </c>
      <c r="G1086" s="91">
        <v>0.19</v>
      </c>
      <c r="H1086" s="91" t="s">
        <v>228</v>
      </c>
      <c r="I1086" s="81"/>
      <c r="J1086" s="81"/>
      <c r="K1086" s="91" t="s">
        <v>228</v>
      </c>
      <c r="L1086" s="92" t="s">
        <v>2485</v>
      </c>
      <c r="M1086" s="91" t="str">
        <f t="shared" si="209"/>
        <v>VER ARCHIVO ANEXO</v>
      </c>
      <c r="N1086" s="93">
        <v>41608</v>
      </c>
      <c r="O1086" s="94"/>
      <c r="P1086" s="94"/>
      <c r="Q1086" s="94">
        <v>942</v>
      </c>
      <c r="R1086" s="95">
        <f t="shared" si="200"/>
        <v>2060.8292812668251</v>
      </c>
      <c r="S1086" s="94">
        <v>1348.6166000000001</v>
      </c>
      <c r="T1086" s="94">
        <f t="shared" si="210"/>
        <v>1439.9179438200001</v>
      </c>
      <c r="U1086" s="94">
        <f t="shared" si="205"/>
        <v>1522.7132255896504</v>
      </c>
      <c r="V1086" s="94">
        <f t="shared" si="206"/>
        <v>1584.9921965162671</v>
      </c>
      <c r="W1086" s="97">
        <f t="shared" si="203"/>
        <v>1635.3949483654844</v>
      </c>
      <c r="X1086" s="97">
        <f t="shared" si="204"/>
        <v>1697.5399564033728</v>
      </c>
      <c r="Y1086" s="97">
        <f t="shared" si="211"/>
        <v>1724.8703497014671</v>
      </c>
      <c r="Z1086" s="97">
        <f t="shared" si="201"/>
        <v>1821.8080633546897</v>
      </c>
      <c r="AA1086" s="97">
        <f t="shared" si="202"/>
        <v>2060.8292812668251</v>
      </c>
    </row>
    <row r="1087" spans="1:27" x14ac:dyDescent="0.25">
      <c r="A1087" s="102" t="s">
        <v>2499</v>
      </c>
      <c r="B1087" s="98" t="s">
        <v>2500</v>
      </c>
      <c r="C1087" s="99" t="s">
        <v>226</v>
      </c>
      <c r="D1087" s="100" t="s">
        <v>262</v>
      </c>
      <c r="E1087" s="101">
        <f t="shared" si="207"/>
        <v>735</v>
      </c>
      <c r="F1087" s="90">
        <f t="shared" si="208"/>
        <v>617.7735739385563</v>
      </c>
      <c r="G1087" s="91">
        <v>0.19</v>
      </c>
      <c r="H1087" s="91" t="s">
        <v>228</v>
      </c>
      <c r="I1087" s="81"/>
      <c r="J1087" s="81"/>
      <c r="K1087" s="91" t="s">
        <v>228</v>
      </c>
      <c r="L1087" s="92" t="s">
        <v>2485</v>
      </c>
      <c r="M1087" s="91" t="str">
        <f t="shared" si="209"/>
        <v>VER ARCHIVO ANEXO</v>
      </c>
      <c r="N1087" s="93">
        <v>41608</v>
      </c>
      <c r="O1087" s="94"/>
      <c r="P1087" s="94"/>
      <c r="Q1087" s="94">
        <v>943</v>
      </c>
      <c r="R1087" s="95">
        <f t="shared" si="200"/>
        <v>617.7735739385563</v>
      </c>
      <c r="S1087" s="94">
        <v>404.274</v>
      </c>
      <c r="T1087" s="94">
        <f t="shared" si="210"/>
        <v>431.64334980000007</v>
      </c>
      <c r="U1087" s="94">
        <f t="shared" si="205"/>
        <v>456.46284241350014</v>
      </c>
      <c r="V1087" s="94">
        <f t="shared" si="206"/>
        <v>475.13217266821226</v>
      </c>
      <c r="W1087" s="97">
        <f t="shared" si="203"/>
        <v>490.24137575906144</v>
      </c>
      <c r="X1087" s="97">
        <f t="shared" si="204"/>
        <v>508.87054803790579</v>
      </c>
      <c r="Y1087" s="97">
        <f t="shared" si="211"/>
        <v>517.06336386131602</v>
      </c>
      <c r="Z1087" s="97">
        <f t="shared" si="201"/>
        <v>546.12232491032205</v>
      </c>
      <c r="AA1087" s="97">
        <f t="shared" si="202"/>
        <v>617.7735739385563</v>
      </c>
    </row>
    <row r="1088" spans="1:27" x14ac:dyDescent="0.25">
      <c r="A1088" s="102" t="s">
        <v>2501</v>
      </c>
      <c r="B1088" s="87" t="s">
        <v>2502</v>
      </c>
      <c r="C1088" s="88" t="s">
        <v>226</v>
      </c>
      <c r="D1088" s="89" t="s">
        <v>262</v>
      </c>
      <c r="E1088" s="90">
        <f t="shared" si="207"/>
        <v>667</v>
      </c>
      <c r="F1088" s="90">
        <f t="shared" si="208"/>
        <v>560.74832095961256</v>
      </c>
      <c r="G1088" s="91">
        <v>0.19</v>
      </c>
      <c r="H1088" s="91" t="s">
        <v>228</v>
      </c>
      <c r="I1088" s="81"/>
      <c r="J1088" s="81"/>
      <c r="K1088" s="91" t="s">
        <v>228</v>
      </c>
      <c r="L1088" s="92" t="s">
        <v>2493</v>
      </c>
      <c r="M1088" s="91" t="str">
        <f t="shared" si="209"/>
        <v>VER ARCHIVO ANEXO</v>
      </c>
      <c r="N1088" s="93">
        <v>41608</v>
      </c>
      <c r="O1088" s="94"/>
      <c r="P1088" s="94"/>
      <c r="Q1088" s="94">
        <v>944</v>
      </c>
      <c r="R1088" s="95">
        <f t="shared" si="200"/>
        <v>560.74832095961256</v>
      </c>
      <c r="S1088" s="94">
        <v>366.95639999999997</v>
      </c>
      <c r="T1088" s="94">
        <f t="shared" si="210"/>
        <v>391.79934828</v>
      </c>
      <c r="U1088" s="94">
        <f t="shared" si="205"/>
        <v>414.32781080610005</v>
      </c>
      <c r="V1088" s="94">
        <f t="shared" si="206"/>
        <v>431.27381826806953</v>
      </c>
      <c r="W1088" s="97">
        <f t="shared" si="203"/>
        <v>444.98832568899417</v>
      </c>
      <c r="X1088" s="97">
        <f t="shared" si="204"/>
        <v>461.89788206517596</v>
      </c>
      <c r="Y1088" s="97">
        <f t="shared" si="211"/>
        <v>469.3344379664253</v>
      </c>
      <c r="Z1088" s="97">
        <f t="shared" si="201"/>
        <v>495.71103338013842</v>
      </c>
      <c r="AA1088" s="97">
        <f t="shared" si="202"/>
        <v>560.74832095961256</v>
      </c>
    </row>
    <row r="1089" spans="1:27" x14ac:dyDescent="0.25">
      <c r="A1089" s="102" t="s">
        <v>2503</v>
      </c>
      <c r="B1089" s="87" t="s">
        <v>2504</v>
      </c>
      <c r="C1089" s="88" t="s">
        <v>226</v>
      </c>
      <c r="D1089" s="89" t="s">
        <v>262</v>
      </c>
      <c r="E1089" s="90">
        <f t="shared" si="207"/>
        <v>1838</v>
      </c>
      <c r="F1089" s="90">
        <f t="shared" si="208"/>
        <v>1544.4339348463905</v>
      </c>
      <c r="G1089" s="91">
        <v>0.19</v>
      </c>
      <c r="H1089" s="91" t="s">
        <v>228</v>
      </c>
      <c r="I1089" s="81"/>
      <c r="J1089" s="81"/>
      <c r="K1089" s="91" t="s">
        <v>228</v>
      </c>
      <c r="L1089" s="92" t="s">
        <v>2505</v>
      </c>
      <c r="M1089" s="91" t="str">
        <f t="shared" si="209"/>
        <v>VER ARCHIVO ANEXO</v>
      </c>
      <c r="N1089" s="93">
        <v>41608</v>
      </c>
      <c r="O1089" s="94"/>
      <c r="P1089" s="94"/>
      <c r="Q1089" s="94">
        <v>945</v>
      </c>
      <c r="R1089" s="95">
        <f t="shared" si="200"/>
        <v>1544.4339348463905</v>
      </c>
      <c r="S1089" s="94">
        <v>1010.6849999999999</v>
      </c>
      <c r="T1089" s="94">
        <f t="shared" si="210"/>
        <v>1079.1083745000001</v>
      </c>
      <c r="U1089" s="94">
        <f t="shared" si="205"/>
        <v>1141.1571060337501</v>
      </c>
      <c r="V1089" s="94">
        <f t="shared" si="206"/>
        <v>1187.8304316705305</v>
      </c>
      <c r="W1089" s="97">
        <f t="shared" si="203"/>
        <v>1225.6034393976533</v>
      </c>
      <c r="X1089" s="97">
        <f t="shared" si="204"/>
        <v>1272.1763700947643</v>
      </c>
      <c r="Y1089" s="97">
        <f t="shared" si="211"/>
        <v>1292.6584096532899</v>
      </c>
      <c r="Z1089" s="97">
        <f t="shared" si="201"/>
        <v>1365.3058122758048</v>
      </c>
      <c r="AA1089" s="97">
        <f t="shared" si="202"/>
        <v>1544.4339348463905</v>
      </c>
    </row>
    <row r="1090" spans="1:27" x14ac:dyDescent="0.25">
      <c r="A1090" s="102" t="s">
        <v>2506</v>
      </c>
      <c r="B1090" s="87" t="s">
        <v>2507</v>
      </c>
      <c r="C1090" s="88" t="s">
        <v>226</v>
      </c>
      <c r="D1090" s="89" t="s">
        <v>262</v>
      </c>
      <c r="E1090" s="90">
        <f t="shared" si="207"/>
        <v>2160</v>
      </c>
      <c r="F1090" s="90">
        <f t="shared" si="208"/>
        <v>1815.303886496373</v>
      </c>
      <c r="G1090" s="91">
        <v>0.19</v>
      </c>
      <c r="H1090" s="91" t="s">
        <v>228</v>
      </c>
      <c r="I1090" s="81"/>
      <c r="J1090" s="81"/>
      <c r="K1090" s="91" t="s">
        <v>228</v>
      </c>
      <c r="L1090" s="92" t="s">
        <v>2505</v>
      </c>
      <c r="M1090" s="91" t="str">
        <f t="shared" si="209"/>
        <v>VER ARCHIVO ANEXO</v>
      </c>
      <c r="N1090" s="93">
        <v>41608</v>
      </c>
      <c r="O1090" s="94"/>
      <c r="P1090" s="94"/>
      <c r="Q1090" s="94">
        <v>946</v>
      </c>
      <c r="R1090" s="95">
        <f t="shared" si="200"/>
        <v>1815.303886496373</v>
      </c>
      <c r="S1090" s="94">
        <v>1187.9436000000001</v>
      </c>
      <c r="T1090" s="94">
        <f t="shared" si="210"/>
        <v>1268.3673817200001</v>
      </c>
      <c r="U1090" s="94">
        <f t="shared" si="205"/>
        <v>1341.2985061689003</v>
      </c>
      <c r="V1090" s="94">
        <f t="shared" si="206"/>
        <v>1396.1576150712083</v>
      </c>
      <c r="W1090" s="97">
        <f t="shared" si="203"/>
        <v>1440.5554272304728</v>
      </c>
      <c r="X1090" s="97">
        <f t="shared" si="204"/>
        <v>1495.2965334652308</v>
      </c>
      <c r="Y1090" s="97">
        <f t="shared" si="211"/>
        <v>1519.3708076540211</v>
      </c>
      <c r="Z1090" s="97">
        <f t="shared" si="201"/>
        <v>1604.759447044177</v>
      </c>
      <c r="AA1090" s="97">
        <f t="shared" si="202"/>
        <v>1815.303886496373</v>
      </c>
    </row>
    <row r="1091" spans="1:27" x14ac:dyDescent="0.25">
      <c r="A1091" s="102" t="s">
        <v>2508</v>
      </c>
      <c r="B1091" s="98" t="s">
        <v>2509</v>
      </c>
      <c r="C1091" s="99" t="s">
        <v>226</v>
      </c>
      <c r="D1091" s="100" t="s">
        <v>262</v>
      </c>
      <c r="E1091" s="101">
        <f t="shared" si="207"/>
        <v>1140</v>
      </c>
      <c r="F1091" s="90">
        <f t="shared" si="208"/>
        <v>958.34105700724751</v>
      </c>
      <c r="G1091" s="91">
        <v>0.19</v>
      </c>
      <c r="H1091" s="91" t="s">
        <v>228</v>
      </c>
      <c r="I1091" s="81"/>
      <c r="J1091" s="81"/>
      <c r="K1091" s="91" t="s">
        <v>228</v>
      </c>
      <c r="L1091" s="92" t="s">
        <v>2505</v>
      </c>
      <c r="M1091" s="91" t="str">
        <f t="shared" si="209"/>
        <v>VER ARCHIVO ANEXO</v>
      </c>
      <c r="N1091" s="93">
        <v>41608</v>
      </c>
      <c r="O1091" s="94"/>
      <c r="P1091" s="94"/>
      <c r="Q1091" s="94">
        <v>947</v>
      </c>
      <c r="R1091" s="95">
        <f t="shared" si="200"/>
        <v>958.34105700724751</v>
      </c>
      <c r="S1091" s="94">
        <v>627.14300000000003</v>
      </c>
      <c r="T1091" s="94">
        <f t="shared" si="210"/>
        <v>669.60058110000011</v>
      </c>
      <c r="U1091" s="94">
        <f t="shared" si="205"/>
        <v>708.10261451325016</v>
      </c>
      <c r="V1091" s="94">
        <f t="shared" si="206"/>
        <v>737.06401144684207</v>
      </c>
      <c r="W1091" s="97">
        <f t="shared" si="203"/>
        <v>760.50264701085166</v>
      </c>
      <c r="X1091" s="97">
        <f t="shared" si="204"/>
        <v>789.40174759726403</v>
      </c>
      <c r="Y1091" s="97">
        <f t="shared" si="211"/>
        <v>802.11111573357994</v>
      </c>
      <c r="Z1091" s="97">
        <f t="shared" si="201"/>
        <v>847.18976043780719</v>
      </c>
      <c r="AA1091" s="97">
        <f t="shared" si="202"/>
        <v>958.34105700724751</v>
      </c>
    </row>
    <row r="1092" spans="1:27" x14ac:dyDescent="0.25">
      <c r="A1092" s="102" t="s">
        <v>2510</v>
      </c>
      <c r="B1092" s="87" t="s">
        <v>2511</v>
      </c>
      <c r="C1092" s="88" t="s">
        <v>226</v>
      </c>
      <c r="D1092" s="89" t="s">
        <v>262</v>
      </c>
      <c r="E1092" s="90">
        <f t="shared" si="207"/>
        <v>1205</v>
      </c>
      <c r="F1092" s="90">
        <f t="shared" si="208"/>
        <v>1012.1982403762497</v>
      </c>
      <c r="G1092" s="91">
        <v>0.19</v>
      </c>
      <c r="H1092" s="91" t="s">
        <v>228</v>
      </c>
      <c r="I1092" s="81"/>
      <c r="J1092" s="81"/>
      <c r="K1092" s="91" t="s">
        <v>228</v>
      </c>
      <c r="L1092" s="92" t="s">
        <v>2512</v>
      </c>
      <c r="M1092" s="91" t="str">
        <f t="shared" si="209"/>
        <v>VER ARCHIVO ANEXO</v>
      </c>
      <c r="N1092" s="93">
        <v>41608</v>
      </c>
      <c r="O1092" s="94"/>
      <c r="P1092" s="94"/>
      <c r="Q1092" s="94">
        <v>948</v>
      </c>
      <c r="R1092" s="95">
        <f t="shared" si="200"/>
        <v>1012.1982403762497</v>
      </c>
      <c r="S1092" s="94">
        <v>662.38739999999996</v>
      </c>
      <c r="T1092" s="94">
        <f t="shared" si="210"/>
        <v>707.23102698000002</v>
      </c>
      <c r="U1092" s="94">
        <f t="shared" si="205"/>
        <v>747.89681103135013</v>
      </c>
      <c r="V1092" s="94">
        <f t="shared" si="206"/>
        <v>778.48579060253235</v>
      </c>
      <c r="W1092" s="97">
        <f t="shared" si="203"/>
        <v>803.24163874369287</v>
      </c>
      <c r="X1092" s="97">
        <f t="shared" si="204"/>
        <v>833.7648210159532</v>
      </c>
      <c r="Y1092" s="97">
        <f t="shared" si="211"/>
        <v>847.18843463431006</v>
      </c>
      <c r="Z1092" s="97">
        <f t="shared" si="201"/>
        <v>894.80042466075827</v>
      </c>
      <c r="AA1092" s="97">
        <f t="shared" si="202"/>
        <v>1012.1982403762497</v>
      </c>
    </row>
    <row r="1093" spans="1:27" x14ac:dyDescent="0.25">
      <c r="A1093" s="102" t="s">
        <v>2513</v>
      </c>
      <c r="B1093" s="98" t="s">
        <v>2514</v>
      </c>
      <c r="C1093" s="99" t="s">
        <v>226</v>
      </c>
      <c r="D1093" s="100" t="s">
        <v>262</v>
      </c>
      <c r="E1093" s="101">
        <f t="shared" si="207"/>
        <v>2168</v>
      </c>
      <c r="F1093" s="90">
        <f t="shared" si="208"/>
        <v>1821.6400257162559</v>
      </c>
      <c r="G1093" s="91">
        <v>0.19</v>
      </c>
      <c r="H1093" s="91" t="s">
        <v>228</v>
      </c>
      <c r="I1093" s="81"/>
      <c r="J1093" s="81"/>
      <c r="K1093" s="91" t="s">
        <v>228</v>
      </c>
      <c r="L1093" s="92" t="s">
        <v>2512</v>
      </c>
      <c r="M1093" s="91" t="str">
        <f t="shared" si="209"/>
        <v>VER ARCHIVO ANEXO</v>
      </c>
      <c r="N1093" s="93">
        <v>41608</v>
      </c>
      <c r="O1093" s="94"/>
      <c r="P1093" s="94"/>
      <c r="Q1093" s="94">
        <v>949</v>
      </c>
      <c r="R1093" s="95">
        <f t="shared" si="200"/>
        <v>1821.6400257162559</v>
      </c>
      <c r="S1093" s="94">
        <v>1192.0899999999999</v>
      </c>
      <c r="T1093" s="94">
        <f t="shared" si="210"/>
        <v>1272.7944930000001</v>
      </c>
      <c r="U1093" s="94">
        <f t="shared" si="205"/>
        <v>1345.9801763475002</v>
      </c>
      <c r="V1093" s="94">
        <f t="shared" si="206"/>
        <v>1401.030765560113</v>
      </c>
      <c r="W1093" s="97">
        <f t="shared" si="203"/>
        <v>1445.5835439049247</v>
      </c>
      <c r="X1093" s="97">
        <f t="shared" si="204"/>
        <v>1500.5157185733119</v>
      </c>
      <c r="Y1093" s="97">
        <f t="shared" si="211"/>
        <v>1524.6740216423423</v>
      </c>
      <c r="Z1093" s="97">
        <f t="shared" si="201"/>
        <v>1610.360701658642</v>
      </c>
      <c r="AA1093" s="97">
        <f t="shared" si="202"/>
        <v>1821.6400257162559</v>
      </c>
    </row>
    <row r="1094" spans="1:27" x14ac:dyDescent="0.25">
      <c r="A1094" s="102" t="s">
        <v>2515</v>
      </c>
      <c r="B1094" s="87" t="s">
        <v>2516</v>
      </c>
      <c r="C1094" s="88" t="s">
        <v>226</v>
      </c>
      <c r="D1094" s="89" t="s">
        <v>262</v>
      </c>
      <c r="E1094" s="90">
        <f t="shared" si="207"/>
        <v>975</v>
      </c>
      <c r="F1094" s="90">
        <f t="shared" si="208"/>
        <v>818.94599416982965</v>
      </c>
      <c r="G1094" s="91">
        <v>0.19</v>
      </c>
      <c r="H1094" s="91" t="s">
        <v>228</v>
      </c>
      <c r="I1094" s="81"/>
      <c r="J1094" s="81"/>
      <c r="K1094" s="91" t="s">
        <v>228</v>
      </c>
      <c r="L1094" s="92" t="s">
        <v>2517</v>
      </c>
      <c r="M1094" s="91" t="str">
        <f t="shared" si="209"/>
        <v>VER ARCHIVO ANEXO</v>
      </c>
      <c r="N1094" s="93">
        <v>41608</v>
      </c>
      <c r="O1094" s="94"/>
      <c r="P1094" s="94"/>
      <c r="Q1094" s="94">
        <v>950</v>
      </c>
      <c r="R1094" s="95">
        <f t="shared" si="200"/>
        <v>818.94599416982965</v>
      </c>
      <c r="S1094" s="94">
        <v>535.92219999999998</v>
      </c>
      <c r="T1094" s="94">
        <f t="shared" si="210"/>
        <v>572.20413294000002</v>
      </c>
      <c r="U1094" s="94">
        <f t="shared" si="205"/>
        <v>605.10587058405008</v>
      </c>
      <c r="V1094" s="94">
        <f t="shared" si="206"/>
        <v>629.85470069093765</v>
      </c>
      <c r="W1094" s="97">
        <f t="shared" si="203"/>
        <v>649.88408017290953</v>
      </c>
      <c r="X1094" s="97">
        <f t="shared" si="204"/>
        <v>674.57967521948012</v>
      </c>
      <c r="Y1094" s="97">
        <f t="shared" si="211"/>
        <v>685.44040799051379</v>
      </c>
      <c r="Z1094" s="97">
        <f t="shared" si="201"/>
        <v>723.9621589195807</v>
      </c>
      <c r="AA1094" s="97">
        <f t="shared" si="202"/>
        <v>818.94599416982965</v>
      </c>
    </row>
    <row r="1095" spans="1:27" x14ac:dyDescent="0.25">
      <c r="A1095" s="102" t="s">
        <v>2518</v>
      </c>
      <c r="B1095" s="87" t="s">
        <v>2519</v>
      </c>
      <c r="C1095" s="88" t="s">
        <v>226</v>
      </c>
      <c r="D1095" s="89" t="s">
        <v>262</v>
      </c>
      <c r="E1095" s="90">
        <f t="shared" si="207"/>
        <v>1610</v>
      </c>
      <c r="F1095" s="90">
        <f t="shared" si="208"/>
        <v>1352.7657234449409</v>
      </c>
      <c r="G1095" s="91">
        <v>0.19</v>
      </c>
      <c r="H1095" s="91" t="s">
        <v>228</v>
      </c>
      <c r="I1095" s="81"/>
      <c r="J1095" s="81"/>
      <c r="K1095" s="91" t="s">
        <v>228</v>
      </c>
      <c r="L1095" s="92" t="s">
        <v>2520</v>
      </c>
      <c r="M1095" s="91" t="str">
        <f t="shared" si="209"/>
        <v>VER ARCHIVO ANEXO</v>
      </c>
      <c r="N1095" s="93">
        <v>41608</v>
      </c>
      <c r="O1095" s="94"/>
      <c r="P1095" s="94"/>
      <c r="Q1095" s="94">
        <v>951</v>
      </c>
      <c r="R1095" s="95">
        <f t="shared" ref="R1095:R1158" si="212">+AA1095</f>
        <v>1352.7657234449409</v>
      </c>
      <c r="S1095" s="94">
        <v>885.25639999999999</v>
      </c>
      <c r="T1095" s="94">
        <f t="shared" si="210"/>
        <v>945.18825828000001</v>
      </c>
      <c r="U1095" s="94">
        <f t="shared" si="205"/>
        <v>999.53658313110009</v>
      </c>
      <c r="V1095" s="94">
        <f t="shared" si="206"/>
        <v>1040.417629381162</v>
      </c>
      <c r="W1095" s="97">
        <f t="shared" si="203"/>
        <v>1073.5029099954829</v>
      </c>
      <c r="X1095" s="97">
        <f t="shared" si="204"/>
        <v>1114.2960205753113</v>
      </c>
      <c r="Y1095" s="97">
        <f t="shared" si="211"/>
        <v>1132.2361865065739</v>
      </c>
      <c r="Z1095" s="97">
        <f t="shared" ref="Z1095:Z1158" si="213">+Y1095*(1+$Z$4)</f>
        <v>1195.8678601882434</v>
      </c>
      <c r="AA1095" s="97">
        <f t="shared" ref="AA1095:AA1158" si="214">+Z1095*(1+$AA$4)</f>
        <v>1352.7657234449409</v>
      </c>
    </row>
    <row r="1096" spans="1:27" x14ac:dyDescent="0.25">
      <c r="A1096" s="102" t="s">
        <v>2521</v>
      </c>
      <c r="B1096" s="110" t="s">
        <v>2522</v>
      </c>
      <c r="C1096" s="88" t="s">
        <v>226</v>
      </c>
      <c r="D1096" s="89" t="s">
        <v>262</v>
      </c>
      <c r="E1096" s="90">
        <f t="shared" si="207"/>
        <v>3016</v>
      </c>
      <c r="F1096" s="90">
        <f t="shared" si="208"/>
        <v>2534.4556879530505</v>
      </c>
      <c r="G1096" s="91">
        <v>0.19</v>
      </c>
      <c r="H1096" s="91" t="s">
        <v>228</v>
      </c>
      <c r="I1096" s="81"/>
      <c r="J1096" s="81"/>
      <c r="K1096" s="91" t="s">
        <v>228</v>
      </c>
      <c r="L1096" s="92" t="s">
        <v>2485</v>
      </c>
      <c r="M1096" s="91" t="str">
        <f t="shared" si="209"/>
        <v>VER ARCHIVO ANEXO</v>
      </c>
      <c r="N1096" s="93">
        <v>41608</v>
      </c>
      <c r="O1096" s="94"/>
      <c r="P1096" s="94"/>
      <c r="Q1096" s="94">
        <v>952</v>
      </c>
      <c r="R1096" s="95">
        <f t="shared" si="212"/>
        <v>2534.4556879530505</v>
      </c>
      <c r="S1096" s="94">
        <v>1658.56</v>
      </c>
      <c r="T1096" s="94">
        <f t="shared" si="210"/>
        <v>1770.8445120000001</v>
      </c>
      <c r="U1096" s="94">
        <f t="shared" si="205"/>
        <v>1872.6680714400004</v>
      </c>
      <c r="V1096" s="94">
        <f t="shared" si="206"/>
        <v>1949.2601955618964</v>
      </c>
      <c r="W1096" s="97">
        <f t="shared" ref="W1096:W1159" si="215">+V1096*(1+$W$4)</f>
        <v>2011.2466697807647</v>
      </c>
      <c r="X1096" s="97">
        <f t="shared" ref="X1096:X1159" si="216">+W1096*(1+$X$4)</f>
        <v>2087.6740432324336</v>
      </c>
      <c r="Y1096" s="97">
        <f t="shared" si="211"/>
        <v>2121.2855953284757</v>
      </c>
      <c r="Z1096" s="97">
        <f t="shared" si="213"/>
        <v>2240.501845785936</v>
      </c>
      <c r="AA1096" s="97">
        <f t="shared" si="214"/>
        <v>2534.4556879530505</v>
      </c>
    </row>
    <row r="1097" spans="1:27" x14ac:dyDescent="0.25">
      <c r="A1097" s="105" t="s">
        <v>2523</v>
      </c>
      <c r="B1097" s="106" t="s">
        <v>2524</v>
      </c>
      <c r="C1097" s="107"/>
      <c r="D1097" s="108"/>
      <c r="E1097" s="90">
        <f t="shared" si="207"/>
        <v>0</v>
      </c>
      <c r="F1097" s="90">
        <f t="shared" si="208"/>
        <v>0</v>
      </c>
      <c r="G1097" s="81"/>
      <c r="H1097" s="81"/>
      <c r="I1097" s="81"/>
      <c r="J1097" s="81"/>
      <c r="K1097" s="81"/>
      <c r="L1097" s="92"/>
      <c r="M1097" s="91"/>
      <c r="N1097" s="93">
        <v>41608</v>
      </c>
      <c r="O1097" s="109"/>
      <c r="P1097" s="109"/>
      <c r="Q1097" s="109">
        <v>0</v>
      </c>
      <c r="R1097" s="95">
        <f t="shared" si="212"/>
        <v>0</v>
      </c>
      <c r="S1097" s="109">
        <v>0</v>
      </c>
      <c r="T1097" s="94">
        <f t="shared" si="210"/>
        <v>0</v>
      </c>
      <c r="U1097" s="94">
        <f t="shared" si="205"/>
        <v>0</v>
      </c>
      <c r="V1097" s="94">
        <f t="shared" si="206"/>
        <v>0</v>
      </c>
      <c r="W1097" s="97">
        <f t="shared" si="215"/>
        <v>0</v>
      </c>
      <c r="X1097" s="97">
        <f t="shared" si="216"/>
        <v>0</v>
      </c>
      <c r="Y1097" s="97">
        <f t="shared" si="211"/>
        <v>0</v>
      </c>
      <c r="Z1097" s="97">
        <f t="shared" si="213"/>
        <v>0</v>
      </c>
      <c r="AA1097" s="97">
        <f t="shared" si="214"/>
        <v>0</v>
      </c>
    </row>
    <row r="1098" spans="1:27" x14ac:dyDescent="0.25">
      <c r="A1098" s="102" t="s">
        <v>2525</v>
      </c>
      <c r="B1098" s="87" t="s">
        <v>2526</v>
      </c>
      <c r="C1098" s="88" t="s">
        <v>226</v>
      </c>
      <c r="D1098" s="89" t="s">
        <v>255</v>
      </c>
      <c r="E1098" s="90">
        <f t="shared" si="207"/>
        <v>40502</v>
      </c>
      <c r="F1098" s="90">
        <f t="shared" si="208"/>
        <v>40502.185928294733</v>
      </c>
      <c r="G1098" s="91">
        <v>0</v>
      </c>
      <c r="H1098" s="91" t="s">
        <v>228</v>
      </c>
      <c r="I1098" s="91" t="s">
        <v>228</v>
      </c>
      <c r="J1098" s="91" t="s">
        <v>228</v>
      </c>
      <c r="K1098" s="91" t="s">
        <v>228</v>
      </c>
      <c r="L1098" s="92" t="s">
        <v>302</v>
      </c>
      <c r="M1098" s="91" t="str">
        <f t="shared" si="209"/>
        <v>no aplica</v>
      </c>
      <c r="N1098" s="93">
        <v>41608</v>
      </c>
      <c r="O1098" s="94"/>
      <c r="P1098" s="94"/>
      <c r="Q1098" s="94">
        <v>953</v>
      </c>
      <c r="R1098" s="95">
        <f t="shared" si="212"/>
        <v>40502.185928294733</v>
      </c>
      <c r="S1098" s="94">
        <v>26504.825399999998</v>
      </c>
      <c r="T1098" s="94">
        <f t="shared" si="210"/>
        <v>28299.202079580002</v>
      </c>
      <c r="U1098" s="94">
        <f t="shared" si="205"/>
        <v>29926.406199155856</v>
      </c>
      <c r="V1098" s="94">
        <f t="shared" si="206"/>
        <v>31150.396212701329</v>
      </c>
      <c r="W1098" s="97">
        <f t="shared" si="215"/>
        <v>32140.978812265232</v>
      </c>
      <c r="X1098" s="97">
        <f t="shared" si="216"/>
        <v>33362.336007131315</v>
      </c>
      <c r="Y1098" s="97">
        <f t="shared" si="211"/>
        <v>33899.469616846131</v>
      </c>
      <c r="Z1098" s="97">
        <f t="shared" si="213"/>
        <v>35804.619809312884</v>
      </c>
      <c r="AA1098" s="97">
        <f t="shared" si="214"/>
        <v>40502.185928294733</v>
      </c>
    </row>
    <row r="1099" spans="1:27" x14ac:dyDescent="0.25">
      <c r="A1099" s="102" t="s">
        <v>2527</v>
      </c>
      <c r="B1099" s="87" t="s">
        <v>2528</v>
      </c>
      <c r="C1099" s="88" t="s">
        <v>226</v>
      </c>
      <c r="D1099" s="89" t="s">
        <v>4</v>
      </c>
      <c r="E1099" s="90">
        <f t="shared" si="207"/>
        <v>1114042</v>
      </c>
      <c r="F1099" s="90">
        <f t="shared" si="208"/>
        <v>1114042.1741270332</v>
      </c>
      <c r="G1099" s="91">
        <v>0</v>
      </c>
      <c r="H1099" s="91" t="s">
        <v>228</v>
      </c>
      <c r="I1099" s="91" t="s">
        <v>228</v>
      </c>
      <c r="J1099" s="91" t="s">
        <v>228</v>
      </c>
      <c r="K1099" s="91" t="s">
        <v>228</v>
      </c>
      <c r="L1099" s="92" t="s">
        <v>302</v>
      </c>
      <c r="M1099" s="91" t="str">
        <f t="shared" si="209"/>
        <v>no aplica</v>
      </c>
      <c r="N1099" s="93">
        <v>41608</v>
      </c>
      <c r="O1099" s="94"/>
      <c r="P1099" s="94"/>
      <c r="Q1099" s="94">
        <v>954</v>
      </c>
      <c r="R1099" s="95">
        <f t="shared" si="212"/>
        <v>1114042.1741270332</v>
      </c>
      <c r="S1099" s="94">
        <v>729034.56039999996</v>
      </c>
      <c r="T1099" s="94">
        <f t="shared" si="210"/>
        <v>778390.20013908006</v>
      </c>
      <c r="U1099" s="94">
        <f t="shared" ref="U1099:U1162" si="217">+T1099*(1+$U$4)</f>
        <v>823147.63664707728</v>
      </c>
      <c r="V1099" s="94">
        <f t="shared" ref="V1099:V1162" si="218">+U1099*(1+$V$4)</f>
        <v>856814.37498594273</v>
      </c>
      <c r="W1099" s="97">
        <f t="shared" si="215"/>
        <v>884061.07211049576</v>
      </c>
      <c r="X1099" s="97">
        <f t="shared" si="216"/>
        <v>917655.3928506946</v>
      </c>
      <c r="Y1099" s="97">
        <f t="shared" si="211"/>
        <v>932429.6446755908</v>
      </c>
      <c r="Z1099" s="97">
        <f t="shared" si="213"/>
        <v>984832.19070635899</v>
      </c>
      <c r="AA1099" s="97">
        <f t="shared" si="214"/>
        <v>1114042.1741270332</v>
      </c>
    </row>
    <row r="1100" spans="1:27" x14ac:dyDescent="0.25">
      <c r="A1100" s="102" t="s">
        <v>2529</v>
      </c>
      <c r="B1100" s="87" t="s">
        <v>2530</v>
      </c>
      <c r="C1100" s="88" t="s">
        <v>226</v>
      </c>
      <c r="D1100" s="89" t="s">
        <v>4</v>
      </c>
      <c r="E1100" s="90">
        <f t="shared" si="207"/>
        <v>1482722</v>
      </c>
      <c r="F1100" s="90">
        <f t="shared" si="208"/>
        <v>1482721.5228795391</v>
      </c>
      <c r="G1100" s="91">
        <v>0</v>
      </c>
      <c r="H1100" s="91" t="s">
        <v>228</v>
      </c>
      <c r="I1100" s="91" t="s">
        <v>228</v>
      </c>
      <c r="J1100" s="91" t="s">
        <v>228</v>
      </c>
      <c r="K1100" s="91" t="s">
        <v>228</v>
      </c>
      <c r="L1100" s="92" t="s">
        <v>302</v>
      </c>
      <c r="M1100" s="91" t="str">
        <f t="shared" si="209"/>
        <v>no aplica</v>
      </c>
      <c r="N1100" s="93">
        <v>41608</v>
      </c>
      <c r="O1100" s="94"/>
      <c r="P1100" s="94"/>
      <c r="Q1100" s="94">
        <v>955</v>
      </c>
      <c r="R1100" s="95">
        <f t="shared" si="212"/>
        <v>1482721.5228795391</v>
      </c>
      <c r="S1100" s="94">
        <v>970300.10060000001</v>
      </c>
      <c r="T1100" s="94">
        <f t="shared" si="210"/>
        <v>1035989.4174106201</v>
      </c>
      <c r="U1100" s="94">
        <f t="shared" si="217"/>
        <v>1095558.808911731</v>
      </c>
      <c r="V1100" s="94">
        <f t="shared" si="218"/>
        <v>1140367.1641962207</v>
      </c>
      <c r="W1100" s="97">
        <f t="shared" si="215"/>
        <v>1176630.8400176605</v>
      </c>
      <c r="X1100" s="97">
        <f t="shared" si="216"/>
        <v>1221342.8119383317</v>
      </c>
      <c r="Y1100" s="97">
        <f t="shared" si="211"/>
        <v>1241006.4312105388</v>
      </c>
      <c r="Z1100" s="97">
        <f t="shared" si="213"/>
        <v>1310750.9926445712</v>
      </c>
      <c r="AA1100" s="97">
        <f t="shared" si="214"/>
        <v>1482721.5228795391</v>
      </c>
    </row>
    <row r="1101" spans="1:27" x14ac:dyDescent="0.25">
      <c r="A1101" s="102" t="s">
        <v>2531</v>
      </c>
      <c r="B1101" s="87" t="s">
        <v>2532</v>
      </c>
      <c r="C1101" s="88" t="s">
        <v>226</v>
      </c>
      <c r="D1101" s="89" t="s">
        <v>255</v>
      </c>
      <c r="E1101" s="90">
        <f t="shared" ref="E1101:E1164" si="219">+ROUND(F1101*(1+G1101),0)</f>
        <v>4554</v>
      </c>
      <c r="F1101" s="90">
        <f t="shared" si="208"/>
        <v>4554.1000642906383</v>
      </c>
      <c r="G1101" s="91">
        <v>0</v>
      </c>
      <c r="H1101" s="91" t="s">
        <v>228</v>
      </c>
      <c r="I1101" s="91" t="s">
        <v>228</v>
      </c>
      <c r="J1101" s="91" t="s">
        <v>228</v>
      </c>
      <c r="K1101" s="91" t="s">
        <v>228</v>
      </c>
      <c r="L1101" s="92" t="s">
        <v>302</v>
      </c>
      <c r="M1101" s="91" t="str">
        <f t="shared" si="209"/>
        <v>no aplica</v>
      </c>
      <c r="N1101" s="93">
        <v>41608</v>
      </c>
      <c r="O1101" s="94"/>
      <c r="P1101" s="94"/>
      <c r="Q1101" s="94">
        <v>956</v>
      </c>
      <c r="R1101" s="95">
        <f t="shared" si="212"/>
        <v>4554.1000642906383</v>
      </c>
      <c r="S1101" s="94">
        <v>2980.2249999999999</v>
      </c>
      <c r="T1101" s="94">
        <f t="shared" si="210"/>
        <v>3181.9862325000004</v>
      </c>
      <c r="U1101" s="94">
        <f t="shared" si="217"/>
        <v>3364.9504408687508</v>
      </c>
      <c r="V1101" s="94">
        <f t="shared" si="218"/>
        <v>3502.5769139002823</v>
      </c>
      <c r="W1101" s="97">
        <f t="shared" si="215"/>
        <v>3613.9588597623115</v>
      </c>
      <c r="X1101" s="97">
        <f t="shared" si="216"/>
        <v>3751.2892964332796</v>
      </c>
      <c r="Y1101" s="97">
        <f t="shared" si="211"/>
        <v>3811.6850541058552</v>
      </c>
      <c r="Z1101" s="97">
        <f t="shared" si="213"/>
        <v>4025.9017541466042</v>
      </c>
      <c r="AA1101" s="97">
        <f t="shared" si="214"/>
        <v>4554.1000642906383</v>
      </c>
    </row>
    <row r="1102" spans="1:27" x14ac:dyDescent="0.25">
      <c r="A1102" s="102" t="s">
        <v>2533</v>
      </c>
      <c r="B1102" s="98" t="s">
        <v>2534</v>
      </c>
      <c r="C1102" s="99" t="s">
        <v>226</v>
      </c>
      <c r="D1102" s="100" t="s">
        <v>255</v>
      </c>
      <c r="E1102" s="101">
        <f t="shared" si="219"/>
        <v>3875</v>
      </c>
      <c r="F1102" s="90">
        <f t="shared" si="208"/>
        <v>3874.5491329582264</v>
      </c>
      <c r="G1102" s="91">
        <v>0</v>
      </c>
      <c r="H1102" s="91" t="s">
        <v>228</v>
      </c>
      <c r="I1102" s="91" t="s">
        <v>228</v>
      </c>
      <c r="J1102" s="91" t="s">
        <v>228</v>
      </c>
      <c r="K1102" s="91" t="s">
        <v>228</v>
      </c>
      <c r="L1102" s="92" t="s">
        <v>302</v>
      </c>
      <c r="M1102" s="91" t="str">
        <f t="shared" si="209"/>
        <v>no aplica</v>
      </c>
      <c r="N1102" s="93">
        <v>41608</v>
      </c>
      <c r="O1102" s="94"/>
      <c r="P1102" s="94"/>
      <c r="Q1102" s="94">
        <v>957</v>
      </c>
      <c r="R1102" s="95">
        <f t="shared" si="212"/>
        <v>3874.5491329582264</v>
      </c>
      <c r="S1102" s="94">
        <v>2535.5236</v>
      </c>
      <c r="T1102" s="94">
        <f t="shared" si="210"/>
        <v>2707.1785477200001</v>
      </c>
      <c r="U1102" s="94">
        <f t="shared" si="217"/>
        <v>2862.8413142139002</v>
      </c>
      <c r="V1102" s="94">
        <f t="shared" si="218"/>
        <v>2979.9315239652487</v>
      </c>
      <c r="W1102" s="97">
        <f t="shared" si="215"/>
        <v>3074.6933464273438</v>
      </c>
      <c r="X1102" s="97">
        <f t="shared" si="216"/>
        <v>3191.531693591583</v>
      </c>
      <c r="Y1102" s="97">
        <f t="shared" si="211"/>
        <v>3242.9153538584073</v>
      </c>
      <c r="Z1102" s="97">
        <f t="shared" si="213"/>
        <v>3425.1671967452498</v>
      </c>
      <c r="AA1102" s="97">
        <f t="shared" si="214"/>
        <v>3874.5491329582264</v>
      </c>
    </row>
    <row r="1103" spans="1:27" x14ac:dyDescent="0.25">
      <c r="A1103" s="102" t="s">
        <v>2535</v>
      </c>
      <c r="B1103" s="87" t="s">
        <v>2536</v>
      </c>
      <c r="C1103" s="88" t="s">
        <v>226</v>
      </c>
      <c r="D1103" s="89" t="s">
        <v>255</v>
      </c>
      <c r="E1103" s="90">
        <f t="shared" si="219"/>
        <v>4069</v>
      </c>
      <c r="F1103" s="90">
        <f t="shared" si="208"/>
        <v>4069.3854139696173</v>
      </c>
      <c r="G1103" s="91">
        <v>0</v>
      </c>
      <c r="H1103" s="91" t="s">
        <v>228</v>
      </c>
      <c r="I1103" s="91" t="s">
        <v>228</v>
      </c>
      <c r="J1103" s="91" t="s">
        <v>228</v>
      </c>
      <c r="K1103" s="91" t="s">
        <v>228</v>
      </c>
      <c r="L1103" s="92" t="s">
        <v>302</v>
      </c>
      <c r="M1103" s="91" t="str">
        <f t="shared" si="209"/>
        <v>no aplica</v>
      </c>
      <c r="N1103" s="93">
        <v>41608</v>
      </c>
      <c r="O1103" s="94"/>
      <c r="P1103" s="94"/>
      <c r="Q1103" s="94">
        <v>958</v>
      </c>
      <c r="R1103" s="95">
        <f t="shared" si="212"/>
        <v>4069.3854139696173</v>
      </c>
      <c r="S1103" s="94">
        <v>2663.0254</v>
      </c>
      <c r="T1103" s="94">
        <f t="shared" si="210"/>
        <v>2843.3122195800001</v>
      </c>
      <c r="U1103" s="94">
        <f t="shared" si="217"/>
        <v>3006.8026722058503</v>
      </c>
      <c r="V1103" s="94">
        <f t="shared" si="218"/>
        <v>3129.7809014990694</v>
      </c>
      <c r="W1103" s="97">
        <f t="shared" si="215"/>
        <v>3229.3079341667399</v>
      </c>
      <c r="X1103" s="97">
        <f t="shared" si="216"/>
        <v>3352.0216356650762</v>
      </c>
      <c r="Y1103" s="97">
        <f t="shared" si="211"/>
        <v>3405.9891839992838</v>
      </c>
      <c r="Z1103" s="97">
        <f t="shared" si="213"/>
        <v>3597.4057761400436</v>
      </c>
      <c r="AA1103" s="97">
        <f t="shared" si="214"/>
        <v>4069.3854139696173</v>
      </c>
    </row>
    <row r="1104" spans="1:27" x14ac:dyDescent="0.25">
      <c r="A1104" s="102" t="s">
        <v>2537</v>
      </c>
      <c r="B1104" s="87" t="s">
        <v>2538</v>
      </c>
      <c r="C1104" s="88" t="s">
        <v>226</v>
      </c>
      <c r="D1104" s="89" t="s">
        <v>262</v>
      </c>
      <c r="E1104" s="90">
        <f t="shared" si="219"/>
        <v>175706</v>
      </c>
      <c r="F1104" s="90">
        <f t="shared" si="208"/>
        <v>175705.89267176017</v>
      </c>
      <c r="G1104" s="91">
        <v>0</v>
      </c>
      <c r="H1104" s="91" t="s">
        <v>228</v>
      </c>
      <c r="I1104" s="91" t="s">
        <v>228</v>
      </c>
      <c r="J1104" s="91" t="s">
        <v>228</v>
      </c>
      <c r="K1104" s="91" t="s">
        <v>228</v>
      </c>
      <c r="L1104" s="92" t="s">
        <v>302</v>
      </c>
      <c r="M1104" s="91" t="str">
        <f t="shared" si="209"/>
        <v>no aplica</v>
      </c>
      <c r="N1104" s="93">
        <v>41608</v>
      </c>
      <c r="O1104" s="94"/>
      <c r="P1104" s="94"/>
      <c r="Q1104" s="94">
        <v>959</v>
      </c>
      <c r="R1104" s="95">
        <f t="shared" si="212"/>
        <v>175705.89267176017</v>
      </c>
      <c r="S1104" s="94">
        <v>114982.7818</v>
      </c>
      <c r="T1104" s="94">
        <f t="shared" si="210"/>
        <v>122767.11612786</v>
      </c>
      <c r="U1104" s="94">
        <f t="shared" si="217"/>
        <v>129826.22530521196</v>
      </c>
      <c r="V1104" s="94">
        <f t="shared" si="218"/>
        <v>135136.11792019513</v>
      </c>
      <c r="W1104" s="97">
        <f t="shared" si="215"/>
        <v>139433.44647005733</v>
      </c>
      <c r="X1104" s="97">
        <f t="shared" si="216"/>
        <v>144731.91743591952</v>
      </c>
      <c r="Y1104" s="97">
        <f t="shared" si="211"/>
        <v>147062.10130663781</v>
      </c>
      <c r="Z1104" s="97">
        <f t="shared" si="213"/>
        <v>155326.99140007087</v>
      </c>
      <c r="AA1104" s="97">
        <f t="shared" si="214"/>
        <v>175705.89267176017</v>
      </c>
    </row>
    <row r="1105" spans="1:27" x14ac:dyDescent="0.25">
      <c r="A1105" s="102" t="s">
        <v>2539</v>
      </c>
      <c r="B1105" s="87" t="s">
        <v>2540</v>
      </c>
      <c r="C1105" s="88" t="s">
        <v>226</v>
      </c>
      <c r="D1105" s="89" t="s">
        <v>262</v>
      </c>
      <c r="E1105" s="90">
        <f t="shared" si="219"/>
        <v>142346</v>
      </c>
      <c r="F1105" s="90">
        <f t="shared" si="208"/>
        <v>142346.11967907814</v>
      </c>
      <c r="G1105" s="91">
        <v>0</v>
      </c>
      <c r="H1105" s="91" t="s">
        <v>228</v>
      </c>
      <c r="I1105" s="91" t="s">
        <v>228</v>
      </c>
      <c r="J1105" s="91" t="s">
        <v>228</v>
      </c>
      <c r="K1105" s="91" t="s">
        <v>228</v>
      </c>
      <c r="L1105" s="92" t="s">
        <v>302</v>
      </c>
      <c r="M1105" s="91" t="str">
        <f t="shared" si="209"/>
        <v>no aplica</v>
      </c>
      <c r="N1105" s="93">
        <v>41608</v>
      </c>
      <c r="O1105" s="94"/>
      <c r="P1105" s="94"/>
      <c r="Q1105" s="94">
        <v>960</v>
      </c>
      <c r="R1105" s="95">
        <f t="shared" si="212"/>
        <v>142346.11967907814</v>
      </c>
      <c r="S1105" s="94">
        <v>93151.985799999995</v>
      </c>
      <c r="T1105" s="94">
        <f t="shared" si="210"/>
        <v>99458.37523866001</v>
      </c>
      <c r="U1105" s="94">
        <f t="shared" si="217"/>
        <v>105177.23181488297</v>
      </c>
      <c r="V1105" s="94">
        <f t="shared" si="218"/>
        <v>109478.98059611167</v>
      </c>
      <c r="W1105" s="97">
        <f t="shared" si="215"/>
        <v>112960.41217906802</v>
      </c>
      <c r="X1105" s="97">
        <f t="shared" si="216"/>
        <v>117252.90784187261</v>
      </c>
      <c r="Y1105" s="97">
        <f t="shared" si="211"/>
        <v>119140.67965812676</v>
      </c>
      <c r="Z1105" s="97">
        <f t="shared" si="213"/>
        <v>125836.38585491349</v>
      </c>
      <c r="AA1105" s="97">
        <f t="shared" si="214"/>
        <v>142346.11967907814</v>
      </c>
    </row>
    <row r="1106" spans="1:27" x14ac:dyDescent="0.25">
      <c r="A1106" s="102" t="s">
        <v>2541</v>
      </c>
      <c r="B1106" s="87" t="s">
        <v>2542</v>
      </c>
      <c r="C1106" s="88" t="s">
        <v>226</v>
      </c>
      <c r="D1106" s="89" t="s">
        <v>262</v>
      </c>
      <c r="E1106" s="90">
        <f t="shared" si="219"/>
        <v>85535</v>
      </c>
      <c r="F1106" s="90">
        <f t="shared" si="208"/>
        <v>85534.711398805535</v>
      </c>
      <c r="G1106" s="91">
        <v>0</v>
      </c>
      <c r="H1106" s="91" t="s">
        <v>228</v>
      </c>
      <c r="I1106" s="91" t="s">
        <v>228</v>
      </c>
      <c r="J1106" s="91" t="s">
        <v>228</v>
      </c>
      <c r="K1106" s="91" t="s">
        <v>228</v>
      </c>
      <c r="L1106" s="92" t="s">
        <v>302</v>
      </c>
      <c r="M1106" s="91" t="str">
        <f t="shared" si="209"/>
        <v>no aplica</v>
      </c>
      <c r="N1106" s="93">
        <v>41608</v>
      </c>
      <c r="O1106" s="94"/>
      <c r="P1106" s="94"/>
      <c r="Q1106" s="94">
        <v>961</v>
      </c>
      <c r="R1106" s="95">
        <f t="shared" si="212"/>
        <v>85534.711398805535</v>
      </c>
      <c r="S1106" s="94">
        <v>55974.326799999995</v>
      </c>
      <c r="T1106" s="94">
        <f t="shared" si="210"/>
        <v>59763.788724359998</v>
      </c>
      <c r="U1106" s="94">
        <f t="shared" si="217"/>
        <v>63200.206576010707</v>
      </c>
      <c r="V1106" s="94">
        <f t="shared" si="218"/>
        <v>65785.095024969545</v>
      </c>
      <c r="W1106" s="97">
        <f t="shared" si="215"/>
        <v>67877.061046763585</v>
      </c>
      <c r="X1106" s="97">
        <f t="shared" si="216"/>
        <v>70456.389366540607</v>
      </c>
      <c r="Y1106" s="97">
        <f t="shared" si="211"/>
        <v>71590.737235341905</v>
      </c>
      <c r="Z1106" s="97">
        <f t="shared" si="213"/>
        <v>75614.136667968123</v>
      </c>
      <c r="AA1106" s="97">
        <f t="shared" si="214"/>
        <v>85534.711398805535</v>
      </c>
    </row>
    <row r="1107" spans="1:27" x14ac:dyDescent="0.25">
      <c r="A1107" s="102" t="s">
        <v>2543</v>
      </c>
      <c r="B1107" s="87" t="s">
        <v>2544</v>
      </c>
      <c r="C1107" s="88" t="s">
        <v>226</v>
      </c>
      <c r="D1107" s="89" t="s">
        <v>262</v>
      </c>
      <c r="E1107" s="90">
        <f t="shared" si="219"/>
        <v>224699</v>
      </c>
      <c r="F1107" s="90">
        <f t="shared" si="208"/>
        <v>224698.50515469763</v>
      </c>
      <c r="G1107" s="91">
        <v>0</v>
      </c>
      <c r="H1107" s="91" t="s">
        <v>228</v>
      </c>
      <c r="I1107" s="91" t="s">
        <v>228</v>
      </c>
      <c r="J1107" s="91" t="s">
        <v>228</v>
      </c>
      <c r="K1107" s="91" t="s">
        <v>228</v>
      </c>
      <c r="L1107" s="92" t="s">
        <v>302</v>
      </c>
      <c r="M1107" s="91" t="str">
        <f t="shared" si="209"/>
        <v>no aplica</v>
      </c>
      <c r="N1107" s="93">
        <v>41608</v>
      </c>
      <c r="O1107" s="94"/>
      <c r="P1107" s="94"/>
      <c r="Q1107" s="94">
        <v>962</v>
      </c>
      <c r="R1107" s="95">
        <f t="shared" si="212"/>
        <v>224698.50515469763</v>
      </c>
      <c r="S1107" s="94">
        <v>147043.78320000001</v>
      </c>
      <c r="T1107" s="94">
        <f t="shared" si="210"/>
        <v>156998.64732264003</v>
      </c>
      <c r="U1107" s="94">
        <f t="shared" si="217"/>
        <v>166026.06954369185</v>
      </c>
      <c r="V1107" s="94">
        <f t="shared" si="218"/>
        <v>172816.53578802882</v>
      </c>
      <c r="W1107" s="97">
        <f t="shared" si="215"/>
        <v>178312.10162608814</v>
      </c>
      <c r="X1107" s="97">
        <f t="shared" si="216"/>
        <v>185087.96148787951</v>
      </c>
      <c r="Y1107" s="97">
        <f t="shared" si="211"/>
        <v>188067.87766783437</v>
      </c>
      <c r="Z1107" s="97">
        <f t="shared" si="213"/>
        <v>198637.29239276666</v>
      </c>
      <c r="AA1107" s="97">
        <f t="shared" si="214"/>
        <v>224698.50515469763</v>
      </c>
    </row>
    <row r="1108" spans="1:27" x14ac:dyDescent="0.25">
      <c r="A1108" s="102" t="s">
        <v>2545</v>
      </c>
      <c r="B1108" s="87" t="s">
        <v>2546</v>
      </c>
      <c r="C1108" s="114" t="s">
        <v>226</v>
      </c>
      <c r="D1108" s="115" t="s">
        <v>4</v>
      </c>
      <c r="E1108" s="90">
        <f t="shared" si="219"/>
        <v>486571</v>
      </c>
      <c r="F1108" s="90">
        <f t="shared" si="208"/>
        <v>486571.13911244669</v>
      </c>
      <c r="G1108" s="91">
        <v>0</v>
      </c>
      <c r="H1108" s="91" t="s">
        <v>228</v>
      </c>
      <c r="I1108" s="91" t="s">
        <v>228</v>
      </c>
      <c r="J1108" s="91" t="s">
        <v>228</v>
      </c>
      <c r="K1108" s="91" t="s">
        <v>228</v>
      </c>
      <c r="L1108" s="92" t="s">
        <v>302</v>
      </c>
      <c r="M1108" s="91" t="str">
        <f t="shared" si="209"/>
        <v>no aplica</v>
      </c>
      <c r="N1108" s="93">
        <v>41608</v>
      </c>
      <c r="O1108" s="94"/>
      <c r="P1108" s="94"/>
      <c r="Q1108" s="94">
        <v>963</v>
      </c>
      <c r="R1108" s="95">
        <f t="shared" si="212"/>
        <v>486571.13911244669</v>
      </c>
      <c r="S1108" s="94">
        <v>318414.4952</v>
      </c>
      <c r="T1108" s="94">
        <f t="shared" si="210"/>
        <v>339971.15652504005</v>
      </c>
      <c r="U1108" s="94">
        <f t="shared" si="217"/>
        <v>359519.4980252299</v>
      </c>
      <c r="V1108" s="94">
        <f t="shared" si="218"/>
        <v>374223.84549446177</v>
      </c>
      <c r="W1108" s="97">
        <f t="shared" si="215"/>
        <v>386124.16378118569</v>
      </c>
      <c r="X1108" s="97">
        <f t="shared" si="216"/>
        <v>400796.88200487074</v>
      </c>
      <c r="Y1108" s="97">
        <f t="shared" si="211"/>
        <v>407249.71180514916</v>
      </c>
      <c r="Z1108" s="97">
        <f t="shared" si="213"/>
        <v>430137.14560859854</v>
      </c>
      <c r="AA1108" s="97">
        <f t="shared" si="214"/>
        <v>486571.13911244669</v>
      </c>
    </row>
    <row r="1109" spans="1:27" x14ac:dyDescent="0.25">
      <c r="A1109" s="102" t="s">
        <v>2547</v>
      </c>
      <c r="B1109" s="87" t="s">
        <v>2548</v>
      </c>
      <c r="C1109" s="114" t="s">
        <v>226</v>
      </c>
      <c r="D1109" s="115" t="s">
        <v>4</v>
      </c>
      <c r="E1109" s="90">
        <f t="shared" si="219"/>
        <v>379855</v>
      </c>
      <c r="F1109" s="90">
        <f t="shared" si="208"/>
        <v>379854.71430157352</v>
      </c>
      <c r="G1109" s="91">
        <v>0</v>
      </c>
      <c r="H1109" s="91" t="s">
        <v>228</v>
      </c>
      <c r="I1109" s="91" t="s">
        <v>228</v>
      </c>
      <c r="J1109" s="91" t="s">
        <v>228</v>
      </c>
      <c r="K1109" s="91" t="s">
        <v>228</v>
      </c>
      <c r="L1109" s="92" t="s">
        <v>302</v>
      </c>
      <c r="M1109" s="91" t="str">
        <f t="shared" si="209"/>
        <v>no aplica</v>
      </c>
      <c r="N1109" s="93">
        <v>41608</v>
      </c>
      <c r="O1109" s="94"/>
      <c r="P1109" s="94"/>
      <c r="Q1109" s="94">
        <v>964</v>
      </c>
      <c r="R1109" s="95">
        <f t="shared" si="212"/>
        <v>379854.71430157352</v>
      </c>
      <c r="S1109" s="94">
        <v>248578.75319999998</v>
      </c>
      <c r="T1109" s="94">
        <f t="shared" si="210"/>
        <v>265407.53479164001</v>
      </c>
      <c r="U1109" s="94">
        <f t="shared" si="217"/>
        <v>280668.46804215934</v>
      </c>
      <c r="V1109" s="94">
        <f t="shared" si="218"/>
        <v>292147.80838508363</v>
      </c>
      <c r="W1109" s="97">
        <f t="shared" si="215"/>
        <v>301438.10869172931</v>
      </c>
      <c r="X1109" s="97">
        <f t="shared" si="216"/>
        <v>312892.75682201504</v>
      </c>
      <c r="Y1109" s="97">
        <f t="shared" si="211"/>
        <v>317930.3302068495</v>
      </c>
      <c r="Z1109" s="97">
        <f t="shared" si="213"/>
        <v>335798.01476447447</v>
      </c>
      <c r="AA1109" s="97">
        <f t="shared" si="214"/>
        <v>379854.71430157352</v>
      </c>
    </row>
    <row r="1110" spans="1:27" x14ac:dyDescent="0.25">
      <c r="A1110" s="102" t="s">
        <v>2549</v>
      </c>
      <c r="B1110" s="87" t="s">
        <v>2550</v>
      </c>
      <c r="C1110" s="88" t="s">
        <v>226</v>
      </c>
      <c r="D1110" s="89" t="s">
        <v>4</v>
      </c>
      <c r="E1110" s="90">
        <f t="shared" si="219"/>
        <v>192958</v>
      </c>
      <c r="F1110" s="90">
        <f t="shared" si="208"/>
        <v>192957.61573269562</v>
      </c>
      <c r="G1110" s="91">
        <v>0</v>
      </c>
      <c r="H1110" s="91" t="s">
        <v>228</v>
      </c>
      <c r="I1110" s="91" t="s">
        <v>228</v>
      </c>
      <c r="J1110" s="91" t="s">
        <v>228</v>
      </c>
      <c r="K1110" s="91" t="s">
        <v>228</v>
      </c>
      <c r="L1110" s="92" t="s">
        <v>302</v>
      </c>
      <c r="M1110" s="91" t="str">
        <f t="shared" si="209"/>
        <v>no aplica</v>
      </c>
      <c r="N1110" s="93">
        <v>41608</v>
      </c>
      <c r="O1110" s="94"/>
      <c r="P1110" s="94"/>
      <c r="Q1110" s="94">
        <v>965</v>
      </c>
      <c r="R1110" s="95">
        <f t="shared" si="212"/>
        <v>192957.61573269562</v>
      </c>
      <c r="S1110" s="94">
        <v>126272.3924</v>
      </c>
      <c r="T1110" s="94">
        <f t="shared" si="210"/>
        <v>134821.03336548002</v>
      </c>
      <c r="U1110" s="94">
        <f t="shared" si="217"/>
        <v>142573.24278399514</v>
      </c>
      <c r="V1110" s="94">
        <f t="shared" si="218"/>
        <v>148404.48841386053</v>
      </c>
      <c r="W1110" s="97">
        <f t="shared" si="215"/>
        <v>153123.75114542129</v>
      </c>
      <c r="X1110" s="97">
        <f t="shared" si="216"/>
        <v>158942.45368894731</v>
      </c>
      <c r="Y1110" s="97">
        <f t="shared" si="211"/>
        <v>161501.42719333936</v>
      </c>
      <c r="Z1110" s="97">
        <f t="shared" si="213"/>
        <v>170577.80740160504</v>
      </c>
      <c r="AA1110" s="97">
        <f t="shared" si="214"/>
        <v>192957.61573269562</v>
      </c>
    </row>
    <row r="1111" spans="1:27" x14ac:dyDescent="0.25">
      <c r="A1111" s="102" t="s">
        <v>2551</v>
      </c>
      <c r="B1111" s="87" t="s">
        <v>2552</v>
      </c>
      <c r="C1111" s="88" t="s">
        <v>226</v>
      </c>
      <c r="D1111" s="89" t="s">
        <v>1027</v>
      </c>
      <c r="E1111" s="90">
        <f t="shared" si="219"/>
        <v>10344</v>
      </c>
      <c r="F1111" s="90">
        <f t="shared" si="208"/>
        <v>10343.747276458389</v>
      </c>
      <c r="G1111" s="91">
        <v>0</v>
      </c>
      <c r="H1111" s="91" t="s">
        <v>228</v>
      </c>
      <c r="I1111" s="91" t="s">
        <v>228</v>
      </c>
      <c r="J1111" s="91" t="s">
        <v>228</v>
      </c>
      <c r="K1111" s="91" t="s">
        <v>228</v>
      </c>
      <c r="L1111" s="92" t="s">
        <v>302</v>
      </c>
      <c r="M1111" s="91" t="str">
        <f t="shared" si="209"/>
        <v>no aplica</v>
      </c>
      <c r="N1111" s="93">
        <v>41608</v>
      </c>
      <c r="O1111" s="94"/>
      <c r="P1111" s="94"/>
      <c r="Q1111" s="94">
        <v>966</v>
      </c>
      <c r="R1111" s="95">
        <f t="shared" si="212"/>
        <v>10343.747276458389</v>
      </c>
      <c r="S1111" s="94">
        <v>6768.9979999999996</v>
      </c>
      <c r="T1111" s="94">
        <f t="shared" si="210"/>
        <v>7227.2591646000001</v>
      </c>
      <c r="U1111" s="94">
        <f t="shared" si="217"/>
        <v>7642.8265665645013</v>
      </c>
      <c r="V1111" s="94">
        <f t="shared" si="218"/>
        <v>7955.418173136989</v>
      </c>
      <c r="W1111" s="97">
        <f t="shared" si="215"/>
        <v>8208.4004710427453</v>
      </c>
      <c r="X1111" s="97">
        <f t="shared" si="216"/>
        <v>8520.3196889423707</v>
      </c>
      <c r="Y1111" s="97">
        <f t="shared" si="211"/>
        <v>8657.496835934342</v>
      </c>
      <c r="Z1111" s="97">
        <f t="shared" si="213"/>
        <v>9144.048158113852</v>
      </c>
      <c r="AA1111" s="97">
        <f t="shared" si="214"/>
        <v>10343.747276458389</v>
      </c>
    </row>
    <row r="1112" spans="1:27" x14ac:dyDescent="0.25">
      <c r="A1112" s="102" t="s">
        <v>2553</v>
      </c>
      <c r="B1112" s="87" t="s">
        <v>2554</v>
      </c>
      <c r="C1112" s="88" t="s">
        <v>226</v>
      </c>
      <c r="D1112" s="89" t="s">
        <v>262</v>
      </c>
      <c r="E1112" s="90">
        <f t="shared" si="219"/>
        <v>265438</v>
      </c>
      <c r="F1112" s="90">
        <f t="shared" ref="F1112:F1175" si="220">R1112</f>
        <v>265438.29630373797</v>
      </c>
      <c r="G1112" s="91">
        <v>0</v>
      </c>
      <c r="H1112" s="91" t="s">
        <v>228</v>
      </c>
      <c r="I1112" s="91" t="s">
        <v>228</v>
      </c>
      <c r="J1112" s="91" t="s">
        <v>228</v>
      </c>
      <c r="K1112" s="91" t="s">
        <v>228</v>
      </c>
      <c r="L1112" s="92" t="s">
        <v>302</v>
      </c>
      <c r="M1112" s="91" t="str">
        <f t="shared" ref="M1112:M1175" si="221">+IF(L1112="no aplica","no aplica","VER ARCHIVO ANEXO")</f>
        <v>no aplica</v>
      </c>
      <c r="N1112" s="93">
        <v>41608</v>
      </c>
      <c r="O1112" s="94"/>
      <c r="P1112" s="94"/>
      <c r="Q1112" s="94">
        <v>967</v>
      </c>
      <c r="R1112" s="95">
        <f t="shared" si="212"/>
        <v>265438.29630373797</v>
      </c>
      <c r="S1112" s="94">
        <v>173704.0986</v>
      </c>
      <c r="T1112" s="94">
        <f t="shared" si="210"/>
        <v>185463.86607522002</v>
      </c>
      <c r="U1112" s="94">
        <f t="shared" si="217"/>
        <v>196128.0383745452</v>
      </c>
      <c r="V1112" s="94">
        <f t="shared" si="218"/>
        <v>204149.67514406409</v>
      </c>
      <c r="W1112" s="97">
        <f t="shared" si="215"/>
        <v>210641.63481364533</v>
      </c>
      <c r="X1112" s="97">
        <f t="shared" si="216"/>
        <v>218646.01693656386</v>
      </c>
      <c r="Y1112" s="97">
        <f t="shared" si="211"/>
        <v>222166.21780924255</v>
      </c>
      <c r="Z1112" s="97">
        <f t="shared" si="213"/>
        <v>234651.95925012199</v>
      </c>
      <c r="AA1112" s="97">
        <f t="shared" si="214"/>
        <v>265438.29630373797</v>
      </c>
    </row>
    <row r="1113" spans="1:27" x14ac:dyDescent="0.25">
      <c r="A1113" s="102" t="s">
        <v>2555</v>
      </c>
      <c r="B1113" s="87" t="s">
        <v>2556</v>
      </c>
      <c r="C1113" s="88" t="s">
        <v>226</v>
      </c>
      <c r="D1113" s="89" t="s">
        <v>262</v>
      </c>
      <c r="E1113" s="90">
        <f t="shared" si="219"/>
        <v>243325</v>
      </c>
      <c r="F1113" s="90">
        <f t="shared" si="220"/>
        <v>243325.17042634753</v>
      </c>
      <c r="G1113" s="91">
        <v>0</v>
      </c>
      <c r="H1113" s="91" t="s">
        <v>228</v>
      </c>
      <c r="I1113" s="91" t="s">
        <v>228</v>
      </c>
      <c r="J1113" s="91" t="s">
        <v>228</v>
      </c>
      <c r="K1113" s="91" t="s">
        <v>228</v>
      </c>
      <c r="L1113" s="92" t="s">
        <v>302</v>
      </c>
      <c r="M1113" s="91" t="str">
        <f t="shared" si="221"/>
        <v>no aplica</v>
      </c>
      <c r="N1113" s="93">
        <v>41608</v>
      </c>
      <c r="O1113" s="94"/>
      <c r="P1113" s="94"/>
      <c r="Q1113" s="94">
        <v>968</v>
      </c>
      <c r="R1113" s="95">
        <f t="shared" si="212"/>
        <v>243325.17042634753</v>
      </c>
      <c r="S1113" s="94">
        <v>159233.16259999998</v>
      </c>
      <c r="T1113" s="94">
        <f t="shared" si="210"/>
        <v>170013.24770802</v>
      </c>
      <c r="U1113" s="94">
        <f t="shared" si="217"/>
        <v>179789.00945123116</v>
      </c>
      <c r="V1113" s="94">
        <f t="shared" si="218"/>
        <v>187142.37993778649</v>
      </c>
      <c r="W1113" s="97">
        <f t="shared" si="215"/>
        <v>193093.50761980811</v>
      </c>
      <c r="X1113" s="97">
        <f t="shared" si="216"/>
        <v>200431.06090936082</v>
      </c>
      <c r="Y1113" s="97">
        <f t="shared" si="211"/>
        <v>203658.00099000154</v>
      </c>
      <c r="Z1113" s="97">
        <f t="shared" si="213"/>
        <v>215103.58064563962</v>
      </c>
      <c r="AA1113" s="97">
        <f t="shared" si="214"/>
        <v>243325.17042634753</v>
      </c>
    </row>
    <row r="1114" spans="1:27" x14ac:dyDescent="0.25">
      <c r="A1114" s="102" t="s">
        <v>2557</v>
      </c>
      <c r="B1114" s="87" t="s">
        <v>2558</v>
      </c>
      <c r="C1114" s="88" t="s">
        <v>226</v>
      </c>
      <c r="D1114" s="89" t="s">
        <v>262</v>
      </c>
      <c r="E1114" s="90">
        <f t="shared" si="219"/>
        <v>280249</v>
      </c>
      <c r="F1114" s="90">
        <f t="shared" si="220"/>
        <v>280249.0217302136</v>
      </c>
      <c r="G1114" s="91">
        <v>0</v>
      </c>
      <c r="H1114" s="91" t="s">
        <v>228</v>
      </c>
      <c r="I1114" s="91" t="s">
        <v>228</v>
      </c>
      <c r="J1114" s="91" t="s">
        <v>228</v>
      </c>
      <c r="K1114" s="91" t="s">
        <v>228</v>
      </c>
      <c r="L1114" s="92" t="s">
        <v>302</v>
      </c>
      <c r="M1114" s="91" t="str">
        <f t="shared" si="221"/>
        <v>no aplica</v>
      </c>
      <c r="N1114" s="93">
        <v>41608</v>
      </c>
      <c r="O1114" s="94"/>
      <c r="P1114" s="94"/>
      <c r="Q1114" s="94">
        <v>969</v>
      </c>
      <c r="R1114" s="95">
        <f t="shared" si="212"/>
        <v>280249.0217302136</v>
      </c>
      <c r="S1114" s="94">
        <v>183396.30859999999</v>
      </c>
      <c r="T1114" s="94">
        <f t="shared" si="210"/>
        <v>195812.23869222001</v>
      </c>
      <c r="U1114" s="94">
        <f t="shared" si="217"/>
        <v>207071.44241702268</v>
      </c>
      <c r="V1114" s="94">
        <f t="shared" si="218"/>
        <v>215540.66441187891</v>
      </c>
      <c r="W1114" s="97">
        <f t="shared" si="215"/>
        <v>222394.85754017666</v>
      </c>
      <c r="X1114" s="97">
        <f t="shared" si="216"/>
        <v>230845.86212670337</v>
      </c>
      <c r="Y1114" s="97">
        <f t="shared" si="211"/>
        <v>234562.48050694331</v>
      </c>
      <c r="Z1114" s="97">
        <f t="shared" si="213"/>
        <v>247744.89191143351</v>
      </c>
      <c r="AA1114" s="97">
        <f t="shared" si="214"/>
        <v>280249.0217302136</v>
      </c>
    </row>
    <row r="1115" spans="1:27" x14ac:dyDescent="0.25">
      <c r="A1115" s="102" t="s">
        <v>2559</v>
      </c>
      <c r="B1115" s="87" t="s">
        <v>2560</v>
      </c>
      <c r="C1115" s="88" t="s">
        <v>226</v>
      </c>
      <c r="D1115" s="89" t="s">
        <v>262</v>
      </c>
      <c r="E1115" s="90">
        <f t="shared" si="219"/>
        <v>258134</v>
      </c>
      <c r="F1115" s="90">
        <f t="shared" si="220"/>
        <v>258134.31181801824</v>
      </c>
      <c r="G1115" s="91">
        <v>0</v>
      </c>
      <c r="H1115" s="91" t="s">
        <v>228</v>
      </c>
      <c r="I1115" s="91" t="s">
        <v>228</v>
      </c>
      <c r="J1115" s="91" t="s">
        <v>228</v>
      </c>
      <c r="K1115" s="91" t="s">
        <v>228</v>
      </c>
      <c r="L1115" s="92" t="s">
        <v>302</v>
      </c>
      <c r="M1115" s="91" t="str">
        <f t="shared" si="221"/>
        <v>no aplica</v>
      </c>
      <c r="N1115" s="93">
        <v>41608</v>
      </c>
      <c r="O1115" s="94"/>
      <c r="P1115" s="94"/>
      <c r="Q1115" s="94">
        <v>970</v>
      </c>
      <c r="R1115" s="95">
        <f t="shared" si="212"/>
        <v>258134.31181801824</v>
      </c>
      <c r="S1115" s="94">
        <v>168924.33599999998</v>
      </c>
      <c r="T1115" s="94">
        <f t="shared" si="210"/>
        <v>180360.51354719998</v>
      </c>
      <c r="U1115" s="94">
        <f t="shared" si="217"/>
        <v>190731.24307616401</v>
      </c>
      <c r="V1115" s="94">
        <f t="shared" si="218"/>
        <v>198532.1509179791</v>
      </c>
      <c r="W1115" s="97">
        <f t="shared" si="215"/>
        <v>204845.47331717084</v>
      </c>
      <c r="X1115" s="97">
        <f t="shared" si="216"/>
        <v>212629.60130322335</v>
      </c>
      <c r="Y1115" s="97">
        <f t="shared" si="211"/>
        <v>216052.93788420525</v>
      </c>
      <c r="Z1115" s="97">
        <f t="shared" si="213"/>
        <v>228195.1129932976</v>
      </c>
      <c r="AA1115" s="97">
        <f t="shared" si="214"/>
        <v>258134.31181801824</v>
      </c>
    </row>
    <row r="1116" spans="1:27" x14ac:dyDescent="0.25">
      <c r="A1116" s="102" t="s">
        <v>2561</v>
      </c>
      <c r="B1116" s="87" t="s">
        <v>2562</v>
      </c>
      <c r="C1116" s="88" t="s">
        <v>226</v>
      </c>
      <c r="D1116" s="89" t="s">
        <v>262</v>
      </c>
      <c r="E1116" s="90">
        <f t="shared" si="219"/>
        <v>206351</v>
      </c>
      <c r="F1116" s="90">
        <f t="shared" si="220"/>
        <v>206350.63000872254</v>
      </c>
      <c r="G1116" s="91">
        <v>0</v>
      </c>
      <c r="H1116" s="91" t="s">
        <v>228</v>
      </c>
      <c r="I1116" s="91" t="s">
        <v>228</v>
      </c>
      <c r="J1116" s="91" t="s">
        <v>228</v>
      </c>
      <c r="K1116" s="91" t="s">
        <v>228</v>
      </c>
      <c r="L1116" s="92" t="s">
        <v>302</v>
      </c>
      <c r="M1116" s="91" t="str">
        <f t="shared" si="221"/>
        <v>no aplica</v>
      </c>
      <c r="N1116" s="93">
        <v>41608</v>
      </c>
      <c r="O1116" s="94"/>
      <c r="P1116" s="94"/>
      <c r="Q1116" s="94">
        <v>971</v>
      </c>
      <c r="R1116" s="95">
        <f t="shared" si="212"/>
        <v>206350.63000872254</v>
      </c>
      <c r="S1116" s="94">
        <v>135036.84539999999</v>
      </c>
      <c r="T1116" s="94">
        <f t="shared" si="210"/>
        <v>144178.83983358002</v>
      </c>
      <c r="U1116" s="94">
        <f t="shared" si="217"/>
        <v>152469.12312401089</v>
      </c>
      <c r="V1116" s="94">
        <f t="shared" si="218"/>
        <v>158705.11025978293</v>
      </c>
      <c r="W1116" s="97">
        <f t="shared" si="215"/>
        <v>163751.93276604405</v>
      </c>
      <c r="X1116" s="97">
        <f t="shared" si="216"/>
        <v>169974.50621115373</v>
      </c>
      <c r="Y1116" s="97">
        <f t="shared" si="211"/>
        <v>172711.09576115329</v>
      </c>
      <c r="Z1116" s="97">
        <f t="shared" si="213"/>
        <v>182417.45934293012</v>
      </c>
      <c r="AA1116" s="97">
        <f t="shared" si="214"/>
        <v>206350.63000872254</v>
      </c>
    </row>
    <row r="1117" spans="1:27" x14ac:dyDescent="0.25">
      <c r="A1117" s="102" t="s">
        <v>2563</v>
      </c>
      <c r="B1117" s="87" t="s">
        <v>2564</v>
      </c>
      <c r="C1117" s="88" t="s">
        <v>226</v>
      </c>
      <c r="D1117" s="89" t="s">
        <v>262</v>
      </c>
      <c r="E1117" s="90">
        <f t="shared" si="219"/>
        <v>184236</v>
      </c>
      <c r="F1117" s="90">
        <f t="shared" si="220"/>
        <v>184235.92009652714</v>
      </c>
      <c r="G1117" s="91">
        <v>0</v>
      </c>
      <c r="H1117" s="91" t="s">
        <v>228</v>
      </c>
      <c r="I1117" s="91" t="s">
        <v>228</v>
      </c>
      <c r="J1117" s="91" t="s">
        <v>228</v>
      </c>
      <c r="K1117" s="91" t="s">
        <v>228</v>
      </c>
      <c r="L1117" s="92" t="s">
        <v>302</v>
      </c>
      <c r="M1117" s="91" t="str">
        <f t="shared" si="221"/>
        <v>no aplica</v>
      </c>
      <c r="N1117" s="93">
        <v>41608</v>
      </c>
      <c r="O1117" s="94"/>
      <c r="P1117" s="94"/>
      <c r="Q1117" s="94">
        <v>972</v>
      </c>
      <c r="R1117" s="95">
        <f t="shared" si="212"/>
        <v>184235.92009652714</v>
      </c>
      <c r="S1117" s="94">
        <v>120564.8728</v>
      </c>
      <c r="T1117" s="94">
        <f t="shared" si="210"/>
        <v>128727.11468856</v>
      </c>
      <c r="U1117" s="94">
        <f t="shared" si="217"/>
        <v>136128.92378315222</v>
      </c>
      <c r="V1117" s="94">
        <f t="shared" si="218"/>
        <v>141696.59676588312</v>
      </c>
      <c r="W1117" s="97">
        <f t="shared" si="215"/>
        <v>146202.54854303823</v>
      </c>
      <c r="X1117" s="97">
        <f t="shared" si="216"/>
        <v>151758.24538767367</v>
      </c>
      <c r="Y1117" s="97">
        <f t="shared" si="211"/>
        <v>154201.55313841521</v>
      </c>
      <c r="Z1117" s="97">
        <f t="shared" si="213"/>
        <v>162867.68042479415</v>
      </c>
      <c r="AA1117" s="97">
        <f t="shared" si="214"/>
        <v>184235.92009652714</v>
      </c>
    </row>
    <row r="1118" spans="1:27" x14ac:dyDescent="0.25">
      <c r="A1118" s="102" t="s">
        <v>2565</v>
      </c>
      <c r="B1118" s="87" t="s">
        <v>2566</v>
      </c>
      <c r="C1118" s="88" t="s">
        <v>226</v>
      </c>
      <c r="D1118" s="89" t="s">
        <v>262</v>
      </c>
      <c r="E1118" s="90">
        <f t="shared" si="219"/>
        <v>252410</v>
      </c>
      <c r="F1118" s="90">
        <f t="shared" si="220"/>
        <v>252409.61003285431</v>
      </c>
      <c r="G1118" s="91">
        <v>0</v>
      </c>
      <c r="H1118" s="91" t="s">
        <v>228</v>
      </c>
      <c r="I1118" s="91" t="s">
        <v>228</v>
      </c>
      <c r="J1118" s="91" t="s">
        <v>228</v>
      </c>
      <c r="K1118" s="91" t="s">
        <v>228</v>
      </c>
      <c r="L1118" s="92" t="s">
        <v>302</v>
      </c>
      <c r="M1118" s="91" t="str">
        <f t="shared" si="221"/>
        <v>no aplica</v>
      </c>
      <c r="N1118" s="93">
        <v>41608</v>
      </c>
      <c r="O1118" s="94"/>
      <c r="P1118" s="94"/>
      <c r="Q1118" s="94">
        <v>973</v>
      </c>
      <c r="R1118" s="95">
        <f t="shared" si="212"/>
        <v>252409.61003285431</v>
      </c>
      <c r="S1118" s="94">
        <v>165178.06359999999</v>
      </c>
      <c r="T1118" s="94">
        <f t="shared" si="210"/>
        <v>176360.61850572002</v>
      </c>
      <c r="U1118" s="94">
        <f t="shared" si="217"/>
        <v>186501.35406979895</v>
      </c>
      <c r="V1118" s="94">
        <f t="shared" si="218"/>
        <v>194129.25945125372</v>
      </c>
      <c r="W1118" s="97">
        <f t="shared" si="215"/>
        <v>200302.5699018036</v>
      </c>
      <c r="X1118" s="97">
        <f t="shared" si="216"/>
        <v>207914.06755807213</v>
      </c>
      <c r="Y1118" s="97">
        <f t="shared" si="211"/>
        <v>211261.4840457571</v>
      </c>
      <c r="Z1118" s="97">
        <f t="shared" si="213"/>
        <v>223134.37944912864</v>
      </c>
      <c r="AA1118" s="97">
        <f t="shared" si="214"/>
        <v>252409.61003285431</v>
      </c>
    </row>
    <row r="1119" spans="1:27" x14ac:dyDescent="0.25">
      <c r="A1119" s="102" t="s">
        <v>2567</v>
      </c>
      <c r="B1119" s="87" t="s">
        <v>2568</v>
      </c>
      <c r="C1119" s="88" t="s">
        <v>226</v>
      </c>
      <c r="D1119" s="89" t="s">
        <v>262</v>
      </c>
      <c r="E1119" s="90">
        <f t="shared" si="219"/>
        <v>230295</v>
      </c>
      <c r="F1119" s="90">
        <f t="shared" si="220"/>
        <v>230294.90012065897</v>
      </c>
      <c r="G1119" s="91">
        <v>0</v>
      </c>
      <c r="H1119" s="91" t="s">
        <v>228</v>
      </c>
      <c r="I1119" s="91" t="s">
        <v>228</v>
      </c>
      <c r="J1119" s="91" t="s">
        <v>228</v>
      </c>
      <c r="K1119" s="91" t="s">
        <v>228</v>
      </c>
      <c r="L1119" s="92" t="s">
        <v>302</v>
      </c>
      <c r="M1119" s="91" t="str">
        <f t="shared" si="221"/>
        <v>no aplica</v>
      </c>
      <c r="N1119" s="93">
        <v>41608</v>
      </c>
      <c r="O1119" s="94"/>
      <c r="P1119" s="94"/>
      <c r="Q1119" s="94">
        <v>974</v>
      </c>
      <c r="R1119" s="95">
        <f t="shared" si="212"/>
        <v>230294.90012065897</v>
      </c>
      <c r="S1119" s="94">
        <v>150706.09099999999</v>
      </c>
      <c r="T1119" s="94">
        <f t="shared" si="210"/>
        <v>160908.89336069999</v>
      </c>
      <c r="U1119" s="94">
        <f t="shared" si="217"/>
        <v>170161.15472894025</v>
      </c>
      <c r="V1119" s="94">
        <f t="shared" si="218"/>
        <v>177120.74595735391</v>
      </c>
      <c r="W1119" s="97">
        <f t="shared" si="215"/>
        <v>182753.18567879777</v>
      </c>
      <c r="X1119" s="97">
        <f t="shared" si="216"/>
        <v>189697.8067345921</v>
      </c>
      <c r="Y1119" s="97">
        <f t="shared" si="211"/>
        <v>192751.94142301905</v>
      </c>
      <c r="Z1119" s="97">
        <f t="shared" si="213"/>
        <v>203584.60053099273</v>
      </c>
      <c r="AA1119" s="97">
        <f t="shared" si="214"/>
        <v>230294.90012065897</v>
      </c>
    </row>
    <row r="1120" spans="1:27" x14ac:dyDescent="0.25">
      <c r="A1120" s="86" t="s">
        <v>2569</v>
      </c>
      <c r="B1120" s="87" t="s">
        <v>2570</v>
      </c>
      <c r="C1120" s="88" t="s">
        <v>226</v>
      </c>
      <c r="D1120" s="89" t="s">
        <v>255</v>
      </c>
      <c r="E1120" s="90">
        <f t="shared" si="219"/>
        <v>3730</v>
      </c>
      <c r="F1120" s="90">
        <f t="shared" si="220"/>
        <v>3730.4019657058971</v>
      </c>
      <c r="G1120" s="91">
        <v>0</v>
      </c>
      <c r="H1120" s="91" t="s">
        <v>228</v>
      </c>
      <c r="I1120" s="91" t="s">
        <v>228</v>
      </c>
      <c r="J1120" s="91" t="s">
        <v>228</v>
      </c>
      <c r="K1120" s="91" t="s">
        <v>228</v>
      </c>
      <c r="L1120" s="92" t="s">
        <v>302</v>
      </c>
      <c r="M1120" s="91" t="str">
        <f t="shared" si="221"/>
        <v>no aplica</v>
      </c>
      <c r="N1120" s="93">
        <v>41608</v>
      </c>
      <c r="O1120" s="94"/>
      <c r="P1120" s="94"/>
      <c r="Q1120" s="94">
        <v>975</v>
      </c>
      <c r="R1120" s="95">
        <f t="shared" si="212"/>
        <v>3730.4019657058971</v>
      </c>
      <c r="S1120" s="94">
        <v>2441.1929999999998</v>
      </c>
      <c r="T1120" s="94">
        <f t="shared" si="210"/>
        <v>2606.4617660999997</v>
      </c>
      <c r="U1120" s="94">
        <f t="shared" si="217"/>
        <v>2756.3333176507499</v>
      </c>
      <c r="V1120" s="94">
        <f t="shared" si="218"/>
        <v>2869.0673503426656</v>
      </c>
      <c r="W1120" s="97">
        <f t="shared" si="215"/>
        <v>2960.3036920835625</v>
      </c>
      <c r="X1120" s="97">
        <f t="shared" si="216"/>
        <v>3072.795232382738</v>
      </c>
      <c r="Y1120" s="97">
        <f t="shared" si="211"/>
        <v>3122.2672356241001</v>
      </c>
      <c r="Z1120" s="97">
        <f t="shared" si="213"/>
        <v>3297.7386542661748</v>
      </c>
      <c r="AA1120" s="97">
        <f t="shared" si="214"/>
        <v>3730.4019657058971</v>
      </c>
    </row>
    <row r="1121" spans="1:27" x14ac:dyDescent="0.25">
      <c r="A1121" s="102" t="s">
        <v>2571</v>
      </c>
      <c r="B1121" s="87" t="s">
        <v>2572</v>
      </c>
      <c r="C1121" s="88" t="s">
        <v>226</v>
      </c>
      <c r="D1121" s="89" t="s">
        <v>255</v>
      </c>
      <c r="E1121" s="90">
        <f t="shared" si="219"/>
        <v>3035</v>
      </c>
      <c r="F1121" s="90">
        <f t="shared" si="220"/>
        <v>3035.0106863237784</v>
      </c>
      <c r="G1121" s="91">
        <v>0</v>
      </c>
      <c r="H1121" s="91" t="s">
        <v>228</v>
      </c>
      <c r="I1121" s="91" t="s">
        <v>228</v>
      </c>
      <c r="J1121" s="91" t="s">
        <v>228</v>
      </c>
      <c r="K1121" s="91" t="s">
        <v>228</v>
      </c>
      <c r="L1121" s="92" t="s">
        <v>302</v>
      </c>
      <c r="M1121" s="91" t="str">
        <f t="shared" si="221"/>
        <v>no aplica</v>
      </c>
      <c r="N1121" s="93">
        <v>41608</v>
      </c>
      <c r="O1121" s="94"/>
      <c r="P1121" s="94"/>
      <c r="Q1121" s="94">
        <v>976</v>
      </c>
      <c r="R1121" s="95">
        <f t="shared" si="212"/>
        <v>3035.0106863237784</v>
      </c>
      <c r="S1121" s="94">
        <v>1986.1255999999998</v>
      </c>
      <c r="T1121" s="94">
        <f t="shared" si="210"/>
        <v>2120.5863031200001</v>
      </c>
      <c r="U1121" s="94">
        <f t="shared" si="217"/>
        <v>2242.5200155494003</v>
      </c>
      <c r="V1121" s="94">
        <f t="shared" si="218"/>
        <v>2334.2390841853708</v>
      </c>
      <c r="W1121" s="97">
        <f t="shared" si="215"/>
        <v>2408.4678870624657</v>
      </c>
      <c r="X1121" s="97">
        <f t="shared" si="216"/>
        <v>2499.9896667708394</v>
      </c>
      <c r="Y1121" s="97">
        <f t="shared" si="211"/>
        <v>2540.2395004058499</v>
      </c>
      <c r="Z1121" s="97">
        <f t="shared" si="213"/>
        <v>2683.0009603286585</v>
      </c>
      <c r="AA1121" s="97">
        <f t="shared" si="214"/>
        <v>3035.0106863237784</v>
      </c>
    </row>
    <row r="1122" spans="1:27" x14ac:dyDescent="0.25">
      <c r="A1122" s="102" t="s">
        <v>2573</v>
      </c>
      <c r="B1122" s="87" t="s">
        <v>2574</v>
      </c>
      <c r="C1122" s="88" t="s">
        <v>226</v>
      </c>
      <c r="D1122" s="89" t="s">
        <v>262</v>
      </c>
      <c r="E1122" s="90">
        <f t="shared" si="219"/>
        <v>20380</v>
      </c>
      <c r="F1122" s="90">
        <f t="shared" si="220"/>
        <v>20380.191800752473</v>
      </c>
      <c r="G1122" s="91">
        <v>0</v>
      </c>
      <c r="H1122" s="91" t="s">
        <v>228</v>
      </c>
      <c r="I1122" s="91" t="s">
        <v>228</v>
      </c>
      <c r="J1122" s="91" t="s">
        <v>228</v>
      </c>
      <c r="K1122" s="91" t="s">
        <v>228</v>
      </c>
      <c r="L1122" s="92" t="s">
        <v>302</v>
      </c>
      <c r="M1122" s="91" t="str">
        <f t="shared" si="221"/>
        <v>no aplica</v>
      </c>
      <c r="N1122" s="93">
        <v>41608</v>
      </c>
      <c r="O1122" s="94"/>
      <c r="P1122" s="94"/>
      <c r="Q1122" s="94">
        <v>977</v>
      </c>
      <c r="R1122" s="95">
        <f t="shared" si="212"/>
        <v>20380.191800752473</v>
      </c>
      <c r="S1122" s="94">
        <v>13336.8956</v>
      </c>
      <c r="T1122" s="94">
        <f t="shared" ref="T1122:T1185" si="222">+S1122*1.0677</f>
        <v>14239.803432120001</v>
      </c>
      <c r="U1122" s="94">
        <f t="shared" si="217"/>
        <v>15058.592129466902</v>
      </c>
      <c r="V1122" s="94">
        <f t="shared" si="218"/>
        <v>15674.488547562098</v>
      </c>
      <c r="W1122" s="97">
        <f t="shared" si="215"/>
        <v>16172.937283374573</v>
      </c>
      <c r="X1122" s="97">
        <f t="shared" si="216"/>
        <v>16787.508900142806</v>
      </c>
      <c r="Y1122" s="97">
        <f t="shared" si="211"/>
        <v>17057.787793435105</v>
      </c>
      <c r="Z1122" s="97">
        <f t="shared" si="213"/>
        <v>18016.435467426159</v>
      </c>
      <c r="AA1122" s="97">
        <f t="shared" si="214"/>
        <v>20380.191800752473</v>
      </c>
    </row>
    <row r="1123" spans="1:27" x14ac:dyDescent="0.25">
      <c r="A1123" s="102" t="s">
        <v>2575</v>
      </c>
      <c r="B1123" s="87" t="s">
        <v>2576</v>
      </c>
      <c r="C1123" s="88" t="s">
        <v>226</v>
      </c>
      <c r="D1123" s="89" t="s">
        <v>255</v>
      </c>
      <c r="E1123" s="90">
        <f t="shared" si="219"/>
        <v>5956</v>
      </c>
      <c r="F1123" s="90">
        <f t="shared" si="220"/>
        <v>5955.9708666896695</v>
      </c>
      <c r="G1123" s="91">
        <v>0</v>
      </c>
      <c r="H1123" s="91" t="s">
        <v>228</v>
      </c>
      <c r="I1123" s="91" t="s">
        <v>228</v>
      </c>
      <c r="J1123" s="91" t="s">
        <v>228</v>
      </c>
      <c r="K1123" s="91" t="s">
        <v>228</v>
      </c>
      <c r="L1123" s="92" t="s">
        <v>302</v>
      </c>
      <c r="M1123" s="91" t="str">
        <f t="shared" si="221"/>
        <v>no aplica</v>
      </c>
      <c r="N1123" s="93">
        <v>41608</v>
      </c>
      <c r="O1123" s="94"/>
      <c r="P1123" s="94"/>
      <c r="Q1123" s="94">
        <v>978</v>
      </c>
      <c r="R1123" s="95">
        <f t="shared" si="212"/>
        <v>5955.9708666896695</v>
      </c>
      <c r="S1123" s="94">
        <v>3897.616</v>
      </c>
      <c r="T1123" s="94">
        <f t="shared" si="222"/>
        <v>4161.4846032000005</v>
      </c>
      <c r="U1123" s="94">
        <f t="shared" si="217"/>
        <v>4400.7699678840008</v>
      </c>
      <c r="V1123" s="94">
        <f t="shared" si="218"/>
        <v>4580.7614595704563</v>
      </c>
      <c r="W1123" s="97">
        <f t="shared" si="215"/>
        <v>4726.4296739847969</v>
      </c>
      <c r="X1123" s="97">
        <f t="shared" si="216"/>
        <v>4906.0340015962192</v>
      </c>
      <c r="Y1123" s="97">
        <f t="shared" si="211"/>
        <v>4985.0211490219181</v>
      </c>
      <c r="Z1123" s="97">
        <f t="shared" si="213"/>
        <v>5265.1793375969501</v>
      </c>
      <c r="AA1123" s="97">
        <f t="shared" si="214"/>
        <v>5955.9708666896695</v>
      </c>
    </row>
    <row r="1124" spans="1:27" x14ac:dyDescent="0.25">
      <c r="A1124" s="102" t="s">
        <v>2577</v>
      </c>
      <c r="B1124" s="98" t="s">
        <v>2578</v>
      </c>
      <c r="C1124" s="99" t="s">
        <v>226</v>
      </c>
      <c r="D1124" s="100" t="s">
        <v>262</v>
      </c>
      <c r="E1124" s="101">
        <f t="shared" si="219"/>
        <v>16371</v>
      </c>
      <c r="F1124" s="90">
        <f t="shared" si="220"/>
        <v>16370.999709371739</v>
      </c>
      <c r="G1124" s="91">
        <v>0</v>
      </c>
      <c r="H1124" s="91" t="s">
        <v>228</v>
      </c>
      <c r="I1124" s="91" t="s">
        <v>228</v>
      </c>
      <c r="J1124" s="91" t="s">
        <v>228</v>
      </c>
      <c r="K1124" s="91" t="s">
        <v>228</v>
      </c>
      <c r="L1124" s="92" t="s">
        <v>302</v>
      </c>
      <c r="M1124" s="91" t="str">
        <f t="shared" si="221"/>
        <v>no aplica</v>
      </c>
      <c r="N1124" s="93">
        <v>41608</v>
      </c>
      <c r="O1124" s="94"/>
      <c r="P1124" s="94"/>
      <c r="Q1124" s="94">
        <v>979</v>
      </c>
      <c r="R1124" s="95">
        <f t="shared" si="212"/>
        <v>16370.999709371739</v>
      </c>
      <c r="S1124" s="94">
        <v>10713.261</v>
      </c>
      <c r="T1124" s="94">
        <f t="shared" si="222"/>
        <v>11438.548769700001</v>
      </c>
      <c r="U1124" s="94">
        <f t="shared" si="217"/>
        <v>12096.265323957752</v>
      </c>
      <c r="V1124" s="94">
        <f t="shared" si="218"/>
        <v>12591.002575707624</v>
      </c>
      <c r="W1124" s="97">
        <f t="shared" si="215"/>
        <v>12991.396457615127</v>
      </c>
      <c r="X1124" s="97">
        <f t="shared" si="216"/>
        <v>13485.069523004502</v>
      </c>
      <c r="Y1124" s="97">
        <f t="shared" si="211"/>
        <v>13702.179142324874</v>
      </c>
      <c r="Z1124" s="97">
        <f t="shared" si="213"/>
        <v>14472.241610123532</v>
      </c>
      <c r="AA1124" s="97">
        <f t="shared" si="214"/>
        <v>16370.999709371739</v>
      </c>
    </row>
    <row r="1125" spans="1:27" x14ac:dyDescent="0.25">
      <c r="A1125" s="102" t="s">
        <v>2579</v>
      </c>
      <c r="B1125" s="87" t="s">
        <v>2580</v>
      </c>
      <c r="C1125" s="88" t="s">
        <v>226</v>
      </c>
      <c r="D1125" s="89" t="s">
        <v>255</v>
      </c>
      <c r="E1125" s="90">
        <f t="shared" si="219"/>
        <v>936</v>
      </c>
      <c r="F1125" s="90">
        <f t="shared" si="220"/>
        <v>936.16456973765833</v>
      </c>
      <c r="G1125" s="91">
        <v>0</v>
      </c>
      <c r="H1125" s="91" t="s">
        <v>228</v>
      </c>
      <c r="I1125" s="91" t="s">
        <v>228</v>
      </c>
      <c r="J1125" s="91" t="s">
        <v>228</v>
      </c>
      <c r="K1125" s="91" t="s">
        <v>228</v>
      </c>
      <c r="L1125" s="92" t="s">
        <v>302</v>
      </c>
      <c r="M1125" s="91" t="str">
        <f t="shared" si="221"/>
        <v>no aplica</v>
      </c>
      <c r="N1125" s="93">
        <v>41608</v>
      </c>
      <c r="O1125" s="94"/>
      <c r="P1125" s="94"/>
      <c r="Q1125" s="94">
        <v>980</v>
      </c>
      <c r="R1125" s="95">
        <f t="shared" si="212"/>
        <v>936.16456973765833</v>
      </c>
      <c r="S1125" s="94">
        <v>612.63059999999996</v>
      </c>
      <c r="T1125" s="94">
        <f t="shared" si="222"/>
        <v>654.10569162000002</v>
      </c>
      <c r="U1125" s="94">
        <f t="shared" si="217"/>
        <v>691.71676888815011</v>
      </c>
      <c r="V1125" s="94">
        <f t="shared" si="218"/>
        <v>720.00798473567545</v>
      </c>
      <c r="W1125" s="97">
        <f t="shared" si="215"/>
        <v>742.90423865026992</v>
      </c>
      <c r="X1125" s="97">
        <f t="shared" si="216"/>
        <v>771.13459971898021</v>
      </c>
      <c r="Y1125" s="97">
        <f t="shared" si="211"/>
        <v>783.54986677445584</v>
      </c>
      <c r="Z1125" s="97">
        <f t="shared" si="213"/>
        <v>827.58536928718024</v>
      </c>
      <c r="AA1125" s="97">
        <f t="shared" si="214"/>
        <v>936.16456973765833</v>
      </c>
    </row>
    <row r="1126" spans="1:27" x14ac:dyDescent="0.25">
      <c r="A1126" s="102" t="s">
        <v>2581</v>
      </c>
      <c r="B1126" s="87" t="s">
        <v>2582</v>
      </c>
      <c r="C1126" s="88" t="s">
        <v>226</v>
      </c>
      <c r="D1126" s="89" t="s">
        <v>255</v>
      </c>
      <c r="E1126" s="90">
        <f t="shared" si="219"/>
        <v>2131</v>
      </c>
      <c r="F1126" s="90">
        <f t="shared" si="220"/>
        <v>2130.5268126855331</v>
      </c>
      <c r="G1126" s="91">
        <v>0</v>
      </c>
      <c r="H1126" s="91" t="s">
        <v>228</v>
      </c>
      <c r="I1126" s="91" t="s">
        <v>228</v>
      </c>
      <c r="J1126" s="91" t="s">
        <v>228</v>
      </c>
      <c r="K1126" s="91" t="s">
        <v>228</v>
      </c>
      <c r="L1126" s="92" t="s">
        <v>302</v>
      </c>
      <c r="M1126" s="91" t="str">
        <f t="shared" si="221"/>
        <v>no aplica</v>
      </c>
      <c r="N1126" s="93">
        <v>41608</v>
      </c>
      <c r="O1126" s="94"/>
      <c r="P1126" s="94"/>
      <c r="Q1126" s="94">
        <v>981</v>
      </c>
      <c r="R1126" s="95">
        <f t="shared" si="212"/>
        <v>2130.5268126855331</v>
      </c>
      <c r="S1126" s="94">
        <v>1394.2269999999999</v>
      </c>
      <c r="T1126" s="94">
        <f t="shared" si="222"/>
        <v>1488.6161678999999</v>
      </c>
      <c r="U1126" s="94">
        <f t="shared" si="217"/>
        <v>1574.2115975542501</v>
      </c>
      <c r="V1126" s="94">
        <f t="shared" si="218"/>
        <v>1638.5968518942188</v>
      </c>
      <c r="W1126" s="97">
        <f t="shared" si="215"/>
        <v>1690.704231784455</v>
      </c>
      <c r="X1126" s="97">
        <f t="shared" si="216"/>
        <v>1754.9509925922644</v>
      </c>
      <c r="Y1126" s="97">
        <f t="shared" si="211"/>
        <v>1783.2057035729997</v>
      </c>
      <c r="Z1126" s="97">
        <f t="shared" si="213"/>
        <v>1883.4218641138023</v>
      </c>
      <c r="AA1126" s="97">
        <f t="shared" si="214"/>
        <v>2130.5268126855331</v>
      </c>
    </row>
    <row r="1127" spans="1:27" x14ac:dyDescent="0.25">
      <c r="A1127" s="102" t="s">
        <v>2583</v>
      </c>
      <c r="B1127" s="87" t="s">
        <v>2584</v>
      </c>
      <c r="C1127" s="88" t="s">
        <v>226</v>
      </c>
      <c r="D1127" s="89" t="s">
        <v>262</v>
      </c>
      <c r="E1127" s="90">
        <f t="shared" si="219"/>
        <v>109425</v>
      </c>
      <c r="F1127" s="90">
        <f t="shared" si="220"/>
        <v>109425.12432737301</v>
      </c>
      <c r="G1127" s="91">
        <v>0</v>
      </c>
      <c r="H1127" s="91" t="s">
        <v>228</v>
      </c>
      <c r="I1127" s="91" t="s">
        <v>228</v>
      </c>
      <c r="J1127" s="91" t="s">
        <v>228</v>
      </c>
      <c r="K1127" s="91" t="s">
        <v>228</v>
      </c>
      <c r="L1127" s="92" t="s">
        <v>302</v>
      </c>
      <c r="M1127" s="91" t="str">
        <f t="shared" si="221"/>
        <v>no aplica</v>
      </c>
      <c r="N1127" s="93">
        <v>41608</v>
      </c>
      <c r="O1127" s="94"/>
      <c r="P1127" s="94"/>
      <c r="Q1127" s="94">
        <v>982</v>
      </c>
      <c r="R1127" s="95">
        <f t="shared" si="212"/>
        <v>109425.12432737301</v>
      </c>
      <c r="S1127" s="94">
        <v>71608.327999999994</v>
      </c>
      <c r="T1127" s="94">
        <f t="shared" si="222"/>
        <v>76456.211805600004</v>
      </c>
      <c r="U1127" s="94">
        <f t="shared" si="217"/>
        <v>80852.443984422018</v>
      </c>
      <c r="V1127" s="94">
        <f t="shared" si="218"/>
        <v>84159.30894338488</v>
      </c>
      <c r="W1127" s="97">
        <f t="shared" si="215"/>
        <v>86835.574967784531</v>
      </c>
      <c r="X1127" s="97">
        <f t="shared" si="216"/>
        <v>90135.326816560351</v>
      </c>
      <c r="Y1127" s="97">
        <f t="shared" si="211"/>
        <v>91586.505578306969</v>
      </c>
      <c r="Z1127" s="97">
        <f t="shared" si="213"/>
        <v>96733.667191807821</v>
      </c>
      <c r="AA1127" s="97">
        <f t="shared" si="214"/>
        <v>109425.12432737301</v>
      </c>
    </row>
    <row r="1128" spans="1:27" x14ac:dyDescent="0.25">
      <c r="A1128" s="102" t="s">
        <v>2585</v>
      </c>
      <c r="B1128" s="87" t="s">
        <v>2554</v>
      </c>
      <c r="C1128" s="88" t="s">
        <v>226</v>
      </c>
      <c r="D1128" s="89" t="s">
        <v>262</v>
      </c>
      <c r="E1128" s="90">
        <f t="shared" si="219"/>
        <v>434363</v>
      </c>
      <c r="F1128" s="90">
        <f t="shared" si="220"/>
        <v>434362.93597541878</v>
      </c>
      <c r="G1128" s="91">
        <v>0</v>
      </c>
      <c r="H1128" s="91" t="s">
        <v>228</v>
      </c>
      <c r="I1128" s="91" t="s">
        <v>228</v>
      </c>
      <c r="J1128" s="91" t="s">
        <v>228</v>
      </c>
      <c r="K1128" s="91" t="s">
        <v>228</v>
      </c>
      <c r="L1128" s="92" t="s">
        <v>302</v>
      </c>
      <c r="M1128" s="91" t="str">
        <f t="shared" si="221"/>
        <v>no aplica</v>
      </c>
      <c r="N1128" s="93">
        <v>41608</v>
      </c>
      <c r="O1128" s="94"/>
      <c r="P1128" s="94"/>
      <c r="Q1128" s="94">
        <v>983</v>
      </c>
      <c r="R1128" s="95">
        <f t="shared" si="212"/>
        <v>434362.93597541878</v>
      </c>
      <c r="S1128" s="94">
        <v>284249.19579999999</v>
      </c>
      <c r="T1128" s="94">
        <f t="shared" si="222"/>
        <v>303492.86635566002</v>
      </c>
      <c r="U1128" s="94">
        <f t="shared" si="217"/>
        <v>320943.70617111051</v>
      </c>
      <c r="V1128" s="94">
        <f t="shared" si="218"/>
        <v>334070.3037535089</v>
      </c>
      <c r="W1128" s="97">
        <f t="shared" si="215"/>
        <v>344693.73941287049</v>
      </c>
      <c r="X1128" s="97">
        <f t="shared" si="216"/>
        <v>357792.10151055956</v>
      </c>
      <c r="Y1128" s="97">
        <f t="shared" si="211"/>
        <v>363552.55434487958</v>
      </c>
      <c r="Z1128" s="97">
        <f t="shared" si="213"/>
        <v>383984.20789906185</v>
      </c>
      <c r="AA1128" s="97">
        <f t="shared" si="214"/>
        <v>434362.93597541878</v>
      </c>
    </row>
    <row r="1129" spans="1:27" x14ac:dyDescent="0.25">
      <c r="A1129" s="102" t="s">
        <v>2586</v>
      </c>
      <c r="B1129" s="87" t="s">
        <v>2587</v>
      </c>
      <c r="C1129" s="88" t="s">
        <v>226</v>
      </c>
      <c r="D1129" s="89" t="s">
        <v>4</v>
      </c>
      <c r="E1129" s="90">
        <f t="shared" si="219"/>
        <v>4343</v>
      </c>
      <c r="F1129" s="90">
        <f t="shared" si="220"/>
        <v>4343.4234352295416</v>
      </c>
      <c r="G1129" s="91">
        <v>0</v>
      </c>
      <c r="H1129" s="91" t="s">
        <v>228</v>
      </c>
      <c r="I1129" s="91" t="s">
        <v>228</v>
      </c>
      <c r="J1129" s="91" t="s">
        <v>228</v>
      </c>
      <c r="K1129" s="91" t="s">
        <v>228</v>
      </c>
      <c r="L1129" s="92" t="s">
        <v>302</v>
      </c>
      <c r="M1129" s="91" t="str">
        <f t="shared" si="221"/>
        <v>no aplica</v>
      </c>
      <c r="N1129" s="93">
        <v>41608</v>
      </c>
      <c r="O1129" s="94"/>
      <c r="P1129" s="94"/>
      <c r="Q1129" s="94">
        <v>984</v>
      </c>
      <c r="R1129" s="95">
        <f t="shared" si="212"/>
        <v>4343.4234352295416</v>
      </c>
      <c r="S1129" s="94">
        <v>2842.3571999999999</v>
      </c>
      <c r="T1129" s="94">
        <f t="shared" si="222"/>
        <v>3034.7847824400001</v>
      </c>
      <c r="U1129" s="94">
        <f t="shared" si="217"/>
        <v>3209.2849074303003</v>
      </c>
      <c r="V1129" s="94">
        <f t="shared" si="218"/>
        <v>3340.5446601441995</v>
      </c>
      <c r="W1129" s="97">
        <f t="shared" si="215"/>
        <v>3446.7739803367854</v>
      </c>
      <c r="X1129" s="97">
        <f t="shared" si="216"/>
        <v>3577.7513915895834</v>
      </c>
      <c r="Y1129" s="97">
        <f t="shared" si="211"/>
        <v>3635.3531889941755</v>
      </c>
      <c r="Z1129" s="97">
        <f t="shared" si="213"/>
        <v>3839.6600382156485</v>
      </c>
      <c r="AA1129" s="97">
        <f t="shared" si="214"/>
        <v>4343.4234352295416</v>
      </c>
    </row>
    <row r="1130" spans="1:27" x14ac:dyDescent="0.25">
      <c r="A1130" s="86" t="s">
        <v>2588</v>
      </c>
      <c r="B1130" s="87" t="s">
        <v>2589</v>
      </c>
      <c r="C1130" s="88" t="s">
        <v>226</v>
      </c>
      <c r="D1130" s="89" t="s">
        <v>262</v>
      </c>
      <c r="E1130" s="90">
        <f t="shared" si="219"/>
        <v>29305</v>
      </c>
      <c r="F1130" s="90">
        <f t="shared" si="220"/>
        <v>29304.643891957156</v>
      </c>
      <c r="G1130" s="91">
        <v>0</v>
      </c>
      <c r="H1130" s="91" t="s">
        <v>228</v>
      </c>
      <c r="I1130" s="91" t="s">
        <v>228</v>
      </c>
      <c r="J1130" s="91" t="s">
        <v>228</v>
      </c>
      <c r="K1130" s="91" t="s">
        <v>228</v>
      </c>
      <c r="L1130" s="92" t="s">
        <v>302</v>
      </c>
      <c r="M1130" s="91" t="str">
        <f t="shared" si="221"/>
        <v>no aplica</v>
      </c>
      <c r="N1130" s="93">
        <v>41608</v>
      </c>
      <c r="O1130" s="94"/>
      <c r="P1130" s="94"/>
      <c r="Q1130" s="94">
        <v>985</v>
      </c>
      <c r="R1130" s="95">
        <f t="shared" si="212"/>
        <v>29304.643891957156</v>
      </c>
      <c r="S1130" s="94">
        <v>19177.099999999999</v>
      </c>
      <c r="T1130" s="94">
        <f t="shared" si="222"/>
        <v>20475.38967</v>
      </c>
      <c r="U1130" s="94">
        <f t="shared" si="217"/>
        <v>21652.724576025004</v>
      </c>
      <c r="V1130" s="94">
        <f t="shared" si="218"/>
        <v>22538.321011184427</v>
      </c>
      <c r="W1130" s="97">
        <f t="shared" si="215"/>
        <v>23255.039619340092</v>
      </c>
      <c r="X1130" s="97">
        <f t="shared" si="216"/>
        <v>24138.731124875016</v>
      </c>
      <c r="Y1130" s="97">
        <f t="shared" si="211"/>
        <v>24527.364695985503</v>
      </c>
      <c r="Z1130" s="97">
        <f t="shared" si="213"/>
        <v>25905.80259189989</v>
      </c>
      <c r="AA1130" s="97">
        <f t="shared" si="214"/>
        <v>29304.643891957156</v>
      </c>
    </row>
    <row r="1131" spans="1:27" x14ac:dyDescent="0.25">
      <c r="A1131" s="86" t="s">
        <v>2590</v>
      </c>
      <c r="B1131" s="87" t="s">
        <v>2591</v>
      </c>
      <c r="C1131" s="88" t="s">
        <v>226</v>
      </c>
      <c r="D1131" s="89" t="s">
        <v>262</v>
      </c>
      <c r="E1131" s="90">
        <f t="shared" si="219"/>
        <v>8353</v>
      </c>
      <c r="F1131" s="90">
        <f t="shared" si="220"/>
        <v>8352.6155266102742</v>
      </c>
      <c r="G1131" s="91">
        <v>0</v>
      </c>
      <c r="H1131" s="91" t="s">
        <v>228</v>
      </c>
      <c r="I1131" s="91" t="s">
        <v>228</v>
      </c>
      <c r="J1131" s="91" t="s">
        <v>228</v>
      </c>
      <c r="K1131" s="91" t="s">
        <v>228</v>
      </c>
      <c r="L1131" s="92" t="s">
        <v>302</v>
      </c>
      <c r="M1131" s="91" t="str">
        <f t="shared" si="221"/>
        <v>no aplica</v>
      </c>
      <c r="N1131" s="93">
        <v>41608</v>
      </c>
      <c r="O1131" s="94"/>
      <c r="P1131" s="94"/>
      <c r="Q1131" s="94">
        <v>986</v>
      </c>
      <c r="R1131" s="95">
        <f t="shared" si="212"/>
        <v>8352.6155266102742</v>
      </c>
      <c r="S1131" s="94">
        <v>5465.9917999999998</v>
      </c>
      <c r="T1131" s="94">
        <f t="shared" si="222"/>
        <v>5836.03944486</v>
      </c>
      <c r="U1131" s="94">
        <f t="shared" si="217"/>
        <v>6171.6117129394506</v>
      </c>
      <c r="V1131" s="94">
        <f t="shared" si="218"/>
        <v>6424.0306319986739</v>
      </c>
      <c r="W1131" s="97">
        <f t="shared" si="215"/>
        <v>6628.3148060962321</v>
      </c>
      <c r="X1131" s="97">
        <f t="shared" si="216"/>
        <v>6880.190768727889</v>
      </c>
      <c r="Y1131" s="97">
        <f t="shared" si="211"/>
        <v>6990.9618401044081</v>
      </c>
      <c r="Z1131" s="97">
        <f t="shared" si="213"/>
        <v>7383.8538955182757</v>
      </c>
      <c r="AA1131" s="97">
        <f t="shared" si="214"/>
        <v>8352.6155266102742</v>
      </c>
    </row>
    <row r="1132" spans="1:27" x14ac:dyDescent="0.25">
      <c r="A1132" s="102" t="s">
        <v>2592</v>
      </c>
      <c r="B1132" s="87" t="s">
        <v>2593</v>
      </c>
      <c r="C1132" s="88" t="s">
        <v>226</v>
      </c>
      <c r="D1132" s="89" t="s">
        <v>262</v>
      </c>
      <c r="E1132" s="90">
        <f t="shared" si="219"/>
        <v>2772</v>
      </c>
      <c r="F1132" s="90">
        <f t="shared" si="220"/>
        <v>2772.0609086986501</v>
      </c>
      <c r="G1132" s="91">
        <v>0</v>
      </c>
      <c r="H1132" s="91" t="s">
        <v>228</v>
      </c>
      <c r="I1132" s="91" t="s">
        <v>228</v>
      </c>
      <c r="J1132" s="91" t="s">
        <v>228</v>
      </c>
      <c r="K1132" s="91" t="s">
        <v>228</v>
      </c>
      <c r="L1132" s="92" t="s">
        <v>302</v>
      </c>
      <c r="M1132" s="91" t="str">
        <f t="shared" si="221"/>
        <v>no aplica</v>
      </c>
      <c r="N1132" s="93">
        <v>41608</v>
      </c>
      <c r="O1132" s="94"/>
      <c r="P1132" s="94"/>
      <c r="Q1132" s="94">
        <v>987</v>
      </c>
      <c r="R1132" s="95">
        <f t="shared" si="212"/>
        <v>2772.0609086986501</v>
      </c>
      <c r="S1132" s="94">
        <v>1814.05</v>
      </c>
      <c r="T1132" s="94">
        <f t="shared" si="222"/>
        <v>1936.8611850000002</v>
      </c>
      <c r="U1132" s="94">
        <f t="shared" si="217"/>
        <v>2048.2307031375003</v>
      </c>
      <c r="V1132" s="94">
        <f t="shared" si="218"/>
        <v>2132.0033388958241</v>
      </c>
      <c r="W1132" s="97">
        <f t="shared" si="215"/>
        <v>2199.8010450727115</v>
      </c>
      <c r="X1132" s="97">
        <f t="shared" si="216"/>
        <v>2283.3934847854748</v>
      </c>
      <c r="Y1132" s="97">
        <f t="shared" si="211"/>
        <v>2320.156119890521</v>
      </c>
      <c r="Z1132" s="97">
        <f t="shared" si="213"/>
        <v>2450.5488938283684</v>
      </c>
      <c r="AA1132" s="97">
        <f t="shared" si="214"/>
        <v>2772.0609086986501</v>
      </c>
    </row>
    <row r="1133" spans="1:27" x14ac:dyDescent="0.25">
      <c r="A1133" s="102" t="s">
        <v>2594</v>
      </c>
      <c r="B1133" s="87" t="s">
        <v>2595</v>
      </c>
      <c r="C1133" s="88" t="s">
        <v>226</v>
      </c>
      <c r="D1133" s="89" t="s">
        <v>262</v>
      </c>
      <c r="E1133" s="90">
        <f t="shared" si="219"/>
        <v>15048</v>
      </c>
      <c r="F1133" s="90">
        <f t="shared" si="220"/>
        <v>15048.330647221239</v>
      </c>
      <c r="G1133" s="91">
        <v>0</v>
      </c>
      <c r="H1133" s="91" t="s">
        <v>228</v>
      </c>
      <c r="I1133" s="91" t="s">
        <v>228</v>
      </c>
      <c r="J1133" s="91" t="s">
        <v>228</v>
      </c>
      <c r="K1133" s="91" t="s">
        <v>228</v>
      </c>
      <c r="L1133" s="92" t="s">
        <v>302</v>
      </c>
      <c r="M1133" s="91" t="str">
        <f t="shared" si="221"/>
        <v>no aplica</v>
      </c>
      <c r="N1133" s="93">
        <v>41608</v>
      </c>
      <c r="O1133" s="94"/>
      <c r="P1133" s="94"/>
      <c r="Q1133" s="94">
        <v>988</v>
      </c>
      <c r="R1133" s="95">
        <f t="shared" si="212"/>
        <v>15048.330647221239</v>
      </c>
      <c r="S1133" s="94">
        <v>9847.6999999999989</v>
      </c>
      <c r="T1133" s="94">
        <f t="shared" si="222"/>
        <v>10514.389289999999</v>
      </c>
      <c r="U1133" s="94">
        <f t="shared" si="217"/>
        <v>11118.966674175001</v>
      </c>
      <c r="V1133" s="94">
        <f t="shared" si="218"/>
        <v>11573.732411148758</v>
      </c>
      <c r="W1133" s="97">
        <f t="shared" si="215"/>
        <v>11941.777101823289</v>
      </c>
      <c r="X1133" s="97">
        <f t="shared" si="216"/>
        <v>12395.564631692574</v>
      </c>
      <c r="Y1133" s="97">
        <f t="shared" si="211"/>
        <v>12595.133222262824</v>
      </c>
      <c r="Z1133" s="97">
        <f t="shared" si="213"/>
        <v>13302.979709353995</v>
      </c>
      <c r="AA1133" s="97">
        <f t="shared" si="214"/>
        <v>15048.330647221239</v>
      </c>
    </row>
    <row r="1134" spans="1:27" x14ac:dyDescent="0.25">
      <c r="A1134" s="102" t="s">
        <v>2596</v>
      </c>
      <c r="B1134" s="87" t="s">
        <v>2597</v>
      </c>
      <c r="C1134" s="88" t="s">
        <v>226</v>
      </c>
      <c r="D1134" s="89" t="s">
        <v>262</v>
      </c>
      <c r="E1134" s="90">
        <f t="shared" si="219"/>
        <v>5544</v>
      </c>
      <c r="F1134" s="90">
        <f t="shared" si="220"/>
        <v>5544.1218173973002</v>
      </c>
      <c r="G1134" s="91">
        <v>0</v>
      </c>
      <c r="H1134" s="91" t="s">
        <v>228</v>
      </c>
      <c r="I1134" s="91" t="s">
        <v>228</v>
      </c>
      <c r="J1134" s="91" t="s">
        <v>228</v>
      </c>
      <c r="K1134" s="91" t="s">
        <v>228</v>
      </c>
      <c r="L1134" s="92" t="s">
        <v>302</v>
      </c>
      <c r="M1134" s="91" t="str">
        <f t="shared" si="221"/>
        <v>no aplica</v>
      </c>
      <c r="N1134" s="93">
        <v>41608</v>
      </c>
      <c r="O1134" s="94"/>
      <c r="P1134" s="94"/>
      <c r="Q1134" s="94">
        <v>989</v>
      </c>
      <c r="R1134" s="95">
        <f t="shared" si="212"/>
        <v>5544.1218173973002</v>
      </c>
      <c r="S1134" s="94">
        <v>3628.1</v>
      </c>
      <c r="T1134" s="94">
        <f t="shared" si="222"/>
        <v>3873.7223700000004</v>
      </c>
      <c r="U1134" s="94">
        <f t="shared" si="217"/>
        <v>4096.4614062750006</v>
      </c>
      <c r="V1134" s="94">
        <f t="shared" si="218"/>
        <v>4264.0066777916481</v>
      </c>
      <c r="W1134" s="97">
        <f t="shared" si="215"/>
        <v>4399.6020901454231</v>
      </c>
      <c r="X1134" s="97">
        <f t="shared" si="216"/>
        <v>4566.7869695709496</v>
      </c>
      <c r="Y1134" s="97">
        <f t="shared" si="211"/>
        <v>4640.3122397810421</v>
      </c>
      <c r="Z1134" s="97">
        <f t="shared" si="213"/>
        <v>4901.0977876567367</v>
      </c>
      <c r="AA1134" s="97">
        <f t="shared" si="214"/>
        <v>5544.1218173973002</v>
      </c>
    </row>
    <row r="1135" spans="1:27" x14ac:dyDescent="0.25">
      <c r="A1135" s="102" t="s">
        <v>2598</v>
      </c>
      <c r="B1135" s="98" t="s">
        <v>2599</v>
      </c>
      <c r="C1135" s="99" t="s">
        <v>226</v>
      </c>
      <c r="D1135" s="100" t="s">
        <v>262</v>
      </c>
      <c r="E1135" s="101">
        <f t="shared" si="219"/>
        <v>12672</v>
      </c>
      <c r="F1135" s="90">
        <f t="shared" si="220"/>
        <v>12672.278439765254</v>
      </c>
      <c r="G1135" s="91">
        <v>0</v>
      </c>
      <c r="H1135" s="91" t="s">
        <v>228</v>
      </c>
      <c r="I1135" s="91" t="s">
        <v>228</v>
      </c>
      <c r="J1135" s="91" t="s">
        <v>228</v>
      </c>
      <c r="K1135" s="91" t="s">
        <v>228</v>
      </c>
      <c r="L1135" s="92" t="s">
        <v>302</v>
      </c>
      <c r="M1135" s="91" t="str">
        <f t="shared" si="221"/>
        <v>no aplica</v>
      </c>
      <c r="N1135" s="93">
        <v>41608</v>
      </c>
      <c r="O1135" s="94"/>
      <c r="P1135" s="94"/>
      <c r="Q1135" s="94">
        <v>990</v>
      </c>
      <c r="R1135" s="95">
        <f t="shared" si="212"/>
        <v>12672.278439765254</v>
      </c>
      <c r="S1135" s="94">
        <v>8292.7999999999993</v>
      </c>
      <c r="T1135" s="94">
        <f t="shared" si="222"/>
        <v>8854.2225600000002</v>
      </c>
      <c r="U1135" s="94">
        <f t="shared" si="217"/>
        <v>9363.3403572000007</v>
      </c>
      <c r="V1135" s="94">
        <f t="shared" si="218"/>
        <v>9746.3009778094802</v>
      </c>
      <c r="W1135" s="97">
        <f t="shared" si="215"/>
        <v>10056.233348903823</v>
      </c>
      <c r="X1135" s="97">
        <f t="shared" si="216"/>
        <v>10438.370216162168</v>
      </c>
      <c r="Y1135" s="97">
        <f t="shared" si="211"/>
        <v>10606.427976642379</v>
      </c>
      <c r="Z1135" s="97">
        <f t="shared" si="213"/>
        <v>11202.509228929681</v>
      </c>
      <c r="AA1135" s="97">
        <f t="shared" si="214"/>
        <v>12672.278439765254</v>
      </c>
    </row>
    <row r="1136" spans="1:27" x14ac:dyDescent="0.25">
      <c r="A1136" s="86" t="s">
        <v>2600</v>
      </c>
      <c r="B1136" s="87" t="s">
        <v>2601</v>
      </c>
      <c r="C1136" s="88" t="s">
        <v>226</v>
      </c>
      <c r="D1136" s="89" t="s">
        <v>262</v>
      </c>
      <c r="E1136" s="90">
        <f t="shared" si="219"/>
        <v>11880</v>
      </c>
      <c r="F1136" s="90">
        <f t="shared" si="220"/>
        <v>11880.261037279928</v>
      </c>
      <c r="G1136" s="91">
        <v>0</v>
      </c>
      <c r="H1136" s="91" t="s">
        <v>228</v>
      </c>
      <c r="I1136" s="91" t="s">
        <v>228</v>
      </c>
      <c r="J1136" s="91" t="s">
        <v>228</v>
      </c>
      <c r="K1136" s="91" t="s">
        <v>228</v>
      </c>
      <c r="L1136" s="92" t="s">
        <v>302</v>
      </c>
      <c r="M1136" s="91" t="str">
        <f t="shared" si="221"/>
        <v>no aplica</v>
      </c>
      <c r="N1136" s="93">
        <v>41608</v>
      </c>
      <c r="O1136" s="94"/>
      <c r="P1136" s="94"/>
      <c r="Q1136" s="94">
        <v>991</v>
      </c>
      <c r="R1136" s="95">
        <f t="shared" si="212"/>
        <v>11880.261037279928</v>
      </c>
      <c r="S1136" s="94">
        <v>7774.5</v>
      </c>
      <c r="T1136" s="94">
        <f t="shared" si="222"/>
        <v>8300.8336500000005</v>
      </c>
      <c r="U1136" s="94">
        <f t="shared" si="217"/>
        <v>8778.1315848750019</v>
      </c>
      <c r="V1136" s="94">
        <f t="shared" si="218"/>
        <v>9137.1571666963882</v>
      </c>
      <c r="W1136" s="97">
        <f t="shared" si="215"/>
        <v>9427.7187645973336</v>
      </c>
      <c r="X1136" s="97">
        <f t="shared" si="216"/>
        <v>9785.9720776520335</v>
      </c>
      <c r="Y1136" s="97">
        <f t="shared" si="211"/>
        <v>9943.5262281022315</v>
      </c>
      <c r="Z1136" s="97">
        <f t="shared" si="213"/>
        <v>10502.352402121578</v>
      </c>
      <c r="AA1136" s="97">
        <f t="shared" si="214"/>
        <v>11880.261037279928</v>
      </c>
    </row>
    <row r="1137" spans="1:27" x14ac:dyDescent="0.25">
      <c r="A1137" s="102" t="s">
        <v>2602</v>
      </c>
      <c r="B1137" s="87" t="s">
        <v>2603</v>
      </c>
      <c r="C1137" s="88" t="s">
        <v>226</v>
      </c>
      <c r="D1137" s="89" t="s">
        <v>292</v>
      </c>
      <c r="E1137" s="90">
        <f t="shared" si="219"/>
        <v>1584</v>
      </c>
      <c r="F1137" s="90">
        <f t="shared" si="220"/>
        <v>1584.0348049706568</v>
      </c>
      <c r="G1137" s="91">
        <v>0</v>
      </c>
      <c r="H1137" s="91" t="s">
        <v>228</v>
      </c>
      <c r="I1137" s="91" t="s">
        <v>228</v>
      </c>
      <c r="J1137" s="91" t="s">
        <v>228</v>
      </c>
      <c r="K1137" s="91" t="s">
        <v>228</v>
      </c>
      <c r="L1137" s="92" t="s">
        <v>302</v>
      </c>
      <c r="M1137" s="91" t="str">
        <f t="shared" si="221"/>
        <v>no aplica</v>
      </c>
      <c r="N1137" s="93">
        <v>41608</v>
      </c>
      <c r="O1137" s="94"/>
      <c r="P1137" s="94"/>
      <c r="Q1137" s="94">
        <v>992</v>
      </c>
      <c r="R1137" s="95">
        <f t="shared" si="212"/>
        <v>1584.0348049706568</v>
      </c>
      <c r="S1137" s="94">
        <v>1036.5999999999999</v>
      </c>
      <c r="T1137" s="94">
        <f t="shared" si="222"/>
        <v>1106.77782</v>
      </c>
      <c r="U1137" s="94">
        <f t="shared" si="217"/>
        <v>1170.4175446500001</v>
      </c>
      <c r="V1137" s="94">
        <f t="shared" si="218"/>
        <v>1218.287622226185</v>
      </c>
      <c r="W1137" s="97">
        <f t="shared" si="215"/>
        <v>1257.0291686129779</v>
      </c>
      <c r="X1137" s="97">
        <f t="shared" si="216"/>
        <v>1304.796277020271</v>
      </c>
      <c r="Y1137" s="97">
        <f t="shared" si="211"/>
        <v>1325.8034970802973</v>
      </c>
      <c r="Z1137" s="97">
        <f t="shared" si="213"/>
        <v>1400.3136536162101</v>
      </c>
      <c r="AA1137" s="97">
        <f t="shared" si="214"/>
        <v>1584.0348049706568</v>
      </c>
    </row>
    <row r="1138" spans="1:27" x14ac:dyDescent="0.25">
      <c r="A1138" s="102" t="s">
        <v>2604</v>
      </c>
      <c r="B1138" s="87" t="s">
        <v>2605</v>
      </c>
      <c r="C1138" s="88" t="s">
        <v>226</v>
      </c>
      <c r="D1138" s="89" t="s">
        <v>4</v>
      </c>
      <c r="E1138" s="90">
        <f t="shared" si="219"/>
        <v>1267</v>
      </c>
      <c r="F1138" s="90">
        <f t="shared" si="220"/>
        <v>1267.2278439765253</v>
      </c>
      <c r="G1138" s="91">
        <v>0</v>
      </c>
      <c r="H1138" s="91" t="s">
        <v>228</v>
      </c>
      <c r="I1138" s="91" t="s">
        <v>228</v>
      </c>
      <c r="J1138" s="91" t="s">
        <v>228</v>
      </c>
      <c r="K1138" s="91" t="s">
        <v>228</v>
      </c>
      <c r="L1138" s="92" t="s">
        <v>302</v>
      </c>
      <c r="M1138" s="91" t="str">
        <f t="shared" si="221"/>
        <v>no aplica</v>
      </c>
      <c r="N1138" s="93">
        <v>41608</v>
      </c>
      <c r="O1138" s="94"/>
      <c r="P1138" s="94"/>
      <c r="Q1138" s="94">
        <v>993</v>
      </c>
      <c r="R1138" s="95">
        <f t="shared" si="212"/>
        <v>1267.2278439765253</v>
      </c>
      <c r="S1138" s="94">
        <v>829.28</v>
      </c>
      <c r="T1138" s="94">
        <f t="shared" si="222"/>
        <v>885.42225600000006</v>
      </c>
      <c r="U1138" s="94">
        <f t="shared" si="217"/>
        <v>936.3340357200002</v>
      </c>
      <c r="V1138" s="94">
        <f t="shared" si="218"/>
        <v>974.63009778094818</v>
      </c>
      <c r="W1138" s="97">
        <f t="shared" si="215"/>
        <v>1005.6233348903824</v>
      </c>
      <c r="X1138" s="97">
        <f t="shared" si="216"/>
        <v>1043.8370216162168</v>
      </c>
      <c r="Y1138" s="97">
        <f t="shared" si="211"/>
        <v>1060.6427976642378</v>
      </c>
      <c r="Z1138" s="97">
        <f t="shared" si="213"/>
        <v>1120.250922892968</v>
      </c>
      <c r="AA1138" s="97">
        <f t="shared" si="214"/>
        <v>1267.2278439765253</v>
      </c>
    </row>
    <row r="1139" spans="1:27" x14ac:dyDescent="0.25">
      <c r="A1139" s="102" t="s">
        <v>2606</v>
      </c>
      <c r="B1139" s="87" t="s">
        <v>2607</v>
      </c>
      <c r="C1139" s="88" t="s">
        <v>226</v>
      </c>
      <c r="D1139" s="89" t="s">
        <v>262</v>
      </c>
      <c r="E1139" s="90">
        <f t="shared" si="219"/>
        <v>1584</v>
      </c>
      <c r="F1139" s="90">
        <f t="shared" si="220"/>
        <v>1584.0348049706568</v>
      </c>
      <c r="G1139" s="91">
        <v>0</v>
      </c>
      <c r="H1139" s="91" t="s">
        <v>228</v>
      </c>
      <c r="I1139" s="91" t="s">
        <v>228</v>
      </c>
      <c r="J1139" s="91" t="s">
        <v>228</v>
      </c>
      <c r="K1139" s="91" t="s">
        <v>228</v>
      </c>
      <c r="L1139" s="92" t="s">
        <v>302</v>
      </c>
      <c r="M1139" s="91" t="str">
        <f t="shared" si="221"/>
        <v>no aplica</v>
      </c>
      <c r="N1139" s="93">
        <v>41608</v>
      </c>
      <c r="O1139" s="94"/>
      <c r="P1139" s="94"/>
      <c r="Q1139" s="94">
        <v>994</v>
      </c>
      <c r="R1139" s="95">
        <f t="shared" si="212"/>
        <v>1584.0348049706568</v>
      </c>
      <c r="S1139" s="94">
        <v>1036.5999999999999</v>
      </c>
      <c r="T1139" s="94">
        <f t="shared" si="222"/>
        <v>1106.77782</v>
      </c>
      <c r="U1139" s="94">
        <f t="shared" si="217"/>
        <v>1170.4175446500001</v>
      </c>
      <c r="V1139" s="94">
        <f t="shared" si="218"/>
        <v>1218.287622226185</v>
      </c>
      <c r="W1139" s="97">
        <f t="shared" si="215"/>
        <v>1257.0291686129779</v>
      </c>
      <c r="X1139" s="97">
        <f t="shared" si="216"/>
        <v>1304.796277020271</v>
      </c>
      <c r="Y1139" s="97">
        <f t="shared" si="211"/>
        <v>1325.8034970802973</v>
      </c>
      <c r="Z1139" s="97">
        <f t="shared" si="213"/>
        <v>1400.3136536162101</v>
      </c>
      <c r="AA1139" s="97">
        <f t="shared" si="214"/>
        <v>1584.0348049706568</v>
      </c>
    </row>
    <row r="1140" spans="1:27" x14ac:dyDescent="0.25">
      <c r="A1140" s="102" t="s">
        <v>2608</v>
      </c>
      <c r="B1140" s="87" t="s">
        <v>2609</v>
      </c>
      <c r="C1140" s="88" t="s">
        <v>226</v>
      </c>
      <c r="D1140" s="89" t="s">
        <v>292</v>
      </c>
      <c r="E1140" s="90">
        <f t="shared" si="219"/>
        <v>9926</v>
      </c>
      <c r="F1140" s="90">
        <f t="shared" si="220"/>
        <v>9925.5620879461367</v>
      </c>
      <c r="G1140" s="91">
        <v>0</v>
      </c>
      <c r="H1140" s="91" t="s">
        <v>228</v>
      </c>
      <c r="I1140" s="91" t="s">
        <v>228</v>
      </c>
      <c r="J1140" s="91" t="s">
        <v>228</v>
      </c>
      <c r="K1140" s="91" t="s">
        <v>228</v>
      </c>
      <c r="L1140" s="92" t="s">
        <v>302</v>
      </c>
      <c r="M1140" s="91" t="str">
        <f t="shared" si="221"/>
        <v>no aplica</v>
      </c>
      <c r="N1140" s="93">
        <v>41608</v>
      </c>
      <c r="O1140" s="94"/>
      <c r="P1140" s="94"/>
      <c r="Q1140" s="94">
        <v>995</v>
      </c>
      <c r="R1140" s="95">
        <f t="shared" si="212"/>
        <v>9925.5620879461367</v>
      </c>
      <c r="S1140" s="94">
        <v>6495.3355999999994</v>
      </c>
      <c r="T1140" s="94">
        <f t="shared" si="222"/>
        <v>6935.0698201200003</v>
      </c>
      <c r="U1140" s="94">
        <f t="shared" si="217"/>
        <v>7333.8363347769009</v>
      </c>
      <c r="V1140" s="94">
        <f t="shared" si="218"/>
        <v>7633.7902408692753</v>
      </c>
      <c r="W1140" s="97">
        <f t="shared" si="215"/>
        <v>7876.5447705289189</v>
      </c>
      <c r="X1140" s="97">
        <f t="shared" si="216"/>
        <v>8175.8534718090177</v>
      </c>
      <c r="Y1140" s="97">
        <f t="shared" si="211"/>
        <v>8307.4847127051435</v>
      </c>
      <c r="Z1140" s="97">
        <f t="shared" si="213"/>
        <v>8774.3653535591729</v>
      </c>
      <c r="AA1140" s="97">
        <f t="shared" si="214"/>
        <v>9925.5620879461367</v>
      </c>
    </row>
    <row r="1141" spans="1:27" x14ac:dyDescent="0.25">
      <c r="A1141" s="102" t="s">
        <v>2610</v>
      </c>
      <c r="B1141" s="87" t="s">
        <v>2611</v>
      </c>
      <c r="C1141" s="88" t="s">
        <v>226</v>
      </c>
      <c r="D1141" s="89" t="s">
        <v>262</v>
      </c>
      <c r="E1141" s="90">
        <f t="shared" si="219"/>
        <v>21384</v>
      </c>
      <c r="F1141" s="90">
        <f t="shared" si="220"/>
        <v>21384.469867103871</v>
      </c>
      <c r="G1141" s="91">
        <v>0</v>
      </c>
      <c r="H1141" s="91" t="s">
        <v>228</v>
      </c>
      <c r="I1141" s="91" t="s">
        <v>228</v>
      </c>
      <c r="J1141" s="91" t="s">
        <v>228</v>
      </c>
      <c r="K1141" s="91" t="s">
        <v>228</v>
      </c>
      <c r="L1141" s="92" t="s">
        <v>302</v>
      </c>
      <c r="M1141" s="91" t="str">
        <f t="shared" si="221"/>
        <v>no aplica</v>
      </c>
      <c r="N1141" s="93">
        <v>41608</v>
      </c>
      <c r="O1141" s="94"/>
      <c r="P1141" s="94"/>
      <c r="Q1141" s="94">
        <v>996</v>
      </c>
      <c r="R1141" s="95">
        <f t="shared" si="212"/>
        <v>21384.469867103871</v>
      </c>
      <c r="S1141" s="94">
        <v>13994.1</v>
      </c>
      <c r="T1141" s="94">
        <f t="shared" si="222"/>
        <v>14941.500570000002</v>
      </c>
      <c r="U1141" s="94">
        <f t="shared" si="217"/>
        <v>15800.636852775004</v>
      </c>
      <c r="V1141" s="94">
        <f t="shared" si="218"/>
        <v>16446.882900053501</v>
      </c>
      <c r="W1141" s="97">
        <f t="shared" si="215"/>
        <v>16969.893776275203</v>
      </c>
      <c r="X1141" s="97">
        <f t="shared" si="216"/>
        <v>17614.749739773662</v>
      </c>
      <c r="Y1141" s="97">
        <f t="shared" si="211"/>
        <v>17898.347210584019</v>
      </c>
      <c r="Z1141" s="97">
        <f t="shared" si="213"/>
        <v>18904.23432381884</v>
      </c>
      <c r="AA1141" s="97">
        <f t="shared" si="214"/>
        <v>21384.469867103871</v>
      </c>
    </row>
    <row r="1142" spans="1:27" x14ac:dyDescent="0.25">
      <c r="A1142" s="102" t="s">
        <v>2612</v>
      </c>
      <c r="B1142" s="87" t="s">
        <v>2613</v>
      </c>
      <c r="C1142" s="88" t="s">
        <v>226</v>
      </c>
      <c r="D1142" s="89" t="s">
        <v>262</v>
      </c>
      <c r="E1142" s="90">
        <f t="shared" si="219"/>
        <v>21068</v>
      </c>
      <c r="F1142" s="90">
        <f t="shared" si="220"/>
        <v>21067.662906109737</v>
      </c>
      <c r="G1142" s="91">
        <v>0</v>
      </c>
      <c r="H1142" s="91" t="s">
        <v>228</v>
      </c>
      <c r="I1142" s="91" t="s">
        <v>228</v>
      </c>
      <c r="J1142" s="91" t="s">
        <v>228</v>
      </c>
      <c r="K1142" s="91" t="s">
        <v>228</v>
      </c>
      <c r="L1142" s="92" t="s">
        <v>302</v>
      </c>
      <c r="M1142" s="91" t="str">
        <f t="shared" si="221"/>
        <v>no aplica</v>
      </c>
      <c r="N1142" s="93">
        <v>41608</v>
      </c>
      <c r="O1142" s="94"/>
      <c r="P1142" s="94"/>
      <c r="Q1142" s="94">
        <v>997</v>
      </c>
      <c r="R1142" s="95">
        <f t="shared" si="212"/>
        <v>21067.662906109737</v>
      </c>
      <c r="S1142" s="94">
        <v>13786.779999999999</v>
      </c>
      <c r="T1142" s="94">
        <f t="shared" si="222"/>
        <v>14720.145006000001</v>
      </c>
      <c r="U1142" s="94">
        <f t="shared" si="217"/>
        <v>15566.553343845002</v>
      </c>
      <c r="V1142" s="94">
        <f t="shared" si="218"/>
        <v>16203.225375608261</v>
      </c>
      <c r="W1142" s="97">
        <f t="shared" si="215"/>
        <v>16718.487942552605</v>
      </c>
      <c r="X1142" s="97">
        <f t="shared" si="216"/>
        <v>17353.790484369605</v>
      </c>
      <c r="Y1142" s="97">
        <f t="shared" si="211"/>
        <v>17633.186511167954</v>
      </c>
      <c r="Z1142" s="97">
        <f t="shared" si="213"/>
        <v>18624.171593095594</v>
      </c>
      <c r="AA1142" s="97">
        <f t="shared" si="214"/>
        <v>21067.662906109737</v>
      </c>
    </row>
    <row r="1143" spans="1:27" x14ac:dyDescent="0.25">
      <c r="A1143" s="102" t="s">
        <v>2614</v>
      </c>
      <c r="B1143" s="87" t="s">
        <v>2615</v>
      </c>
      <c r="C1143" s="88" t="s">
        <v>226</v>
      </c>
      <c r="D1143" s="89" t="s">
        <v>262</v>
      </c>
      <c r="E1143" s="90">
        <f t="shared" si="219"/>
        <v>475</v>
      </c>
      <c r="F1143" s="90">
        <f t="shared" si="220"/>
        <v>475.21044149119723</v>
      </c>
      <c r="G1143" s="91">
        <v>0</v>
      </c>
      <c r="H1143" s="91" t="s">
        <v>228</v>
      </c>
      <c r="I1143" s="91" t="s">
        <v>228</v>
      </c>
      <c r="J1143" s="91" t="s">
        <v>228</v>
      </c>
      <c r="K1143" s="91" t="s">
        <v>228</v>
      </c>
      <c r="L1143" s="92" t="s">
        <v>302</v>
      </c>
      <c r="M1143" s="91" t="str">
        <f t="shared" si="221"/>
        <v>no aplica</v>
      </c>
      <c r="N1143" s="93">
        <v>41608</v>
      </c>
      <c r="O1143" s="94"/>
      <c r="P1143" s="94"/>
      <c r="Q1143" s="94">
        <v>998</v>
      </c>
      <c r="R1143" s="95">
        <f t="shared" si="212"/>
        <v>475.21044149119723</v>
      </c>
      <c r="S1143" s="94">
        <v>310.98</v>
      </c>
      <c r="T1143" s="94">
        <f t="shared" si="222"/>
        <v>332.03334600000005</v>
      </c>
      <c r="U1143" s="94">
        <f t="shared" si="217"/>
        <v>351.1252633950001</v>
      </c>
      <c r="V1143" s="94">
        <f t="shared" si="218"/>
        <v>365.48628666785561</v>
      </c>
      <c r="W1143" s="97">
        <f t="shared" si="215"/>
        <v>377.10875058389342</v>
      </c>
      <c r="X1143" s="97">
        <f t="shared" si="216"/>
        <v>391.43888310608139</v>
      </c>
      <c r="Y1143" s="97">
        <f t="shared" si="211"/>
        <v>397.74104912408933</v>
      </c>
      <c r="Z1143" s="97">
        <f t="shared" si="213"/>
        <v>420.09409608486317</v>
      </c>
      <c r="AA1143" s="97">
        <f t="shared" si="214"/>
        <v>475.21044149119723</v>
      </c>
    </row>
    <row r="1144" spans="1:27" x14ac:dyDescent="0.25">
      <c r="A1144" s="102" t="s">
        <v>2616</v>
      </c>
      <c r="B1144" s="87" t="s">
        <v>2617</v>
      </c>
      <c r="C1144" s="88" t="s">
        <v>226</v>
      </c>
      <c r="D1144" s="89" t="s">
        <v>262</v>
      </c>
      <c r="E1144" s="90">
        <f t="shared" si="219"/>
        <v>24806</v>
      </c>
      <c r="F1144" s="90">
        <f t="shared" si="220"/>
        <v>24805.985045840487</v>
      </c>
      <c r="G1144" s="91">
        <v>0</v>
      </c>
      <c r="H1144" s="91" t="s">
        <v>228</v>
      </c>
      <c r="I1144" s="91" t="s">
        <v>228</v>
      </c>
      <c r="J1144" s="91" t="s">
        <v>228</v>
      </c>
      <c r="K1144" s="91" t="s">
        <v>228</v>
      </c>
      <c r="L1144" s="92" t="s">
        <v>302</v>
      </c>
      <c r="M1144" s="91" t="str">
        <f t="shared" si="221"/>
        <v>no aplica</v>
      </c>
      <c r="N1144" s="93">
        <v>41608</v>
      </c>
      <c r="O1144" s="94"/>
      <c r="P1144" s="94"/>
      <c r="Q1144" s="94">
        <v>999</v>
      </c>
      <c r="R1144" s="95">
        <f t="shared" si="212"/>
        <v>24805.985045840487</v>
      </c>
      <c r="S1144" s="94">
        <v>16233.155999999999</v>
      </c>
      <c r="T1144" s="94">
        <f t="shared" si="222"/>
        <v>17332.140661199999</v>
      </c>
      <c r="U1144" s="94">
        <f t="shared" si="217"/>
        <v>18328.738749218999</v>
      </c>
      <c r="V1144" s="94">
        <f t="shared" si="218"/>
        <v>19078.384164062056</v>
      </c>
      <c r="W1144" s="97">
        <f t="shared" si="215"/>
        <v>19685.07678047923</v>
      </c>
      <c r="X1144" s="97">
        <f t="shared" si="216"/>
        <v>20433.109698137443</v>
      </c>
      <c r="Y1144" s="97">
        <f t="shared" si="211"/>
        <v>20762.082764277457</v>
      </c>
      <c r="Z1144" s="97">
        <f t="shared" si="213"/>
        <v>21928.91181562985</v>
      </c>
      <c r="AA1144" s="97">
        <f t="shared" si="214"/>
        <v>24805.985045840487</v>
      </c>
    </row>
    <row r="1145" spans="1:27" x14ac:dyDescent="0.25">
      <c r="A1145" s="105" t="s">
        <v>228</v>
      </c>
      <c r="B1145" s="106" t="s">
        <v>2618</v>
      </c>
      <c r="C1145" s="107"/>
      <c r="D1145" s="108"/>
      <c r="E1145" s="90">
        <f t="shared" si="219"/>
        <v>0</v>
      </c>
      <c r="F1145" s="90">
        <f t="shared" si="220"/>
        <v>0</v>
      </c>
      <c r="G1145" s="91"/>
      <c r="H1145" s="91"/>
      <c r="I1145" s="91"/>
      <c r="J1145" s="91"/>
      <c r="K1145" s="91"/>
      <c r="L1145" s="92"/>
      <c r="M1145" s="91"/>
      <c r="N1145" s="93">
        <v>41608</v>
      </c>
      <c r="O1145" s="109"/>
      <c r="P1145" s="109"/>
      <c r="Q1145" s="109">
        <v>0</v>
      </c>
      <c r="R1145" s="95">
        <f t="shared" si="212"/>
        <v>0</v>
      </c>
      <c r="S1145" s="109">
        <v>0</v>
      </c>
      <c r="T1145" s="94">
        <f t="shared" si="222"/>
        <v>0</v>
      </c>
      <c r="U1145" s="94">
        <f t="shared" si="217"/>
        <v>0</v>
      </c>
      <c r="V1145" s="94">
        <f t="shared" si="218"/>
        <v>0</v>
      </c>
      <c r="W1145" s="97">
        <f t="shared" si="215"/>
        <v>0</v>
      </c>
      <c r="X1145" s="97">
        <f t="shared" si="216"/>
        <v>0</v>
      </c>
      <c r="Y1145" s="97">
        <f t="shared" ref="Y1145:Y1208" si="223">+X1145*(1+$Y$4)</f>
        <v>0</v>
      </c>
      <c r="Z1145" s="97">
        <f t="shared" si="213"/>
        <v>0</v>
      </c>
      <c r="AA1145" s="97">
        <f t="shared" si="214"/>
        <v>0</v>
      </c>
    </row>
    <row r="1146" spans="1:27" x14ac:dyDescent="0.25">
      <c r="A1146" s="102" t="s">
        <v>2619</v>
      </c>
      <c r="B1146" s="110" t="s">
        <v>2620</v>
      </c>
      <c r="C1146" s="88" t="s">
        <v>226</v>
      </c>
      <c r="D1146" s="89" t="s">
        <v>814</v>
      </c>
      <c r="E1146" s="90">
        <f t="shared" si="219"/>
        <v>58527</v>
      </c>
      <c r="F1146" s="90">
        <f t="shared" si="220"/>
        <v>49182.69665953394</v>
      </c>
      <c r="G1146" s="91">
        <v>0.19</v>
      </c>
      <c r="H1146" s="91" t="s">
        <v>228</v>
      </c>
      <c r="I1146" s="91" t="s">
        <v>228</v>
      </c>
      <c r="J1146" s="91" t="s">
        <v>228</v>
      </c>
      <c r="K1146" s="91" t="s">
        <v>228</v>
      </c>
      <c r="L1146" s="92" t="s">
        <v>2621</v>
      </c>
      <c r="M1146" s="91" t="str">
        <f t="shared" si="221"/>
        <v>VER ARCHIVO ANEXO</v>
      </c>
      <c r="N1146" s="93">
        <v>41608</v>
      </c>
      <c r="O1146" s="94"/>
      <c r="P1146" s="94"/>
      <c r="Q1146" s="94">
        <v>1000</v>
      </c>
      <c r="R1146" s="95">
        <f t="shared" si="212"/>
        <v>49182.69665953394</v>
      </c>
      <c r="S1146" s="94">
        <v>32185.393399999997</v>
      </c>
      <c r="T1146" s="94">
        <f t="shared" si="222"/>
        <v>34364.344533180003</v>
      </c>
      <c r="U1146" s="94">
        <f t="shared" si="217"/>
        <v>36340.294343837857</v>
      </c>
      <c r="V1146" s="94">
        <f t="shared" si="218"/>
        <v>37826.612382500825</v>
      </c>
      <c r="W1146" s="97">
        <f t="shared" si="215"/>
        <v>39029.498656264353</v>
      </c>
      <c r="X1146" s="97">
        <f t="shared" si="216"/>
        <v>40512.619605202402</v>
      </c>
      <c r="Y1146" s="97">
        <f t="shared" si="223"/>
        <v>41164.872780846163</v>
      </c>
      <c r="Z1146" s="97">
        <f t="shared" si="213"/>
        <v>43478.338631129722</v>
      </c>
      <c r="AA1146" s="97">
        <f t="shared" si="214"/>
        <v>49182.69665953394</v>
      </c>
    </row>
    <row r="1147" spans="1:27" x14ac:dyDescent="0.25">
      <c r="A1147" s="102" t="s">
        <v>2622</v>
      </c>
      <c r="B1147" s="98" t="s">
        <v>2623</v>
      </c>
      <c r="C1147" s="99" t="s">
        <v>226</v>
      </c>
      <c r="D1147" s="100" t="s">
        <v>814</v>
      </c>
      <c r="E1147" s="101">
        <f t="shared" si="219"/>
        <v>73159</v>
      </c>
      <c r="F1147" s="90">
        <f t="shared" si="220"/>
        <v>61477.974815716159</v>
      </c>
      <c r="G1147" s="91">
        <v>0.19</v>
      </c>
      <c r="H1147" s="91" t="s">
        <v>228</v>
      </c>
      <c r="I1147" s="91" t="s">
        <v>228</v>
      </c>
      <c r="J1147" s="91" t="s">
        <v>228</v>
      </c>
      <c r="K1147" s="91" t="s">
        <v>228</v>
      </c>
      <c r="L1147" s="92" t="s">
        <v>2624</v>
      </c>
      <c r="M1147" s="91" t="str">
        <f t="shared" si="221"/>
        <v>VER ARCHIVO ANEXO</v>
      </c>
      <c r="N1147" s="93">
        <v>41608</v>
      </c>
      <c r="O1147" s="94"/>
      <c r="P1147" s="94"/>
      <c r="Q1147" s="94">
        <v>1001</v>
      </c>
      <c r="R1147" s="95">
        <f t="shared" si="212"/>
        <v>61477.974815716159</v>
      </c>
      <c r="S1147" s="94">
        <v>40231.482599999996</v>
      </c>
      <c r="T1147" s="94">
        <f t="shared" si="222"/>
        <v>42955.153972020002</v>
      </c>
      <c r="U1147" s="94">
        <f t="shared" si="217"/>
        <v>45425.075325411155</v>
      </c>
      <c r="V1147" s="94">
        <f t="shared" si="218"/>
        <v>47282.960906220469</v>
      </c>
      <c r="W1147" s="97">
        <f t="shared" si="215"/>
        <v>48786.559063038279</v>
      </c>
      <c r="X1147" s="97">
        <f t="shared" si="216"/>
        <v>50640.448307433733</v>
      </c>
      <c r="Y1147" s="97">
        <f t="shared" si="223"/>
        <v>51455.759525183414</v>
      </c>
      <c r="Z1147" s="97">
        <f t="shared" si="213"/>
        <v>54347.573210498726</v>
      </c>
      <c r="AA1147" s="97">
        <f t="shared" si="214"/>
        <v>61477.974815716159</v>
      </c>
    </row>
    <row r="1148" spans="1:27" x14ac:dyDescent="0.25">
      <c r="A1148" s="102" t="s">
        <v>2625</v>
      </c>
      <c r="B1148" s="87" t="s">
        <v>2626</v>
      </c>
      <c r="C1148" s="88" t="s">
        <v>226</v>
      </c>
      <c r="D1148" s="89" t="s">
        <v>814</v>
      </c>
      <c r="E1148" s="90">
        <f t="shared" si="219"/>
        <v>106084</v>
      </c>
      <c r="F1148" s="90">
        <f t="shared" si="220"/>
        <v>89146.310754138627</v>
      </c>
      <c r="G1148" s="91">
        <v>0.19</v>
      </c>
      <c r="H1148" s="91" t="s">
        <v>228</v>
      </c>
      <c r="I1148" s="91" t="s">
        <v>228</v>
      </c>
      <c r="J1148" s="91" t="s">
        <v>228</v>
      </c>
      <c r="K1148" s="91" t="s">
        <v>228</v>
      </c>
      <c r="L1148" s="92" t="s">
        <v>2627</v>
      </c>
      <c r="M1148" s="91" t="str">
        <f t="shared" si="221"/>
        <v>VER ARCHIVO ANEXO</v>
      </c>
      <c r="N1148" s="93">
        <v>41608</v>
      </c>
      <c r="O1148" s="94"/>
      <c r="P1148" s="94"/>
      <c r="Q1148" s="94">
        <v>1002</v>
      </c>
      <c r="R1148" s="95">
        <f t="shared" si="212"/>
        <v>89146.310754138627</v>
      </c>
      <c r="S1148" s="94">
        <v>58337.774799999999</v>
      </c>
      <c r="T1148" s="94">
        <f t="shared" si="222"/>
        <v>62287.242153960004</v>
      </c>
      <c r="U1148" s="94">
        <f t="shared" si="217"/>
        <v>65868.75857781271</v>
      </c>
      <c r="V1148" s="94">
        <f t="shared" si="218"/>
        <v>68562.790803645243</v>
      </c>
      <c r="W1148" s="97">
        <f t="shared" si="215"/>
        <v>70743.08755120117</v>
      </c>
      <c r="X1148" s="97">
        <f t="shared" si="216"/>
        <v>73431.324878146814</v>
      </c>
      <c r="Y1148" s="97">
        <f t="shared" si="223"/>
        <v>74613.569208684974</v>
      </c>
      <c r="Z1148" s="97">
        <f t="shared" si="213"/>
        <v>78806.851798213072</v>
      </c>
      <c r="AA1148" s="97">
        <f t="shared" si="214"/>
        <v>89146.310754138627</v>
      </c>
    </row>
    <row r="1149" spans="1:27" x14ac:dyDescent="0.25">
      <c r="A1149" s="102" t="s">
        <v>2628</v>
      </c>
      <c r="B1149" s="87" t="s">
        <v>2629</v>
      </c>
      <c r="C1149" s="88" t="s">
        <v>226</v>
      </c>
      <c r="D1149" s="89" t="s">
        <v>814</v>
      </c>
      <c r="E1149" s="90">
        <f t="shared" si="219"/>
        <v>26047</v>
      </c>
      <c r="F1149" s="90">
        <f t="shared" si="220"/>
        <v>21888.192935084542</v>
      </c>
      <c r="G1149" s="91">
        <v>0.19</v>
      </c>
      <c r="H1149" s="91" t="s">
        <v>228</v>
      </c>
      <c r="I1149" s="91" t="s">
        <v>228</v>
      </c>
      <c r="J1149" s="91" t="s">
        <v>228</v>
      </c>
      <c r="K1149" s="91" t="s">
        <v>228</v>
      </c>
      <c r="L1149" s="92" t="s">
        <v>2630</v>
      </c>
      <c r="M1149" s="91" t="str">
        <f t="shared" si="221"/>
        <v>VER ARCHIVO ANEXO</v>
      </c>
      <c r="N1149" s="93">
        <v>41608</v>
      </c>
      <c r="O1149" s="94"/>
      <c r="P1149" s="94"/>
      <c r="Q1149" s="94">
        <v>1003</v>
      </c>
      <c r="R1149" s="95">
        <f t="shared" si="212"/>
        <v>21888.192935084542</v>
      </c>
      <c r="S1149" s="94">
        <v>14323.738799999999</v>
      </c>
      <c r="T1149" s="94">
        <f t="shared" si="222"/>
        <v>15293.45591676</v>
      </c>
      <c r="U1149" s="94">
        <f t="shared" si="217"/>
        <v>16172.829631973702</v>
      </c>
      <c r="V1149" s="94">
        <f t="shared" si="218"/>
        <v>16834.298363921425</v>
      </c>
      <c r="W1149" s="97">
        <f t="shared" si="215"/>
        <v>17369.629051894128</v>
      </c>
      <c r="X1149" s="97">
        <f t="shared" si="216"/>
        <v>18029.674955866107</v>
      </c>
      <c r="Y1149" s="97">
        <f t="shared" si="223"/>
        <v>18319.952722655551</v>
      </c>
      <c r="Z1149" s="97">
        <f t="shared" si="213"/>
        <v>19349.534065668795</v>
      </c>
      <c r="AA1149" s="97">
        <f t="shared" si="214"/>
        <v>21888.192935084542</v>
      </c>
    </row>
    <row r="1150" spans="1:27" x14ac:dyDescent="0.25">
      <c r="A1150" s="102" t="s">
        <v>2631</v>
      </c>
      <c r="B1150" s="87" t="s">
        <v>2632</v>
      </c>
      <c r="C1150" s="88" t="s">
        <v>226</v>
      </c>
      <c r="D1150" s="89" t="s">
        <v>814</v>
      </c>
      <c r="E1150" s="90">
        <f t="shared" si="219"/>
        <v>24162</v>
      </c>
      <c r="F1150" s="90">
        <f t="shared" si="220"/>
        <v>20304.158130113879</v>
      </c>
      <c r="G1150" s="91">
        <v>0.19</v>
      </c>
      <c r="H1150" s="91" t="s">
        <v>228</v>
      </c>
      <c r="I1150" s="91" t="s">
        <v>228</v>
      </c>
      <c r="J1150" s="91" t="s">
        <v>228</v>
      </c>
      <c r="K1150" s="91" t="s">
        <v>228</v>
      </c>
      <c r="L1150" s="92" t="s">
        <v>2630</v>
      </c>
      <c r="M1150" s="91" t="str">
        <f t="shared" si="221"/>
        <v>VER ARCHIVO ANEXO</v>
      </c>
      <c r="N1150" s="93">
        <v>41608</v>
      </c>
      <c r="O1150" s="94"/>
      <c r="P1150" s="94"/>
      <c r="Q1150" s="94">
        <v>1004</v>
      </c>
      <c r="R1150" s="95">
        <f t="shared" si="212"/>
        <v>20304.158130113879</v>
      </c>
      <c r="S1150" s="94">
        <v>13287.138799999999</v>
      </c>
      <c r="T1150" s="94">
        <f t="shared" si="222"/>
        <v>14186.678096760001</v>
      </c>
      <c r="U1150" s="94">
        <f t="shared" si="217"/>
        <v>15002.412087323703</v>
      </c>
      <c r="V1150" s="94">
        <f t="shared" si="218"/>
        <v>15616.010741695241</v>
      </c>
      <c r="W1150" s="97">
        <f t="shared" si="215"/>
        <v>16112.599883281151</v>
      </c>
      <c r="X1150" s="97">
        <f t="shared" si="216"/>
        <v>16724.878678845835</v>
      </c>
      <c r="Y1150" s="97">
        <f t="shared" si="223"/>
        <v>16994.149225575253</v>
      </c>
      <c r="Z1150" s="97">
        <f t="shared" si="213"/>
        <v>17949.220412052582</v>
      </c>
      <c r="AA1150" s="97">
        <f t="shared" si="214"/>
        <v>20304.158130113879</v>
      </c>
    </row>
    <row r="1151" spans="1:27" x14ac:dyDescent="0.25">
      <c r="A1151" s="102" t="s">
        <v>2633</v>
      </c>
      <c r="B1151" s="87" t="s">
        <v>2634</v>
      </c>
      <c r="C1151" s="88" t="s">
        <v>226</v>
      </c>
      <c r="D1151" s="89" t="s">
        <v>227</v>
      </c>
      <c r="E1151" s="90">
        <f t="shared" si="219"/>
        <v>4854</v>
      </c>
      <c r="F1151" s="90">
        <f t="shared" si="220"/>
        <v>4078.8896227994414</v>
      </c>
      <c r="G1151" s="91">
        <v>0.19</v>
      </c>
      <c r="H1151" s="91" t="s">
        <v>228</v>
      </c>
      <c r="I1151" s="91" t="s">
        <v>228</v>
      </c>
      <c r="J1151" s="91" t="s">
        <v>228</v>
      </c>
      <c r="K1151" s="91" t="s">
        <v>228</v>
      </c>
      <c r="L1151" s="92" t="s">
        <v>2635</v>
      </c>
      <c r="M1151" s="91" t="str">
        <f t="shared" si="221"/>
        <v>VER ARCHIVO ANEXO</v>
      </c>
      <c r="N1151" s="93">
        <v>41608</v>
      </c>
      <c r="O1151" s="94"/>
      <c r="P1151" s="94"/>
      <c r="Q1151" s="94">
        <v>1005</v>
      </c>
      <c r="R1151" s="95">
        <f t="shared" si="212"/>
        <v>4078.8896227994414</v>
      </c>
      <c r="S1151" s="94">
        <v>2669.2449999999999</v>
      </c>
      <c r="T1151" s="94">
        <f t="shared" si="222"/>
        <v>2849.9528865000002</v>
      </c>
      <c r="U1151" s="94">
        <f t="shared" si="217"/>
        <v>3013.8251774737505</v>
      </c>
      <c r="V1151" s="94">
        <f t="shared" si="218"/>
        <v>3137.0906272324269</v>
      </c>
      <c r="W1151" s="97">
        <f t="shared" si="215"/>
        <v>3236.8501091784183</v>
      </c>
      <c r="X1151" s="97">
        <f t="shared" si="216"/>
        <v>3359.8504133271981</v>
      </c>
      <c r="Y1151" s="97">
        <f t="shared" si="223"/>
        <v>3413.9440049817658</v>
      </c>
      <c r="Z1151" s="97">
        <f t="shared" si="213"/>
        <v>3605.8076580617412</v>
      </c>
      <c r="AA1151" s="97">
        <f t="shared" si="214"/>
        <v>4078.8896227994414</v>
      </c>
    </row>
    <row r="1152" spans="1:27" x14ac:dyDescent="0.25">
      <c r="A1152" s="102" t="s">
        <v>2636</v>
      </c>
      <c r="B1152" s="87" t="s">
        <v>2637</v>
      </c>
      <c r="C1152" s="88" t="s">
        <v>226</v>
      </c>
      <c r="D1152" s="89" t="s">
        <v>227</v>
      </c>
      <c r="E1152" s="90">
        <f t="shared" si="219"/>
        <v>6682</v>
      </c>
      <c r="F1152" s="90">
        <f t="shared" si="220"/>
        <v>5615.4033836209792</v>
      </c>
      <c r="G1152" s="91">
        <v>0.19</v>
      </c>
      <c r="H1152" s="91" t="s">
        <v>228</v>
      </c>
      <c r="I1152" s="91" t="s">
        <v>228</v>
      </c>
      <c r="J1152" s="91" t="s">
        <v>228</v>
      </c>
      <c r="K1152" s="91" t="s">
        <v>228</v>
      </c>
      <c r="L1152" s="92" t="s">
        <v>2635</v>
      </c>
      <c r="M1152" s="91" t="str">
        <f t="shared" si="221"/>
        <v>VER ARCHIVO ANEXO</v>
      </c>
      <c r="N1152" s="93">
        <v>41608</v>
      </c>
      <c r="O1152" s="94"/>
      <c r="P1152" s="94"/>
      <c r="Q1152" s="94">
        <v>1006</v>
      </c>
      <c r="R1152" s="95">
        <f t="shared" si="212"/>
        <v>5615.4033836209792</v>
      </c>
      <c r="S1152" s="94">
        <v>3674.7469999999998</v>
      </c>
      <c r="T1152" s="94">
        <f t="shared" si="222"/>
        <v>3923.5273719000002</v>
      </c>
      <c r="U1152" s="94">
        <f t="shared" si="217"/>
        <v>4149.1301957842506</v>
      </c>
      <c r="V1152" s="94">
        <f t="shared" si="218"/>
        <v>4318.8296207918265</v>
      </c>
      <c r="W1152" s="97">
        <f t="shared" si="215"/>
        <v>4456.1684027330066</v>
      </c>
      <c r="X1152" s="97">
        <f t="shared" si="216"/>
        <v>4625.5028020368609</v>
      </c>
      <c r="Y1152" s="97">
        <f t="shared" si="223"/>
        <v>4699.9733971496544</v>
      </c>
      <c r="Z1152" s="97">
        <f t="shared" si="213"/>
        <v>4964.111902069465</v>
      </c>
      <c r="AA1152" s="97">
        <f t="shared" si="214"/>
        <v>5615.4033836209792</v>
      </c>
    </row>
    <row r="1153" spans="1:27" x14ac:dyDescent="0.25">
      <c r="A1153" s="102" t="s">
        <v>2638</v>
      </c>
      <c r="B1153" s="110" t="s">
        <v>2639</v>
      </c>
      <c r="C1153" s="88" t="s">
        <v>226</v>
      </c>
      <c r="D1153" s="89" t="s">
        <v>814</v>
      </c>
      <c r="E1153" s="90">
        <f t="shared" si="219"/>
        <v>66665</v>
      </c>
      <c r="F1153" s="90">
        <f t="shared" si="220"/>
        <v>56020.974912592246</v>
      </c>
      <c r="G1153" s="91">
        <v>0.19</v>
      </c>
      <c r="H1153" s="91" t="s">
        <v>228</v>
      </c>
      <c r="I1153" s="91" t="s">
        <v>228</v>
      </c>
      <c r="J1153" s="91" t="s">
        <v>228</v>
      </c>
      <c r="K1153" s="91" t="s">
        <v>228</v>
      </c>
      <c r="L1153" s="92" t="s">
        <v>2640</v>
      </c>
      <c r="M1153" s="91" t="str">
        <f t="shared" si="221"/>
        <v>VER ARCHIVO ANEXO</v>
      </c>
      <c r="N1153" s="93">
        <v>41608</v>
      </c>
      <c r="O1153" s="94"/>
      <c r="P1153" s="94"/>
      <c r="Q1153" s="94">
        <v>1007</v>
      </c>
      <c r="R1153" s="95">
        <f t="shared" si="212"/>
        <v>56020.974912592246</v>
      </c>
      <c r="S1153" s="94">
        <v>36660.395599999996</v>
      </c>
      <c r="T1153" s="94">
        <f t="shared" si="222"/>
        <v>39142.304382119997</v>
      </c>
      <c r="U1153" s="94">
        <f t="shared" si="217"/>
        <v>41392.986884091901</v>
      </c>
      <c r="V1153" s="94">
        <f t="shared" si="218"/>
        <v>43085.960047651257</v>
      </c>
      <c r="W1153" s="97">
        <f t="shared" si="215"/>
        <v>44456.093577166568</v>
      </c>
      <c r="X1153" s="97">
        <f t="shared" si="216"/>
        <v>46145.425133098899</v>
      </c>
      <c r="Y1153" s="97">
        <f t="shared" si="223"/>
        <v>46888.366477741794</v>
      </c>
      <c r="Z1153" s="97">
        <f t="shared" si="213"/>
        <v>49523.492673790883</v>
      </c>
      <c r="AA1153" s="97">
        <f t="shared" si="214"/>
        <v>56020.974912592246</v>
      </c>
    </row>
    <row r="1154" spans="1:27" x14ac:dyDescent="0.25">
      <c r="A1154" s="102" t="s">
        <v>2641</v>
      </c>
      <c r="B1154" s="87" t="s">
        <v>2642</v>
      </c>
      <c r="C1154" s="88" t="s">
        <v>226</v>
      </c>
      <c r="D1154" s="89" t="s">
        <v>814</v>
      </c>
      <c r="E1154" s="90">
        <f t="shared" si="219"/>
        <v>59125</v>
      </c>
      <c r="F1154" s="90">
        <f t="shared" si="220"/>
        <v>49684.835692709617</v>
      </c>
      <c r="G1154" s="91">
        <v>0.19</v>
      </c>
      <c r="H1154" s="91" t="s">
        <v>228</v>
      </c>
      <c r="I1154" s="91" t="s">
        <v>228</v>
      </c>
      <c r="J1154" s="91" t="s">
        <v>228</v>
      </c>
      <c r="K1154" s="91" t="s">
        <v>228</v>
      </c>
      <c r="L1154" s="92" t="s">
        <v>2643</v>
      </c>
      <c r="M1154" s="91" t="str">
        <f t="shared" si="221"/>
        <v>VER ARCHIVO ANEXO</v>
      </c>
      <c r="N1154" s="93">
        <v>41608</v>
      </c>
      <c r="O1154" s="94"/>
      <c r="P1154" s="94"/>
      <c r="Q1154" s="94">
        <v>1008</v>
      </c>
      <c r="R1154" s="95">
        <f t="shared" si="212"/>
        <v>49684.835692709617</v>
      </c>
      <c r="S1154" s="94">
        <v>32513.995599999998</v>
      </c>
      <c r="T1154" s="94">
        <f t="shared" si="222"/>
        <v>34715.19310212</v>
      </c>
      <c r="U1154" s="94">
        <f t="shared" si="217"/>
        <v>36711.316705491903</v>
      </c>
      <c r="V1154" s="94">
        <f t="shared" si="218"/>
        <v>38212.809558746521</v>
      </c>
      <c r="W1154" s="97">
        <f t="shared" si="215"/>
        <v>39427.976902714661</v>
      </c>
      <c r="X1154" s="97">
        <f t="shared" si="216"/>
        <v>40926.240025017818</v>
      </c>
      <c r="Y1154" s="97">
        <f t="shared" si="223"/>
        <v>41585.152489420601</v>
      </c>
      <c r="Z1154" s="97">
        <f t="shared" si="213"/>
        <v>43922.238059326039</v>
      </c>
      <c r="AA1154" s="97">
        <f t="shared" si="214"/>
        <v>49684.835692709617</v>
      </c>
    </row>
    <row r="1155" spans="1:27" x14ac:dyDescent="0.25">
      <c r="A1155" s="102" t="s">
        <v>2644</v>
      </c>
      <c r="B1155" s="87" t="s">
        <v>2645</v>
      </c>
      <c r="C1155" s="88" t="s">
        <v>226</v>
      </c>
      <c r="D1155" s="89" t="s">
        <v>814</v>
      </c>
      <c r="E1155" s="90">
        <f t="shared" si="219"/>
        <v>101971</v>
      </c>
      <c r="F1155" s="90">
        <f t="shared" si="220"/>
        <v>85689.946809692658</v>
      </c>
      <c r="G1155" s="91">
        <v>0.19</v>
      </c>
      <c r="H1155" s="91" t="s">
        <v>228</v>
      </c>
      <c r="I1155" s="91" t="s">
        <v>228</v>
      </c>
      <c r="J1155" s="91" t="s">
        <v>228</v>
      </c>
      <c r="K1155" s="91" t="s">
        <v>228</v>
      </c>
      <c r="L1155" s="92" t="s">
        <v>2646</v>
      </c>
      <c r="M1155" s="91" t="str">
        <f t="shared" si="221"/>
        <v>VER ARCHIVO ANEXO</v>
      </c>
      <c r="N1155" s="93">
        <v>41608</v>
      </c>
      <c r="O1155" s="94"/>
      <c r="P1155" s="94"/>
      <c r="Q1155" s="94">
        <v>1009</v>
      </c>
      <c r="R1155" s="95">
        <f t="shared" si="212"/>
        <v>85689.946809692658</v>
      </c>
      <c r="S1155" s="94">
        <v>56075.9136</v>
      </c>
      <c r="T1155" s="94">
        <f t="shared" si="222"/>
        <v>59872.252950720002</v>
      </c>
      <c r="U1155" s="94">
        <f t="shared" si="217"/>
        <v>63314.907495386411</v>
      </c>
      <c r="V1155" s="94">
        <f t="shared" si="218"/>
        <v>65904.487211947708</v>
      </c>
      <c r="W1155" s="97">
        <f t="shared" si="215"/>
        <v>68000.249905287652</v>
      </c>
      <c r="X1155" s="97">
        <f t="shared" si="216"/>
        <v>70584.259401688585</v>
      </c>
      <c r="Y1155" s="97">
        <f t="shared" si="223"/>
        <v>71720.665978055767</v>
      </c>
      <c r="Z1155" s="97">
        <f t="shared" si="213"/>
        <v>75751.367406022502</v>
      </c>
      <c r="AA1155" s="97">
        <f t="shared" si="214"/>
        <v>85689.946809692658</v>
      </c>
    </row>
    <row r="1156" spans="1:27" x14ac:dyDescent="0.25">
      <c r="A1156" s="102" t="s">
        <v>2647</v>
      </c>
      <c r="B1156" s="87" t="s">
        <v>2648</v>
      </c>
      <c r="C1156" s="88" t="s">
        <v>226</v>
      </c>
      <c r="D1156" s="89" t="s">
        <v>814</v>
      </c>
      <c r="E1156" s="90">
        <f t="shared" si="219"/>
        <v>71807</v>
      </c>
      <c r="F1156" s="90">
        <f t="shared" si="220"/>
        <v>60342.221860552185</v>
      </c>
      <c r="G1156" s="91">
        <v>0.19</v>
      </c>
      <c r="H1156" s="91" t="s">
        <v>228</v>
      </c>
      <c r="I1156" s="91" t="s">
        <v>228</v>
      </c>
      <c r="J1156" s="91" t="s">
        <v>228</v>
      </c>
      <c r="K1156" s="91" t="s">
        <v>228</v>
      </c>
      <c r="L1156" s="92" t="s">
        <v>2627</v>
      </c>
      <c r="M1156" s="91" t="str">
        <f t="shared" si="221"/>
        <v>VER ARCHIVO ANEXO</v>
      </c>
      <c r="N1156" s="93">
        <v>41608</v>
      </c>
      <c r="O1156" s="94"/>
      <c r="P1156" s="94"/>
      <c r="Q1156" s="94">
        <v>1010</v>
      </c>
      <c r="R1156" s="95">
        <f t="shared" si="212"/>
        <v>60342.221860552185</v>
      </c>
      <c r="S1156" s="94">
        <v>39488.240399999995</v>
      </c>
      <c r="T1156" s="94">
        <f t="shared" si="222"/>
        <v>42161.594275079995</v>
      </c>
      <c r="U1156" s="94">
        <f t="shared" si="217"/>
        <v>44585.885945897098</v>
      </c>
      <c r="V1156" s="94">
        <f t="shared" si="218"/>
        <v>46409.448681084286</v>
      </c>
      <c r="W1156" s="97">
        <f t="shared" si="215"/>
        <v>47885.269149142769</v>
      </c>
      <c r="X1156" s="97">
        <f t="shared" si="216"/>
        <v>49704.909376810196</v>
      </c>
      <c r="Y1156" s="97">
        <f t="shared" si="223"/>
        <v>50505.158417776838</v>
      </c>
      <c r="Z1156" s="97">
        <f t="shared" si="213"/>
        <v>53343.548320855894</v>
      </c>
      <c r="AA1156" s="97">
        <f t="shared" si="214"/>
        <v>60342.221860552185</v>
      </c>
    </row>
    <row r="1157" spans="1:27" x14ac:dyDescent="0.25">
      <c r="A1157" s="102" t="s">
        <v>2649</v>
      </c>
      <c r="B1157" s="87" t="s">
        <v>2650</v>
      </c>
      <c r="C1157" s="88" t="s">
        <v>226</v>
      </c>
      <c r="D1157" s="89" t="s">
        <v>1328</v>
      </c>
      <c r="E1157" s="90">
        <f t="shared" si="219"/>
        <v>15764</v>
      </c>
      <c r="F1157" s="90">
        <f t="shared" si="220"/>
        <v>13247.283073969602</v>
      </c>
      <c r="G1157" s="91">
        <v>0.19</v>
      </c>
      <c r="H1157" s="91" t="s">
        <v>228</v>
      </c>
      <c r="I1157" s="91" t="s">
        <v>228</v>
      </c>
      <c r="J1157" s="91" t="s">
        <v>228</v>
      </c>
      <c r="K1157" s="91" t="s">
        <v>228</v>
      </c>
      <c r="L1157" s="92" t="s">
        <v>2651</v>
      </c>
      <c r="M1157" s="91" t="str">
        <f t="shared" si="221"/>
        <v>VER ARCHIVO ANEXO</v>
      </c>
      <c r="N1157" s="93">
        <v>41608</v>
      </c>
      <c r="O1157" s="94"/>
      <c r="P1157" s="94"/>
      <c r="Q1157" s="94">
        <v>1011</v>
      </c>
      <c r="R1157" s="95">
        <f t="shared" si="212"/>
        <v>13247.283073969602</v>
      </c>
      <c r="S1157" s="94">
        <v>8669.0857999999989</v>
      </c>
      <c r="T1157" s="94">
        <f t="shared" si="222"/>
        <v>9255.9829086600002</v>
      </c>
      <c r="U1157" s="94">
        <f t="shared" si="217"/>
        <v>9788.2019259079516</v>
      </c>
      <c r="V1157" s="94">
        <f t="shared" si="218"/>
        <v>10188.539384677586</v>
      </c>
      <c r="W1157" s="97">
        <f t="shared" si="215"/>
        <v>10512.534937110333</v>
      </c>
      <c r="X1157" s="97">
        <f t="shared" si="216"/>
        <v>10912.011264720526</v>
      </c>
      <c r="Y1157" s="97">
        <f t="shared" si="223"/>
        <v>11087.694646082526</v>
      </c>
      <c r="Z1157" s="97">
        <f t="shared" si="213"/>
        <v>11710.823085192364</v>
      </c>
      <c r="AA1157" s="97">
        <f t="shared" si="214"/>
        <v>13247.283073969602</v>
      </c>
    </row>
    <row r="1158" spans="1:27" x14ac:dyDescent="0.25">
      <c r="A1158" s="102" t="s">
        <v>2652</v>
      </c>
      <c r="B1158" s="87" t="s">
        <v>2653</v>
      </c>
      <c r="C1158" s="88" t="s">
        <v>226</v>
      </c>
      <c r="D1158" s="89" t="s">
        <v>262</v>
      </c>
      <c r="E1158" s="90">
        <f t="shared" si="219"/>
        <v>91119</v>
      </c>
      <c r="F1158" s="90">
        <f t="shared" si="220"/>
        <v>76570.658437476595</v>
      </c>
      <c r="G1158" s="91">
        <v>0.19</v>
      </c>
      <c r="H1158" s="91" t="s">
        <v>228</v>
      </c>
      <c r="I1158" s="91" t="s">
        <v>228</v>
      </c>
      <c r="J1158" s="91" t="s">
        <v>228</v>
      </c>
      <c r="K1158" s="91" t="s">
        <v>228</v>
      </c>
      <c r="L1158" s="92" t="s">
        <v>2654</v>
      </c>
      <c r="M1158" s="91" t="str">
        <f t="shared" si="221"/>
        <v>VER ARCHIVO ANEXO</v>
      </c>
      <c r="N1158" s="93">
        <v>41608</v>
      </c>
      <c r="O1158" s="94"/>
      <c r="P1158" s="94"/>
      <c r="Q1158" s="94">
        <v>1012</v>
      </c>
      <c r="R1158" s="95">
        <f t="shared" si="212"/>
        <v>76570.658437476595</v>
      </c>
      <c r="S1158" s="94">
        <v>50108.207399999999</v>
      </c>
      <c r="T1158" s="94">
        <f t="shared" si="222"/>
        <v>53500.533040980001</v>
      </c>
      <c r="U1158" s="94">
        <f t="shared" si="217"/>
        <v>56576.813690836359</v>
      </c>
      <c r="V1158" s="94">
        <f t="shared" si="218"/>
        <v>58890.805370791561</v>
      </c>
      <c r="W1158" s="97">
        <f t="shared" si="215"/>
        <v>60763.532981582735</v>
      </c>
      <c r="X1158" s="97">
        <f t="shared" si="216"/>
        <v>63072.547234882884</v>
      </c>
      <c r="Y1158" s="97">
        <f t="shared" si="223"/>
        <v>64088.015245364499</v>
      </c>
      <c r="Z1158" s="97">
        <f t="shared" si="213"/>
        <v>67689.761702153992</v>
      </c>
      <c r="AA1158" s="97">
        <f t="shared" si="214"/>
        <v>76570.658437476595</v>
      </c>
    </row>
    <row r="1159" spans="1:27" x14ac:dyDescent="0.25">
      <c r="A1159" s="102" t="s">
        <v>2655</v>
      </c>
      <c r="B1159" s="87" t="s">
        <v>2656</v>
      </c>
      <c r="C1159" s="88" t="s">
        <v>226</v>
      </c>
      <c r="D1159" s="89" t="s">
        <v>262</v>
      </c>
      <c r="E1159" s="90">
        <f t="shared" si="219"/>
        <v>98175</v>
      </c>
      <c r="F1159" s="90">
        <f t="shared" si="220"/>
        <v>82499.700712481746</v>
      </c>
      <c r="G1159" s="91">
        <v>0.19</v>
      </c>
      <c r="H1159" s="91" t="s">
        <v>228</v>
      </c>
      <c r="I1159" s="91" t="s">
        <v>228</v>
      </c>
      <c r="J1159" s="91" t="s">
        <v>228</v>
      </c>
      <c r="K1159" s="91" t="s">
        <v>228</v>
      </c>
      <c r="L1159" s="92" t="s">
        <v>2654</v>
      </c>
      <c r="M1159" s="91" t="str">
        <f t="shared" si="221"/>
        <v>VER ARCHIVO ANEXO</v>
      </c>
      <c r="N1159" s="93">
        <v>41608</v>
      </c>
      <c r="O1159" s="94"/>
      <c r="P1159" s="94"/>
      <c r="Q1159" s="94">
        <v>1013</v>
      </c>
      <c r="R1159" s="95">
        <f t="shared" ref="R1159:R1222" si="224">+AA1159</f>
        <v>82499.700712481746</v>
      </c>
      <c r="S1159" s="94">
        <v>53988.201199999996</v>
      </c>
      <c r="T1159" s="94">
        <f t="shared" si="222"/>
        <v>57643.202421239999</v>
      </c>
      <c r="U1159" s="94">
        <f t="shared" si="217"/>
        <v>60957.686560461305</v>
      </c>
      <c r="V1159" s="94">
        <f t="shared" si="218"/>
        <v>63450.855940784168</v>
      </c>
      <c r="W1159" s="97">
        <f t="shared" si="215"/>
        <v>65468.593159701108</v>
      </c>
      <c r="X1159" s="97">
        <f t="shared" si="216"/>
        <v>67956.399699769754</v>
      </c>
      <c r="Y1159" s="97">
        <f t="shared" si="223"/>
        <v>69050.497734936042</v>
      </c>
      <c r="Z1159" s="97">
        <f t="shared" ref="Z1159:Z1222" si="225">+Y1159*(1+$Z$4)</f>
        <v>72931.135707639449</v>
      </c>
      <c r="AA1159" s="97">
        <f t="shared" ref="AA1159:AA1222" si="226">+Z1159*(1+$AA$4)</f>
        <v>82499.700712481746</v>
      </c>
    </row>
    <row r="1160" spans="1:27" x14ac:dyDescent="0.25">
      <c r="A1160" s="102" t="s">
        <v>2657</v>
      </c>
      <c r="B1160" s="98" t="s">
        <v>2658</v>
      </c>
      <c r="C1160" s="99" t="s">
        <v>226</v>
      </c>
      <c r="D1160" s="100" t="s">
        <v>814</v>
      </c>
      <c r="E1160" s="101">
        <f t="shared" si="219"/>
        <v>109513</v>
      </c>
      <c r="F1160" s="90">
        <f t="shared" si="220"/>
        <v>92027.670064380261</v>
      </c>
      <c r="G1160" s="91">
        <v>0.19</v>
      </c>
      <c r="H1160" s="91" t="s">
        <v>228</v>
      </c>
      <c r="I1160" s="91" t="s">
        <v>228</v>
      </c>
      <c r="J1160" s="91" t="s">
        <v>228</v>
      </c>
      <c r="K1160" s="91" t="s">
        <v>228</v>
      </c>
      <c r="L1160" s="92" t="s">
        <v>2659</v>
      </c>
      <c r="M1160" s="91" t="str">
        <f t="shared" si="221"/>
        <v>VER ARCHIVO ANEXO</v>
      </c>
      <c r="N1160" s="93">
        <v>41608</v>
      </c>
      <c r="O1160" s="94"/>
      <c r="P1160" s="94"/>
      <c r="Q1160" s="94">
        <v>1014</v>
      </c>
      <c r="R1160" s="95">
        <f t="shared" si="224"/>
        <v>92027.670064380261</v>
      </c>
      <c r="S1160" s="94">
        <v>60223.350200000001</v>
      </c>
      <c r="T1160" s="94">
        <f t="shared" si="222"/>
        <v>64300.471008540007</v>
      </c>
      <c r="U1160" s="94">
        <f t="shared" si="217"/>
        <v>67997.748091531059</v>
      </c>
      <c r="V1160" s="94">
        <f t="shared" si="218"/>
        <v>70778.855988474679</v>
      </c>
      <c r="W1160" s="97">
        <f t="shared" ref="W1160:W1223" si="227">+V1160*(1+$W$4)</f>
        <v>73029.623608908179</v>
      </c>
      <c r="X1160" s="97">
        <f t="shared" ref="X1160:X1223" si="228">+W1160*(1+$X$4)</f>
        <v>75804.749306046695</v>
      </c>
      <c r="Y1160" s="97">
        <f t="shared" si="223"/>
        <v>77025.205769874054</v>
      </c>
      <c r="Z1160" s="97">
        <f t="shared" si="225"/>
        <v>81354.022334140973</v>
      </c>
      <c r="AA1160" s="97">
        <f t="shared" si="226"/>
        <v>92027.670064380261</v>
      </c>
    </row>
    <row r="1161" spans="1:27" x14ac:dyDescent="0.25">
      <c r="A1161" s="102" t="s">
        <v>2660</v>
      </c>
      <c r="B1161" s="87" t="s">
        <v>2661</v>
      </c>
      <c r="C1161" s="88" t="s">
        <v>226</v>
      </c>
      <c r="D1161" s="89" t="s">
        <v>814</v>
      </c>
      <c r="E1161" s="90">
        <f t="shared" si="219"/>
        <v>109513</v>
      </c>
      <c r="F1161" s="90">
        <f t="shared" si="220"/>
        <v>92027.670064380261</v>
      </c>
      <c r="G1161" s="91">
        <v>0.19</v>
      </c>
      <c r="H1161" s="91" t="s">
        <v>228</v>
      </c>
      <c r="I1161" s="91" t="s">
        <v>228</v>
      </c>
      <c r="J1161" s="91" t="s">
        <v>228</v>
      </c>
      <c r="K1161" s="91" t="s">
        <v>228</v>
      </c>
      <c r="L1161" s="92" t="s">
        <v>2662</v>
      </c>
      <c r="M1161" s="91" t="str">
        <f t="shared" si="221"/>
        <v>VER ARCHIVO ANEXO</v>
      </c>
      <c r="N1161" s="93">
        <v>41608</v>
      </c>
      <c r="O1161" s="94"/>
      <c r="P1161" s="94"/>
      <c r="Q1161" s="94">
        <v>1015</v>
      </c>
      <c r="R1161" s="95">
        <f t="shared" si="224"/>
        <v>92027.670064380261</v>
      </c>
      <c r="S1161" s="94">
        <v>60223.350200000001</v>
      </c>
      <c r="T1161" s="94">
        <f t="shared" si="222"/>
        <v>64300.471008540007</v>
      </c>
      <c r="U1161" s="94">
        <f t="shared" si="217"/>
        <v>67997.748091531059</v>
      </c>
      <c r="V1161" s="94">
        <f t="shared" si="218"/>
        <v>70778.855988474679</v>
      </c>
      <c r="W1161" s="97">
        <f t="shared" si="227"/>
        <v>73029.623608908179</v>
      </c>
      <c r="X1161" s="97">
        <f t="shared" si="228"/>
        <v>75804.749306046695</v>
      </c>
      <c r="Y1161" s="97">
        <f t="shared" si="223"/>
        <v>77025.205769874054</v>
      </c>
      <c r="Z1161" s="97">
        <f t="shared" si="225"/>
        <v>81354.022334140973</v>
      </c>
      <c r="AA1161" s="97">
        <f t="shared" si="226"/>
        <v>92027.670064380261</v>
      </c>
    </row>
    <row r="1162" spans="1:27" x14ac:dyDescent="0.25">
      <c r="A1162" s="102" t="s">
        <v>2663</v>
      </c>
      <c r="B1162" s="87" t="s">
        <v>2664</v>
      </c>
      <c r="C1162" s="88" t="s">
        <v>226</v>
      </c>
      <c r="D1162" s="89" t="s">
        <v>814</v>
      </c>
      <c r="E1162" s="90">
        <f t="shared" si="219"/>
        <v>95801</v>
      </c>
      <c r="F1162" s="90">
        <f t="shared" si="220"/>
        <v>80505.400893023703</v>
      </c>
      <c r="G1162" s="91">
        <v>0.19</v>
      </c>
      <c r="H1162" s="91" t="s">
        <v>228</v>
      </c>
      <c r="I1162" s="91" t="s">
        <v>228</v>
      </c>
      <c r="J1162" s="91" t="s">
        <v>228</v>
      </c>
      <c r="K1162" s="91" t="s">
        <v>228</v>
      </c>
      <c r="L1162" s="92" t="s">
        <v>2665</v>
      </c>
      <c r="M1162" s="91" t="str">
        <f t="shared" si="221"/>
        <v>VER ARCHIVO ANEXO</v>
      </c>
      <c r="N1162" s="93">
        <v>41608</v>
      </c>
      <c r="O1162" s="94"/>
      <c r="P1162" s="94"/>
      <c r="Q1162" s="94">
        <v>1016</v>
      </c>
      <c r="R1162" s="95">
        <f t="shared" si="224"/>
        <v>80505.400893023703</v>
      </c>
      <c r="S1162" s="94">
        <v>52683.121800000001</v>
      </c>
      <c r="T1162" s="94">
        <f t="shared" si="222"/>
        <v>56249.769145860009</v>
      </c>
      <c r="U1162" s="94">
        <f t="shared" si="217"/>
        <v>59484.130871746966</v>
      </c>
      <c r="V1162" s="94">
        <f t="shared" si="218"/>
        <v>61917.031824401412</v>
      </c>
      <c r="W1162" s="97">
        <f t="shared" si="227"/>
        <v>63885.993436417382</v>
      </c>
      <c r="X1162" s="97">
        <f t="shared" si="228"/>
        <v>66313.661187001242</v>
      </c>
      <c r="Y1162" s="97">
        <f t="shared" si="223"/>
        <v>67381.311132111965</v>
      </c>
      <c r="Z1162" s="97">
        <f t="shared" si="225"/>
        <v>71168.140817736654</v>
      </c>
      <c r="AA1162" s="97">
        <f t="shared" si="226"/>
        <v>80505.400893023703</v>
      </c>
    </row>
    <row r="1163" spans="1:27" x14ac:dyDescent="0.25">
      <c r="A1163" s="102" t="s">
        <v>2666</v>
      </c>
      <c r="B1163" s="87" t="s">
        <v>2667</v>
      </c>
      <c r="C1163" s="88" t="s">
        <v>226</v>
      </c>
      <c r="D1163" s="89" t="s">
        <v>255</v>
      </c>
      <c r="E1163" s="90">
        <f t="shared" si="219"/>
        <v>42844</v>
      </c>
      <c r="F1163" s="90">
        <f t="shared" si="220"/>
        <v>36003.527082178058</v>
      </c>
      <c r="G1163" s="91">
        <v>0.19</v>
      </c>
      <c r="H1163" s="91" t="s">
        <v>228</v>
      </c>
      <c r="I1163" s="91" t="s">
        <v>228</v>
      </c>
      <c r="J1163" s="91" t="s">
        <v>228</v>
      </c>
      <c r="K1163" s="91" t="s">
        <v>228</v>
      </c>
      <c r="L1163" s="92" t="s">
        <v>2668</v>
      </c>
      <c r="M1163" s="91" t="str">
        <f t="shared" si="221"/>
        <v>VER ARCHIVO ANEXO</v>
      </c>
      <c r="N1163" s="93">
        <v>41608</v>
      </c>
      <c r="O1163" s="94"/>
      <c r="P1163" s="94"/>
      <c r="Q1163" s="94">
        <v>1017</v>
      </c>
      <c r="R1163" s="95">
        <f t="shared" si="224"/>
        <v>36003.527082178058</v>
      </c>
      <c r="S1163" s="94">
        <v>23560.881399999998</v>
      </c>
      <c r="T1163" s="94">
        <f t="shared" si="222"/>
        <v>25155.95307078</v>
      </c>
      <c r="U1163" s="94">
        <f t="shared" ref="U1163:U1226" si="229">+T1163*(1+$U$4)</f>
        <v>26602.420372349854</v>
      </c>
      <c r="V1163" s="94">
        <f t="shared" ref="V1163:V1226" si="230">+U1163*(1+$V$4)</f>
        <v>27690.459365578961</v>
      </c>
      <c r="W1163" s="97">
        <f t="shared" si="227"/>
        <v>28571.015973404374</v>
      </c>
      <c r="X1163" s="97">
        <f t="shared" si="228"/>
        <v>29656.714580393742</v>
      </c>
      <c r="Y1163" s="97">
        <f t="shared" si="223"/>
        <v>30134.18768513808</v>
      </c>
      <c r="Z1163" s="97">
        <f t="shared" si="225"/>
        <v>31827.72903304284</v>
      </c>
      <c r="AA1163" s="97">
        <f t="shared" si="226"/>
        <v>36003.527082178058</v>
      </c>
    </row>
    <row r="1164" spans="1:27" x14ac:dyDescent="0.25">
      <c r="A1164" s="102" t="s">
        <v>2669</v>
      </c>
      <c r="B1164" s="110" t="s">
        <v>2670</v>
      </c>
      <c r="C1164" s="88" t="s">
        <v>226</v>
      </c>
      <c r="D1164" s="89" t="s">
        <v>814</v>
      </c>
      <c r="E1164" s="90">
        <f t="shared" si="219"/>
        <v>143447</v>
      </c>
      <c r="F1164" s="90">
        <f t="shared" si="220"/>
        <v>120543.46462346202</v>
      </c>
      <c r="G1164" s="91">
        <v>0.19</v>
      </c>
      <c r="H1164" s="91" t="s">
        <v>228</v>
      </c>
      <c r="I1164" s="91" t="s">
        <v>228</v>
      </c>
      <c r="J1164" s="91" t="s">
        <v>228</v>
      </c>
      <c r="K1164" s="91" t="s">
        <v>228</v>
      </c>
      <c r="L1164" s="92" t="s">
        <v>2671</v>
      </c>
      <c r="M1164" s="91" t="str">
        <f t="shared" si="221"/>
        <v>VER ARCHIVO ANEXO</v>
      </c>
      <c r="N1164" s="93">
        <v>41608</v>
      </c>
      <c r="O1164" s="94"/>
      <c r="P1164" s="94"/>
      <c r="Q1164" s="94">
        <v>1018</v>
      </c>
      <c r="R1164" s="95">
        <f t="shared" si="224"/>
        <v>120543.46462346202</v>
      </c>
      <c r="S1164" s="94">
        <v>78884.223400000003</v>
      </c>
      <c r="T1164" s="94">
        <f t="shared" si="222"/>
        <v>84224.685324180013</v>
      </c>
      <c r="U1164" s="94">
        <f t="shared" si="229"/>
        <v>89067.604730320367</v>
      </c>
      <c r="V1164" s="94">
        <f t="shared" si="230"/>
        <v>92710.469763790461</v>
      </c>
      <c r="W1164" s="97">
        <f t="shared" si="227"/>
        <v>95658.662702279005</v>
      </c>
      <c r="X1164" s="97">
        <f t="shared" si="228"/>
        <v>99293.691884965607</v>
      </c>
      <c r="Y1164" s="97">
        <f t="shared" si="223"/>
        <v>100892.32032431355</v>
      </c>
      <c r="Z1164" s="97">
        <f t="shared" si="225"/>
        <v>106562.46872653997</v>
      </c>
      <c r="AA1164" s="97">
        <f t="shared" si="226"/>
        <v>120543.46462346202</v>
      </c>
    </row>
    <row r="1165" spans="1:27" x14ac:dyDescent="0.25">
      <c r="A1165" s="102" t="s">
        <v>2672</v>
      </c>
      <c r="B1165" s="87" t="s">
        <v>2673</v>
      </c>
      <c r="C1165" s="88" t="s">
        <v>226</v>
      </c>
      <c r="D1165" s="89" t="s">
        <v>814</v>
      </c>
      <c r="E1165" s="90">
        <f t="shared" ref="E1165:E1228" si="231">+ROUND(F1165*(1+G1165),0)</f>
        <v>81406</v>
      </c>
      <c r="F1165" s="90">
        <f t="shared" si="220"/>
        <v>68408.127087462795</v>
      </c>
      <c r="G1165" s="91">
        <v>0.19</v>
      </c>
      <c r="H1165" s="91" t="s">
        <v>228</v>
      </c>
      <c r="I1165" s="91" t="s">
        <v>228</v>
      </c>
      <c r="J1165" s="91" t="s">
        <v>228</v>
      </c>
      <c r="K1165" s="91" t="s">
        <v>228</v>
      </c>
      <c r="L1165" s="92" t="s">
        <v>2674</v>
      </c>
      <c r="M1165" s="91" t="str">
        <f t="shared" si="221"/>
        <v>VER ARCHIVO ANEXO</v>
      </c>
      <c r="N1165" s="93">
        <v>41608</v>
      </c>
      <c r="O1165" s="94"/>
      <c r="P1165" s="94"/>
      <c r="Q1165" s="94">
        <v>1019</v>
      </c>
      <c r="R1165" s="95">
        <f t="shared" si="224"/>
        <v>68408.127087462795</v>
      </c>
      <c r="S1165" s="94">
        <v>44766.607599999996</v>
      </c>
      <c r="T1165" s="94">
        <f t="shared" si="222"/>
        <v>47797.306934519998</v>
      </c>
      <c r="U1165" s="94">
        <f t="shared" si="229"/>
        <v>50545.652083254907</v>
      </c>
      <c r="V1165" s="94">
        <f t="shared" si="230"/>
        <v>52612.969253460033</v>
      </c>
      <c r="W1165" s="97">
        <f t="shared" si="227"/>
        <v>54286.061675720062</v>
      </c>
      <c r="X1165" s="97">
        <f t="shared" si="228"/>
        <v>56348.932019397427</v>
      </c>
      <c r="Y1165" s="97">
        <f t="shared" si="223"/>
        <v>57256.149824909728</v>
      </c>
      <c r="Z1165" s="97">
        <f t="shared" si="225"/>
        <v>60473.945445069658</v>
      </c>
      <c r="AA1165" s="97">
        <f t="shared" si="226"/>
        <v>68408.127087462795</v>
      </c>
    </row>
    <row r="1166" spans="1:27" x14ac:dyDescent="0.25">
      <c r="A1166" s="102" t="s">
        <v>2675</v>
      </c>
      <c r="B1166" s="87" t="s">
        <v>2676</v>
      </c>
      <c r="C1166" s="88" t="s">
        <v>226</v>
      </c>
      <c r="D1166" s="89" t="s">
        <v>814</v>
      </c>
      <c r="E1166" s="90">
        <f t="shared" si="231"/>
        <v>162470</v>
      </c>
      <c r="F1166" s="90">
        <f t="shared" si="220"/>
        <v>136529.54387522591</v>
      </c>
      <c r="G1166" s="91">
        <v>0.19</v>
      </c>
      <c r="H1166" s="91" t="s">
        <v>228</v>
      </c>
      <c r="I1166" s="91" t="s">
        <v>228</v>
      </c>
      <c r="J1166" s="91" t="s">
        <v>228</v>
      </c>
      <c r="K1166" s="91" t="s">
        <v>228</v>
      </c>
      <c r="L1166" s="92" t="s">
        <v>2654</v>
      </c>
      <c r="M1166" s="91" t="str">
        <f t="shared" si="221"/>
        <v>VER ARCHIVO ANEXO</v>
      </c>
      <c r="N1166" s="93">
        <v>41608</v>
      </c>
      <c r="O1166" s="94"/>
      <c r="P1166" s="94"/>
      <c r="Q1166" s="94">
        <v>1020</v>
      </c>
      <c r="R1166" s="95">
        <f t="shared" si="224"/>
        <v>136529.54387522591</v>
      </c>
      <c r="S1166" s="94">
        <v>89345.590599999996</v>
      </c>
      <c r="T1166" s="94">
        <f t="shared" si="222"/>
        <v>95394.287083620002</v>
      </c>
      <c r="U1166" s="94">
        <f t="shared" si="229"/>
        <v>100879.45859092816</v>
      </c>
      <c r="V1166" s="94">
        <f t="shared" si="230"/>
        <v>105005.42844729712</v>
      </c>
      <c r="W1166" s="97">
        <f t="shared" si="227"/>
        <v>108344.60107192118</v>
      </c>
      <c r="X1166" s="97">
        <f t="shared" si="228"/>
        <v>112461.69591265419</v>
      </c>
      <c r="Y1166" s="97">
        <f t="shared" si="223"/>
        <v>114272.32921684792</v>
      </c>
      <c r="Z1166" s="97">
        <f t="shared" si="225"/>
        <v>120694.43411883478</v>
      </c>
      <c r="AA1166" s="97">
        <f t="shared" si="226"/>
        <v>136529.54387522591</v>
      </c>
    </row>
    <row r="1167" spans="1:27" x14ac:dyDescent="0.25">
      <c r="A1167" s="86" t="s">
        <v>2677</v>
      </c>
      <c r="B1167" s="98" t="s">
        <v>2678</v>
      </c>
      <c r="C1167" s="99" t="s">
        <v>226</v>
      </c>
      <c r="D1167" s="100" t="s">
        <v>814</v>
      </c>
      <c r="E1167" s="101">
        <f t="shared" si="231"/>
        <v>85519</v>
      </c>
      <c r="F1167" s="90">
        <f t="shared" si="220"/>
        <v>71864.491031908765</v>
      </c>
      <c r="G1167" s="91">
        <v>0.19</v>
      </c>
      <c r="H1167" s="91" t="s">
        <v>228</v>
      </c>
      <c r="I1167" s="91" t="s">
        <v>228</v>
      </c>
      <c r="J1167" s="91" t="s">
        <v>228</v>
      </c>
      <c r="K1167" s="91" t="s">
        <v>228</v>
      </c>
      <c r="L1167" s="92" t="s">
        <v>2679</v>
      </c>
      <c r="M1167" s="91" t="str">
        <f t="shared" si="221"/>
        <v>VER ARCHIVO ANEXO</v>
      </c>
      <c r="N1167" s="93">
        <v>41608</v>
      </c>
      <c r="O1167" s="94"/>
      <c r="P1167" s="94"/>
      <c r="Q1167" s="94">
        <v>1021</v>
      </c>
      <c r="R1167" s="95">
        <f t="shared" si="224"/>
        <v>71864.491031908765</v>
      </c>
      <c r="S1167" s="94">
        <v>47028.468799999995</v>
      </c>
      <c r="T1167" s="94">
        <f t="shared" si="222"/>
        <v>50212.29613776</v>
      </c>
      <c r="U1167" s="94">
        <f t="shared" si="229"/>
        <v>53099.503165681206</v>
      </c>
      <c r="V1167" s="94">
        <f t="shared" si="230"/>
        <v>55271.272845157568</v>
      </c>
      <c r="W1167" s="97">
        <f t="shared" si="227"/>
        <v>57028.89932163358</v>
      </c>
      <c r="X1167" s="97">
        <f t="shared" si="228"/>
        <v>59195.997495855656</v>
      </c>
      <c r="Y1167" s="97">
        <f t="shared" si="223"/>
        <v>60149.053055538934</v>
      </c>
      <c r="Z1167" s="97">
        <f t="shared" si="225"/>
        <v>63529.429837260221</v>
      </c>
      <c r="AA1167" s="97">
        <f t="shared" si="226"/>
        <v>71864.491031908765</v>
      </c>
    </row>
    <row r="1168" spans="1:27" x14ac:dyDescent="0.25">
      <c r="A1168" s="102" t="s">
        <v>2680</v>
      </c>
      <c r="B1168" s="98" t="s">
        <v>2681</v>
      </c>
      <c r="C1168" s="99" t="s">
        <v>226</v>
      </c>
      <c r="D1168" s="100" t="s">
        <v>262</v>
      </c>
      <c r="E1168" s="101">
        <f t="shared" si="231"/>
        <v>33930</v>
      </c>
      <c r="F1168" s="90">
        <f t="shared" si="220"/>
        <v>28512.626489471826</v>
      </c>
      <c r="G1168" s="91">
        <v>0.19</v>
      </c>
      <c r="H1168" s="91" t="s">
        <v>228</v>
      </c>
      <c r="I1168" s="91" t="s">
        <v>228</v>
      </c>
      <c r="J1168" s="91" t="s">
        <v>228</v>
      </c>
      <c r="K1168" s="91" t="s">
        <v>228</v>
      </c>
      <c r="L1168" s="92" t="s">
        <v>2682</v>
      </c>
      <c r="M1168" s="91" t="str">
        <f t="shared" si="221"/>
        <v>VER ARCHIVO ANEXO</v>
      </c>
      <c r="N1168" s="93">
        <v>41608</v>
      </c>
      <c r="O1168" s="94"/>
      <c r="P1168" s="94"/>
      <c r="Q1168" s="94">
        <v>1022</v>
      </c>
      <c r="R1168" s="95">
        <f t="shared" si="224"/>
        <v>28512.626489471826</v>
      </c>
      <c r="S1168" s="94">
        <v>18658.8</v>
      </c>
      <c r="T1168" s="94">
        <f t="shared" si="222"/>
        <v>19922.000760000003</v>
      </c>
      <c r="U1168" s="94">
        <f t="shared" si="229"/>
        <v>21067.515803700004</v>
      </c>
      <c r="V1168" s="94">
        <f t="shared" si="230"/>
        <v>21929.177200071332</v>
      </c>
      <c r="W1168" s="97">
        <f t="shared" si="227"/>
        <v>22626.525035033603</v>
      </c>
      <c r="X1168" s="97">
        <f t="shared" si="228"/>
        <v>23486.33298636488</v>
      </c>
      <c r="Y1168" s="97">
        <f t="shared" si="223"/>
        <v>23864.462947445354</v>
      </c>
      <c r="Z1168" s="97">
        <f t="shared" si="225"/>
        <v>25205.645765091784</v>
      </c>
      <c r="AA1168" s="97">
        <f t="shared" si="226"/>
        <v>28512.626489471826</v>
      </c>
    </row>
    <row r="1169" spans="1:27" x14ac:dyDescent="0.25">
      <c r="A1169" s="102" t="s">
        <v>2683</v>
      </c>
      <c r="B1169" s="87" t="s">
        <v>2684</v>
      </c>
      <c r="C1169" s="88" t="s">
        <v>226</v>
      </c>
      <c r="D1169" s="89" t="s">
        <v>262</v>
      </c>
      <c r="E1169" s="90">
        <f t="shared" si="231"/>
        <v>22620</v>
      </c>
      <c r="F1169" s="90">
        <f t="shared" si="220"/>
        <v>19008.417659647879</v>
      </c>
      <c r="G1169" s="91">
        <v>0.19</v>
      </c>
      <c r="H1169" s="91" t="s">
        <v>228</v>
      </c>
      <c r="I1169" s="91" t="s">
        <v>228</v>
      </c>
      <c r="J1169" s="91" t="s">
        <v>228</v>
      </c>
      <c r="K1169" s="91" t="s">
        <v>228</v>
      </c>
      <c r="L1169" s="92" t="s">
        <v>2682</v>
      </c>
      <c r="M1169" s="91" t="str">
        <f t="shared" si="221"/>
        <v>VER ARCHIVO ANEXO</v>
      </c>
      <c r="N1169" s="93">
        <v>41608</v>
      </c>
      <c r="O1169" s="94"/>
      <c r="P1169" s="94"/>
      <c r="Q1169" s="94">
        <v>1023</v>
      </c>
      <c r="R1169" s="95">
        <f t="shared" si="224"/>
        <v>19008.417659647879</v>
      </c>
      <c r="S1169" s="94">
        <v>12439.199999999999</v>
      </c>
      <c r="T1169" s="94">
        <f t="shared" si="222"/>
        <v>13281.333839999999</v>
      </c>
      <c r="U1169" s="94">
        <f t="shared" si="229"/>
        <v>14045.0105358</v>
      </c>
      <c r="V1169" s="94">
        <f t="shared" si="230"/>
        <v>14619.451466714219</v>
      </c>
      <c r="W1169" s="97">
        <f t="shared" si="227"/>
        <v>15084.350023355732</v>
      </c>
      <c r="X1169" s="97">
        <f t="shared" si="228"/>
        <v>15657.555324243251</v>
      </c>
      <c r="Y1169" s="97">
        <f t="shared" si="223"/>
        <v>15909.641964963566</v>
      </c>
      <c r="Z1169" s="97">
        <f t="shared" si="225"/>
        <v>16803.763843394518</v>
      </c>
      <c r="AA1169" s="97">
        <f t="shared" si="226"/>
        <v>19008.417659647879</v>
      </c>
    </row>
    <row r="1170" spans="1:27" x14ac:dyDescent="0.25">
      <c r="A1170" s="102" t="s">
        <v>2685</v>
      </c>
      <c r="B1170" s="87" t="s">
        <v>2686</v>
      </c>
      <c r="C1170" s="88" t="s">
        <v>226</v>
      </c>
      <c r="D1170" s="89" t="s">
        <v>1328</v>
      </c>
      <c r="E1170" s="90">
        <f t="shared" si="231"/>
        <v>24848</v>
      </c>
      <c r="F1170" s="90">
        <f t="shared" si="220"/>
        <v>20880.746799123204</v>
      </c>
      <c r="G1170" s="91">
        <v>0.19</v>
      </c>
      <c r="H1170" s="91" t="s">
        <v>228</v>
      </c>
      <c r="I1170" s="91" t="s">
        <v>228</v>
      </c>
      <c r="J1170" s="91" t="s">
        <v>228</v>
      </c>
      <c r="K1170" s="91" t="s">
        <v>228</v>
      </c>
      <c r="L1170" s="92" t="s">
        <v>302</v>
      </c>
      <c r="M1170" s="91" t="str">
        <f t="shared" si="221"/>
        <v>no aplica</v>
      </c>
      <c r="N1170" s="93">
        <v>41608</v>
      </c>
      <c r="O1170" s="94"/>
      <c r="P1170" s="94"/>
      <c r="Q1170" s="94">
        <v>1024</v>
      </c>
      <c r="R1170" s="95">
        <f t="shared" si="224"/>
        <v>20880.746799123204</v>
      </c>
      <c r="S1170" s="94">
        <v>13664.4612</v>
      </c>
      <c r="T1170" s="94">
        <f t="shared" si="222"/>
        <v>14589.54522324</v>
      </c>
      <c r="U1170" s="94">
        <f t="shared" si="229"/>
        <v>15428.444073576302</v>
      </c>
      <c r="V1170" s="94">
        <f t="shared" si="230"/>
        <v>16059.467436185572</v>
      </c>
      <c r="W1170" s="97">
        <f t="shared" si="227"/>
        <v>16570.158500656275</v>
      </c>
      <c r="X1170" s="97">
        <f t="shared" si="228"/>
        <v>17199.824523681214</v>
      </c>
      <c r="Y1170" s="97">
        <f t="shared" si="223"/>
        <v>17476.741698512484</v>
      </c>
      <c r="Z1170" s="97">
        <f t="shared" si="225"/>
        <v>18458.934581968886</v>
      </c>
      <c r="AA1170" s="97">
        <f t="shared" si="226"/>
        <v>20880.746799123204</v>
      </c>
    </row>
    <row r="1171" spans="1:27" x14ac:dyDescent="0.25">
      <c r="A1171" s="102" t="s">
        <v>2687</v>
      </c>
      <c r="B1171" s="110" t="s">
        <v>2688</v>
      </c>
      <c r="C1171" s="88" t="s">
        <v>226</v>
      </c>
      <c r="D1171" s="89" t="s">
        <v>814</v>
      </c>
      <c r="E1171" s="90">
        <f t="shared" si="231"/>
        <v>414747</v>
      </c>
      <c r="F1171" s="90">
        <f t="shared" si="220"/>
        <v>348527.25796366885</v>
      </c>
      <c r="G1171" s="91">
        <v>0.19</v>
      </c>
      <c r="H1171" s="91" t="s">
        <v>228</v>
      </c>
      <c r="I1171" s="91" t="s">
        <v>228</v>
      </c>
      <c r="J1171" s="91" t="s">
        <v>228</v>
      </c>
      <c r="K1171" s="91" t="s">
        <v>228</v>
      </c>
      <c r="L1171" s="92" t="s">
        <v>2689</v>
      </c>
      <c r="M1171" s="91" t="str">
        <f t="shared" si="221"/>
        <v>VER ARCHIVO ANEXO</v>
      </c>
      <c r="N1171" s="93">
        <v>41608</v>
      </c>
      <c r="O1171" s="94"/>
      <c r="P1171" s="94"/>
      <c r="Q1171" s="94">
        <v>1025</v>
      </c>
      <c r="R1171" s="95">
        <f t="shared" si="224"/>
        <v>348527.25796366885</v>
      </c>
      <c r="S1171" s="94">
        <v>228077.91499999998</v>
      </c>
      <c r="T1171" s="94">
        <f t="shared" si="222"/>
        <v>243518.7898455</v>
      </c>
      <c r="U1171" s="94">
        <f t="shared" si="229"/>
        <v>257521.12026161628</v>
      </c>
      <c r="V1171" s="94">
        <f t="shared" si="230"/>
        <v>268053.73408031638</v>
      </c>
      <c r="W1171" s="97">
        <f t="shared" si="227"/>
        <v>276577.84282407048</v>
      </c>
      <c r="X1171" s="97">
        <f t="shared" si="228"/>
        <v>287087.80085138517</v>
      </c>
      <c r="Y1171" s="97">
        <f t="shared" si="223"/>
        <v>291709.91444509249</v>
      </c>
      <c r="Z1171" s="97">
        <f t="shared" si="225"/>
        <v>308104.01163690671</v>
      </c>
      <c r="AA1171" s="97">
        <f t="shared" si="226"/>
        <v>348527.25796366885</v>
      </c>
    </row>
    <row r="1172" spans="1:27" x14ac:dyDescent="0.25">
      <c r="A1172" s="102" t="s">
        <v>2690</v>
      </c>
      <c r="B1172" s="98" t="s">
        <v>2691</v>
      </c>
      <c r="C1172" s="99" t="s">
        <v>226</v>
      </c>
      <c r="D1172" s="100" t="s">
        <v>814</v>
      </c>
      <c r="E1172" s="101">
        <f t="shared" si="231"/>
        <v>143447</v>
      </c>
      <c r="F1172" s="90">
        <f t="shared" si="220"/>
        <v>120543.46462346202</v>
      </c>
      <c r="G1172" s="91">
        <v>0.19</v>
      </c>
      <c r="H1172" s="91" t="s">
        <v>228</v>
      </c>
      <c r="I1172" s="91" t="s">
        <v>228</v>
      </c>
      <c r="J1172" s="91" t="s">
        <v>228</v>
      </c>
      <c r="K1172" s="91" t="s">
        <v>228</v>
      </c>
      <c r="L1172" s="92" t="s">
        <v>2692</v>
      </c>
      <c r="M1172" s="91" t="str">
        <f t="shared" si="221"/>
        <v>VER ARCHIVO ANEXO</v>
      </c>
      <c r="N1172" s="93">
        <v>41608</v>
      </c>
      <c r="O1172" s="94"/>
      <c r="P1172" s="94"/>
      <c r="Q1172" s="94">
        <v>1026</v>
      </c>
      <c r="R1172" s="95">
        <f t="shared" si="224"/>
        <v>120543.46462346202</v>
      </c>
      <c r="S1172" s="94">
        <v>78884.223400000003</v>
      </c>
      <c r="T1172" s="94">
        <f t="shared" si="222"/>
        <v>84224.685324180013</v>
      </c>
      <c r="U1172" s="94">
        <f t="shared" si="229"/>
        <v>89067.604730320367</v>
      </c>
      <c r="V1172" s="94">
        <f t="shared" si="230"/>
        <v>92710.469763790461</v>
      </c>
      <c r="W1172" s="97">
        <f t="shared" si="227"/>
        <v>95658.662702279005</v>
      </c>
      <c r="X1172" s="97">
        <f t="shared" si="228"/>
        <v>99293.691884965607</v>
      </c>
      <c r="Y1172" s="97">
        <f t="shared" si="223"/>
        <v>100892.32032431355</v>
      </c>
      <c r="Z1172" s="97">
        <f t="shared" si="225"/>
        <v>106562.46872653997</v>
      </c>
      <c r="AA1172" s="97">
        <f t="shared" si="226"/>
        <v>120543.46462346202</v>
      </c>
    </row>
    <row r="1173" spans="1:27" x14ac:dyDescent="0.25">
      <c r="A1173" s="102" t="s">
        <v>2693</v>
      </c>
      <c r="B1173" s="87" t="s">
        <v>2694</v>
      </c>
      <c r="C1173" s="88" t="s">
        <v>226</v>
      </c>
      <c r="D1173" s="89" t="s">
        <v>814</v>
      </c>
      <c r="E1173" s="90">
        <f t="shared" si="231"/>
        <v>143447</v>
      </c>
      <c r="F1173" s="90">
        <f t="shared" si="220"/>
        <v>120543.46462346202</v>
      </c>
      <c r="G1173" s="91">
        <v>0.19</v>
      </c>
      <c r="H1173" s="91" t="s">
        <v>228</v>
      </c>
      <c r="I1173" s="91" t="s">
        <v>228</v>
      </c>
      <c r="J1173" s="91" t="s">
        <v>228</v>
      </c>
      <c r="K1173" s="91" t="s">
        <v>228</v>
      </c>
      <c r="L1173" s="92" t="s">
        <v>2692</v>
      </c>
      <c r="M1173" s="91" t="str">
        <f t="shared" si="221"/>
        <v>VER ARCHIVO ANEXO</v>
      </c>
      <c r="N1173" s="93">
        <v>41608</v>
      </c>
      <c r="O1173" s="94"/>
      <c r="P1173" s="94"/>
      <c r="Q1173" s="94">
        <v>1027</v>
      </c>
      <c r="R1173" s="95">
        <f t="shared" si="224"/>
        <v>120543.46462346202</v>
      </c>
      <c r="S1173" s="94">
        <v>78884.223400000003</v>
      </c>
      <c r="T1173" s="94">
        <f t="shared" si="222"/>
        <v>84224.685324180013</v>
      </c>
      <c r="U1173" s="94">
        <f t="shared" si="229"/>
        <v>89067.604730320367</v>
      </c>
      <c r="V1173" s="94">
        <f t="shared" si="230"/>
        <v>92710.469763790461</v>
      </c>
      <c r="W1173" s="97">
        <f t="shared" si="227"/>
        <v>95658.662702279005</v>
      </c>
      <c r="X1173" s="97">
        <f t="shared" si="228"/>
        <v>99293.691884965607</v>
      </c>
      <c r="Y1173" s="97">
        <f t="shared" si="223"/>
        <v>100892.32032431355</v>
      </c>
      <c r="Z1173" s="97">
        <f t="shared" si="225"/>
        <v>106562.46872653997</v>
      </c>
      <c r="AA1173" s="97">
        <f t="shared" si="226"/>
        <v>120543.46462346202</v>
      </c>
    </row>
    <row r="1174" spans="1:27" x14ac:dyDescent="0.25">
      <c r="A1174" s="102" t="s">
        <v>2695</v>
      </c>
      <c r="B1174" s="87" t="s">
        <v>2696</v>
      </c>
      <c r="C1174" s="88" t="s">
        <v>226</v>
      </c>
      <c r="D1174" s="89" t="s">
        <v>814</v>
      </c>
      <c r="E1174" s="90">
        <f t="shared" si="231"/>
        <v>143447</v>
      </c>
      <c r="F1174" s="90">
        <f t="shared" si="220"/>
        <v>120543.46462346202</v>
      </c>
      <c r="G1174" s="91">
        <v>0.19</v>
      </c>
      <c r="H1174" s="91" t="s">
        <v>228</v>
      </c>
      <c r="I1174" s="91" t="s">
        <v>228</v>
      </c>
      <c r="J1174" s="91" t="s">
        <v>228</v>
      </c>
      <c r="K1174" s="91" t="s">
        <v>228</v>
      </c>
      <c r="L1174" s="92" t="s">
        <v>2692</v>
      </c>
      <c r="M1174" s="91" t="str">
        <f t="shared" si="221"/>
        <v>VER ARCHIVO ANEXO</v>
      </c>
      <c r="N1174" s="93">
        <v>41608</v>
      </c>
      <c r="O1174" s="94"/>
      <c r="P1174" s="94"/>
      <c r="Q1174" s="94">
        <v>1028</v>
      </c>
      <c r="R1174" s="95">
        <f t="shared" si="224"/>
        <v>120543.46462346202</v>
      </c>
      <c r="S1174" s="94">
        <v>78884.223400000003</v>
      </c>
      <c r="T1174" s="94">
        <f t="shared" si="222"/>
        <v>84224.685324180013</v>
      </c>
      <c r="U1174" s="94">
        <f t="shared" si="229"/>
        <v>89067.604730320367</v>
      </c>
      <c r="V1174" s="94">
        <f t="shared" si="230"/>
        <v>92710.469763790461</v>
      </c>
      <c r="W1174" s="97">
        <f t="shared" si="227"/>
        <v>95658.662702279005</v>
      </c>
      <c r="X1174" s="97">
        <f t="shared" si="228"/>
        <v>99293.691884965607</v>
      </c>
      <c r="Y1174" s="97">
        <f t="shared" si="223"/>
        <v>100892.32032431355</v>
      </c>
      <c r="Z1174" s="97">
        <f t="shared" si="225"/>
        <v>106562.46872653997</v>
      </c>
      <c r="AA1174" s="97">
        <f t="shared" si="226"/>
        <v>120543.46462346202</v>
      </c>
    </row>
    <row r="1175" spans="1:27" x14ac:dyDescent="0.25">
      <c r="A1175" s="102" t="s">
        <v>2697</v>
      </c>
      <c r="B1175" s="87" t="s">
        <v>2698</v>
      </c>
      <c r="C1175" s="88" t="s">
        <v>226</v>
      </c>
      <c r="D1175" s="89" t="s">
        <v>814</v>
      </c>
      <c r="E1175" s="90">
        <f t="shared" si="231"/>
        <v>143447</v>
      </c>
      <c r="F1175" s="90">
        <f t="shared" si="220"/>
        <v>120543.46462346202</v>
      </c>
      <c r="G1175" s="91">
        <v>0.19</v>
      </c>
      <c r="H1175" s="91" t="s">
        <v>228</v>
      </c>
      <c r="I1175" s="91" t="s">
        <v>228</v>
      </c>
      <c r="J1175" s="91" t="s">
        <v>228</v>
      </c>
      <c r="K1175" s="91" t="s">
        <v>228</v>
      </c>
      <c r="L1175" s="92" t="s">
        <v>2692</v>
      </c>
      <c r="M1175" s="91" t="str">
        <f t="shared" si="221"/>
        <v>VER ARCHIVO ANEXO</v>
      </c>
      <c r="N1175" s="93">
        <v>41608</v>
      </c>
      <c r="O1175" s="94"/>
      <c r="P1175" s="94"/>
      <c r="Q1175" s="94">
        <v>1029</v>
      </c>
      <c r="R1175" s="95">
        <f t="shared" si="224"/>
        <v>120543.46462346202</v>
      </c>
      <c r="S1175" s="94">
        <v>78884.223400000003</v>
      </c>
      <c r="T1175" s="94">
        <f t="shared" si="222"/>
        <v>84224.685324180013</v>
      </c>
      <c r="U1175" s="94">
        <f t="shared" si="229"/>
        <v>89067.604730320367</v>
      </c>
      <c r="V1175" s="94">
        <f t="shared" si="230"/>
        <v>92710.469763790461</v>
      </c>
      <c r="W1175" s="97">
        <f t="shared" si="227"/>
        <v>95658.662702279005</v>
      </c>
      <c r="X1175" s="97">
        <f t="shared" si="228"/>
        <v>99293.691884965607</v>
      </c>
      <c r="Y1175" s="97">
        <f t="shared" si="223"/>
        <v>100892.32032431355</v>
      </c>
      <c r="Z1175" s="97">
        <f t="shared" si="225"/>
        <v>106562.46872653997</v>
      </c>
      <c r="AA1175" s="97">
        <f t="shared" si="226"/>
        <v>120543.46462346202</v>
      </c>
    </row>
    <row r="1176" spans="1:27" x14ac:dyDescent="0.25">
      <c r="A1176" s="102" t="s">
        <v>2699</v>
      </c>
      <c r="B1176" s="87" t="s">
        <v>2700</v>
      </c>
      <c r="C1176" s="88" t="s">
        <v>226</v>
      </c>
      <c r="D1176" s="89" t="s">
        <v>814</v>
      </c>
      <c r="E1176" s="90">
        <f t="shared" si="231"/>
        <v>65975</v>
      </c>
      <c r="F1176" s="90">
        <f t="shared" ref="F1176:F1239" si="232">R1176</f>
        <v>55441.218173972993</v>
      </c>
      <c r="G1176" s="91">
        <v>0.19</v>
      </c>
      <c r="H1176" s="91" t="s">
        <v>228</v>
      </c>
      <c r="I1176" s="91" t="s">
        <v>228</v>
      </c>
      <c r="J1176" s="91" t="s">
        <v>228</v>
      </c>
      <c r="K1176" s="91" t="s">
        <v>228</v>
      </c>
      <c r="L1176" s="92" t="s">
        <v>2692</v>
      </c>
      <c r="M1176" s="91" t="str">
        <f t="shared" ref="M1176:M1184" si="233">+IF(L1176="no aplica","no aplica","VER ARCHIVO ANEXO")</f>
        <v>VER ARCHIVO ANEXO</v>
      </c>
      <c r="N1176" s="93">
        <v>41608</v>
      </c>
      <c r="O1176" s="94"/>
      <c r="P1176" s="94"/>
      <c r="Q1176" s="94">
        <v>1030</v>
      </c>
      <c r="R1176" s="95">
        <f t="shared" si="224"/>
        <v>55441.218173972993</v>
      </c>
      <c r="S1176" s="94">
        <v>36281</v>
      </c>
      <c r="T1176" s="94">
        <f t="shared" si="222"/>
        <v>38737.223700000002</v>
      </c>
      <c r="U1176" s="94">
        <f t="shared" si="229"/>
        <v>40964.614062750006</v>
      </c>
      <c r="V1176" s="94">
        <f t="shared" si="230"/>
        <v>42640.06677791648</v>
      </c>
      <c r="W1176" s="97">
        <f t="shared" si="227"/>
        <v>43996.020901454227</v>
      </c>
      <c r="X1176" s="97">
        <f t="shared" si="228"/>
        <v>45667.869695709487</v>
      </c>
      <c r="Y1176" s="97">
        <f t="shared" si="223"/>
        <v>46403.12239781041</v>
      </c>
      <c r="Z1176" s="97">
        <f t="shared" si="225"/>
        <v>49010.977876567355</v>
      </c>
      <c r="AA1176" s="97">
        <f t="shared" si="226"/>
        <v>55441.218173972993</v>
      </c>
    </row>
    <row r="1177" spans="1:27" x14ac:dyDescent="0.25">
      <c r="A1177" s="102" t="s">
        <v>2701</v>
      </c>
      <c r="B1177" s="87" t="s">
        <v>2702</v>
      </c>
      <c r="C1177" s="88" t="s">
        <v>226</v>
      </c>
      <c r="D1177" s="89" t="s">
        <v>814</v>
      </c>
      <c r="E1177" s="90">
        <f t="shared" si="231"/>
        <v>235625</v>
      </c>
      <c r="F1177" s="90">
        <f t="shared" si="232"/>
        <v>198004.35062133212</v>
      </c>
      <c r="G1177" s="91">
        <v>0.19</v>
      </c>
      <c r="H1177" s="91" t="s">
        <v>228</v>
      </c>
      <c r="I1177" s="91" t="s">
        <v>228</v>
      </c>
      <c r="J1177" s="91" t="s">
        <v>228</v>
      </c>
      <c r="K1177" s="91" t="s">
        <v>228</v>
      </c>
      <c r="L1177" s="92" t="s">
        <v>2703</v>
      </c>
      <c r="M1177" s="91" t="str">
        <f t="shared" si="233"/>
        <v>VER ARCHIVO ANEXO</v>
      </c>
      <c r="N1177" s="93">
        <v>41608</v>
      </c>
      <c r="O1177" s="94"/>
      <c r="P1177" s="94"/>
      <c r="Q1177" s="94">
        <v>1031</v>
      </c>
      <c r="R1177" s="95">
        <f t="shared" si="224"/>
        <v>198004.35062133212</v>
      </c>
      <c r="S1177" s="94">
        <v>129575</v>
      </c>
      <c r="T1177" s="94">
        <f t="shared" si="222"/>
        <v>138347.22750000001</v>
      </c>
      <c r="U1177" s="94">
        <f t="shared" si="229"/>
        <v>146302.19308125004</v>
      </c>
      <c r="V1177" s="94">
        <f t="shared" si="230"/>
        <v>152285.95277827315</v>
      </c>
      <c r="W1177" s="97">
        <f t="shared" si="227"/>
        <v>157128.64607662224</v>
      </c>
      <c r="X1177" s="97">
        <f t="shared" si="228"/>
        <v>163099.5346275339</v>
      </c>
      <c r="Y1177" s="97">
        <f t="shared" si="223"/>
        <v>165725.43713503718</v>
      </c>
      <c r="Z1177" s="97">
        <f t="shared" si="225"/>
        <v>175039.20670202628</v>
      </c>
      <c r="AA1177" s="97">
        <f t="shared" si="226"/>
        <v>198004.35062133212</v>
      </c>
    </row>
    <row r="1178" spans="1:27" x14ac:dyDescent="0.25">
      <c r="A1178" s="102" t="s">
        <v>2704</v>
      </c>
      <c r="B1178" s="87" t="s">
        <v>2705</v>
      </c>
      <c r="C1178" s="88" t="s">
        <v>226</v>
      </c>
      <c r="D1178" s="89" t="s">
        <v>227</v>
      </c>
      <c r="E1178" s="90">
        <f t="shared" si="231"/>
        <v>7163</v>
      </c>
      <c r="F1178" s="90">
        <f t="shared" si="232"/>
        <v>6019.3322588884967</v>
      </c>
      <c r="G1178" s="91">
        <v>0.19</v>
      </c>
      <c r="H1178" s="91" t="s">
        <v>228</v>
      </c>
      <c r="I1178" s="91" t="s">
        <v>228</v>
      </c>
      <c r="J1178" s="91" t="s">
        <v>228</v>
      </c>
      <c r="K1178" s="91" t="s">
        <v>228</v>
      </c>
      <c r="L1178" s="92" t="s">
        <v>302</v>
      </c>
      <c r="M1178" s="91" t="str">
        <f t="shared" si="233"/>
        <v>no aplica</v>
      </c>
      <c r="N1178" s="93">
        <v>41608</v>
      </c>
      <c r="O1178" s="94"/>
      <c r="P1178" s="94"/>
      <c r="Q1178" s="94">
        <v>1032</v>
      </c>
      <c r="R1178" s="95">
        <f t="shared" si="224"/>
        <v>6019.3322588884967</v>
      </c>
      <c r="S1178" s="94">
        <v>3939.08</v>
      </c>
      <c r="T1178" s="94">
        <f t="shared" si="222"/>
        <v>4205.7557160000006</v>
      </c>
      <c r="U1178" s="94">
        <f t="shared" si="229"/>
        <v>4447.5866696700014</v>
      </c>
      <c r="V1178" s="94">
        <f t="shared" si="230"/>
        <v>4629.492964459504</v>
      </c>
      <c r="W1178" s="97">
        <f t="shared" si="227"/>
        <v>4776.7108407293163</v>
      </c>
      <c r="X1178" s="97">
        <f t="shared" si="228"/>
        <v>4958.2258526770302</v>
      </c>
      <c r="Y1178" s="97">
        <f t="shared" si="223"/>
        <v>5038.0532889051301</v>
      </c>
      <c r="Z1178" s="97">
        <f t="shared" si="225"/>
        <v>5321.1918837415988</v>
      </c>
      <c r="AA1178" s="97">
        <f t="shared" si="226"/>
        <v>6019.3322588884967</v>
      </c>
    </row>
    <row r="1179" spans="1:27" x14ac:dyDescent="0.25">
      <c r="A1179" s="102" t="s">
        <v>2706</v>
      </c>
      <c r="B1179" s="87" t="s">
        <v>2707</v>
      </c>
      <c r="C1179" s="88" t="s">
        <v>226</v>
      </c>
      <c r="D1179" s="89" t="s">
        <v>227</v>
      </c>
      <c r="E1179" s="90">
        <f t="shared" si="231"/>
        <v>33930</v>
      </c>
      <c r="F1179" s="90">
        <f t="shared" si="232"/>
        <v>28512.626489471826</v>
      </c>
      <c r="G1179" s="91">
        <v>0.19</v>
      </c>
      <c r="H1179" s="91" t="s">
        <v>228</v>
      </c>
      <c r="I1179" s="91" t="s">
        <v>228</v>
      </c>
      <c r="J1179" s="91" t="s">
        <v>228</v>
      </c>
      <c r="K1179" s="91" t="s">
        <v>228</v>
      </c>
      <c r="L1179" s="92" t="s">
        <v>289</v>
      </c>
      <c r="M1179" s="91" t="str">
        <f t="shared" si="233"/>
        <v>VER ARCHIVO ANEXO</v>
      </c>
      <c r="N1179" s="93">
        <v>41608</v>
      </c>
      <c r="O1179" s="94"/>
      <c r="P1179" s="94"/>
      <c r="Q1179" s="94">
        <v>1033</v>
      </c>
      <c r="R1179" s="95">
        <f t="shared" si="224"/>
        <v>28512.626489471826</v>
      </c>
      <c r="S1179" s="94">
        <v>18658.8</v>
      </c>
      <c r="T1179" s="94">
        <f t="shared" si="222"/>
        <v>19922.000760000003</v>
      </c>
      <c r="U1179" s="94">
        <f t="shared" si="229"/>
        <v>21067.515803700004</v>
      </c>
      <c r="V1179" s="94">
        <f t="shared" si="230"/>
        <v>21929.177200071332</v>
      </c>
      <c r="W1179" s="97">
        <f t="shared" si="227"/>
        <v>22626.525035033603</v>
      </c>
      <c r="X1179" s="97">
        <f t="shared" si="228"/>
        <v>23486.33298636488</v>
      </c>
      <c r="Y1179" s="97">
        <f t="shared" si="223"/>
        <v>23864.462947445354</v>
      </c>
      <c r="Z1179" s="97">
        <f t="shared" si="225"/>
        <v>25205.645765091784</v>
      </c>
      <c r="AA1179" s="97">
        <f t="shared" si="226"/>
        <v>28512.626489471826</v>
      </c>
    </row>
    <row r="1180" spans="1:27" x14ac:dyDescent="0.25">
      <c r="A1180" s="102" t="s">
        <v>2708</v>
      </c>
      <c r="B1180" s="87" t="s">
        <v>2709</v>
      </c>
      <c r="C1180" s="88" t="s">
        <v>226</v>
      </c>
      <c r="D1180" s="89" t="s">
        <v>227</v>
      </c>
      <c r="E1180" s="90">
        <f t="shared" si="231"/>
        <v>98020</v>
      </c>
      <c r="F1180" s="90">
        <f t="shared" si="232"/>
        <v>82369.809858474153</v>
      </c>
      <c r="G1180" s="91">
        <v>0.19</v>
      </c>
      <c r="H1180" s="91" t="s">
        <v>228</v>
      </c>
      <c r="I1180" s="91" t="s">
        <v>228</v>
      </c>
      <c r="J1180" s="91" t="s">
        <v>228</v>
      </c>
      <c r="K1180" s="91" t="s">
        <v>228</v>
      </c>
      <c r="L1180" s="92" t="s">
        <v>289</v>
      </c>
      <c r="M1180" s="91" t="str">
        <f t="shared" si="233"/>
        <v>VER ARCHIVO ANEXO</v>
      </c>
      <c r="N1180" s="93">
        <v>41608</v>
      </c>
      <c r="O1180" s="94"/>
      <c r="P1180" s="94"/>
      <c r="Q1180" s="94">
        <v>1034</v>
      </c>
      <c r="R1180" s="95">
        <f t="shared" si="224"/>
        <v>82369.809858474153</v>
      </c>
      <c r="S1180" s="94">
        <v>53903.199999999997</v>
      </c>
      <c r="T1180" s="94">
        <f t="shared" si="222"/>
        <v>57552.446640000002</v>
      </c>
      <c r="U1180" s="94">
        <f t="shared" si="229"/>
        <v>60861.712321800005</v>
      </c>
      <c r="V1180" s="94">
        <f t="shared" si="230"/>
        <v>63350.95635576162</v>
      </c>
      <c r="W1180" s="97">
        <f t="shared" si="227"/>
        <v>65365.51676787484</v>
      </c>
      <c r="X1180" s="97">
        <f t="shared" si="228"/>
        <v>67849.406405054091</v>
      </c>
      <c r="Y1180" s="97">
        <f t="shared" si="223"/>
        <v>68941.781848175466</v>
      </c>
      <c r="Z1180" s="97">
        <f t="shared" si="225"/>
        <v>72816.309988042922</v>
      </c>
      <c r="AA1180" s="97">
        <f t="shared" si="226"/>
        <v>82369.809858474153</v>
      </c>
    </row>
    <row r="1181" spans="1:27" x14ac:dyDescent="0.25">
      <c r="A1181" s="102" t="s">
        <v>2710</v>
      </c>
      <c r="B1181" s="87" t="s">
        <v>2711</v>
      </c>
      <c r="C1181" s="88" t="s">
        <v>226</v>
      </c>
      <c r="D1181" s="89" t="s">
        <v>227</v>
      </c>
      <c r="E1181" s="90">
        <f t="shared" si="231"/>
        <v>2262</v>
      </c>
      <c r="F1181" s="90">
        <f t="shared" si="232"/>
        <v>1900.8417659647889</v>
      </c>
      <c r="G1181" s="91">
        <v>0.19</v>
      </c>
      <c r="H1181" s="91" t="s">
        <v>228</v>
      </c>
      <c r="I1181" s="91" t="s">
        <v>228</v>
      </c>
      <c r="J1181" s="91" t="s">
        <v>228</v>
      </c>
      <c r="K1181" s="91" t="s">
        <v>228</v>
      </c>
      <c r="L1181" s="92" t="s">
        <v>289</v>
      </c>
      <c r="M1181" s="91" t="str">
        <f t="shared" si="233"/>
        <v>VER ARCHIVO ANEXO</v>
      </c>
      <c r="N1181" s="93">
        <v>41608</v>
      </c>
      <c r="O1181" s="94"/>
      <c r="P1181" s="94"/>
      <c r="Q1181" s="94">
        <v>1035</v>
      </c>
      <c r="R1181" s="95">
        <f t="shared" si="224"/>
        <v>1900.8417659647889</v>
      </c>
      <c r="S1181" s="94">
        <v>1243.92</v>
      </c>
      <c r="T1181" s="94">
        <f t="shared" si="222"/>
        <v>1328.1333840000002</v>
      </c>
      <c r="U1181" s="94">
        <f t="shared" si="229"/>
        <v>1404.5010535800004</v>
      </c>
      <c r="V1181" s="94">
        <f t="shared" si="230"/>
        <v>1461.9451466714224</v>
      </c>
      <c r="W1181" s="97">
        <f t="shared" si="227"/>
        <v>1508.4350023355737</v>
      </c>
      <c r="X1181" s="97">
        <f t="shared" si="228"/>
        <v>1565.7555324243256</v>
      </c>
      <c r="Y1181" s="97">
        <f t="shared" si="223"/>
        <v>1590.9641964963573</v>
      </c>
      <c r="Z1181" s="97">
        <f t="shared" si="225"/>
        <v>1680.3763843394527</v>
      </c>
      <c r="AA1181" s="97">
        <f t="shared" si="226"/>
        <v>1900.8417659647889</v>
      </c>
    </row>
    <row r="1182" spans="1:27" x14ac:dyDescent="0.25">
      <c r="A1182" s="102" t="s">
        <v>2712</v>
      </c>
      <c r="B1182" s="98" t="s">
        <v>2713</v>
      </c>
      <c r="C1182" s="99" t="s">
        <v>226</v>
      </c>
      <c r="D1182" s="100" t="s">
        <v>814</v>
      </c>
      <c r="E1182" s="101">
        <f t="shared" si="231"/>
        <v>188500</v>
      </c>
      <c r="F1182" s="90">
        <f t="shared" si="232"/>
        <v>158403.48049706573</v>
      </c>
      <c r="G1182" s="91">
        <v>0.19</v>
      </c>
      <c r="H1182" s="91" t="s">
        <v>228</v>
      </c>
      <c r="I1182" s="91" t="s">
        <v>228</v>
      </c>
      <c r="J1182" s="91" t="s">
        <v>228</v>
      </c>
      <c r="K1182" s="91" t="s">
        <v>228</v>
      </c>
      <c r="L1182" s="92" t="s">
        <v>2682</v>
      </c>
      <c r="M1182" s="91" t="str">
        <f t="shared" si="233"/>
        <v>VER ARCHIVO ANEXO</v>
      </c>
      <c r="N1182" s="93"/>
      <c r="O1182" s="94"/>
      <c r="P1182" s="94"/>
      <c r="Q1182" s="94">
        <v>1036</v>
      </c>
      <c r="R1182" s="95">
        <f t="shared" si="224"/>
        <v>158403.48049706573</v>
      </c>
      <c r="S1182" s="94">
        <v>103660</v>
      </c>
      <c r="T1182" s="94">
        <f t="shared" si="222"/>
        <v>110677.78200000001</v>
      </c>
      <c r="U1182" s="94">
        <f t="shared" si="229"/>
        <v>117041.75446500002</v>
      </c>
      <c r="V1182" s="94">
        <f t="shared" si="230"/>
        <v>121828.76222261852</v>
      </c>
      <c r="W1182" s="97">
        <f t="shared" si="227"/>
        <v>125702.9168612978</v>
      </c>
      <c r="X1182" s="97">
        <f t="shared" si="228"/>
        <v>130479.62770202712</v>
      </c>
      <c r="Y1182" s="97">
        <f t="shared" si="223"/>
        <v>132580.34970802977</v>
      </c>
      <c r="Z1182" s="97">
        <f t="shared" si="225"/>
        <v>140031.36536162105</v>
      </c>
      <c r="AA1182" s="97">
        <f t="shared" si="226"/>
        <v>158403.48049706573</v>
      </c>
    </row>
    <row r="1183" spans="1:27" x14ac:dyDescent="0.25">
      <c r="A1183" s="102" t="s">
        <v>2714</v>
      </c>
      <c r="B1183" s="87" t="s">
        <v>2715</v>
      </c>
      <c r="C1183" s="88" t="s">
        <v>226</v>
      </c>
      <c r="D1183" s="89" t="s">
        <v>814</v>
      </c>
      <c r="E1183" s="90">
        <f t="shared" si="231"/>
        <v>135720</v>
      </c>
      <c r="F1183" s="90">
        <f t="shared" si="232"/>
        <v>114050.5059578873</v>
      </c>
      <c r="G1183" s="91">
        <v>0.19</v>
      </c>
      <c r="H1183" s="91" t="s">
        <v>228</v>
      </c>
      <c r="I1183" s="91" t="s">
        <v>228</v>
      </c>
      <c r="J1183" s="91"/>
      <c r="K1183" s="91"/>
      <c r="L1183" s="92" t="s">
        <v>2627</v>
      </c>
      <c r="M1183" s="91" t="str">
        <f t="shared" si="233"/>
        <v>VER ARCHIVO ANEXO</v>
      </c>
      <c r="N1183" s="93"/>
      <c r="O1183" s="94"/>
      <c r="P1183" s="94"/>
      <c r="Q1183" s="94">
        <v>1037</v>
      </c>
      <c r="R1183" s="95">
        <f t="shared" si="224"/>
        <v>114050.5059578873</v>
      </c>
      <c r="S1183" s="94">
        <v>74635.199999999997</v>
      </c>
      <c r="T1183" s="94">
        <f t="shared" si="222"/>
        <v>79688.003040000011</v>
      </c>
      <c r="U1183" s="94">
        <f t="shared" si="229"/>
        <v>84270.063214800015</v>
      </c>
      <c r="V1183" s="94">
        <f t="shared" si="230"/>
        <v>87716.708800285327</v>
      </c>
      <c r="W1183" s="97">
        <f t="shared" si="227"/>
        <v>90506.100140134411</v>
      </c>
      <c r="X1183" s="97">
        <f t="shared" si="228"/>
        <v>93945.331945459518</v>
      </c>
      <c r="Y1183" s="97">
        <f t="shared" si="223"/>
        <v>95457.851789781416</v>
      </c>
      <c r="Z1183" s="97">
        <f t="shared" si="225"/>
        <v>100822.58306036713</v>
      </c>
      <c r="AA1183" s="97">
        <f t="shared" si="226"/>
        <v>114050.5059578873</v>
      </c>
    </row>
    <row r="1184" spans="1:27" x14ac:dyDescent="0.25">
      <c r="A1184" s="102" t="s">
        <v>2716</v>
      </c>
      <c r="B1184" s="87" t="s">
        <v>2717</v>
      </c>
      <c r="C1184" s="88" t="s">
        <v>226</v>
      </c>
      <c r="D1184" s="89" t="s">
        <v>814</v>
      </c>
      <c r="E1184" s="90">
        <f t="shared" si="231"/>
        <v>60320</v>
      </c>
      <c r="F1184" s="90">
        <f t="shared" si="232"/>
        <v>50689.113759061016</v>
      </c>
      <c r="G1184" s="91">
        <v>0.19</v>
      </c>
      <c r="H1184" s="91" t="s">
        <v>228</v>
      </c>
      <c r="I1184" s="91" t="s">
        <v>228</v>
      </c>
      <c r="J1184" s="91"/>
      <c r="K1184" s="91"/>
      <c r="L1184" s="92" t="s">
        <v>2718</v>
      </c>
      <c r="M1184" s="91" t="str">
        <f t="shared" si="233"/>
        <v>VER ARCHIVO ANEXO</v>
      </c>
      <c r="N1184" s="93"/>
      <c r="O1184" s="94"/>
      <c r="P1184" s="94"/>
      <c r="Q1184" s="94">
        <v>1038</v>
      </c>
      <c r="R1184" s="95">
        <f t="shared" si="224"/>
        <v>50689.113759061016</v>
      </c>
      <c r="S1184" s="94">
        <v>33171.199999999997</v>
      </c>
      <c r="T1184" s="94">
        <f t="shared" si="222"/>
        <v>35416.890240000001</v>
      </c>
      <c r="U1184" s="94">
        <f t="shared" si="229"/>
        <v>37453.361428800003</v>
      </c>
      <c r="V1184" s="94">
        <f t="shared" si="230"/>
        <v>38985.203911237921</v>
      </c>
      <c r="W1184" s="97">
        <f t="shared" si="227"/>
        <v>40224.933395615291</v>
      </c>
      <c r="X1184" s="97">
        <f t="shared" si="228"/>
        <v>41753.480864648671</v>
      </c>
      <c r="Y1184" s="97">
        <f t="shared" si="223"/>
        <v>42425.711906569515</v>
      </c>
      <c r="Z1184" s="97">
        <f t="shared" si="225"/>
        <v>44810.036915718723</v>
      </c>
      <c r="AA1184" s="97">
        <f t="shared" si="226"/>
        <v>50689.113759061016</v>
      </c>
    </row>
    <row r="1185" spans="1:27" x14ac:dyDescent="0.25">
      <c r="A1185" s="105" t="s">
        <v>2719</v>
      </c>
      <c r="B1185" s="106" t="s">
        <v>2720</v>
      </c>
      <c r="C1185" s="107"/>
      <c r="D1185" s="108"/>
      <c r="E1185" s="90">
        <f t="shared" si="231"/>
        <v>0</v>
      </c>
      <c r="F1185" s="90">
        <f t="shared" si="232"/>
        <v>0</v>
      </c>
      <c r="G1185" s="81"/>
      <c r="H1185" s="81"/>
      <c r="I1185" s="81"/>
      <c r="J1185" s="81"/>
      <c r="K1185" s="81"/>
      <c r="L1185" s="92"/>
      <c r="M1185" s="91"/>
      <c r="N1185" s="93">
        <v>41608</v>
      </c>
      <c r="O1185" s="109"/>
      <c r="P1185" s="109"/>
      <c r="Q1185" s="109">
        <v>0</v>
      </c>
      <c r="R1185" s="95">
        <f t="shared" si="224"/>
        <v>0</v>
      </c>
      <c r="S1185" s="109">
        <v>0</v>
      </c>
      <c r="T1185" s="94">
        <f t="shared" si="222"/>
        <v>0</v>
      </c>
      <c r="U1185" s="94">
        <f t="shared" si="229"/>
        <v>0</v>
      </c>
      <c r="V1185" s="94">
        <f t="shared" si="230"/>
        <v>0</v>
      </c>
      <c r="W1185" s="97">
        <f t="shared" si="227"/>
        <v>0</v>
      </c>
      <c r="X1185" s="97">
        <f t="shared" si="228"/>
        <v>0</v>
      </c>
      <c r="Y1185" s="97">
        <f t="shared" si="223"/>
        <v>0</v>
      </c>
      <c r="Z1185" s="97">
        <f t="shared" si="225"/>
        <v>0</v>
      </c>
      <c r="AA1185" s="97">
        <f t="shared" si="226"/>
        <v>0</v>
      </c>
    </row>
    <row r="1186" spans="1:27" x14ac:dyDescent="0.25">
      <c r="A1186" s="102" t="s">
        <v>2721</v>
      </c>
      <c r="B1186" s="87" t="s">
        <v>2722</v>
      </c>
      <c r="C1186" s="88" t="s">
        <v>226</v>
      </c>
      <c r="D1186" s="89" t="s">
        <v>4</v>
      </c>
      <c r="E1186" s="90">
        <f t="shared" si="231"/>
        <v>71807</v>
      </c>
      <c r="F1186" s="90">
        <f t="shared" si="232"/>
        <v>60342.221860552185</v>
      </c>
      <c r="G1186" s="91">
        <v>0.19</v>
      </c>
      <c r="H1186" s="91" t="s">
        <v>228</v>
      </c>
      <c r="I1186" s="91"/>
      <c r="J1186" s="91"/>
      <c r="K1186" s="91" t="s">
        <v>228</v>
      </c>
      <c r="L1186" s="92" t="s">
        <v>2723</v>
      </c>
      <c r="M1186" s="91" t="str">
        <f t="shared" ref="M1186:M1240" si="234">+IF(L1186="no aplica","no aplica","VER ARCHIVO ANEXO")</f>
        <v>VER ARCHIVO ANEXO</v>
      </c>
      <c r="N1186" s="93">
        <v>41608</v>
      </c>
      <c r="O1186" s="94"/>
      <c r="P1186" s="94"/>
      <c r="Q1186" s="94">
        <v>1039</v>
      </c>
      <c r="R1186" s="95">
        <f t="shared" si="224"/>
        <v>60342.221860552185</v>
      </c>
      <c r="S1186" s="94">
        <v>39488.240399999995</v>
      </c>
      <c r="T1186" s="94">
        <f t="shared" ref="T1186:T1249" si="235">+S1186*1.0677</f>
        <v>42161.594275079995</v>
      </c>
      <c r="U1186" s="94">
        <f t="shared" si="229"/>
        <v>44585.885945897098</v>
      </c>
      <c r="V1186" s="94">
        <f t="shared" si="230"/>
        <v>46409.448681084286</v>
      </c>
      <c r="W1186" s="97">
        <f t="shared" si="227"/>
        <v>47885.269149142769</v>
      </c>
      <c r="X1186" s="97">
        <f t="shared" si="228"/>
        <v>49704.909376810196</v>
      </c>
      <c r="Y1186" s="97">
        <f t="shared" si="223"/>
        <v>50505.158417776838</v>
      </c>
      <c r="Z1186" s="97">
        <f t="shared" si="225"/>
        <v>53343.548320855894</v>
      </c>
      <c r="AA1186" s="97">
        <f t="shared" si="226"/>
        <v>60342.221860552185</v>
      </c>
    </row>
    <row r="1187" spans="1:27" x14ac:dyDescent="0.25">
      <c r="A1187" s="102" t="s">
        <v>2724</v>
      </c>
      <c r="B1187" s="87" t="s">
        <v>2725</v>
      </c>
      <c r="C1187" s="88" t="s">
        <v>226</v>
      </c>
      <c r="D1187" s="89" t="s">
        <v>4</v>
      </c>
      <c r="E1187" s="90">
        <f t="shared" si="231"/>
        <v>70094</v>
      </c>
      <c r="F1187" s="90">
        <f t="shared" si="232"/>
        <v>58902.334222833881</v>
      </c>
      <c r="G1187" s="91">
        <v>0.19</v>
      </c>
      <c r="H1187" s="91" t="s">
        <v>228</v>
      </c>
      <c r="I1187" s="91"/>
      <c r="J1187" s="91"/>
      <c r="K1187" s="91" t="s">
        <v>228</v>
      </c>
      <c r="L1187" s="92" t="s">
        <v>2723</v>
      </c>
      <c r="M1187" s="91" t="str">
        <f t="shared" si="234"/>
        <v>VER ARCHIVO ANEXO</v>
      </c>
      <c r="N1187" s="93">
        <v>41608</v>
      </c>
      <c r="O1187" s="94"/>
      <c r="P1187" s="94"/>
      <c r="Q1187" s="94">
        <v>1040</v>
      </c>
      <c r="R1187" s="95">
        <f t="shared" si="224"/>
        <v>58902.334222833881</v>
      </c>
      <c r="S1187" s="94">
        <v>38545.970999999998</v>
      </c>
      <c r="T1187" s="94">
        <f t="shared" si="235"/>
        <v>41155.533236700001</v>
      </c>
      <c r="U1187" s="94">
        <f t="shared" si="229"/>
        <v>43521.976397810256</v>
      </c>
      <c r="V1187" s="94">
        <f t="shared" si="230"/>
        <v>45302.025232480693</v>
      </c>
      <c r="W1187" s="97">
        <f t="shared" si="227"/>
        <v>46742.629634873585</v>
      </c>
      <c r="X1187" s="97">
        <f t="shared" si="228"/>
        <v>48518.84956099878</v>
      </c>
      <c r="Y1187" s="97">
        <f t="shared" si="223"/>
        <v>49300.003038930859</v>
      </c>
      <c r="Z1187" s="97">
        <f t="shared" si="225"/>
        <v>52070.663209718776</v>
      </c>
      <c r="AA1187" s="97">
        <f t="shared" si="226"/>
        <v>58902.334222833881</v>
      </c>
    </row>
    <row r="1188" spans="1:27" x14ac:dyDescent="0.25">
      <c r="A1188" s="102" t="s">
        <v>2726</v>
      </c>
      <c r="B1188" s="87" t="s">
        <v>2727</v>
      </c>
      <c r="C1188" s="88" t="s">
        <v>226</v>
      </c>
      <c r="D1188" s="89" t="s">
        <v>4</v>
      </c>
      <c r="E1188" s="90">
        <f t="shared" si="231"/>
        <v>99104</v>
      </c>
      <c r="F1188" s="90">
        <f t="shared" si="232"/>
        <v>83280.629871332261</v>
      </c>
      <c r="G1188" s="91">
        <v>0.19</v>
      </c>
      <c r="H1188" s="91" t="s">
        <v>228</v>
      </c>
      <c r="I1188" s="91"/>
      <c r="J1188" s="91"/>
      <c r="K1188" s="91" t="s">
        <v>228</v>
      </c>
      <c r="L1188" s="92" t="s">
        <v>2723</v>
      </c>
      <c r="M1188" s="91" t="str">
        <f t="shared" si="234"/>
        <v>VER ARCHIVO ANEXO</v>
      </c>
      <c r="N1188" s="93">
        <v>41608</v>
      </c>
      <c r="O1188" s="94"/>
      <c r="P1188" s="94"/>
      <c r="Q1188" s="94">
        <v>1041</v>
      </c>
      <c r="R1188" s="95">
        <f t="shared" si="224"/>
        <v>83280.629871332261</v>
      </c>
      <c r="S1188" s="94">
        <v>54499.244999999995</v>
      </c>
      <c r="T1188" s="94">
        <f t="shared" si="235"/>
        <v>58188.843886499999</v>
      </c>
      <c r="U1188" s="94">
        <f t="shared" si="229"/>
        <v>61534.702409973754</v>
      </c>
      <c r="V1188" s="94">
        <f t="shared" si="230"/>
        <v>64051.471738541673</v>
      </c>
      <c r="W1188" s="97">
        <f t="shared" si="227"/>
        <v>66088.308539827296</v>
      </c>
      <c r="X1188" s="97">
        <f t="shared" si="228"/>
        <v>68599.664264340739</v>
      </c>
      <c r="Y1188" s="97">
        <f t="shared" si="223"/>
        <v>69704.118858996619</v>
      </c>
      <c r="Z1188" s="97">
        <f t="shared" si="225"/>
        <v>73621.49033887223</v>
      </c>
      <c r="AA1188" s="97">
        <f t="shared" si="226"/>
        <v>83280.629871332261</v>
      </c>
    </row>
    <row r="1189" spans="1:27" x14ac:dyDescent="0.25">
      <c r="A1189" s="102" t="s">
        <v>2728</v>
      </c>
      <c r="B1189" s="87" t="s">
        <v>2729</v>
      </c>
      <c r="C1189" s="88" t="s">
        <v>226</v>
      </c>
      <c r="D1189" s="89" t="s">
        <v>4</v>
      </c>
      <c r="E1189" s="90">
        <f t="shared" si="231"/>
        <v>62424</v>
      </c>
      <c r="F1189" s="90">
        <f t="shared" si="232"/>
        <v>52456.896601408276</v>
      </c>
      <c r="G1189" s="91">
        <v>0.19</v>
      </c>
      <c r="H1189" s="91" t="s">
        <v>228</v>
      </c>
      <c r="I1189" s="91"/>
      <c r="J1189" s="91"/>
      <c r="K1189" s="91" t="s">
        <v>228</v>
      </c>
      <c r="L1189" s="92" t="s">
        <v>2723</v>
      </c>
      <c r="M1189" s="91" t="str">
        <f t="shared" si="234"/>
        <v>VER ARCHIVO ANEXO</v>
      </c>
      <c r="N1189" s="93">
        <v>41608</v>
      </c>
      <c r="O1189" s="94"/>
      <c r="P1189" s="94"/>
      <c r="Q1189" s="94">
        <v>1042</v>
      </c>
      <c r="R1189" s="95">
        <f t="shared" si="224"/>
        <v>52456.896601408276</v>
      </c>
      <c r="S1189" s="94">
        <v>34328.045599999998</v>
      </c>
      <c r="T1189" s="94">
        <f t="shared" si="235"/>
        <v>36652.054287120001</v>
      </c>
      <c r="U1189" s="94">
        <f t="shared" si="229"/>
        <v>38759.547408629405</v>
      </c>
      <c r="V1189" s="94">
        <f t="shared" si="230"/>
        <v>40344.812897642347</v>
      </c>
      <c r="W1189" s="97">
        <f t="shared" si="227"/>
        <v>41627.777947787377</v>
      </c>
      <c r="X1189" s="97">
        <f t="shared" si="228"/>
        <v>43209.633509803301</v>
      </c>
      <c r="Y1189" s="97">
        <f t="shared" si="223"/>
        <v>43905.308609311134</v>
      </c>
      <c r="Z1189" s="97">
        <f t="shared" si="225"/>
        <v>46372.78695315442</v>
      </c>
      <c r="AA1189" s="97">
        <f t="shared" si="226"/>
        <v>52456.896601408276</v>
      </c>
    </row>
    <row r="1190" spans="1:27" x14ac:dyDescent="0.25">
      <c r="A1190" s="102" t="s">
        <v>2730</v>
      </c>
      <c r="B1190" s="87" t="s">
        <v>2731</v>
      </c>
      <c r="C1190" s="88" t="s">
        <v>226</v>
      </c>
      <c r="D1190" s="89" t="s">
        <v>227</v>
      </c>
      <c r="E1190" s="90">
        <f t="shared" si="231"/>
        <v>7348</v>
      </c>
      <c r="F1190" s="90">
        <f t="shared" si="232"/>
        <v>6174.5676697756207</v>
      </c>
      <c r="G1190" s="91">
        <v>0.19</v>
      </c>
      <c r="H1190" s="91" t="s">
        <v>228</v>
      </c>
      <c r="I1190" s="91"/>
      <c r="J1190" s="91"/>
      <c r="K1190" s="91" t="s">
        <v>228</v>
      </c>
      <c r="L1190" s="92" t="s">
        <v>2723</v>
      </c>
      <c r="M1190" s="91" t="str">
        <f t="shared" si="234"/>
        <v>VER ARCHIVO ANEXO</v>
      </c>
      <c r="N1190" s="93">
        <v>41608</v>
      </c>
      <c r="O1190" s="94"/>
      <c r="P1190" s="94"/>
      <c r="Q1190" s="94">
        <v>1043</v>
      </c>
      <c r="R1190" s="95">
        <f t="shared" si="224"/>
        <v>6174.5676697756207</v>
      </c>
      <c r="S1190" s="94">
        <v>4040.6668</v>
      </c>
      <c r="T1190" s="94">
        <f t="shared" si="235"/>
        <v>4314.2199423600005</v>
      </c>
      <c r="U1190" s="94">
        <f t="shared" si="229"/>
        <v>4562.2875890457008</v>
      </c>
      <c r="V1190" s="94">
        <f t="shared" si="230"/>
        <v>4748.8851514376693</v>
      </c>
      <c r="W1190" s="97">
        <f t="shared" si="227"/>
        <v>4899.8996992533876</v>
      </c>
      <c r="X1190" s="97">
        <f t="shared" si="228"/>
        <v>5086.0958878250167</v>
      </c>
      <c r="Y1190" s="97">
        <f t="shared" si="223"/>
        <v>5167.9820316189998</v>
      </c>
      <c r="Z1190" s="97">
        <f t="shared" si="225"/>
        <v>5458.4226217959877</v>
      </c>
      <c r="AA1190" s="97">
        <f t="shared" si="226"/>
        <v>6174.5676697756207</v>
      </c>
    </row>
    <row r="1191" spans="1:27" x14ac:dyDescent="0.25">
      <c r="A1191" s="102" t="s">
        <v>2732</v>
      </c>
      <c r="B1191" s="87" t="s">
        <v>2733</v>
      </c>
      <c r="C1191" s="88" t="s">
        <v>226</v>
      </c>
      <c r="D1191" s="89" t="s">
        <v>227</v>
      </c>
      <c r="E1191" s="90">
        <f t="shared" si="231"/>
        <v>7348</v>
      </c>
      <c r="F1191" s="90">
        <f t="shared" si="232"/>
        <v>6174.5676697756207</v>
      </c>
      <c r="G1191" s="91">
        <v>0.19</v>
      </c>
      <c r="H1191" s="91" t="s">
        <v>228</v>
      </c>
      <c r="I1191" s="91"/>
      <c r="J1191" s="91"/>
      <c r="K1191" s="91" t="s">
        <v>228</v>
      </c>
      <c r="L1191" s="92" t="s">
        <v>2723</v>
      </c>
      <c r="M1191" s="91" t="str">
        <f t="shared" si="234"/>
        <v>VER ARCHIVO ANEXO</v>
      </c>
      <c r="N1191" s="93">
        <v>41608</v>
      </c>
      <c r="O1191" s="94"/>
      <c r="P1191" s="94"/>
      <c r="Q1191" s="94">
        <v>1044</v>
      </c>
      <c r="R1191" s="95">
        <f t="shared" si="224"/>
        <v>6174.5676697756207</v>
      </c>
      <c r="S1191" s="94">
        <v>4040.6668</v>
      </c>
      <c r="T1191" s="94">
        <f t="shared" si="235"/>
        <v>4314.2199423600005</v>
      </c>
      <c r="U1191" s="94">
        <f t="shared" si="229"/>
        <v>4562.2875890457008</v>
      </c>
      <c r="V1191" s="94">
        <f t="shared" si="230"/>
        <v>4748.8851514376693</v>
      </c>
      <c r="W1191" s="97">
        <f t="shared" si="227"/>
        <v>4899.8996992533876</v>
      </c>
      <c r="X1191" s="97">
        <f t="shared" si="228"/>
        <v>5086.0958878250167</v>
      </c>
      <c r="Y1191" s="97">
        <f t="shared" si="223"/>
        <v>5167.9820316189998</v>
      </c>
      <c r="Z1191" s="97">
        <f t="shared" si="225"/>
        <v>5458.4226217959877</v>
      </c>
      <c r="AA1191" s="97">
        <f t="shared" si="226"/>
        <v>6174.5676697756207</v>
      </c>
    </row>
    <row r="1192" spans="1:27" x14ac:dyDescent="0.25">
      <c r="A1192" s="102" t="s">
        <v>2734</v>
      </c>
      <c r="B1192" s="110" t="s">
        <v>2735</v>
      </c>
      <c r="C1192" s="88" t="s">
        <v>226</v>
      </c>
      <c r="D1192" s="89" t="s">
        <v>255</v>
      </c>
      <c r="E1192" s="90">
        <f t="shared" si="231"/>
        <v>17059</v>
      </c>
      <c r="F1192" s="90">
        <f t="shared" si="232"/>
        <v>14335.514984984446</v>
      </c>
      <c r="G1192" s="91">
        <v>0.19</v>
      </c>
      <c r="H1192" s="91" t="s">
        <v>228</v>
      </c>
      <c r="I1192" s="91"/>
      <c r="J1192" s="91"/>
      <c r="K1192" s="91" t="s">
        <v>228</v>
      </c>
      <c r="L1192" s="92" t="s">
        <v>2736</v>
      </c>
      <c r="M1192" s="91" t="str">
        <f t="shared" si="234"/>
        <v>VER ARCHIVO ANEXO</v>
      </c>
      <c r="N1192" s="93">
        <v>41608</v>
      </c>
      <c r="O1192" s="94"/>
      <c r="P1192" s="94"/>
      <c r="Q1192" s="94">
        <v>1045</v>
      </c>
      <c r="R1192" s="95">
        <f t="shared" si="224"/>
        <v>14335.514984984446</v>
      </c>
      <c r="S1192" s="94">
        <v>9381.23</v>
      </c>
      <c r="T1192" s="94">
        <f t="shared" si="235"/>
        <v>10016.339271000001</v>
      </c>
      <c r="U1192" s="94">
        <f t="shared" si="229"/>
        <v>10592.278779082502</v>
      </c>
      <c r="V1192" s="94">
        <f t="shared" si="230"/>
        <v>11025.502981146976</v>
      </c>
      <c r="W1192" s="97">
        <f t="shared" si="227"/>
        <v>11376.11397594745</v>
      </c>
      <c r="X1192" s="97">
        <f t="shared" si="228"/>
        <v>11808.406307033454</v>
      </c>
      <c r="Y1192" s="97">
        <f t="shared" si="223"/>
        <v>11998.521648576692</v>
      </c>
      <c r="Z1192" s="97">
        <f t="shared" si="225"/>
        <v>12672.838565226702</v>
      </c>
      <c r="AA1192" s="97">
        <f t="shared" si="226"/>
        <v>14335.514984984446</v>
      </c>
    </row>
    <row r="1193" spans="1:27" x14ac:dyDescent="0.25">
      <c r="A1193" s="102" t="s">
        <v>2737</v>
      </c>
      <c r="B1193" s="110" t="s">
        <v>2738</v>
      </c>
      <c r="C1193" s="88" t="s">
        <v>226</v>
      </c>
      <c r="D1193" s="89" t="s">
        <v>262</v>
      </c>
      <c r="E1193" s="90">
        <f t="shared" si="231"/>
        <v>20392</v>
      </c>
      <c r="F1193" s="90">
        <f t="shared" si="232"/>
        <v>17136.088520172569</v>
      </c>
      <c r="G1193" s="91">
        <v>0.19</v>
      </c>
      <c r="H1193" s="91" t="s">
        <v>228</v>
      </c>
      <c r="I1193" s="91"/>
      <c r="J1193" s="91"/>
      <c r="K1193" s="91" t="s">
        <v>228</v>
      </c>
      <c r="L1193" s="92" t="s">
        <v>2736</v>
      </c>
      <c r="M1193" s="91" t="str">
        <f t="shared" si="234"/>
        <v>VER ARCHIVO ANEXO</v>
      </c>
      <c r="N1193" s="93">
        <v>41608</v>
      </c>
      <c r="O1193" s="143"/>
      <c r="P1193" s="143"/>
      <c r="Q1193" s="94">
        <v>1046</v>
      </c>
      <c r="R1193" s="95">
        <f t="shared" si="224"/>
        <v>17136.088520172569</v>
      </c>
      <c r="S1193" s="143">
        <v>11213.9388</v>
      </c>
      <c r="T1193" s="94">
        <f t="shared" si="235"/>
        <v>11973.12245676</v>
      </c>
      <c r="U1193" s="94">
        <f t="shared" si="229"/>
        <v>12661.576998023702</v>
      </c>
      <c r="V1193" s="94">
        <f t="shared" si="230"/>
        <v>13179.43549724287</v>
      </c>
      <c r="W1193" s="97">
        <f t="shared" si="227"/>
        <v>13598.541546055194</v>
      </c>
      <c r="X1193" s="97">
        <f t="shared" si="228"/>
        <v>14115.286124805292</v>
      </c>
      <c r="Y1193" s="97">
        <f t="shared" si="223"/>
        <v>14342.542231414658</v>
      </c>
      <c r="Z1193" s="97">
        <f t="shared" si="225"/>
        <v>15148.593104820162</v>
      </c>
      <c r="AA1193" s="97">
        <f t="shared" si="226"/>
        <v>17136.088520172569</v>
      </c>
    </row>
    <row r="1194" spans="1:27" x14ac:dyDescent="0.25">
      <c r="A1194" s="102" t="s">
        <v>2739</v>
      </c>
      <c r="B1194" s="110" t="s">
        <v>2740</v>
      </c>
      <c r="C1194" s="88" t="s">
        <v>226</v>
      </c>
      <c r="D1194" s="89" t="s">
        <v>262</v>
      </c>
      <c r="E1194" s="90">
        <f t="shared" si="231"/>
        <v>24848</v>
      </c>
      <c r="F1194" s="90">
        <f t="shared" si="232"/>
        <v>20880.746799123204</v>
      </c>
      <c r="G1194" s="91">
        <v>0.19</v>
      </c>
      <c r="H1194" s="91" t="s">
        <v>228</v>
      </c>
      <c r="I1194" s="91"/>
      <c r="J1194" s="91"/>
      <c r="K1194" s="91" t="s">
        <v>228</v>
      </c>
      <c r="L1194" s="92" t="s">
        <v>2736</v>
      </c>
      <c r="M1194" s="91" t="str">
        <f t="shared" si="234"/>
        <v>VER ARCHIVO ANEXO</v>
      </c>
      <c r="N1194" s="93">
        <v>41608</v>
      </c>
      <c r="O1194" s="143"/>
      <c r="P1194" s="143"/>
      <c r="Q1194" s="94">
        <v>1047</v>
      </c>
      <c r="R1194" s="95">
        <f t="shared" si="224"/>
        <v>20880.746799123204</v>
      </c>
      <c r="S1194" s="143">
        <v>13664.4612</v>
      </c>
      <c r="T1194" s="94">
        <f t="shared" si="235"/>
        <v>14589.54522324</v>
      </c>
      <c r="U1194" s="94">
        <f t="shared" si="229"/>
        <v>15428.444073576302</v>
      </c>
      <c r="V1194" s="94">
        <f t="shared" si="230"/>
        <v>16059.467436185572</v>
      </c>
      <c r="W1194" s="97">
        <f t="shared" si="227"/>
        <v>16570.158500656275</v>
      </c>
      <c r="X1194" s="97">
        <f t="shared" si="228"/>
        <v>17199.824523681214</v>
      </c>
      <c r="Y1194" s="97">
        <f t="shared" si="223"/>
        <v>17476.741698512484</v>
      </c>
      <c r="Z1194" s="97">
        <f t="shared" si="225"/>
        <v>18458.934581968886</v>
      </c>
      <c r="AA1194" s="97">
        <f t="shared" si="226"/>
        <v>20880.746799123204</v>
      </c>
    </row>
    <row r="1195" spans="1:27" x14ac:dyDescent="0.25">
      <c r="A1195" s="102" t="s">
        <v>2741</v>
      </c>
      <c r="B1195" s="110" t="s">
        <v>2742</v>
      </c>
      <c r="C1195" s="88" t="s">
        <v>226</v>
      </c>
      <c r="D1195" s="89" t="s">
        <v>262</v>
      </c>
      <c r="E1195" s="90">
        <f t="shared" si="231"/>
        <v>13777</v>
      </c>
      <c r="F1195" s="90">
        <f t="shared" si="232"/>
        <v>11577.710389530534</v>
      </c>
      <c r="G1195" s="91">
        <v>0.19</v>
      </c>
      <c r="H1195" s="91" t="s">
        <v>228</v>
      </c>
      <c r="I1195" s="91"/>
      <c r="J1195" s="91"/>
      <c r="K1195" s="91" t="s">
        <v>228</v>
      </c>
      <c r="L1195" s="92" t="s">
        <v>2736</v>
      </c>
      <c r="M1195" s="91" t="str">
        <f t="shared" si="234"/>
        <v>VER ARCHIVO ANEXO</v>
      </c>
      <c r="N1195" s="93">
        <v>41608</v>
      </c>
      <c r="O1195" s="143"/>
      <c r="P1195" s="143"/>
      <c r="Q1195" s="94">
        <v>1048</v>
      </c>
      <c r="R1195" s="95">
        <f t="shared" si="224"/>
        <v>11577.710389530534</v>
      </c>
      <c r="S1195" s="143">
        <v>7576.5093999999999</v>
      </c>
      <c r="T1195" s="94">
        <f t="shared" si="235"/>
        <v>8089.4390863800008</v>
      </c>
      <c r="U1195" s="94">
        <f t="shared" si="229"/>
        <v>8554.5818338468525</v>
      </c>
      <c r="V1195" s="94">
        <f t="shared" si="230"/>
        <v>8904.4642308511884</v>
      </c>
      <c r="W1195" s="97">
        <f t="shared" si="227"/>
        <v>9187.626193392256</v>
      </c>
      <c r="X1195" s="97">
        <f t="shared" si="228"/>
        <v>9536.7559887411626</v>
      </c>
      <c r="Y1195" s="97">
        <f t="shared" si="223"/>
        <v>9690.2977601598959</v>
      </c>
      <c r="Z1195" s="97">
        <f t="shared" si="225"/>
        <v>10234.892494280883</v>
      </c>
      <c r="AA1195" s="97">
        <f t="shared" si="226"/>
        <v>11577.710389530534</v>
      </c>
    </row>
    <row r="1196" spans="1:27" x14ac:dyDescent="0.25">
      <c r="A1196" s="102" t="s">
        <v>2743</v>
      </c>
      <c r="B1196" s="110" t="s">
        <v>2744</v>
      </c>
      <c r="C1196" s="88" t="s">
        <v>226</v>
      </c>
      <c r="D1196" s="89" t="s">
        <v>262</v>
      </c>
      <c r="E1196" s="90">
        <f t="shared" si="231"/>
        <v>16880</v>
      </c>
      <c r="F1196" s="90">
        <f t="shared" si="232"/>
        <v>14185.03167851223</v>
      </c>
      <c r="G1196" s="91">
        <v>0.19</v>
      </c>
      <c r="H1196" s="91" t="s">
        <v>228</v>
      </c>
      <c r="I1196" s="91"/>
      <c r="J1196" s="91"/>
      <c r="K1196" s="91" t="s">
        <v>228</v>
      </c>
      <c r="L1196" s="92" t="s">
        <v>2736</v>
      </c>
      <c r="M1196" s="91" t="str">
        <f t="shared" si="234"/>
        <v>VER ARCHIVO ANEXO</v>
      </c>
      <c r="N1196" s="93">
        <v>41608</v>
      </c>
      <c r="O1196" s="143"/>
      <c r="P1196" s="143"/>
      <c r="Q1196" s="94">
        <v>1049</v>
      </c>
      <c r="R1196" s="95">
        <f t="shared" si="224"/>
        <v>14185.03167851223</v>
      </c>
      <c r="S1196" s="143">
        <v>9282.7529999999988</v>
      </c>
      <c r="T1196" s="94">
        <f t="shared" si="235"/>
        <v>9911.1953780999993</v>
      </c>
      <c r="U1196" s="94">
        <f t="shared" si="229"/>
        <v>10481.089112340751</v>
      </c>
      <c r="V1196" s="94">
        <f t="shared" si="230"/>
        <v>10909.765657035487</v>
      </c>
      <c r="W1196" s="97">
        <f t="shared" si="227"/>
        <v>11256.696204929216</v>
      </c>
      <c r="X1196" s="97">
        <f t="shared" si="228"/>
        <v>11684.450660716526</v>
      </c>
      <c r="Y1196" s="97">
        <f t="shared" si="223"/>
        <v>11872.570316354062</v>
      </c>
      <c r="Z1196" s="97">
        <f t="shared" si="225"/>
        <v>12539.80876813316</v>
      </c>
      <c r="AA1196" s="97">
        <f t="shared" si="226"/>
        <v>14185.03167851223</v>
      </c>
    </row>
    <row r="1197" spans="1:27" x14ac:dyDescent="0.25">
      <c r="A1197" s="102" t="s">
        <v>2745</v>
      </c>
      <c r="B1197" s="110" t="s">
        <v>2746</v>
      </c>
      <c r="C1197" s="88" t="s">
        <v>226</v>
      </c>
      <c r="D1197" s="89" t="s">
        <v>255</v>
      </c>
      <c r="E1197" s="90">
        <f t="shared" si="231"/>
        <v>8530</v>
      </c>
      <c r="F1197" s="90">
        <f t="shared" si="232"/>
        <v>7167.7574924922228</v>
      </c>
      <c r="G1197" s="91">
        <v>0.19</v>
      </c>
      <c r="H1197" s="91" t="s">
        <v>228</v>
      </c>
      <c r="I1197" s="91"/>
      <c r="J1197" s="91"/>
      <c r="K1197" s="91" t="s">
        <v>228</v>
      </c>
      <c r="L1197" s="92" t="s">
        <v>2736</v>
      </c>
      <c r="M1197" s="91" t="str">
        <f t="shared" si="234"/>
        <v>VER ARCHIVO ANEXO</v>
      </c>
      <c r="N1197" s="93">
        <v>41608</v>
      </c>
      <c r="O1197" s="94"/>
      <c r="P1197" s="94"/>
      <c r="Q1197" s="94">
        <v>1050</v>
      </c>
      <c r="R1197" s="95">
        <f t="shared" si="224"/>
        <v>7167.7574924922228</v>
      </c>
      <c r="S1197" s="94">
        <v>4690.6149999999998</v>
      </c>
      <c r="T1197" s="94">
        <f t="shared" si="235"/>
        <v>5008.1696355000004</v>
      </c>
      <c r="U1197" s="94">
        <f t="shared" si="229"/>
        <v>5296.1393895412511</v>
      </c>
      <c r="V1197" s="94">
        <f t="shared" si="230"/>
        <v>5512.7514905734879</v>
      </c>
      <c r="W1197" s="97">
        <f t="shared" si="227"/>
        <v>5688.056987973725</v>
      </c>
      <c r="X1197" s="97">
        <f t="shared" si="228"/>
        <v>5904.2031535167271</v>
      </c>
      <c r="Y1197" s="97">
        <f t="shared" si="223"/>
        <v>5999.2608242883462</v>
      </c>
      <c r="Z1197" s="97">
        <f t="shared" si="225"/>
        <v>6336.4192826133512</v>
      </c>
      <c r="AA1197" s="97">
        <f t="shared" si="226"/>
        <v>7167.7574924922228</v>
      </c>
    </row>
    <row r="1198" spans="1:27" x14ac:dyDescent="0.25">
      <c r="A1198" s="102" t="s">
        <v>2747</v>
      </c>
      <c r="B1198" s="110" t="s">
        <v>2748</v>
      </c>
      <c r="C1198" s="88" t="s">
        <v>226</v>
      </c>
      <c r="D1198" s="89" t="s">
        <v>255</v>
      </c>
      <c r="E1198" s="90">
        <f t="shared" si="231"/>
        <v>36948</v>
      </c>
      <c r="F1198" s="90">
        <f t="shared" si="232"/>
        <v>31048.666212229848</v>
      </c>
      <c r="G1198" s="91">
        <v>0.19</v>
      </c>
      <c r="H1198" s="91" t="s">
        <v>228</v>
      </c>
      <c r="I1198" s="91"/>
      <c r="J1198" s="91"/>
      <c r="K1198" s="91" t="s">
        <v>228</v>
      </c>
      <c r="L1198" s="92" t="s">
        <v>2736</v>
      </c>
      <c r="M1198" s="91" t="str">
        <f t="shared" si="234"/>
        <v>VER ARCHIVO ANEXO</v>
      </c>
      <c r="N1198" s="93">
        <v>41608</v>
      </c>
      <c r="O1198" s="94"/>
      <c r="P1198" s="94"/>
      <c r="Q1198" s="94">
        <v>1051</v>
      </c>
      <c r="R1198" s="95">
        <f t="shared" si="224"/>
        <v>31048.666212229848</v>
      </c>
      <c r="S1198" s="94">
        <v>20318.3966</v>
      </c>
      <c r="T1198" s="94">
        <f t="shared" si="235"/>
        <v>21693.952049820004</v>
      </c>
      <c r="U1198" s="94">
        <f t="shared" si="229"/>
        <v>22941.354292684657</v>
      </c>
      <c r="V1198" s="94">
        <f t="shared" si="230"/>
        <v>23879.655683255456</v>
      </c>
      <c r="W1198" s="97">
        <f t="shared" si="227"/>
        <v>24639.028733982981</v>
      </c>
      <c r="X1198" s="97">
        <f t="shared" si="228"/>
        <v>25575.311825874334</v>
      </c>
      <c r="Y1198" s="97">
        <f t="shared" si="223"/>
        <v>25987.074346270911</v>
      </c>
      <c r="Z1198" s="97">
        <f t="shared" si="225"/>
        <v>27447.547924531336</v>
      </c>
      <c r="AA1198" s="97">
        <f t="shared" si="226"/>
        <v>31048.666212229848</v>
      </c>
    </row>
    <row r="1199" spans="1:27" x14ac:dyDescent="0.25">
      <c r="A1199" s="102" t="s">
        <v>2749</v>
      </c>
      <c r="B1199" s="87" t="s">
        <v>2750</v>
      </c>
      <c r="C1199" s="88" t="s">
        <v>226</v>
      </c>
      <c r="D1199" s="89" t="s">
        <v>4</v>
      </c>
      <c r="E1199" s="90">
        <f t="shared" si="231"/>
        <v>34646</v>
      </c>
      <c r="F1199" s="90">
        <f t="shared" si="232"/>
        <v>29114.559715360669</v>
      </c>
      <c r="G1199" s="91">
        <v>0.19</v>
      </c>
      <c r="H1199" s="91" t="s">
        <v>228</v>
      </c>
      <c r="I1199" s="91"/>
      <c r="J1199" s="91"/>
      <c r="K1199" s="91" t="s">
        <v>228</v>
      </c>
      <c r="L1199" s="92" t="s">
        <v>2736</v>
      </c>
      <c r="M1199" s="91" t="str">
        <f t="shared" si="234"/>
        <v>VER ARCHIVO ANEXO</v>
      </c>
      <c r="N1199" s="93">
        <v>41608</v>
      </c>
      <c r="O1199" s="94"/>
      <c r="P1199" s="94"/>
      <c r="Q1199" s="94">
        <v>1052</v>
      </c>
      <c r="R1199" s="95">
        <f t="shared" si="224"/>
        <v>29114.559715360669</v>
      </c>
      <c r="S1199" s="94">
        <v>19052.707999999999</v>
      </c>
      <c r="T1199" s="94">
        <f t="shared" si="235"/>
        <v>20342.576331600001</v>
      </c>
      <c r="U1199" s="94">
        <f t="shared" si="229"/>
        <v>21512.274470667002</v>
      </c>
      <c r="V1199" s="94">
        <f t="shared" si="230"/>
        <v>22392.126496517281</v>
      </c>
      <c r="W1199" s="97">
        <f t="shared" si="227"/>
        <v>23104.196119106531</v>
      </c>
      <c r="X1199" s="97">
        <f t="shared" si="228"/>
        <v>23982.155571632578</v>
      </c>
      <c r="Y1199" s="97">
        <f t="shared" si="223"/>
        <v>24368.268276335864</v>
      </c>
      <c r="Z1199" s="97">
        <f t="shared" si="225"/>
        <v>25737.764953465939</v>
      </c>
      <c r="AA1199" s="97">
        <f t="shared" si="226"/>
        <v>29114.559715360669</v>
      </c>
    </row>
    <row r="1200" spans="1:27" x14ac:dyDescent="0.25">
      <c r="A1200" s="102" t="s">
        <v>2751</v>
      </c>
      <c r="B1200" s="110" t="s">
        <v>2752</v>
      </c>
      <c r="C1200" s="88" t="s">
        <v>226</v>
      </c>
      <c r="D1200" s="89" t="s">
        <v>4</v>
      </c>
      <c r="E1200" s="90">
        <f t="shared" si="231"/>
        <v>29534</v>
      </c>
      <c r="F1200" s="90">
        <f t="shared" si="232"/>
        <v>24818.657324280255</v>
      </c>
      <c r="G1200" s="91">
        <v>0.19</v>
      </c>
      <c r="H1200" s="91" t="s">
        <v>228</v>
      </c>
      <c r="I1200" s="91"/>
      <c r="J1200" s="91"/>
      <c r="K1200" s="91" t="s">
        <v>228</v>
      </c>
      <c r="L1200" s="92" t="s">
        <v>2736</v>
      </c>
      <c r="M1200" s="91" t="str">
        <f t="shared" si="234"/>
        <v>VER ARCHIVO ANEXO</v>
      </c>
      <c r="N1200" s="93">
        <v>41608</v>
      </c>
      <c r="O1200" s="94"/>
      <c r="P1200" s="94"/>
      <c r="Q1200" s="94">
        <v>1053</v>
      </c>
      <c r="R1200" s="95">
        <f t="shared" si="224"/>
        <v>24818.657324280255</v>
      </c>
      <c r="S1200" s="94">
        <v>16241.4488</v>
      </c>
      <c r="T1200" s="94">
        <f t="shared" si="235"/>
        <v>17340.994883760002</v>
      </c>
      <c r="U1200" s="94">
        <f t="shared" si="229"/>
        <v>18338.102089576205</v>
      </c>
      <c r="V1200" s="94">
        <f t="shared" si="230"/>
        <v>19088.130465039871</v>
      </c>
      <c r="W1200" s="97">
        <f t="shared" si="227"/>
        <v>19695.133013828141</v>
      </c>
      <c r="X1200" s="97">
        <f t="shared" si="228"/>
        <v>20443.548068353612</v>
      </c>
      <c r="Y1200" s="97">
        <f t="shared" si="223"/>
        <v>20772.689192254104</v>
      </c>
      <c r="Z1200" s="97">
        <f t="shared" si="225"/>
        <v>21940.114324858783</v>
      </c>
      <c r="AA1200" s="97">
        <f t="shared" si="226"/>
        <v>24818.657324280255</v>
      </c>
    </row>
    <row r="1201" spans="1:27" x14ac:dyDescent="0.25">
      <c r="A1201" s="102" t="s">
        <v>2753</v>
      </c>
      <c r="B1201" s="87" t="s">
        <v>2754</v>
      </c>
      <c r="C1201" s="88" t="s">
        <v>226</v>
      </c>
      <c r="D1201" s="89" t="s">
        <v>4</v>
      </c>
      <c r="E1201" s="90">
        <f t="shared" si="231"/>
        <v>31010</v>
      </c>
      <c r="F1201" s="90">
        <f t="shared" si="232"/>
        <v>26058.956576572276</v>
      </c>
      <c r="G1201" s="91">
        <v>0.19</v>
      </c>
      <c r="H1201" s="91" t="s">
        <v>228</v>
      </c>
      <c r="I1201" s="91"/>
      <c r="J1201" s="91"/>
      <c r="K1201" s="91" t="s">
        <v>228</v>
      </c>
      <c r="L1201" s="92" t="s">
        <v>2736</v>
      </c>
      <c r="M1201" s="91" t="str">
        <f t="shared" si="234"/>
        <v>VER ARCHIVO ANEXO</v>
      </c>
      <c r="N1201" s="93">
        <v>41608</v>
      </c>
      <c r="O1201" s="94"/>
      <c r="P1201" s="94"/>
      <c r="Q1201" s="94">
        <v>1054</v>
      </c>
      <c r="R1201" s="95">
        <f t="shared" si="224"/>
        <v>26058.956576572276</v>
      </c>
      <c r="S1201" s="94">
        <v>17053.106599999999</v>
      </c>
      <c r="T1201" s="94">
        <f t="shared" si="235"/>
        <v>18207.60191682</v>
      </c>
      <c r="U1201" s="94">
        <f t="shared" si="229"/>
        <v>19254.539027037154</v>
      </c>
      <c r="V1201" s="94">
        <f t="shared" si="230"/>
        <v>20042.049673242971</v>
      </c>
      <c r="W1201" s="97">
        <f t="shared" si="227"/>
        <v>20679.386852852098</v>
      </c>
      <c r="X1201" s="97">
        <f t="shared" si="228"/>
        <v>21465.203553260479</v>
      </c>
      <c r="Y1201" s="97">
        <f t="shared" si="223"/>
        <v>21810.793330467972</v>
      </c>
      <c r="Z1201" s="97">
        <f t="shared" si="225"/>
        <v>23036.559915640271</v>
      </c>
      <c r="AA1201" s="97">
        <f t="shared" si="226"/>
        <v>26058.956576572276</v>
      </c>
    </row>
    <row r="1202" spans="1:27" x14ac:dyDescent="0.25">
      <c r="A1202" s="102" t="s">
        <v>2755</v>
      </c>
      <c r="B1202" s="87" t="s">
        <v>2756</v>
      </c>
      <c r="C1202" s="88" t="s">
        <v>226</v>
      </c>
      <c r="D1202" s="89" t="s">
        <v>4</v>
      </c>
      <c r="E1202" s="90">
        <f t="shared" si="231"/>
        <v>29474</v>
      </c>
      <c r="F1202" s="90">
        <f t="shared" si="232"/>
        <v>24767.96821052119</v>
      </c>
      <c r="G1202" s="91">
        <v>0.19</v>
      </c>
      <c r="H1202" s="91" t="s">
        <v>228</v>
      </c>
      <c r="I1202" s="91"/>
      <c r="J1202" s="91"/>
      <c r="K1202" s="91" t="s">
        <v>228</v>
      </c>
      <c r="L1202" s="92" t="s">
        <v>2736</v>
      </c>
      <c r="M1202" s="91" t="str">
        <f t="shared" si="234"/>
        <v>VER ARCHIVO ANEXO</v>
      </c>
      <c r="N1202" s="93">
        <v>41608</v>
      </c>
      <c r="O1202" s="94"/>
      <c r="P1202" s="94"/>
      <c r="Q1202" s="94">
        <v>1055</v>
      </c>
      <c r="R1202" s="95">
        <f t="shared" si="224"/>
        <v>24767.96821052119</v>
      </c>
      <c r="S1202" s="94">
        <v>16208.277599999999</v>
      </c>
      <c r="T1202" s="94">
        <f t="shared" si="235"/>
        <v>17305.577993520001</v>
      </c>
      <c r="U1202" s="94">
        <f t="shared" si="229"/>
        <v>18300.648728147404</v>
      </c>
      <c r="V1202" s="94">
        <f t="shared" si="230"/>
        <v>19049.145261128633</v>
      </c>
      <c r="W1202" s="97">
        <f t="shared" si="227"/>
        <v>19654.908080432524</v>
      </c>
      <c r="X1202" s="97">
        <f t="shared" si="228"/>
        <v>20401.794587488959</v>
      </c>
      <c r="Y1202" s="97">
        <f t="shared" si="223"/>
        <v>20730.26348034753</v>
      </c>
      <c r="Z1202" s="97">
        <f t="shared" si="225"/>
        <v>21895.304287943061</v>
      </c>
      <c r="AA1202" s="97">
        <f t="shared" si="226"/>
        <v>24767.96821052119</v>
      </c>
    </row>
    <row r="1203" spans="1:27" x14ac:dyDescent="0.25">
      <c r="A1203" s="102" t="s">
        <v>2757</v>
      </c>
      <c r="B1203" s="87" t="s">
        <v>2758</v>
      </c>
      <c r="C1203" s="88" t="s">
        <v>226</v>
      </c>
      <c r="D1203" s="89" t="s">
        <v>4</v>
      </c>
      <c r="E1203" s="90">
        <f t="shared" si="231"/>
        <v>33242</v>
      </c>
      <c r="F1203" s="90">
        <f t="shared" si="232"/>
        <v>27934.453785657537</v>
      </c>
      <c r="G1203" s="91">
        <v>0.19</v>
      </c>
      <c r="H1203" s="91" t="s">
        <v>228</v>
      </c>
      <c r="I1203" s="91"/>
      <c r="J1203" s="91"/>
      <c r="K1203" s="91" t="s">
        <v>228</v>
      </c>
      <c r="L1203" s="92" t="s">
        <v>2736</v>
      </c>
      <c r="M1203" s="91" t="str">
        <f t="shared" si="234"/>
        <v>VER ARCHIVO ANEXO</v>
      </c>
      <c r="N1203" s="93">
        <v>41608</v>
      </c>
      <c r="O1203" s="94"/>
      <c r="P1203" s="94"/>
      <c r="Q1203" s="94">
        <v>1056</v>
      </c>
      <c r="R1203" s="95">
        <f t="shared" si="224"/>
        <v>27934.453785657537</v>
      </c>
      <c r="S1203" s="94">
        <v>18280.440999999999</v>
      </c>
      <c r="T1203" s="94">
        <f t="shared" si="235"/>
        <v>19518.026855700002</v>
      </c>
      <c r="U1203" s="94">
        <f t="shared" si="229"/>
        <v>20640.313399902752</v>
      </c>
      <c r="V1203" s="94">
        <f t="shared" si="230"/>
        <v>21484.502217958772</v>
      </c>
      <c r="W1203" s="97">
        <f t="shared" si="227"/>
        <v>22167.709388489864</v>
      </c>
      <c r="X1203" s="97">
        <f t="shared" si="228"/>
        <v>23010.082345252478</v>
      </c>
      <c r="Y1203" s="97">
        <f t="shared" si="223"/>
        <v>23380.544671011045</v>
      </c>
      <c r="Z1203" s="97">
        <f t="shared" si="225"/>
        <v>24694.531281521868</v>
      </c>
      <c r="AA1203" s="97">
        <f t="shared" si="226"/>
        <v>27934.453785657537</v>
      </c>
    </row>
    <row r="1204" spans="1:27" x14ac:dyDescent="0.25">
      <c r="A1204" s="102" t="s">
        <v>2759</v>
      </c>
      <c r="B1204" s="87" t="s">
        <v>2760</v>
      </c>
      <c r="C1204" s="88" t="s">
        <v>226</v>
      </c>
      <c r="D1204" s="89" t="s">
        <v>4</v>
      </c>
      <c r="E1204" s="90">
        <f t="shared" si="231"/>
        <v>50554</v>
      </c>
      <c r="F1204" s="90">
        <f t="shared" si="232"/>
        <v>42482.229434508037</v>
      </c>
      <c r="G1204" s="91">
        <v>0.19</v>
      </c>
      <c r="H1204" s="91" t="s">
        <v>228</v>
      </c>
      <c r="I1204" s="91"/>
      <c r="J1204" s="91"/>
      <c r="K1204" s="91" t="s">
        <v>228</v>
      </c>
      <c r="L1204" s="92" t="s">
        <v>2761</v>
      </c>
      <c r="M1204" s="91" t="str">
        <f t="shared" si="234"/>
        <v>VER ARCHIVO ANEXO</v>
      </c>
      <c r="N1204" s="93">
        <v>41608</v>
      </c>
      <c r="O1204" s="94"/>
      <c r="P1204" s="94"/>
      <c r="Q1204" s="94">
        <v>1057</v>
      </c>
      <c r="R1204" s="95">
        <f t="shared" si="224"/>
        <v>42482.229434508037</v>
      </c>
      <c r="S1204" s="94">
        <v>27800.575399999998</v>
      </c>
      <c r="T1204" s="94">
        <f t="shared" si="235"/>
        <v>29682.674354580002</v>
      </c>
      <c r="U1204" s="94">
        <f t="shared" si="229"/>
        <v>31389.428129968353</v>
      </c>
      <c r="V1204" s="94">
        <f t="shared" si="230"/>
        <v>32673.255740484055</v>
      </c>
      <c r="W1204" s="97">
        <f t="shared" si="227"/>
        <v>33712.265273031451</v>
      </c>
      <c r="X1204" s="97">
        <f t="shared" si="228"/>
        <v>34993.331353406647</v>
      </c>
      <c r="Y1204" s="97">
        <f t="shared" si="223"/>
        <v>35556.723988196492</v>
      </c>
      <c r="Z1204" s="97">
        <f t="shared" si="225"/>
        <v>37555.011876333134</v>
      </c>
      <c r="AA1204" s="97">
        <f t="shared" si="226"/>
        <v>42482.229434508037</v>
      </c>
    </row>
    <row r="1205" spans="1:27" x14ac:dyDescent="0.25">
      <c r="A1205" s="102" t="s">
        <v>2762</v>
      </c>
      <c r="B1205" s="87" t="s">
        <v>2763</v>
      </c>
      <c r="C1205" s="88" t="s">
        <v>226</v>
      </c>
      <c r="D1205" s="89" t="s">
        <v>4</v>
      </c>
      <c r="E1205" s="90">
        <f t="shared" si="231"/>
        <v>21406</v>
      </c>
      <c r="F1205" s="90">
        <f t="shared" si="232"/>
        <v>17988.299245246781</v>
      </c>
      <c r="G1205" s="91">
        <v>0.19</v>
      </c>
      <c r="H1205" s="91" t="s">
        <v>228</v>
      </c>
      <c r="I1205" s="91"/>
      <c r="J1205" s="91"/>
      <c r="K1205" s="91" t="s">
        <v>228</v>
      </c>
      <c r="L1205" s="92" t="s">
        <v>2736</v>
      </c>
      <c r="M1205" s="91" t="str">
        <f t="shared" si="234"/>
        <v>VER ARCHIVO ANEXO</v>
      </c>
      <c r="N1205" s="93">
        <v>41608</v>
      </c>
      <c r="O1205" s="94"/>
      <c r="P1205" s="94"/>
      <c r="Q1205" s="94">
        <v>1058</v>
      </c>
      <c r="R1205" s="95">
        <f t="shared" si="224"/>
        <v>17988.299245246781</v>
      </c>
      <c r="S1205" s="94">
        <v>11771.6296</v>
      </c>
      <c r="T1205" s="94">
        <f t="shared" si="235"/>
        <v>12568.568923920002</v>
      </c>
      <c r="U1205" s="94">
        <f t="shared" si="229"/>
        <v>13291.261637045403</v>
      </c>
      <c r="V1205" s="94">
        <f t="shared" si="230"/>
        <v>13834.874238000559</v>
      </c>
      <c r="W1205" s="97">
        <f t="shared" si="227"/>
        <v>14274.823238768977</v>
      </c>
      <c r="X1205" s="97">
        <f t="shared" si="228"/>
        <v>14817.266521842199</v>
      </c>
      <c r="Y1205" s="97">
        <f t="shared" si="223"/>
        <v>15055.824512843858</v>
      </c>
      <c r="Z1205" s="97">
        <f t="shared" si="225"/>
        <v>15901.961850465683</v>
      </c>
      <c r="AA1205" s="97">
        <f t="shared" si="226"/>
        <v>17988.299245246781</v>
      </c>
    </row>
    <row r="1206" spans="1:27" x14ac:dyDescent="0.25">
      <c r="A1206" s="102" t="s">
        <v>2764</v>
      </c>
      <c r="B1206" s="87" t="s">
        <v>2765</v>
      </c>
      <c r="C1206" s="88" t="s">
        <v>226</v>
      </c>
      <c r="D1206" s="89" t="s">
        <v>4</v>
      </c>
      <c r="E1206" s="90">
        <f t="shared" si="231"/>
        <v>74173</v>
      </c>
      <c r="F1206" s="90">
        <f t="shared" si="232"/>
        <v>62330.185540790379</v>
      </c>
      <c r="G1206" s="91">
        <v>0.19</v>
      </c>
      <c r="H1206" s="91" t="s">
        <v>228</v>
      </c>
      <c r="I1206" s="91"/>
      <c r="J1206" s="91"/>
      <c r="K1206" s="91" t="s">
        <v>228</v>
      </c>
      <c r="L1206" s="92" t="s">
        <v>2766</v>
      </c>
      <c r="M1206" s="91" t="str">
        <f t="shared" si="234"/>
        <v>VER ARCHIVO ANEXO</v>
      </c>
      <c r="N1206" s="93">
        <v>41608</v>
      </c>
      <c r="O1206" s="94"/>
      <c r="P1206" s="94"/>
      <c r="Q1206" s="94">
        <v>1059</v>
      </c>
      <c r="R1206" s="95">
        <f t="shared" si="224"/>
        <v>62330.185540790379</v>
      </c>
      <c r="S1206" s="94">
        <v>40789.1734</v>
      </c>
      <c r="T1206" s="94">
        <f t="shared" si="235"/>
        <v>43550.600439180002</v>
      </c>
      <c r="U1206" s="94">
        <f t="shared" si="229"/>
        <v>46054.759964432858</v>
      </c>
      <c r="V1206" s="94">
        <f t="shared" si="230"/>
        <v>47938.399646978156</v>
      </c>
      <c r="W1206" s="97">
        <f t="shared" si="227"/>
        <v>49462.840755752062</v>
      </c>
      <c r="X1206" s="97">
        <f t="shared" si="228"/>
        <v>51342.428704470643</v>
      </c>
      <c r="Y1206" s="97">
        <f t="shared" si="223"/>
        <v>52169.041806612622</v>
      </c>
      <c r="Z1206" s="97">
        <f t="shared" si="225"/>
        <v>55100.941956144256</v>
      </c>
      <c r="AA1206" s="97">
        <f t="shared" si="226"/>
        <v>62330.185540790379</v>
      </c>
    </row>
    <row r="1207" spans="1:27" x14ac:dyDescent="0.25">
      <c r="A1207" s="102" t="s">
        <v>2767</v>
      </c>
      <c r="B1207" s="87" t="s">
        <v>2768</v>
      </c>
      <c r="C1207" s="88" t="s">
        <v>226</v>
      </c>
      <c r="D1207" s="89" t="s">
        <v>4</v>
      </c>
      <c r="E1207" s="90">
        <f t="shared" si="231"/>
        <v>46486</v>
      </c>
      <c r="F1207" s="90">
        <f t="shared" si="232"/>
        <v>39063.882325381375</v>
      </c>
      <c r="G1207" s="91">
        <v>0.19</v>
      </c>
      <c r="H1207" s="91" t="s">
        <v>228</v>
      </c>
      <c r="I1207" s="91"/>
      <c r="J1207" s="91"/>
      <c r="K1207" s="91" t="s">
        <v>228</v>
      </c>
      <c r="L1207" s="92" t="s">
        <v>2736</v>
      </c>
      <c r="M1207" s="91" t="str">
        <f t="shared" si="234"/>
        <v>VER ARCHIVO ANEXO</v>
      </c>
      <c r="N1207" s="93">
        <v>41608</v>
      </c>
      <c r="O1207" s="94"/>
      <c r="P1207" s="94"/>
      <c r="Q1207" s="94">
        <v>1060</v>
      </c>
      <c r="R1207" s="95">
        <f t="shared" si="224"/>
        <v>39063.882325381375</v>
      </c>
      <c r="S1207" s="94">
        <v>25563.5926</v>
      </c>
      <c r="T1207" s="94">
        <f t="shared" si="235"/>
        <v>27294.247819020002</v>
      </c>
      <c r="U1207" s="94">
        <f t="shared" si="229"/>
        <v>28863.667068613653</v>
      </c>
      <c r="V1207" s="94">
        <f t="shared" si="230"/>
        <v>30044.19105171995</v>
      </c>
      <c r="W1207" s="97">
        <f t="shared" si="227"/>
        <v>30999.596327164647</v>
      </c>
      <c r="X1207" s="97">
        <f t="shared" si="228"/>
        <v>32177.580987596906</v>
      </c>
      <c r="Y1207" s="97">
        <f t="shared" si="223"/>
        <v>32695.640041497216</v>
      </c>
      <c r="Z1207" s="97">
        <f t="shared" si="225"/>
        <v>34533.135011829363</v>
      </c>
      <c r="AA1207" s="97">
        <f t="shared" si="226"/>
        <v>39063.882325381375</v>
      </c>
    </row>
    <row r="1208" spans="1:27" x14ac:dyDescent="0.25">
      <c r="A1208" s="102" t="s">
        <v>2769</v>
      </c>
      <c r="B1208" s="87" t="s">
        <v>2770</v>
      </c>
      <c r="C1208" s="88" t="s">
        <v>226</v>
      </c>
      <c r="D1208" s="89" t="s">
        <v>4</v>
      </c>
      <c r="E1208" s="90">
        <f t="shared" si="231"/>
        <v>39398</v>
      </c>
      <c r="F1208" s="90">
        <f t="shared" si="232"/>
        <v>33107.911458691698</v>
      </c>
      <c r="G1208" s="91">
        <v>0.19</v>
      </c>
      <c r="H1208" s="91" t="s">
        <v>228</v>
      </c>
      <c r="I1208" s="91"/>
      <c r="J1208" s="91"/>
      <c r="K1208" s="91" t="s">
        <v>228</v>
      </c>
      <c r="L1208" s="92" t="s">
        <v>2736</v>
      </c>
      <c r="M1208" s="91" t="str">
        <f t="shared" si="234"/>
        <v>VER ARCHIVO ANEXO</v>
      </c>
      <c r="N1208" s="93">
        <v>41608</v>
      </c>
      <c r="O1208" s="94"/>
      <c r="P1208" s="94"/>
      <c r="Q1208" s="94">
        <v>1061</v>
      </c>
      <c r="R1208" s="95">
        <f t="shared" si="224"/>
        <v>33107.911458691698</v>
      </c>
      <c r="S1208" s="94">
        <v>21665.976599999998</v>
      </c>
      <c r="T1208" s="94">
        <f t="shared" si="235"/>
        <v>23132.763215819999</v>
      </c>
      <c r="U1208" s="94">
        <f t="shared" si="229"/>
        <v>24462.897100729653</v>
      </c>
      <c r="V1208" s="94">
        <f t="shared" si="230"/>
        <v>25463.429592149496</v>
      </c>
      <c r="W1208" s="97">
        <f t="shared" si="227"/>
        <v>26273.166653179851</v>
      </c>
      <c r="X1208" s="97">
        <f t="shared" si="228"/>
        <v>27271.546986000685</v>
      </c>
      <c r="Y1208" s="97">
        <f t="shared" si="223"/>
        <v>27710.618892475297</v>
      </c>
      <c r="Z1208" s="97">
        <f t="shared" si="225"/>
        <v>29267.955674232409</v>
      </c>
      <c r="AA1208" s="97">
        <f t="shared" si="226"/>
        <v>33107.911458691698</v>
      </c>
    </row>
    <row r="1209" spans="1:27" x14ac:dyDescent="0.25">
      <c r="A1209" s="102" t="s">
        <v>2771</v>
      </c>
      <c r="B1209" s="87" t="s">
        <v>2772</v>
      </c>
      <c r="C1209" s="88" t="s">
        <v>226</v>
      </c>
      <c r="D1209" s="89" t="s">
        <v>4</v>
      </c>
      <c r="E1209" s="90">
        <f t="shared" si="231"/>
        <v>52339</v>
      </c>
      <c r="F1209" s="90">
        <f t="shared" si="232"/>
        <v>43982.310394815264</v>
      </c>
      <c r="G1209" s="91">
        <v>0.19</v>
      </c>
      <c r="H1209" s="91" t="s">
        <v>228</v>
      </c>
      <c r="I1209" s="91"/>
      <c r="J1209" s="91"/>
      <c r="K1209" s="91" t="s">
        <v>228</v>
      </c>
      <c r="L1209" s="92" t="s">
        <v>2736</v>
      </c>
      <c r="M1209" s="91" t="str">
        <f t="shared" si="234"/>
        <v>VER ARCHIVO ANEXO</v>
      </c>
      <c r="N1209" s="93">
        <v>41608</v>
      </c>
      <c r="O1209" s="94"/>
      <c r="P1209" s="94"/>
      <c r="Q1209" s="94">
        <v>1062</v>
      </c>
      <c r="R1209" s="95">
        <f t="shared" si="224"/>
        <v>43982.310394815264</v>
      </c>
      <c r="S1209" s="94">
        <v>28782.2356</v>
      </c>
      <c r="T1209" s="94">
        <f t="shared" si="235"/>
        <v>30730.792950120001</v>
      </c>
      <c r="U1209" s="94">
        <f t="shared" si="229"/>
        <v>32497.813544751905</v>
      </c>
      <c r="V1209" s="94">
        <f t="shared" si="230"/>
        <v>33826.974118732258</v>
      </c>
      <c r="W1209" s="97">
        <f t="shared" si="227"/>
        <v>34902.671895707943</v>
      </c>
      <c r="X1209" s="97">
        <f t="shared" si="228"/>
        <v>36228.973427744844</v>
      </c>
      <c r="Y1209" s="97">
        <f t="shared" ref="Y1209:Y1272" si="236">+X1209*(1+$Y$4)</f>
        <v>36812.259899931538</v>
      </c>
      <c r="Z1209" s="97">
        <f t="shared" si="225"/>
        <v>38881.108906307694</v>
      </c>
      <c r="AA1209" s="97">
        <f t="shared" si="226"/>
        <v>43982.310394815264</v>
      </c>
    </row>
    <row r="1210" spans="1:27" x14ac:dyDescent="0.25">
      <c r="A1210" s="102" t="s">
        <v>2773</v>
      </c>
      <c r="B1210" s="87" t="s">
        <v>2774</v>
      </c>
      <c r="C1210" s="88" t="s">
        <v>226</v>
      </c>
      <c r="D1210" s="89" t="s">
        <v>4</v>
      </c>
      <c r="E1210" s="90">
        <f t="shared" si="231"/>
        <v>33242</v>
      </c>
      <c r="F1210" s="90">
        <f t="shared" si="232"/>
        <v>27934.453785657537</v>
      </c>
      <c r="G1210" s="91">
        <v>0.19</v>
      </c>
      <c r="H1210" s="91" t="s">
        <v>228</v>
      </c>
      <c r="I1210" s="91"/>
      <c r="J1210" s="91"/>
      <c r="K1210" s="91" t="s">
        <v>228</v>
      </c>
      <c r="L1210" s="92" t="s">
        <v>2736</v>
      </c>
      <c r="M1210" s="91" t="str">
        <f t="shared" si="234"/>
        <v>VER ARCHIVO ANEXO</v>
      </c>
      <c r="N1210" s="93">
        <v>41608</v>
      </c>
      <c r="O1210" s="94"/>
      <c r="P1210" s="94"/>
      <c r="Q1210" s="94">
        <v>1063</v>
      </c>
      <c r="R1210" s="95">
        <f t="shared" si="224"/>
        <v>27934.453785657537</v>
      </c>
      <c r="S1210" s="94">
        <v>18280.440999999999</v>
      </c>
      <c r="T1210" s="94">
        <f t="shared" si="235"/>
        <v>19518.026855700002</v>
      </c>
      <c r="U1210" s="94">
        <f t="shared" si="229"/>
        <v>20640.313399902752</v>
      </c>
      <c r="V1210" s="94">
        <f t="shared" si="230"/>
        <v>21484.502217958772</v>
      </c>
      <c r="W1210" s="97">
        <f t="shared" si="227"/>
        <v>22167.709388489864</v>
      </c>
      <c r="X1210" s="97">
        <f t="shared" si="228"/>
        <v>23010.082345252478</v>
      </c>
      <c r="Y1210" s="97">
        <f t="shared" si="236"/>
        <v>23380.544671011045</v>
      </c>
      <c r="Z1210" s="97">
        <f t="shared" si="225"/>
        <v>24694.531281521868</v>
      </c>
      <c r="AA1210" s="97">
        <f t="shared" si="226"/>
        <v>27934.453785657537</v>
      </c>
    </row>
    <row r="1211" spans="1:27" x14ac:dyDescent="0.25">
      <c r="A1211" s="102" t="s">
        <v>2775</v>
      </c>
      <c r="B1211" s="110" t="s">
        <v>2776</v>
      </c>
      <c r="C1211" s="88" t="s">
        <v>226</v>
      </c>
      <c r="D1211" s="89" t="s">
        <v>4</v>
      </c>
      <c r="E1211" s="90">
        <f t="shared" si="231"/>
        <v>33242</v>
      </c>
      <c r="F1211" s="90">
        <f t="shared" si="232"/>
        <v>27934.453785657537</v>
      </c>
      <c r="G1211" s="91">
        <v>0.19</v>
      </c>
      <c r="H1211" s="91" t="s">
        <v>228</v>
      </c>
      <c r="I1211" s="91"/>
      <c r="J1211" s="91"/>
      <c r="K1211" s="91" t="s">
        <v>228</v>
      </c>
      <c r="L1211" s="92" t="s">
        <v>2736</v>
      </c>
      <c r="M1211" s="91" t="str">
        <f t="shared" si="234"/>
        <v>VER ARCHIVO ANEXO</v>
      </c>
      <c r="N1211" s="93">
        <v>41608</v>
      </c>
      <c r="O1211" s="94"/>
      <c r="P1211" s="94"/>
      <c r="Q1211" s="94">
        <v>1064</v>
      </c>
      <c r="R1211" s="95">
        <f t="shared" si="224"/>
        <v>27934.453785657537</v>
      </c>
      <c r="S1211" s="94">
        <v>18280.440999999999</v>
      </c>
      <c r="T1211" s="94">
        <f t="shared" si="235"/>
        <v>19518.026855700002</v>
      </c>
      <c r="U1211" s="94">
        <f t="shared" si="229"/>
        <v>20640.313399902752</v>
      </c>
      <c r="V1211" s="94">
        <f t="shared" si="230"/>
        <v>21484.502217958772</v>
      </c>
      <c r="W1211" s="97">
        <f t="shared" si="227"/>
        <v>22167.709388489864</v>
      </c>
      <c r="X1211" s="97">
        <f t="shared" si="228"/>
        <v>23010.082345252478</v>
      </c>
      <c r="Y1211" s="97">
        <f t="shared" si="236"/>
        <v>23380.544671011045</v>
      </c>
      <c r="Z1211" s="97">
        <f t="shared" si="225"/>
        <v>24694.531281521868</v>
      </c>
      <c r="AA1211" s="97">
        <f t="shared" si="226"/>
        <v>27934.453785657537</v>
      </c>
    </row>
    <row r="1212" spans="1:27" x14ac:dyDescent="0.25">
      <c r="A1212" s="102" t="s">
        <v>2777</v>
      </c>
      <c r="B1212" s="98" t="s">
        <v>2778</v>
      </c>
      <c r="C1212" s="99" t="s">
        <v>226</v>
      </c>
      <c r="D1212" s="100" t="s">
        <v>255</v>
      </c>
      <c r="E1212" s="101">
        <f t="shared" si="231"/>
        <v>414182</v>
      </c>
      <c r="F1212" s="90">
        <f t="shared" si="232"/>
        <v>348052.04752217751</v>
      </c>
      <c r="G1212" s="91">
        <v>0.19</v>
      </c>
      <c r="H1212" s="91" t="s">
        <v>228</v>
      </c>
      <c r="I1212" s="91"/>
      <c r="J1212" s="91"/>
      <c r="K1212" s="91" t="s">
        <v>228</v>
      </c>
      <c r="L1212" s="92" t="s">
        <v>2779</v>
      </c>
      <c r="M1212" s="91" t="str">
        <f t="shared" si="234"/>
        <v>VER ARCHIVO ANEXO</v>
      </c>
      <c r="N1212" s="93">
        <v>41608</v>
      </c>
      <c r="O1212" s="94"/>
      <c r="P1212" s="94"/>
      <c r="Q1212" s="94">
        <v>1065</v>
      </c>
      <c r="R1212" s="95">
        <f t="shared" si="224"/>
        <v>348052.04752217751</v>
      </c>
      <c r="S1212" s="94">
        <v>227766.935</v>
      </c>
      <c r="T1212" s="94">
        <f t="shared" si="235"/>
        <v>243186.75649950001</v>
      </c>
      <c r="U1212" s="94">
        <f t="shared" si="229"/>
        <v>257169.99499822129</v>
      </c>
      <c r="V1212" s="94">
        <f t="shared" si="230"/>
        <v>267688.24779364851</v>
      </c>
      <c r="W1212" s="97">
        <f t="shared" si="227"/>
        <v>276200.73407348653</v>
      </c>
      <c r="X1212" s="97">
        <f t="shared" si="228"/>
        <v>286696.361968279</v>
      </c>
      <c r="Y1212" s="97">
        <f t="shared" si="236"/>
        <v>291312.17339596828</v>
      </c>
      <c r="Z1212" s="97">
        <f t="shared" si="225"/>
        <v>307683.91754082171</v>
      </c>
      <c r="AA1212" s="97">
        <f t="shared" si="226"/>
        <v>348052.04752217751</v>
      </c>
    </row>
    <row r="1213" spans="1:27" x14ac:dyDescent="0.25">
      <c r="A1213" s="102" t="s">
        <v>2780</v>
      </c>
      <c r="B1213" s="87" t="s">
        <v>2781</v>
      </c>
      <c r="C1213" s="88" t="s">
        <v>226</v>
      </c>
      <c r="D1213" s="89" t="s">
        <v>255</v>
      </c>
      <c r="E1213" s="90">
        <f t="shared" si="231"/>
        <v>497011</v>
      </c>
      <c r="F1213" s="90">
        <f t="shared" si="232"/>
        <v>417656.12088739319</v>
      </c>
      <c r="G1213" s="91">
        <v>0.19</v>
      </c>
      <c r="H1213" s="91" t="s">
        <v>228</v>
      </c>
      <c r="I1213" s="91"/>
      <c r="J1213" s="91"/>
      <c r="K1213" s="91" t="s">
        <v>228</v>
      </c>
      <c r="L1213" s="92" t="s">
        <v>2779</v>
      </c>
      <c r="M1213" s="91" t="str">
        <f t="shared" si="234"/>
        <v>VER ARCHIVO ANEXO</v>
      </c>
      <c r="N1213" s="93">
        <v>41608</v>
      </c>
      <c r="O1213" s="94"/>
      <c r="P1213" s="94"/>
      <c r="Q1213" s="94">
        <v>1066</v>
      </c>
      <c r="R1213" s="95">
        <f t="shared" si="224"/>
        <v>417656.12088739319</v>
      </c>
      <c r="S1213" s="94">
        <v>273316.17560000002</v>
      </c>
      <c r="T1213" s="94">
        <f t="shared" si="235"/>
        <v>291819.68068812002</v>
      </c>
      <c r="U1213" s="94">
        <f t="shared" si="229"/>
        <v>308599.31232768693</v>
      </c>
      <c r="V1213" s="94">
        <f t="shared" si="230"/>
        <v>321221.02420188929</v>
      </c>
      <c r="W1213" s="97">
        <f t="shared" si="227"/>
        <v>331435.85277150938</v>
      </c>
      <c r="X1213" s="97">
        <f t="shared" si="228"/>
        <v>344030.41517682676</v>
      </c>
      <c r="Y1213" s="97">
        <f t="shared" si="236"/>
        <v>349569.30486117367</v>
      </c>
      <c r="Z1213" s="97">
        <f t="shared" si="225"/>
        <v>369215.09979437164</v>
      </c>
      <c r="AA1213" s="97">
        <f t="shared" si="226"/>
        <v>417656.12088739319</v>
      </c>
    </row>
    <row r="1214" spans="1:27" x14ac:dyDescent="0.25">
      <c r="A1214" s="102" t="s">
        <v>2782</v>
      </c>
      <c r="B1214" s="87" t="s">
        <v>2783</v>
      </c>
      <c r="C1214" s="88" t="s">
        <v>226</v>
      </c>
      <c r="D1214" s="89" t="s">
        <v>255</v>
      </c>
      <c r="E1214" s="90">
        <f t="shared" si="231"/>
        <v>497011</v>
      </c>
      <c r="F1214" s="90">
        <f t="shared" si="232"/>
        <v>417656.12088739319</v>
      </c>
      <c r="G1214" s="91">
        <v>0.19</v>
      </c>
      <c r="H1214" s="91" t="s">
        <v>228</v>
      </c>
      <c r="I1214" s="91"/>
      <c r="J1214" s="91"/>
      <c r="K1214" s="91" t="s">
        <v>228</v>
      </c>
      <c r="L1214" s="92" t="s">
        <v>2779</v>
      </c>
      <c r="M1214" s="91" t="str">
        <f t="shared" si="234"/>
        <v>VER ARCHIVO ANEXO</v>
      </c>
      <c r="N1214" s="93">
        <v>41608</v>
      </c>
      <c r="O1214" s="94"/>
      <c r="P1214" s="94"/>
      <c r="Q1214" s="94">
        <v>1067</v>
      </c>
      <c r="R1214" s="95">
        <f t="shared" si="224"/>
        <v>417656.12088739319</v>
      </c>
      <c r="S1214" s="94">
        <v>273316.17560000002</v>
      </c>
      <c r="T1214" s="94">
        <f t="shared" si="235"/>
        <v>291819.68068812002</v>
      </c>
      <c r="U1214" s="94">
        <f t="shared" si="229"/>
        <v>308599.31232768693</v>
      </c>
      <c r="V1214" s="94">
        <f t="shared" si="230"/>
        <v>321221.02420188929</v>
      </c>
      <c r="W1214" s="97">
        <f t="shared" si="227"/>
        <v>331435.85277150938</v>
      </c>
      <c r="X1214" s="97">
        <f t="shared" si="228"/>
        <v>344030.41517682676</v>
      </c>
      <c r="Y1214" s="97">
        <f t="shared" si="236"/>
        <v>349569.30486117367</v>
      </c>
      <c r="Z1214" s="97">
        <f t="shared" si="225"/>
        <v>369215.09979437164</v>
      </c>
      <c r="AA1214" s="97">
        <f t="shared" si="226"/>
        <v>417656.12088739319</v>
      </c>
    </row>
    <row r="1215" spans="1:27" x14ac:dyDescent="0.25">
      <c r="A1215" s="102" t="s">
        <v>2784</v>
      </c>
      <c r="B1215" s="87" t="s">
        <v>2785</v>
      </c>
      <c r="C1215" s="88" t="s">
        <v>226</v>
      </c>
      <c r="D1215" s="89" t="s">
        <v>255</v>
      </c>
      <c r="E1215" s="90">
        <f t="shared" si="231"/>
        <v>447311</v>
      </c>
      <c r="F1215" s="90">
        <f t="shared" si="232"/>
        <v>375891.45921953692</v>
      </c>
      <c r="G1215" s="91">
        <v>0.19</v>
      </c>
      <c r="H1215" s="91" t="s">
        <v>228</v>
      </c>
      <c r="I1215" s="91"/>
      <c r="J1215" s="91"/>
      <c r="K1215" s="91" t="s">
        <v>228</v>
      </c>
      <c r="L1215" s="92" t="s">
        <v>2779</v>
      </c>
      <c r="M1215" s="91" t="str">
        <f t="shared" si="234"/>
        <v>VER ARCHIVO ANEXO</v>
      </c>
      <c r="N1215" s="93">
        <v>41608</v>
      </c>
      <c r="O1215" s="94"/>
      <c r="P1215" s="94"/>
      <c r="Q1215" s="94">
        <v>1068</v>
      </c>
      <c r="R1215" s="95">
        <f t="shared" si="224"/>
        <v>375891.45921953692</v>
      </c>
      <c r="S1215" s="94">
        <v>245985.18</v>
      </c>
      <c r="T1215" s="94">
        <f t="shared" si="235"/>
        <v>262638.37668600003</v>
      </c>
      <c r="U1215" s="94">
        <f t="shared" si="229"/>
        <v>277740.08334544505</v>
      </c>
      <c r="V1215" s="94">
        <f t="shared" si="230"/>
        <v>289099.65275427373</v>
      </c>
      <c r="W1215" s="97">
        <f t="shared" si="227"/>
        <v>298293.02171185968</v>
      </c>
      <c r="X1215" s="97">
        <f t="shared" si="228"/>
        <v>309628.15653691033</v>
      </c>
      <c r="Y1215" s="97">
        <f t="shared" si="236"/>
        <v>314613.1698571546</v>
      </c>
      <c r="Z1215" s="97">
        <f t="shared" si="225"/>
        <v>332294.43000312668</v>
      </c>
      <c r="AA1215" s="97">
        <f t="shared" si="226"/>
        <v>375891.45921953692</v>
      </c>
    </row>
    <row r="1216" spans="1:27" x14ac:dyDescent="0.25">
      <c r="A1216" s="102" t="s">
        <v>2786</v>
      </c>
      <c r="B1216" s="87" t="s">
        <v>2787</v>
      </c>
      <c r="C1216" s="88" t="s">
        <v>226</v>
      </c>
      <c r="D1216" s="89" t="s">
        <v>4</v>
      </c>
      <c r="E1216" s="90">
        <f t="shared" si="231"/>
        <v>41988</v>
      </c>
      <c r="F1216" s="90">
        <f t="shared" si="232"/>
        <v>35284.37528072139</v>
      </c>
      <c r="G1216" s="91">
        <v>0.19</v>
      </c>
      <c r="H1216" s="91" t="s">
        <v>228</v>
      </c>
      <c r="I1216" s="91"/>
      <c r="J1216" s="91"/>
      <c r="K1216" s="91" t="s">
        <v>228</v>
      </c>
      <c r="L1216" s="92" t="s">
        <v>2736</v>
      </c>
      <c r="M1216" s="91" t="str">
        <f t="shared" si="234"/>
        <v>VER ARCHIVO ANEXO</v>
      </c>
      <c r="N1216" s="93">
        <v>41608</v>
      </c>
      <c r="O1216" s="94"/>
      <c r="P1216" s="94"/>
      <c r="Q1216" s="94">
        <v>1069</v>
      </c>
      <c r="R1216" s="95">
        <f t="shared" si="224"/>
        <v>35284.37528072139</v>
      </c>
      <c r="S1216" s="94">
        <v>23090.264999999999</v>
      </c>
      <c r="T1216" s="94">
        <f t="shared" si="235"/>
        <v>24653.4759405</v>
      </c>
      <c r="U1216" s="94">
        <f t="shared" si="229"/>
        <v>26071.050807078755</v>
      </c>
      <c r="V1216" s="94">
        <f t="shared" si="230"/>
        <v>27137.356785088276</v>
      </c>
      <c r="W1216" s="97">
        <f t="shared" si="227"/>
        <v>28000.324730854085</v>
      </c>
      <c r="X1216" s="97">
        <f t="shared" si="228"/>
        <v>29064.337070626541</v>
      </c>
      <c r="Y1216" s="97">
        <f t="shared" si="236"/>
        <v>29532.27289746363</v>
      </c>
      <c r="Z1216" s="97">
        <f t="shared" si="225"/>
        <v>31191.986634301087</v>
      </c>
      <c r="AA1216" s="97">
        <f t="shared" si="226"/>
        <v>35284.37528072139</v>
      </c>
    </row>
    <row r="1217" spans="1:27" x14ac:dyDescent="0.25">
      <c r="A1217" s="102" t="s">
        <v>2788</v>
      </c>
      <c r="B1217" s="110" t="s">
        <v>2789</v>
      </c>
      <c r="C1217" s="88" t="s">
        <v>226</v>
      </c>
      <c r="D1217" s="89" t="s">
        <v>4</v>
      </c>
      <c r="E1217" s="90">
        <f t="shared" si="231"/>
        <v>61768</v>
      </c>
      <c r="F1217" s="90">
        <f t="shared" si="232"/>
        <v>51905.652489278495</v>
      </c>
      <c r="G1217" s="91">
        <v>0.19</v>
      </c>
      <c r="H1217" s="91" t="s">
        <v>228</v>
      </c>
      <c r="I1217" s="91"/>
      <c r="J1217" s="91"/>
      <c r="K1217" s="91" t="s">
        <v>228</v>
      </c>
      <c r="L1217" s="92" t="s">
        <v>2766</v>
      </c>
      <c r="M1217" s="91" t="str">
        <f t="shared" si="234"/>
        <v>VER ARCHIVO ANEXO</v>
      </c>
      <c r="N1217" s="93">
        <v>41608</v>
      </c>
      <c r="O1217" s="94"/>
      <c r="P1217" s="94"/>
      <c r="Q1217" s="94">
        <v>1070</v>
      </c>
      <c r="R1217" s="95">
        <f t="shared" si="224"/>
        <v>51905.652489278495</v>
      </c>
      <c r="S1217" s="94">
        <v>33967.308799999999</v>
      </c>
      <c r="T1217" s="94">
        <f t="shared" si="235"/>
        <v>36266.895605760001</v>
      </c>
      <c r="U1217" s="94">
        <f t="shared" si="229"/>
        <v>38352.242103091208</v>
      </c>
      <c r="V1217" s="94">
        <f t="shared" si="230"/>
        <v>39920.848805107635</v>
      </c>
      <c r="W1217" s="97">
        <f t="shared" si="227"/>
        <v>41190.331797110062</v>
      </c>
      <c r="X1217" s="97">
        <f t="shared" si="228"/>
        <v>42755.564405400248</v>
      </c>
      <c r="Y1217" s="97">
        <f t="shared" si="236"/>
        <v>43443.928992327194</v>
      </c>
      <c r="Z1217" s="97">
        <f t="shared" si="225"/>
        <v>45885.477801695983</v>
      </c>
      <c r="AA1217" s="97">
        <f t="shared" si="226"/>
        <v>51905.652489278495</v>
      </c>
    </row>
    <row r="1218" spans="1:27" x14ac:dyDescent="0.25">
      <c r="A1218" s="102" t="s">
        <v>2790</v>
      </c>
      <c r="B1218" s="110" t="s">
        <v>2791</v>
      </c>
      <c r="C1218" s="88" t="s">
        <v>226</v>
      </c>
      <c r="D1218" s="89" t="s">
        <v>4</v>
      </c>
      <c r="E1218" s="90">
        <f t="shared" si="231"/>
        <v>73147</v>
      </c>
      <c r="F1218" s="90">
        <f t="shared" si="232"/>
        <v>61468.470606886345</v>
      </c>
      <c r="G1218" s="91">
        <v>0.19</v>
      </c>
      <c r="H1218" s="91" t="s">
        <v>228</v>
      </c>
      <c r="I1218" s="91"/>
      <c r="J1218" s="91"/>
      <c r="K1218" s="91" t="s">
        <v>228</v>
      </c>
      <c r="L1218" s="92" t="s">
        <v>2766</v>
      </c>
      <c r="M1218" s="91" t="str">
        <f t="shared" si="234"/>
        <v>VER ARCHIVO ANEXO</v>
      </c>
      <c r="N1218" s="93">
        <v>41608</v>
      </c>
      <c r="O1218" s="94"/>
      <c r="P1218" s="94"/>
      <c r="Q1218" s="94">
        <v>1071</v>
      </c>
      <c r="R1218" s="95">
        <f t="shared" si="224"/>
        <v>61468.470606886345</v>
      </c>
      <c r="S1218" s="94">
        <v>40225.262999999999</v>
      </c>
      <c r="T1218" s="94">
        <f t="shared" si="235"/>
        <v>42948.513305100001</v>
      </c>
      <c r="U1218" s="94">
        <f t="shared" si="229"/>
        <v>45418.052820143253</v>
      </c>
      <c r="V1218" s="94">
        <f t="shared" si="230"/>
        <v>47275.651180487112</v>
      </c>
      <c r="W1218" s="97">
        <f t="shared" si="227"/>
        <v>48779.016888026606</v>
      </c>
      <c r="X1218" s="97">
        <f t="shared" si="228"/>
        <v>50632.619529771619</v>
      </c>
      <c r="Y1218" s="97">
        <f t="shared" si="236"/>
        <v>51447.804704200942</v>
      </c>
      <c r="Z1218" s="97">
        <f t="shared" si="225"/>
        <v>54339.171328577038</v>
      </c>
      <c r="AA1218" s="97">
        <f t="shared" si="226"/>
        <v>61468.470606886345</v>
      </c>
    </row>
    <row r="1219" spans="1:27" x14ac:dyDescent="0.25">
      <c r="A1219" s="102" t="s">
        <v>2792</v>
      </c>
      <c r="B1219" s="110" t="s">
        <v>2793</v>
      </c>
      <c r="C1219" s="88" t="s">
        <v>226</v>
      </c>
      <c r="D1219" s="89" t="s">
        <v>4</v>
      </c>
      <c r="E1219" s="90">
        <f t="shared" si="231"/>
        <v>117358</v>
      </c>
      <c r="F1219" s="90">
        <f t="shared" si="232"/>
        <v>98620.422922668135</v>
      </c>
      <c r="G1219" s="91">
        <v>0.19</v>
      </c>
      <c r="H1219" s="91" t="s">
        <v>228</v>
      </c>
      <c r="I1219" s="91"/>
      <c r="J1219" s="91"/>
      <c r="K1219" s="91" t="s">
        <v>228</v>
      </c>
      <c r="L1219" s="92" t="s">
        <v>2766</v>
      </c>
      <c r="M1219" s="91" t="str">
        <f t="shared" si="234"/>
        <v>VER ARCHIVO ANEXO</v>
      </c>
      <c r="N1219" s="93">
        <v>41608</v>
      </c>
      <c r="O1219" s="94"/>
      <c r="P1219" s="94"/>
      <c r="Q1219" s="94">
        <v>1072</v>
      </c>
      <c r="R1219" s="95">
        <f t="shared" si="224"/>
        <v>98620.422922668135</v>
      </c>
      <c r="S1219" s="94">
        <v>64537.679400000001</v>
      </c>
      <c r="T1219" s="94">
        <f t="shared" si="235"/>
        <v>68906.880295380004</v>
      </c>
      <c r="U1219" s="94">
        <f t="shared" si="229"/>
        <v>72869.025912364363</v>
      </c>
      <c r="V1219" s="94">
        <f t="shared" si="230"/>
        <v>75849.369072180067</v>
      </c>
      <c r="W1219" s="97">
        <f t="shared" si="227"/>
        <v>78261.379008675402</v>
      </c>
      <c r="X1219" s="97">
        <f t="shared" si="228"/>
        <v>81235.311411005066</v>
      </c>
      <c r="Y1219" s="97">
        <f t="shared" si="236"/>
        <v>82543.199924722241</v>
      </c>
      <c r="Z1219" s="97">
        <f t="shared" si="225"/>
        <v>87182.127760491639</v>
      </c>
      <c r="AA1219" s="97">
        <f t="shared" si="226"/>
        <v>98620.422922668135</v>
      </c>
    </row>
    <row r="1220" spans="1:27" x14ac:dyDescent="0.25">
      <c r="A1220" s="102" t="s">
        <v>2794</v>
      </c>
      <c r="B1220" s="110" t="s">
        <v>2795</v>
      </c>
      <c r="C1220" s="88" t="s">
        <v>226</v>
      </c>
      <c r="D1220" s="89" t="s">
        <v>4</v>
      </c>
      <c r="E1220" s="90">
        <f t="shared" si="231"/>
        <v>82503</v>
      </c>
      <c r="F1220" s="90">
        <f t="shared" si="232"/>
        <v>69330.035343955708</v>
      </c>
      <c r="G1220" s="91">
        <v>0.19</v>
      </c>
      <c r="H1220" s="91" t="s">
        <v>228</v>
      </c>
      <c r="I1220" s="91"/>
      <c r="J1220" s="91"/>
      <c r="K1220" s="91" t="s">
        <v>228</v>
      </c>
      <c r="L1220" s="92" t="s">
        <v>2766</v>
      </c>
      <c r="M1220" s="91" t="str">
        <f t="shared" si="234"/>
        <v>VER ARCHIVO ANEXO</v>
      </c>
      <c r="N1220" s="93">
        <v>41608</v>
      </c>
      <c r="O1220" s="94"/>
      <c r="P1220" s="94"/>
      <c r="Q1220" s="94">
        <v>1073</v>
      </c>
      <c r="R1220" s="95">
        <f t="shared" si="224"/>
        <v>69330.035343955708</v>
      </c>
      <c r="S1220" s="94">
        <v>45369.908799999997</v>
      </c>
      <c r="T1220" s="94">
        <f t="shared" si="235"/>
        <v>48441.451625760004</v>
      </c>
      <c r="U1220" s="94">
        <f t="shared" si="229"/>
        <v>51226.835094241207</v>
      </c>
      <c r="V1220" s="94">
        <f t="shared" si="230"/>
        <v>53322.012649595672</v>
      </c>
      <c r="W1220" s="97">
        <f t="shared" si="227"/>
        <v>55017.652651852819</v>
      </c>
      <c r="X1220" s="97">
        <f t="shared" si="228"/>
        <v>57108.323452623226</v>
      </c>
      <c r="Y1220" s="97">
        <f t="shared" si="236"/>
        <v>58027.76746021046</v>
      </c>
      <c r="Z1220" s="97">
        <f t="shared" si="225"/>
        <v>61288.927991474287</v>
      </c>
      <c r="AA1220" s="97">
        <f t="shared" si="226"/>
        <v>69330.035343955708</v>
      </c>
    </row>
    <row r="1221" spans="1:27" x14ac:dyDescent="0.25">
      <c r="A1221" s="102" t="s">
        <v>2796</v>
      </c>
      <c r="B1221" s="110" t="s">
        <v>2797</v>
      </c>
      <c r="C1221" s="88" t="s">
        <v>226</v>
      </c>
      <c r="D1221" s="89" t="s">
        <v>4</v>
      </c>
      <c r="E1221" s="90">
        <f t="shared" si="231"/>
        <v>125245</v>
      </c>
      <c r="F1221" s="90">
        <f t="shared" si="232"/>
        <v>105248.02454666539</v>
      </c>
      <c r="G1221" s="91">
        <v>0.19</v>
      </c>
      <c r="H1221" s="91" t="s">
        <v>228</v>
      </c>
      <c r="I1221" s="91"/>
      <c r="J1221" s="91"/>
      <c r="K1221" s="91" t="s">
        <v>228</v>
      </c>
      <c r="L1221" s="92" t="s">
        <v>2766</v>
      </c>
      <c r="M1221" s="91" t="str">
        <f t="shared" si="234"/>
        <v>VER ARCHIVO ANEXO</v>
      </c>
      <c r="N1221" s="93">
        <v>41608</v>
      </c>
      <c r="O1221" s="94"/>
      <c r="P1221" s="94"/>
      <c r="Q1221" s="94">
        <v>1074</v>
      </c>
      <c r="R1221" s="95">
        <f t="shared" si="224"/>
        <v>105248.02454666539</v>
      </c>
      <c r="S1221" s="94">
        <v>68874.813800000004</v>
      </c>
      <c r="T1221" s="94">
        <f t="shared" si="235"/>
        <v>73537.638694260007</v>
      </c>
      <c r="U1221" s="94">
        <f t="shared" si="229"/>
        <v>77766.052919179972</v>
      </c>
      <c r="V1221" s="94">
        <f t="shared" si="230"/>
        <v>80946.684483574427</v>
      </c>
      <c r="W1221" s="97">
        <f t="shared" si="227"/>
        <v>83520.789050152103</v>
      </c>
      <c r="X1221" s="97">
        <f t="shared" si="228"/>
        <v>86694.579034057882</v>
      </c>
      <c r="Y1221" s="97">
        <f t="shared" si="236"/>
        <v>88090.361756506216</v>
      </c>
      <c r="Z1221" s="97">
        <f t="shared" si="225"/>
        <v>93041.040087221874</v>
      </c>
      <c r="AA1221" s="97">
        <f t="shared" si="226"/>
        <v>105248.02454666539</v>
      </c>
    </row>
    <row r="1222" spans="1:27" x14ac:dyDescent="0.25">
      <c r="A1222" s="102" t="s">
        <v>2798</v>
      </c>
      <c r="B1222" s="110" t="s">
        <v>2799</v>
      </c>
      <c r="C1222" s="88" t="s">
        <v>226</v>
      </c>
      <c r="D1222" s="89" t="s">
        <v>4</v>
      </c>
      <c r="E1222" s="90">
        <f t="shared" si="231"/>
        <v>41890</v>
      </c>
      <c r="F1222" s="90">
        <f t="shared" si="232"/>
        <v>35202.005470862903</v>
      </c>
      <c r="G1222" s="91">
        <v>0.19</v>
      </c>
      <c r="H1222" s="91" t="s">
        <v>228</v>
      </c>
      <c r="I1222" s="91"/>
      <c r="J1222" s="91"/>
      <c r="K1222" s="91" t="s">
        <v>228</v>
      </c>
      <c r="L1222" s="92" t="s">
        <v>2800</v>
      </c>
      <c r="M1222" s="91" t="str">
        <f t="shared" si="234"/>
        <v>VER ARCHIVO ANEXO</v>
      </c>
      <c r="N1222" s="93">
        <v>41608</v>
      </c>
      <c r="O1222" s="94"/>
      <c r="P1222" s="94"/>
      <c r="Q1222" s="94">
        <v>1075</v>
      </c>
      <c r="R1222" s="95">
        <f t="shared" si="224"/>
        <v>35202.005470862903</v>
      </c>
      <c r="S1222" s="94">
        <v>23036.361799999999</v>
      </c>
      <c r="T1222" s="94">
        <f t="shared" si="235"/>
        <v>24595.923493860002</v>
      </c>
      <c r="U1222" s="94">
        <f t="shared" si="229"/>
        <v>26010.189094756955</v>
      </c>
      <c r="V1222" s="94">
        <f t="shared" si="230"/>
        <v>27074.005828732512</v>
      </c>
      <c r="W1222" s="97">
        <f t="shared" si="227"/>
        <v>27934.959214086208</v>
      </c>
      <c r="X1222" s="97">
        <f t="shared" si="228"/>
        <v>28996.487664221484</v>
      </c>
      <c r="Y1222" s="97">
        <f t="shared" si="236"/>
        <v>29463.331115615449</v>
      </c>
      <c r="Z1222" s="97">
        <f t="shared" si="225"/>
        <v>31119.170324313036</v>
      </c>
      <c r="AA1222" s="97">
        <f t="shared" si="226"/>
        <v>35202.005470862903</v>
      </c>
    </row>
    <row r="1223" spans="1:27" x14ac:dyDescent="0.25">
      <c r="A1223" s="102" t="s">
        <v>2801</v>
      </c>
      <c r="B1223" s="110" t="s">
        <v>2802</v>
      </c>
      <c r="C1223" s="88" t="s">
        <v>226</v>
      </c>
      <c r="D1223" s="89" t="s">
        <v>4</v>
      </c>
      <c r="E1223" s="90">
        <f t="shared" si="231"/>
        <v>34961</v>
      </c>
      <c r="F1223" s="90">
        <f t="shared" si="232"/>
        <v>29379.09352779077</v>
      </c>
      <c r="G1223" s="91">
        <v>0.19</v>
      </c>
      <c r="H1223" s="91" t="s">
        <v>228</v>
      </c>
      <c r="I1223" s="91"/>
      <c r="J1223" s="91"/>
      <c r="K1223" s="91" t="s">
        <v>228</v>
      </c>
      <c r="L1223" s="92" t="s">
        <v>2800</v>
      </c>
      <c r="M1223" s="91" t="str">
        <f t="shared" si="234"/>
        <v>VER ARCHIVO ANEXO</v>
      </c>
      <c r="N1223" s="93">
        <v>41608</v>
      </c>
      <c r="O1223" s="94"/>
      <c r="P1223" s="94"/>
      <c r="Q1223" s="94">
        <v>1076</v>
      </c>
      <c r="R1223" s="95">
        <f t="shared" ref="R1223:R1286" si="237">+AA1223</f>
        <v>29379.09352779077</v>
      </c>
      <c r="S1223" s="94">
        <v>19225.820199999998</v>
      </c>
      <c r="T1223" s="94">
        <f t="shared" si="235"/>
        <v>20527.40822754</v>
      </c>
      <c r="U1223" s="94">
        <f t="shared" si="229"/>
        <v>21707.734200623552</v>
      </c>
      <c r="V1223" s="94">
        <f t="shared" si="230"/>
        <v>22595.580529429055</v>
      </c>
      <c r="W1223" s="97">
        <f t="shared" si="227"/>
        <v>23314.119990264899</v>
      </c>
      <c r="X1223" s="97">
        <f t="shared" si="228"/>
        <v>24200.056549894965</v>
      </c>
      <c r="Y1223" s="97">
        <f t="shared" si="236"/>
        <v>24589.677460348274</v>
      </c>
      <c r="Z1223" s="97">
        <f t="shared" ref="Z1223:Z1286" si="238">+Y1223*(1+$Z$4)</f>
        <v>25971.617333619848</v>
      </c>
      <c r="AA1223" s="97">
        <f t="shared" ref="AA1223:AA1286" si="239">+Z1223*(1+$AA$4)</f>
        <v>29379.09352779077</v>
      </c>
    </row>
    <row r="1224" spans="1:27" x14ac:dyDescent="0.25">
      <c r="A1224" s="102" t="s">
        <v>2803</v>
      </c>
      <c r="B1224" s="110" t="s">
        <v>2804</v>
      </c>
      <c r="C1224" s="88" t="s">
        <v>226</v>
      </c>
      <c r="D1224" s="89" t="s">
        <v>4</v>
      </c>
      <c r="E1224" s="90">
        <f t="shared" si="231"/>
        <v>38667</v>
      </c>
      <c r="F1224" s="90">
        <f t="shared" si="232"/>
        <v>32493.305954363088</v>
      </c>
      <c r="G1224" s="91">
        <v>0.19</v>
      </c>
      <c r="H1224" s="91" t="s">
        <v>228</v>
      </c>
      <c r="I1224" s="91"/>
      <c r="J1224" s="91"/>
      <c r="K1224" s="91" t="s">
        <v>228</v>
      </c>
      <c r="L1224" s="92" t="s">
        <v>2800</v>
      </c>
      <c r="M1224" s="91" t="str">
        <f t="shared" si="234"/>
        <v>VER ARCHIVO ANEXO</v>
      </c>
      <c r="N1224" s="93">
        <v>41608</v>
      </c>
      <c r="O1224" s="94"/>
      <c r="P1224" s="94"/>
      <c r="Q1224" s="94">
        <v>1077</v>
      </c>
      <c r="R1224" s="95">
        <f t="shared" si="237"/>
        <v>32493.305954363088</v>
      </c>
      <c r="S1224" s="94">
        <v>21263.775799999999</v>
      </c>
      <c r="T1224" s="94">
        <f t="shared" si="235"/>
        <v>22703.333421660001</v>
      </c>
      <c r="U1224" s="94">
        <f t="shared" si="229"/>
        <v>24008.775093405453</v>
      </c>
      <c r="V1224" s="94">
        <f t="shared" si="230"/>
        <v>24990.733994725735</v>
      </c>
      <c r="W1224" s="97">
        <f t="shared" ref="W1224:W1287" si="240">+V1224*(1+$W$4)</f>
        <v>25785.439335758016</v>
      </c>
      <c r="X1224" s="97">
        <f t="shared" ref="X1224:X1287" si="241">+W1224*(1+$X$4)</f>
        <v>26765.286030516821</v>
      </c>
      <c r="Y1224" s="97">
        <f t="shared" si="236"/>
        <v>27196.207135608143</v>
      </c>
      <c r="Z1224" s="97">
        <f t="shared" si="238"/>
        <v>28724.63397662932</v>
      </c>
      <c r="AA1224" s="97">
        <f t="shared" si="239"/>
        <v>32493.305954363088</v>
      </c>
    </row>
    <row r="1225" spans="1:27" x14ac:dyDescent="0.25">
      <c r="A1225" s="102" t="s">
        <v>2805</v>
      </c>
      <c r="B1225" s="110" t="s">
        <v>2806</v>
      </c>
      <c r="C1225" s="88" t="s">
        <v>226</v>
      </c>
      <c r="D1225" s="89" t="s">
        <v>4</v>
      </c>
      <c r="E1225" s="90">
        <f t="shared" si="231"/>
        <v>53427</v>
      </c>
      <c r="F1225" s="90">
        <f t="shared" si="232"/>
        <v>44896.298477283322</v>
      </c>
      <c r="G1225" s="91">
        <v>0.19</v>
      </c>
      <c r="H1225" s="91" t="s">
        <v>228</v>
      </c>
      <c r="I1225" s="91"/>
      <c r="J1225" s="91"/>
      <c r="K1225" s="91" t="s">
        <v>228</v>
      </c>
      <c r="L1225" s="92" t="s">
        <v>2800</v>
      </c>
      <c r="M1225" s="91" t="str">
        <f t="shared" si="234"/>
        <v>VER ARCHIVO ANEXO</v>
      </c>
      <c r="N1225" s="93">
        <v>41608</v>
      </c>
      <c r="O1225" s="94"/>
      <c r="P1225" s="94"/>
      <c r="Q1225" s="94">
        <v>1078</v>
      </c>
      <c r="R1225" s="95">
        <f t="shared" si="237"/>
        <v>44896.298477283322</v>
      </c>
      <c r="S1225" s="94">
        <v>29380.353800000001</v>
      </c>
      <c r="T1225" s="94">
        <f t="shared" si="235"/>
        <v>31369.403752260005</v>
      </c>
      <c r="U1225" s="94">
        <f t="shared" si="229"/>
        <v>33173.144468014958</v>
      </c>
      <c r="V1225" s="94">
        <f t="shared" si="230"/>
        <v>34529.926076756768</v>
      </c>
      <c r="W1225" s="97">
        <f t="shared" si="240"/>
        <v>35627.977725997633</v>
      </c>
      <c r="X1225" s="97">
        <f t="shared" si="241"/>
        <v>36981.840879585543</v>
      </c>
      <c r="Y1225" s="97">
        <f t="shared" si="236"/>
        <v>37577.24851774687</v>
      </c>
      <c r="Z1225" s="97">
        <f t="shared" si="238"/>
        <v>39689.089884444242</v>
      </c>
      <c r="AA1225" s="97">
        <f t="shared" si="239"/>
        <v>44896.298477283322</v>
      </c>
    </row>
    <row r="1226" spans="1:27" x14ac:dyDescent="0.25">
      <c r="A1226" s="102" t="s">
        <v>2807</v>
      </c>
      <c r="B1226" s="110" t="s">
        <v>2808</v>
      </c>
      <c r="C1226" s="88" t="s">
        <v>226</v>
      </c>
      <c r="D1226" s="89" t="s">
        <v>4</v>
      </c>
      <c r="E1226" s="90">
        <f t="shared" si="231"/>
        <v>44656</v>
      </c>
      <c r="F1226" s="90">
        <f t="shared" si="232"/>
        <v>37525.784529754863</v>
      </c>
      <c r="G1226" s="91">
        <v>0.19</v>
      </c>
      <c r="H1226" s="91" t="s">
        <v>228</v>
      </c>
      <c r="I1226" s="91"/>
      <c r="J1226" s="91"/>
      <c r="K1226" s="91" t="s">
        <v>228</v>
      </c>
      <c r="L1226" s="92" t="s">
        <v>2800</v>
      </c>
      <c r="M1226" s="91" t="str">
        <f t="shared" si="234"/>
        <v>VER ARCHIVO ANEXO</v>
      </c>
      <c r="N1226" s="93">
        <v>41608</v>
      </c>
      <c r="O1226" s="94"/>
      <c r="P1226" s="94"/>
      <c r="Q1226" s="94">
        <v>1079</v>
      </c>
      <c r="R1226" s="95">
        <f t="shared" si="237"/>
        <v>37525.784529754863</v>
      </c>
      <c r="S1226" s="94">
        <v>24557.054</v>
      </c>
      <c r="T1226" s="94">
        <f t="shared" si="235"/>
        <v>26219.566555800004</v>
      </c>
      <c r="U1226" s="94">
        <f t="shared" si="229"/>
        <v>27727.191632758506</v>
      </c>
      <c r="V1226" s="94">
        <f t="shared" si="230"/>
        <v>28861.233770538325</v>
      </c>
      <c r="W1226" s="97">
        <f t="shared" si="240"/>
        <v>29779.021004441445</v>
      </c>
      <c r="X1226" s="97">
        <f t="shared" si="241"/>
        <v>30910.623802610222</v>
      </c>
      <c r="Y1226" s="97">
        <f t="shared" si="236"/>
        <v>31408.284845832248</v>
      </c>
      <c r="Z1226" s="97">
        <f t="shared" si="238"/>
        <v>33173.430454168018</v>
      </c>
      <c r="AA1226" s="97">
        <f t="shared" si="239"/>
        <v>37525.784529754863</v>
      </c>
    </row>
    <row r="1227" spans="1:27" x14ac:dyDescent="0.25">
      <c r="A1227" s="102" t="s">
        <v>2809</v>
      </c>
      <c r="B1227" s="110" t="s">
        <v>2810</v>
      </c>
      <c r="C1227" s="88" t="s">
        <v>226</v>
      </c>
      <c r="D1227" s="89" t="s">
        <v>4</v>
      </c>
      <c r="E1227" s="90">
        <f t="shared" si="231"/>
        <v>41890</v>
      </c>
      <c r="F1227" s="90">
        <f t="shared" si="232"/>
        <v>35202.005470862903</v>
      </c>
      <c r="G1227" s="91">
        <v>0.19</v>
      </c>
      <c r="H1227" s="91" t="s">
        <v>228</v>
      </c>
      <c r="I1227" s="91"/>
      <c r="J1227" s="91"/>
      <c r="K1227" s="91" t="s">
        <v>228</v>
      </c>
      <c r="L1227" s="92" t="s">
        <v>2800</v>
      </c>
      <c r="M1227" s="91" t="str">
        <f t="shared" si="234"/>
        <v>VER ARCHIVO ANEXO</v>
      </c>
      <c r="N1227" s="93">
        <v>41608</v>
      </c>
      <c r="O1227" s="94"/>
      <c r="P1227" s="94"/>
      <c r="Q1227" s="94">
        <v>1080</v>
      </c>
      <c r="R1227" s="95">
        <f t="shared" si="237"/>
        <v>35202.005470862903</v>
      </c>
      <c r="S1227" s="94">
        <v>23036.361799999999</v>
      </c>
      <c r="T1227" s="94">
        <f t="shared" si="235"/>
        <v>24595.923493860002</v>
      </c>
      <c r="U1227" s="94">
        <f t="shared" ref="U1227:U1290" si="242">+T1227*(1+$U$4)</f>
        <v>26010.189094756955</v>
      </c>
      <c r="V1227" s="94">
        <f t="shared" ref="V1227:V1290" si="243">+U1227*(1+$V$4)</f>
        <v>27074.005828732512</v>
      </c>
      <c r="W1227" s="97">
        <f t="shared" si="240"/>
        <v>27934.959214086208</v>
      </c>
      <c r="X1227" s="97">
        <f t="shared" si="241"/>
        <v>28996.487664221484</v>
      </c>
      <c r="Y1227" s="97">
        <f t="shared" si="236"/>
        <v>29463.331115615449</v>
      </c>
      <c r="Z1227" s="97">
        <f t="shared" si="238"/>
        <v>31119.170324313036</v>
      </c>
      <c r="AA1227" s="97">
        <f t="shared" si="239"/>
        <v>35202.005470862903</v>
      </c>
    </row>
    <row r="1228" spans="1:27" x14ac:dyDescent="0.25">
      <c r="A1228" s="102" t="s">
        <v>2811</v>
      </c>
      <c r="B1228" s="110" t="s">
        <v>2812</v>
      </c>
      <c r="C1228" s="88" t="s">
        <v>226</v>
      </c>
      <c r="D1228" s="89" t="s">
        <v>4</v>
      </c>
      <c r="E1228" s="90">
        <f t="shared" si="231"/>
        <v>32017</v>
      </c>
      <c r="F1228" s="90">
        <f t="shared" si="232"/>
        <v>26904.831162426603</v>
      </c>
      <c r="G1228" s="91">
        <v>0.19</v>
      </c>
      <c r="H1228" s="91" t="s">
        <v>228</v>
      </c>
      <c r="I1228" s="91"/>
      <c r="J1228" s="91"/>
      <c r="K1228" s="91" t="s">
        <v>228</v>
      </c>
      <c r="L1228" s="92" t="s">
        <v>2800</v>
      </c>
      <c r="M1228" s="91" t="str">
        <f t="shared" si="234"/>
        <v>VER ARCHIVO ANEXO</v>
      </c>
      <c r="N1228" s="93">
        <v>41608</v>
      </c>
      <c r="O1228" s="94"/>
      <c r="P1228" s="94"/>
      <c r="Q1228" s="94">
        <v>1081</v>
      </c>
      <c r="R1228" s="95">
        <f t="shared" si="237"/>
        <v>26904.831162426603</v>
      </c>
      <c r="S1228" s="94">
        <v>17606.650999999998</v>
      </c>
      <c r="T1228" s="94">
        <f t="shared" si="235"/>
        <v>18798.621272699998</v>
      </c>
      <c r="U1228" s="94">
        <f t="shared" si="242"/>
        <v>19879.541995880249</v>
      </c>
      <c r="V1228" s="94">
        <f t="shared" si="243"/>
        <v>20692.615263511751</v>
      </c>
      <c r="W1228" s="97">
        <f t="shared" si="240"/>
        <v>21350.640428891424</v>
      </c>
      <c r="X1228" s="97">
        <f t="shared" si="241"/>
        <v>22161.964765189299</v>
      </c>
      <c r="Y1228" s="97">
        <f t="shared" si="236"/>
        <v>22518.772397908848</v>
      </c>
      <c r="Z1228" s="97">
        <f t="shared" si="238"/>
        <v>23784.327406671324</v>
      </c>
      <c r="AA1228" s="97">
        <f t="shared" si="239"/>
        <v>26904.831162426603</v>
      </c>
    </row>
    <row r="1229" spans="1:27" x14ac:dyDescent="0.25">
      <c r="A1229" s="102" t="s">
        <v>2813</v>
      </c>
      <c r="B1229" s="110" t="s">
        <v>2814</v>
      </c>
      <c r="C1229" s="88" t="s">
        <v>226</v>
      </c>
      <c r="D1229" s="89" t="s">
        <v>4</v>
      </c>
      <c r="E1229" s="90">
        <f t="shared" ref="E1229:E1292" si="244">+ROUND(F1229*(1+G1229),0)</f>
        <v>30435</v>
      </c>
      <c r="F1229" s="90">
        <f t="shared" si="232"/>
        <v>25575.825961056235</v>
      </c>
      <c r="G1229" s="91">
        <v>0.19</v>
      </c>
      <c r="H1229" s="91" t="s">
        <v>228</v>
      </c>
      <c r="I1229" s="91"/>
      <c r="J1229" s="91"/>
      <c r="K1229" s="91" t="s">
        <v>228</v>
      </c>
      <c r="L1229" s="92" t="s">
        <v>2800</v>
      </c>
      <c r="M1229" s="91" t="str">
        <f t="shared" si="234"/>
        <v>VER ARCHIVO ANEXO</v>
      </c>
      <c r="N1229" s="93">
        <v>41608</v>
      </c>
      <c r="O1229" s="94"/>
      <c r="P1229" s="94"/>
      <c r="Q1229" s="94">
        <v>1082</v>
      </c>
      <c r="R1229" s="95">
        <f t="shared" si="237"/>
        <v>25575.825961056235</v>
      </c>
      <c r="S1229" s="94">
        <v>16736.943599999999</v>
      </c>
      <c r="T1229" s="94">
        <f t="shared" si="235"/>
        <v>17870.034681720001</v>
      </c>
      <c r="U1229" s="94">
        <f t="shared" si="242"/>
        <v>18897.561675918903</v>
      </c>
      <c r="V1229" s="94">
        <f t="shared" si="243"/>
        <v>19670.471948463986</v>
      </c>
      <c r="W1229" s="97">
        <f t="shared" si="240"/>
        <v>20295.992956425143</v>
      </c>
      <c r="X1229" s="97">
        <f t="shared" si="241"/>
        <v>21067.2406887693</v>
      </c>
      <c r="Y1229" s="97">
        <f t="shared" si="236"/>
        <v>21406.423263858487</v>
      </c>
      <c r="Z1229" s="97">
        <f t="shared" si="238"/>
        <v>22609.464251287336</v>
      </c>
      <c r="AA1229" s="97">
        <f t="shared" si="239"/>
        <v>25575.825961056235</v>
      </c>
    </row>
    <row r="1230" spans="1:27" x14ac:dyDescent="0.25">
      <c r="A1230" s="102" t="s">
        <v>2815</v>
      </c>
      <c r="B1230" s="87" t="s">
        <v>2816</v>
      </c>
      <c r="C1230" s="88" t="s">
        <v>226</v>
      </c>
      <c r="D1230" s="89" t="s">
        <v>255</v>
      </c>
      <c r="E1230" s="90">
        <f t="shared" si="244"/>
        <v>18678</v>
      </c>
      <c r="F1230" s="90">
        <f t="shared" si="232"/>
        <v>15696.200882454237</v>
      </c>
      <c r="G1230" s="91">
        <v>0.19</v>
      </c>
      <c r="H1230" s="91" t="s">
        <v>228</v>
      </c>
      <c r="I1230" s="91"/>
      <c r="J1230" s="91"/>
      <c r="K1230" s="91" t="s">
        <v>228</v>
      </c>
      <c r="L1230" s="92" t="s">
        <v>2736</v>
      </c>
      <c r="M1230" s="91" t="str">
        <f t="shared" si="234"/>
        <v>VER ARCHIVO ANEXO</v>
      </c>
      <c r="N1230" s="93">
        <v>41608</v>
      </c>
      <c r="O1230" s="94"/>
      <c r="P1230" s="94"/>
      <c r="Q1230" s="94">
        <v>1083</v>
      </c>
      <c r="R1230" s="95">
        <f t="shared" si="237"/>
        <v>15696.200882454237</v>
      </c>
      <c r="S1230" s="94">
        <v>10271.669399999999</v>
      </c>
      <c r="T1230" s="94">
        <f t="shared" si="235"/>
        <v>10967.061418379999</v>
      </c>
      <c r="U1230" s="94">
        <f t="shared" si="242"/>
        <v>11597.667449936849</v>
      </c>
      <c r="V1230" s="94">
        <f t="shared" si="243"/>
        <v>12072.012048639266</v>
      </c>
      <c r="W1230" s="97">
        <f t="shared" si="240"/>
        <v>12455.902031785996</v>
      </c>
      <c r="X1230" s="97">
        <f t="shared" si="241"/>
        <v>12929.226308993864</v>
      </c>
      <c r="Y1230" s="97">
        <f t="shared" si="236"/>
        <v>13137.386852568665</v>
      </c>
      <c r="Z1230" s="97">
        <f t="shared" si="238"/>
        <v>13875.707993683025</v>
      </c>
      <c r="AA1230" s="97">
        <f t="shared" si="239"/>
        <v>15696.200882454237</v>
      </c>
    </row>
    <row r="1231" spans="1:27" x14ac:dyDescent="0.25">
      <c r="A1231" s="102" t="s">
        <v>2817</v>
      </c>
      <c r="B1231" s="87" t="s">
        <v>2818</v>
      </c>
      <c r="C1231" s="88" t="s">
        <v>226</v>
      </c>
      <c r="D1231" s="89" t="s">
        <v>255</v>
      </c>
      <c r="E1231" s="90">
        <f t="shared" si="244"/>
        <v>16400</v>
      </c>
      <c r="F1231" s="90">
        <f t="shared" si="232"/>
        <v>13781.102803244718</v>
      </c>
      <c r="G1231" s="91">
        <v>0.19</v>
      </c>
      <c r="H1231" s="91" t="s">
        <v>228</v>
      </c>
      <c r="I1231" s="91"/>
      <c r="J1231" s="91"/>
      <c r="K1231" s="91" t="s">
        <v>228</v>
      </c>
      <c r="L1231" s="92" t="s">
        <v>2736</v>
      </c>
      <c r="M1231" s="91" t="str">
        <f t="shared" si="234"/>
        <v>VER ARCHIVO ANEXO</v>
      </c>
      <c r="N1231" s="93">
        <v>41608</v>
      </c>
      <c r="O1231" s="94"/>
      <c r="P1231" s="94"/>
      <c r="Q1231" s="94">
        <v>1084</v>
      </c>
      <c r="R1231" s="95">
        <f t="shared" si="237"/>
        <v>13781.102803244718</v>
      </c>
      <c r="S1231" s="94">
        <v>9018.42</v>
      </c>
      <c r="T1231" s="94">
        <f t="shared" si="235"/>
        <v>9628.9670340000011</v>
      </c>
      <c r="U1231" s="94">
        <f t="shared" si="242"/>
        <v>10182.632638455003</v>
      </c>
      <c r="V1231" s="94">
        <f t="shared" si="243"/>
        <v>10599.102313367812</v>
      </c>
      <c r="W1231" s="97">
        <f t="shared" si="240"/>
        <v>10936.153766932908</v>
      </c>
      <c r="X1231" s="97">
        <f t="shared" si="241"/>
        <v>11351.727610076359</v>
      </c>
      <c r="Y1231" s="97">
        <f t="shared" si="236"/>
        <v>11534.490424598589</v>
      </c>
      <c r="Z1231" s="97">
        <f t="shared" si="238"/>
        <v>12182.72878646103</v>
      </c>
      <c r="AA1231" s="97">
        <f t="shared" si="239"/>
        <v>13781.102803244718</v>
      </c>
    </row>
    <row r="1232" spans="1:27" x14ac:dyDescent="0.25">
      <c r="A1232" s="102" t="s">
        <v>2819</v>
      </c>
      <c r="B1232" s="87" t="s">
        <v>2820</v>
      </c>
      <c r="C1232" s="88" t="s">
        <v>226</v>
      </c>
      <c r="D1232" s="89" t="s">
        <v>255</v>
      </c>
      <c r="E1232" s="90">
        <f t="shared" si="244"/>
        <v>18149</v>
      </c>
      <c r="F1232" s="90">
        <f t="shared" si="232"/>
        <v>15251.087102257487</v>
      </c>
      <c r="G1232" s="91">
        <v>0.19</v>
      </c>
      <c r="H1232" s="91" t="s">
        <v>228</v>
      </c>
      <c r="I1232" s="91"/>
      <c r="J1232" s="91"/>
      <c r="K1232" s="91" t="s">
        <v>228</v>
      </c>
      <c r="L1232" s="92" t="s">
        <v>2736</v>
      </c>
      <c r="M1232" s="91" t="str">
        <f t="shared" si="234"/>
        <v>VER ARCHIVO ANEXO</v>
      </c>
      <c r="N1232" s="93">
        <v>41608</v>
      </c>
      <c r="O1232" s="94"/>
      <c r="P1232" s="94"/>
      <c r="Q1232" s="94">
        <v>1085</v>
      </c>
      <c r="R1232" s="95">
        <f t="shared" si="237"/>
        <v>15251.087102257487</v>
      </c>
      <c r="S1232" s="94">
        <v>9980.3847999999998</v>
      </c>
      <c r="T1232" s="94">
        <f t="shared" si="235"/>
        <v>10656.056850960002</v>
      </c>
      <c r="U1232" s="94">
        <f t="shared" si="242"/>
        <v>11268.780119890203</v>
      </c>
      <c r="V1232" s="94">
        <f t="shared" si="243"/>
        <v>11729.673226793711</v>
      </c>
      <c r="W1232" s="97">
        <f t="shared" si="240"/>
        <v>12102.676835405751</v>
      </c>
      <c r="X1232" s="97">
        <f t="shared" si="241"/>
        <v>12562.578555151171</v>
      </c>
      <c r="Y1232" s="97">
        <f t="shared" si="236"/>
        <v>12764.836069889105</v>
      </c>
      <c r="Z1232" s="97">
        <f t="shared" si="238"/>
        <v>13482.219857016873</v>
      </c>
      <c r="AA1232" s="97">
        <f t="shared" si="239"/>
        <v>15251.087102257487</v>
      </c>
    </row>
    <row r="1233" spans="1:27" x14ac:dyDescent="0.25">
      <c r="A1233" s="102" t="s">
        <v>2821</v>
      </c>
      <c r="B1233" s="87" t="s">
        <v>2822</v>
      </c>
      <c r="C1233" s="88" t="s">
        <v>226</v>
      </c>
      <c r="D1233" s="89" t="s">
        <v>255</v>
      </c>
      <c r="E1233" s="90">
        <f t="shared" si="244"/>
        <v>16300</v>
      </c>
      <c r="F1233" s="90">
        <f t="shared" si="232"/>
        <v>13697.148958581271</v>
      </c>
      <c r="G1233" s="91">
        <v>0.19</v>
      </c>
      <c r="H1233" s="91" t="s">
        <v>228</v>
      </c>
      <c r="I1233" s="91"/>
      <c r="J1233" s="91"/>
      <c r="K1233" s="91" t="s">
        <v>228</v>
      </c>
      <c r="L1233" s="92" t="s">
        <v>2736</v>
      </c>
      <c r="M1233" s="91" t="str">
        <f t="shared" si="234"/>
        <v>VER ARCHIVO ANEXO</v>
      </c>
      <c r="N1233" s="93">
        <v>41608</v>
      </c>
      <c r="O1233" s="94"/>
      <c r="P1233" s="94"/>
      <c r="Q1233" s="94">
        <v>1086</v>
      </c>
      <c r="R1233" s="95">
        <f t="shared" si="237"/>
        <v>13697.148958581271</v>
      </c>
      <c r="S1233" s="94">
        <v>8963.4802</v>
      </c>
      <c r="T1233" s="94">
        <f t="shared" si="235"/>
        <v>9570.3078095400015</v>
      </c>
      <c r="U1233" s="94">
        <f t="shared" si="242"/>
        <v>10120.600508588552</v>
      </c>
      <c r="V1233" s="94">
        <f t="shared" si="243"/>
        <v>10534.533069389823</v>
      </c>
      <c r="W1233" s="97">
        <f t="shared" si="240"/>
        <v>10869.53122099642</v>
      </c>
      <c r="X1233" s="97">
        <f t="shared" si="241"/>
        <v>11282.573407394284</v>
      </c>
      <c r="Y1233" s="97">
        <f t="shared" si="236"/>
        <v>11464.222839253332</v>
      </c>
      <c r="Z1233" s="97">
        <f t="shared" si="238"/>
        <v>12108.51216281937</v>
      </c>
      <c r="AA1233" s="97">
        <f t="shared" si="239"/>
        <v>13697.148958581271</v>
      </c>
    </row>
    <row r="1234" spans="1:27" x14ac:dyDescent="0.25">
      <c r="A1234" s="102" t="s">
        <v>2823</v>
      </c>
      <c r="B1234" s="87" t="s">
        <v>2824</v>
      </c>
      <c r="C1234" s="88" t="s">
        <v>226</v>
      </c>
      <c r="D1234" s="89" t="s">
        <v>4</v>
      </c>
      <c r="E1234" s="90">
        <f t="shared" si="244"/>
        <v>41645</v>
      </c>
      <c r="F1234" s="90">
        <f t="shared" si="232"/>
        <v>34996.080946216731</v>
      </c>
      <c r="G1234" s="91">
        <v>0.19</v>
      </c>
      <c r="H1234" s="91" t="s">
        <v>228</v>
      </c>
      <c r="I1234" s="91"/>
      <c r="J1234" s="91"/>
      <c r="K1234" s="91" t="s">
        <v>228</v>
      </c>
      <c r="L1234" s="92" t="s">
        <v>2736</v>
      </c>
      <c r="M1234" s="91" t="str">
        <f t="shared" si="234"/>
        <v>VER ARCHIVO ANEXO</v>
      </c>
      <c r="N1234" s="93">
        <v>41608</v>
      </c>
      <c r="O1234" s="94"/>
      <c r="P1234" s="94"/>
      <c r="Q1234" s="94">
        <v>1087</v>
      </c>
      <c r="R1234" s="95">
        <f t="shared" si="237"/>
        <v>34996.080946216731</v>
      </c>
      <c r="S1234" s="94">
        <v>22901.603800000001</v>
      </c>
      <c r="T1234" s="94">
        <f t="shared" si="235"/>
        <v>24452.042377260004</v>
      </c>
      <c r="U1234" s="94">
        <f t="shared" si="242"/>
        <v>25858.034813952458</v>
      </c>
      <c r="V1234" s="94">
        <f t="shared" si="243"/>
        <v>26915.628437843112</v>
      </c>
      <c r="W1234" s="97">
        <f t="shared" si="240"/>
        <v>27771.545422166524</v>
      </c>
      <c r="X1234" s="97">
        <f t="shared" si="241"/>
        <v>28826.864148208853</v>
      </c>
      <c r="Y1234" s="97">
        <f t="shared" si="236"/>
        <v>29290.976660995017</v>
      </c>
      <c r="Z1234" s="97">
        <f t="shared" si="238"/>
        <v>30937.129549342939</v>
      </c>
      <c r="AA1234" s="97">
        <f t="shared" si="239"/>
        <v>34996.080946216731</v>
      </c>
    </row>
    <row r="1235" spans="1:27" x14ac:dyDescent="0.25">
      <c r="A1235" s="102" t="s">
        <v>2825</v>
      </c>
      <c r="B1235" s="87" t="s">
        <v>2826</v>
      </c>
      <c r="C1235" s="88" t="s">
        <v>226</v>
      </c>
      <c r="D1235" s="89" t="s">
        <v>4</v>
      </c>
      <c r="E1235" s="90">
        <f t="shared" si="244"/>
        <v>57738</v>
      </c>
      <c r="F1235" s="90">
        <f t="shared" si="232"/>
        <v>48518.986076251218</v>
      </c>
      <c r="G1235" s="91">
        <v>0.19</v>
      </c>
      <c r="H1235" s="91" t="s">
        <v>228</v>
      </c>
      <c r="I1235" s="91"/>
      <c r="J1235" s="91"/>
      <c r="K1235" s="91" t="s">
        <v>228</v>
      </c>
      <c r="L1235" s="92" t="s">
        <v>2736</v>
      </c>
      <c r="M1235" s="91" t="str">
        <f t="shared" si="234"/>
        <v>VER ARCHIVO ANEXO</v>
      </c>
      <c r="N1235" s="93">
        <v>41608</v>
      </c>
      <c r="O1235" s="94"/>
      <c r="P1235" s="94"/>
      <c r="Q1235" s="94">
        <v>1088</v>
      </c>
      <c r="R1235" s="95">
        <f t="shared" si="237"/>
        <v>48518.986076251218</v>
      </c>
      <c r="S1235" s="94">
        <v>31751.057999999997</v>
      </c>
      <c r="T1235" s="94">
        <f t="shared" si="235"/>
        <v>33900.604626599998</v>
      </c>
      <c r="U1235" s="94">
        <f t="shared" si="242"/>
        <v>35849.889392629499</v>
      </c>
      <c r="V1235" s="94">
        <f t="shared" si="243"/>
        <v>37316.149868788045</v>
      </c>
      <c r="W1235" s="97">
        <f t="shared" si="240"/>
        <v>38502.803434615504</v>
      </c>
      <c r="X1235" s="97">
        <f t="shared" si="241"/>
        <v>39965.909965130893</v>
      </c>
      <c r="Y1235" s="97">
        <f t="shared" si="236"/>
        <v>40609.361115569503</v>
      </c>
      <c r="Z1235" s="97">
        <f t="shared" si="238"/>
        <v>42891.607210264512</v>
      </c>
      <c r="AA1235" s="97">
        <f t="shared" si="239"/>
        <v>48518.986076251218</v>
      </c>
    </row>
    <row r="1236" spans="1:27" x14ac:dyDescent="0.25">
      <c r="A1236" s="102" t="s">
        <v>2827</v>
      </c>
      <c r="B1236" s="87" t="s">
        <v>2828</v>
      </c>
      <c r="C1236" s="88" t="s">
        <v>226</v>
      </c>
      <c r="D1236" s="89" t="s">
        <v>4</v>
      </c>
      <c r="E1236" s="90">
        <f t="shared" si="244"/>
        <v>81509</v>
      </c>
      <c r="F1236" s="90">
        <f t="shared" si="232"/>
        <v>68495.249001736171</v>
      </c>
      <c r="G1236" s="91">
        <v>0.19</v>
      </c>
      <c r="H1236" s="91" t="s">
        <v>228</v>
      </c>
      <c r="I1236" s="91"/>
      <c r="J1236" s="91"/>
      <c r="K1236" s="91" t="s">
        <v>228</v>
      </c>
      <c r="L1236" s="92" t="s">
        <v>2736</v>
      </c>
      <c r="M1236" s="91" t="str">
        <f t="shared" si="234"/>
        <v>VER ARCHIVO ANEXO</v>
      </c>
      <c r="N1236" s="93">
        <v>41608</v>
      </c>
      <c r="O1236" s="94"/>
      <c r="P1236" s="94"/>
      <c r="Q1236" s="94">
        <v>1089</v>
      </c>
      <c r="R1236" s="95">
        <f t="shared" si="237"/>
        <v>68495.249001736171</v>
      </c>
      <c r="S1236" s="94">
        <v>44823.620600000002</v>
      </c>
      <c r="T1236" s="94">
        <f t="shared" si="235"/>
        <v>47858.179714620004</v>
      </c>
      <c r="U1236" s="94">
        <f t="shared" si="242"/>
        <v>50610.025048210657</v>
      </c>
      <c r="V1236" s="94">
        <f t="shared" si="243"/>
        <v>52679.975072682471</v>
      </c>
      <c r="W1236" s="97">
        <f t="shared" si="240"/>
        <v>54355.198279993776</v>
      </c>
      <c r="X1236" s="97">
        <f t="shared" si="241"/>
        <v>56420.695814633538</v>
      </c>
      <c r="Y1236" s="97">
        <f t="shared" si="236"/>
        <v>57329.069017249138</v>
      </c>
      <c r="Z1236" s="97">
        <f t="shared" si="238"/>
        <v>60550.962696018541</v>
      </c>
      <c r="AA1236" s="97">
        <f t="shared" si="239"/>
        <v>68495.249001736171</v>
      </c>
    </row>
    <row r="1237" spans="1:27" x14ac:dyDescent="0.25">
      <c r="A1237" s="102" t="s">
        <v>2829</v>
      </c>
      <c r="B1237" s="87" t="s">
        <v>2830</v>
      </c>
      <c r="C1237" s="88" t="s">
        <v>226</v>
      </c>
      <c r="D1237" s="89" t="s">
        <v>339</v>
      </c>
      <c r="E1237" s="90">
        <f t="shared" si="244"/>
        <v>92625</v>
      </c>
      <c r="F1237" s="90">
        <f t="shared" si="232"/>
        <v>77836.193002868487</v>
      </c>
      <c r="G1237" s="91">
        <v>0.19</v>
      </c>
      <c r="H1237" s="91" t="s">
        <v>228</v>
      </c>
      <c r="I1237" s="91"/>
      <c r="J1237" s="91"/>
      <c r="K1237" s="91" t="s">
        <v>228</v>
      </c>
      <c r="L1237" s="92" t="s">
        <v>2831</v>
      </c>
      <c r="M1237" s="91" t="str">
        <f t="shared" si="234"/>
        <v>VER ARCHIVO ANEXO</v>
      </c>
      <c r="N1237" s="93">
        <v>41608</v>
      </c>
      <c r="O1237" s="94"/>
      <c r="P1237" s="94"/>
      <c r="Q1237" s="94">
        <v>1090</v>
      </c>
      <c r="R1237" s="95">
        <f t="shared" si="237"/>
        <v>77836.193002868487</v>
      </c>
      <c r="S1237" s="94">
        <v>50936.379310344826</v>
      </c>
      <c r="T1237" s="94">
        <f t="shared" si="235"/>
        <v>54384.772189655174</v>
      </c>
      <c r="U1237" s="94">
        <f t="shared" si="242"/>
        <v>57511.896590560355</v>
      </c>
      <c r="V1237" s="94">
        <f t="shared" si="243"/>
        <v>59864.133161114267</v>
      </c>
      <c r="W1237" s="97">
        <f t="shared" si="240"/>
        <v>61767.812595637704</v>
      </c>
      <c r="X1237" s="97">
        <f t="shared" si="241"/>
        <v>64114.989474271941</v>
      </c>
      <c r="Y1237" s="97">
        <f t="shared" si="236"/>
        <v>65147.24080480772</v>
      </c>
      <c r="Z1237" s="97">
        <f t="shared" si="238"/>
        <v>68808.51573803791</v>
      </c>
      <c r="AA1237" s="97">
        <f t="shared" si="239"/>
        <v>77836.193002868487</v>
      </c>
    </row>
    <row r="1238" spans="1:27" x14ac:dyDescent="0.25">
      <c r="A1238" s="102" t="s">
        <v>2832</v>
      </c>
      <c r="B1238" s="87" t="s">
        <v>2833</v>
      </c>
      <c r="C1238" s="88" t="s">
        <v>226</v>
      </c>
      <c r="D1238" s="89" t="s">
        <v>1328</v>
      </c>
      <c r="E1238" s="90">
        <f t="shared" si="244"/>
        <v>20735</v>
      </c>
      <c r="F1238" s="90">
        <f t="shared" si="232"/>
        <v>17424.382854677227</v>
      </c>
      <c r="G1238" s="91">
        <v>0.19</v>
      </c>
      <c r="H1238" s="91" t="s">
        <v>228</v>
      </c>
      <c r="I1238" s="91" t="s">
        <v>228</v>
      </c>
      <c r="J1238" s="91" t="s">
        <v>228</v>
      </c>
      <c r="K1238" s="91" t="s">
        <v>228</v>
      </c>
      <c r="L1238" s="92" t="s">
        <v>2834</v>
      </c>
      <c r="M1238" s="91" t="str">
        <f t="shared" si="234"/>
        <v>VER ARCHIVO ANEXO</v>
      </c>
      <c r="N1238" s="93">
        <v>41608</v>
      </c>
      <c r="O1238" s="94"/>
      <c r="P1238" s="94"/>
      <c r="Q1238" s="94">
        <v>1091</v>
      </c>
      <c r="R1238" s="95">
        <f t="shared" si="237"/>
        <v>17424.382854677227</v>
      </c>
      <c r="S1238" s="94">
        <v>11402.6</v>
      </c>
      <c r="T1238" s="94">
        <f t="shared" si="235"/>
        <v>12174.556020000002</v>
      </c>
      <c r="U1238" s="94">
        <f t="shared" si="242"/>
        <v>12874.592991150002</v>
      </c>
      <c r="V1238" s="94">
        <f t="shared" si="243"/>
        <v>13401.163844488037</v>
      </c>
      <c r="W1238" s="97">
        <f t="shared" si="240"/>
        <v>13827.320854742757</v>
      </c>
      <c r="X1238" s="97">
        <f t="shared" si="241"/>
        <v>14352.759047222982</v>
      </c>
      <c r="Y1238" s="97">
        <f t="shared" si="236"/>
        <v>14583.838467883272</v>
      </c>
      <c r="Z1238" s="97">
        <f t="shared" si="238"/>
        <v>15403.450189778312</v>
      </c>
      <c r="AA1238" s="97">
        <f t="shared" si="239"/>
        <v>17424.382854677227</v>
      </c>
    </row>
    <row r="1239" spans="1:27" x14ac:dyDescent="0.25">
      <c r="A1239" s="102" t="s">
        <v>2835</v>
      </c>
      <c r="B1239" s="87" t="s">
        <v>2836</v>
      </c>
      <c r="C1239" s="88" t="s">
        <v>226</v>
      </c>
      <c r="D1239" s="89" t="s">
        <v>4</v>
      </c>
      <c r="E1239" s="90">
        <f t="shared" si="244"/>
        <v>29250</v>
      </c>
      <c r="F1239" s="90">
        <f t="shared" si="232"/>
        <v>24579.468068729679</v>
      </c>
      <c r="G1239" s="91">
        <v>0.19</v>
      </c>
      <c r="H1239" s="91" t="s">
        <v>228</v>
      </c>
      <c r="I1239" s="91" t="s">
        <v>228</v>
      </c>
      <c r="J1239" s="91" t="s">
        <v>228</v>
      </c>
      <c r="K1239" s="91" t="s">
        <v>228</v>
      </c>
      <c r="L1239" s="92" t="s">
        <v>302</v>
      </c>
      <c r="M1239" s="91" t="str">
        <f t="shared" si="234"/>
        <v>no aplica</v>
      </c>
      <c r="N1239" s="93">
        <v>41608</v>
      </c>
      <c r="O1239" s="94"/>
      <c r="P1239" s="94"/>
      <c r="Q1239" s="94">
        <v>1092</v>
      </c>
      <c r="R1239" s="95">
        <f t="shared" si="237"/>
        <v>24579.468068729679</v>
      </c>
      <c r="S1239" s="94">
        <v>16084.922199999999</v>
      </c>
      <c r="T1239" s="94">
        <f t="shared" si="235"/>
        <v>17173.871432939999</v>
      </c>
      <c r="U1239" s="94">
        <f t="shared" si="242"/>
        <v>18161.369040334052</v>
      </c>
      <c r="V1239" s="94">
        <f t="shared" si="243"/>
        <v>18904.169034083712</v>
      </c>
      <c r="W1239" s="97">
        <f t="shared" si="240"/>
        <v>19505.321609367576</v>
      </c>
      <c r="X1239" s="97">
        <f t="shared" si="241"/>
        <v>20246.523830523543</v>
      </c>
      <c r="Y1239" s="97">
        <f t="shared" si="236"/>
        <v>20572.492864194974</v>
      </c>
      <c r="Z1239" s="97">
        <f t="shared" si="238"/>
        <v>21728.66696316273</v>
      </c>
      <c r="AA1239" s="97">
        <f t="shared" si="239"/>
        <v>24579.468068729679</v>
      </c>
    </row>
    <row r="1240" spans="1:27" x14ac:dyDescent="0.25">
      <c r="A1240" s="102" t="s">
        <v>2837</v>
      </c>
      <c r="B1240" s="87" t="s">
        <v>2838</v>
      </c>
      <c r="C1240" s="88" t="s">
        <v>226</v>
      </c>
      <c r="D1240" s="89" t="s">
        <v>262</v>
      </c>
      <c r="E1240" s="90">
        <f t="shared" si="244"/>
        <v>37212</v>
      </c>
      <c r="F1240" s="90">
        <f t="shared" ref="F1240:F1303" si="245">R1240</f>
        <v>31270.431084925745</v>
      </c>
      <c r="G1240" s="91">
        <v>0.19</v>
      </c>
      <c r="H1240" s="91" t="s">
        <v>228</v>
      </c>
      <c r="I1240" s="91" t="s">
        <v>228</v>
      </c>
      <c r="J1240" s="91" t="s">
        <v>228</v>
      </c>
      <c r="K1240" s="91" t="s">
        <v>228</v>
      </c>
      <c r="L1240" s="92" t="s">
        <v>302</v>
      </c>
      <c r="M1240" s="91" t="str">
        <f t="shared" si="234"/>
        <v>no aplica</v>
      </c>
      <c r="N1240" s="93">
        <v>41608</v>
      </c>
      <c r="O1240" s="94"/>
      <c r="P1240" s="94"/>
      <c r="Q1240" s="94">
        <v>1093</v>
      </c>
      <c r="R1240" s="95">
        <f t="shared" si="237"/>
        <v>31270.431084925745</v>
      </c>
      <c r="S1240" s="94">
        <v>20463.5206</v>
      </c>
      <c r="T1240" s="94">
        <f t="shared" si="235"/>
        <v>21848.900944620003</v>
      </c>
      <c r="U1240" s="94">
        <f t="shared" si="242"/>
        <v>23105.212748935657</v>
      </c>
      <c r="V1240" s="94">
        <f t="shared" si="243"/>
        <v>24050.215950367125</v>
      </c>
      <c r="W1240" s="97">
        <f t="shared" si="240"/>
        <v>24815.012817588802</v>
      </c>
      <c r="X1240" s="97">
        <f t="shared" si="241"/>
        <v>25757.983304657177</v>
      </c>
      <c r="Y1240" s="97">
        <f t="shared" si="236"/>
        <v>26172.686835862158</v>
      </c>
      <c r="Z1240" s="97">
        <f t="shared" si="238"/>
        <v>27643.591836037613</v>
      </c>
      <c r="AA1240" s="97">
        <f t="shared" si="239"/>
        <v>31270.431084925745</v>
      </c>
    </row>
    <row r="1241" spans="1:27" x14ac:dyDescent="0.25">
      <c r="A1241" s="105" t="s">
        <v>2839</v>
      </c>
      <c r="B1241" s="106" t="s">
        <v>2840</v>
      </c>
      <c r="C1241" s="107"/>
      <c r="D1241" s="108"/>
      <c r="E1241" s="90">
        <f t="shared" si="244"/>
        <v>0</v>
      </c>
      <c r="F1241" s="90">
        <f t="shared" si="245"/>
        <v>0</v>
      </c>
      <c r="G1241" s="91"/>
      <c r="H1241" s="91"/>
      <c r="I1241" s="91"/>
      <c r="J1241" s="91"/>
      <c r="K1241" s="91"/>
      <c r="L1241" s="92"/>
      <c r="M1241" s="91"/>
      <c r="N1241" s="93">
        <v>41608</v>
      </c>
      <c r="O1241" s="109"/>
      <c r="P1241" s="109"/>
      <c r="Q1241" s="109">
        <v>0</v>
      </c>
      <c r="R1241" s="95">
        <f t="shared" si="237"/>
        <v>0</v>
      </c>
      <c r="S1241" s="109">
        <v>0</v>
      </c>
      <c r="T1241" s="94">
        <f t="shared" si="235"/>
        <v>0</v>
      </c>
      <c r="U1241" s="94">
        <f t="shared" si="242"/>
        <v>0</v>
      </c>
      <c r="V1241" s="94">
        <f t="shared" si="243"/>
        <v>0</v>
      </c>
      <c r="W1241" s="97">
        <f t="shared" si="240"/>
        <v>0</v>
      </c>
      <c r="X1241" s="97">
        <f t="shared" si="241"/>
        <v>0</v>
      </c>
      <c r="Y1241" s="97">
        <f t="shared" si="236"/>
        <v>0</v>
      </c>
      <c r="Z1241" s="97">
        <f t="shared" si="238"/>
        <v>0</v>
      </c>
      <c r="AA1241" s="97">
        <f t="shared" si="239"/>
        <v>0</v>
      </c>
    </row>
    <row r="1242" spans="1:27" x14ac:dyDescent="0.25">
      <c r="A1242" s="102" t="s">
        <v>2841</v>
      </c>
      <c r="B1242" s="87" t="s">
        <v>2842</v>
      </c>
      <c r="C1242" s="88" t="s">
        <v>226</v>
      </c>
      <c r="D1242" s="89" t="s">
        <v>262</v>
      </c>
      <c r="E1242" s="90">
        <f t="shared" si="244"/>
        <v>37700</v>
      </c>
      <c r="F1242" s="90">
        <f t="shared" si="245"/>
        <v>31680.696099413137</v>
      </c>
      <c r="G1242" s="91">
        <v>0.19</v>
      </c>
      <c r="H1242" s="91" t="s">
        <v>228</v>
      </c>
      <c r="I1242" s="91"/>
      <c r="J1242" s="91"/>
      <c r="K1242" s="91"/>
      <c r="L1242" s="92" t="s">
        <v>1476</v>
      </c>
      <c r="M1242" s="91" t="str">
        <f t="shared" ref="M1242:M1248" si="246">+IF(L1242="no aplica","no aplica","VER ARCHIVO ANEXO")</f>
        <v>VER ARCHIVO ANEXO</v>
      </c>
      <c r="N1242" s="93">
        <v>41608</v>
      </c>
      <c r="O1242" s="94"/>
      <c r="P1242" s="94"/>
      <c r="Q1242" s="94">
        <v>1094</v>
      </c>
      <c r="R1242" s="95">
        <f t="shared" si="237"/>
        <v>31680.696099413137</v>
      </c>
      <c r="S1242" s="94">
        <v>20732</v>
      </c>
      <c r="T1242" s="94">
        <f t="shared" si="235"/>
        <v>22135.556400000001</v>
      </c>
      <c r="U1242" s="94">
        <f t="shared" si="242"/>
        <v>23408.350893000003</v>
      </c>
      <c r="V1242" s="94">
        <f t="shared" si="243"/>
        <v>24365.7524445237</v>
      </c>
      <c r="W1242" s="97">
        <f t="shared" si="240"/>
        <v>25140.583372259556</v>
      </c>
      <c r="X1242" s="97">
        <f t="shared" si="241"/>
        <v>26095.92554040542</v>
      </c>
      <c r="Y1242" s="97">
        <f t="shared" si="236"/>
        <v>26516.069941605947</v>
      </c>
      <c r="Z1242" s="97">
        <f t="shared" si="238"/>
        <v>28006.273072324202</v>
      </c>
      <c r="AA1242" s="97">
        <f t="shared" si="239"/>
        <v>31680.696099413137</v>
      </c>
    </row>
    <row r="1243" spans="1:27" x14ac:dyDescent="0.25">
      <c r="A1243" s="102" t="s">
        <v>2843</v>
      </c>
      <c r="B1243" s="126" t="s">
        <v>2844</v>
      </c>
      <c r="C1243" s="88" t="s">
        <v>226</v>
      </c>
      <c r="D1243" s="89" t="s">
        <v>262</v>
      </c>
      <c r="E1243" s="90">
        <f t="shared" si="244"/>
        <v>359732</v>
      </c>
      <c r="F1243" s="90">
        <f t="shared" si="245"/>
        <v>302295.61814579513</v>
      </c>
      <c r="G1243" s="91">
        <v>0.19</v>
      </c>
      <c r="H1243" s="91" t="s">
        <v>228</v>
      </c>
      <c r="I1243" s="91"/>
      <c r="J1243" s="91"/>
      <c r="K1243" s="91"/>
      <c r="L1243" s="92" t="s">
        <v>1476</v>
      </c>
      <c r="M1243" s="91" t="str">
        <f t="shared" si="246"/>
        <v>VER ARCHIVO ANEXO</v>
      </c>
      <c r="N1243" s="93">
        <v>41608</v>
      </c>
      <c r="O1243" s="94"/>
      <c r="P1243" s="94"/>
      <c r="Q1243" s="94">
        <v>1095</v>
      </c>
      <c r="R1243" s="95">
        <f t="shared" si="237"/>
        <v>302295.61814579513</v>
      </c>
      <c r="S1243" s="94">
        <v>197823.70739999998</v>
      </c>
      <c r="T1243" s="94">
        <f t="shared" si="235"/>
        <v>211216.37239097999</v>
      </c>
      <c r="U1243" s="94">
        <f t="shared" si="242"/>
        <v>223361.31380346135</v>
      </c>
      <c r="V1243" s="94">
        <f t="shared" si="243"/>
        <v>232496.7915380229</v>
      </c>
      <c r="W1243" s="97">
        <f t="shared" si="240"/>
        <v>239890.18950893203</v>
      </c>
      <c r="X1243" s="97">
        <f t="shared" si="241"/>
        <v>249006.01671027145</v>
      </c>
      <c r="Y1243" s="97">
        <f t="shared" si="236"/>
        <v>253015.01357930683</v>
      </c>
      <c r="Z1243" s="97">
        <f t="shared" si="238"/>
        <v>267234.45734246389</v>
      </c>
      <c r="AA1243" s="97">
        <f t="shared" si="239"/>
        <v>302295.61814579513</v>
      </c>
    </row>
    <row r="1244" spans="1:27" x14ac:dyDescent="0.25">
      <c r="A1244" s="102" t="s">
        <v>2845</v>
      </c>
      <c r="B1244" s="87" t="s">
        <v>2846</v>
      </c>
      <c r="C1244" s="88" t="s">
        <v>226</v>
      </c>
      <c r="D1244" s="89" t="s">
        <v>262</v>
      </c>
      <c r="E1244" s="90">
        <f t="shared" si="244"/>
        <v>191884</v>
      </c>
      <c r="F1244" s="90">
        <f t="shared" si="245"/>
        <v>161246.82297198806</v>
      </c>
      <c r="G1244" s="91">
        <v>0.19</v>
      </c>
      <c r="H1244" s="91" t="s">
        <v>228</v>
      </c>
      <c r="I1244" s="91"/>
      <c r="J1244" s="91"/>
      <c r="K1244" s="91"/>
      <c r="L1244" s="92" t="s">
        <v>1476</v>
      </c>
      <c r="M1244" s="91" t="str">
        <f t="shared" si="246"/>
        <v>VER ARCHIVO ANEXO</v>
      </c>
      <c r="N1244" s="93">
        <v>41608</v>
      </c>
      <c r="O1244" s="94"/>
      <c r="P1244" s="94"/>
      <c r="Q1244" s="94">
        <v>1096</v>
      </c>
      <c r="R1244" s="95">
        <f t="shared" si="237"/>
        <v>161246.82297198806</v>
      </c>
      <c r="S1244" s="94">
        <v>105520.697</v>
      </c>
      <c r="T1244" s="94">
        <f t="shared" si="235"/>
        <v>112664.44818690002</v>
      </c>
      <c r="U1244" s="94">
        <f t="shared" si="242"/>
        <v>119142.65395764678</v>
      </c>
      <c r="V1244" s="94">
        <f t="shared" si="243"/>
        <v>124015.58850451453</v>
      </c>
      <c r="W1244" s="97">
        <f t="shared" si="240"/>
        <v>127959.2842189581</v>
      </c>
      <c r="X1244" s="97">
        <f t="shared" si="241"/>
        <v>132821.73701927852</v>
      </c>
      <c r="Y1244" s="97">
        <f t="shared" si="236"/>
        <v>134960.1669852889</v>
      </c>
      <c r="Z1244" s="97">
        <f t="shared" si="238"/>
        <v>142544.92836986214</v>
      </c>
      <c r="AA1244" s="97">
        <f t="shared" si="239"/>
        <v>161246.82297198806</v>
      </c>
    </row>
    <row r="1245" spans="1:27" x14ac:dyDescent="0.25">
      <c r="A1245" s="102" t="s">
        <v>2847</v>
      </c>
      <c r="B1245" s="87" t="s">
        <v>2848</v>
      </c>
      <c r="C1245" s="88" t="s">
        <v>226</v>
      </c>
      <c r="D1245" s="89" t="s">
        <v>262</v>
      </c>
      <c r="E1245" s="90">
        <f t="shared" si="244"/>
        <v>22450</v>
      </c>
      <c r="F1245" s="90">
        <f t="shared" si="245"/>
        <v>18865.854527200521</v>
      </c>
      <c r="G1245" s="91">
        <v>0.19</v>
      </c>
      <c r="H1245" s="91" t="s">
        <v>228</v>
      </c>
      <c r="I1245" s="91"/>
      <c r="J1245" s="91"/>
      <c r="K1245" s="91"/>
      <c r="L1245" s="92" t="s">
        <v>1476</v>
      </c>
      <c r="M1245" s="91" t="str">
        <f t="shared" si="246"/>
        <v>VER ARCHIVO ANEXO</v>
      </c>
      <c r="N1245" s="93">
        <v>41608</v>
      </c>
      <c r="O1245" s="94"/>
      <c r="P1245" s="94"/>
      <c r="Q1245" s="94">
        <v>1097</v>
      </c>
      <c r="R1245" s="95">
        <f t="shared" si="237"/>
        <v>18865.854527200521</v>
      </c>
      <c r="S1245" s="94">
        <v>12345.905999999999</v>
      </c>
      <c r="T1245" s="94">
        <f t="shared" si="235"/>
        <v>13181.723836200001</v>
      </c>
      <c r="U1245" s="94">
        <f t="shared" si="242"/>
        <v>13939.672956781502</v>
      </c>
      <c r="V1245" s="94">
        <f t="shared" si="243"/>
        <v>14509.805580713864</v>
      </c>
      <c r="W1245" s="97">
        <f t="shared" si="240"/>
        <v>14971.217398180566</v>
      </c>
      <c r="X1245" s="97">
        <f t="shared" si="241"/>
        <v>15540.123659311428</v>
      </c>
      <c r="Y1245" s="97">
        <f t="shared" si="236"/>
        <v>15790.319650226342</v>
      </c>
      <c r="Z1245" s="97">
        <f t="shared" si="238"/>
        <v>16677.735614569061</v>
      </c>
      <c r="AA1245" s="97">
        <f t="shared" si="239"/>
        <v>18865.854527200521</v>
      </c>
    </row>
    <row r="1246" spans="1:27" x14ac:dyDescent="0.25">
      <c r="A1246" s="102" t="s">
        <v>2849</v>
      </c>
      <c r="B1246" s="87" t="s">
        <v>2850</v>
      </c>
      <c r="C1246" s="88" t="s">
        <v>226</v>
      </c>
      <c r="D1246" s="89" t="s">
        <v>262</v>
      </c>
      <c r="E1246" s="90">
        <f t="shared" si="244"/>
        <v>172463</v>
      </c>
      <c r="F1246" s="90">
        <f t="shared" si="245"/>
        <v>144926.51237637535</v>
      </c>
      <c r="G1246" s="91">
        <v>0.19</v>
      </c>
      <c r="H1246" s="91" t="s">
        <v>228</v>
      </c>
      <c r="I1246" s="91"/>
      <c r="J1246" s="91"/>
      <c r="K1246" s="91"/>
      <c r="L1246" s="92" t="s">
        <v>1476</v>
      </c>
      <c r="M1246" s="91" t="str">
        <f t="shared" si="246"/>
        <v>VER ARCHIVO ANEXO</v>
      </c>
      <c r="N1246" s="93">
        <v>41608</v>
      </c>
      <c r="O1246" s="94"/>
      <c r="P1246" s="94"/>
      <c r="Q1246" s="94">
        <v>1098</v>
      </c>
      <c r="R1246" s="95">
        <f t="shared" si="237"/>
        <v>144926.51237637535</v>
      </c>
      <c r="S1246" s="94">
        <v>94840.607199999999</v>
      </c>
      <c r="T1246" s="94">
        <f t="shared" si="235"/>
        <v>101261.31630744001</v>
      </c>
      <c r="U1246" s="94">
        <f t="shared" si="242"/>
        <v>107083.84199511782</v>
      </c>
      <c r="V1246" s="94">
        <f t="shared" si="243"/>
        <v>111463.57113271813</v>
      </c>
      <c r="W1246" s="97">
        <f t="shared" si="240"/>
        <v>115008.11269473858</v>
      </c>
      <c r="X1246" s="97">
        <f t="shared" si="241"/>
        <v>119378.42097713865</v>
      </c>
      <c r="Y1246" s="97">
        <f t="shared" si="236"/>
        <v>121300.41355487058</v>
      </c>
      <c r="Z1246" s="97">
        <f t="shared" si="238"/>
        <v>128117.49679665432</v>
      </c>
      <c r="AA1246" s="97">
        <f t="shared" si="239"/>
        <v>144926.51237637535</v>
      </c>
    </row>
    <row r="1247" spans="1:27" x14ac:dyDescent="0.25">
      <c r="A1247" s="102" t="s">
        <v>2851</v>
      </c>
      <c r="B1247" s="87" t="s">
        <v>2852</v>
      </c>
      <c r="C1247" s="88" t="s">
        <v>226</v>
      </c>
      <c r="D1247" s="89" t="s">
        <v>262</v>
      </c>
      <c r="E1247" s="90">
        <f t="shared" si="244"/>
        <v>15444</v>
      </c>
      <c r="F1247" s="90">
        <f t="shared" si="245"/>
        <v>12977.99715712459</v>
      </c>
      <c r="G1247" s="91">
        <v>0.19</v>
      </c>
      <c r="H1247" s="91" t="s">
        <v>228</v>
      </c>
      <c r="I1247" s="91"/>
      <c r="J1247" s="91"/>
      <c r="K1247" s="91"/>
      <c r="L1247" s="92" t="s">
        <v>2853</v>
      </c>
      <c r="M1247" s="91" t="str">
        <f t="shared" si="246"/>
        <v>VER ARCHIVO ANEXO</v>
      </c>
      <c r="N1247" s="93">
        <v>41608</v>
      </c>
      <c r="O1247" s="94"/>
      <c r="P1247" s="94"/>
      <c r="Q1247" s="94">
        <v>1099</v>
      </c>
      <c r="R1247" s="95">
        <f t="shared" si="237"/>
        <v>12977.99715712459</v>
      </c>
      <c r="S1247" s="94">
        <v>8492.8637999999992</v>
      </c>
      <c r="T1247" s="94">
        <f t="shared" si="235"/>
        <v>9067.8306792599997</v>
      </c>
      <c r="U1247" s="94">
        <f t="shared" si="242"/>
        <v>9589.2309433174505</v>
      </c>
      <c r="V1247" s="94">
        <f t="shared" si="243"/>
        <v>9981.4304888991337</v>
      </c>
      <c r="W1247" s="97">
        <f t="shared" si="240"/>
        <v>10298.839978446127</v>
      </c>
      <c r="X1247" s="97">
        <f t="shared" si="241"/>
        <v>10690.19589762708</v>
      </c>
      <c r="Y1247" s="97">
        <f t="shared" si="236"/>
        <v>10862.308051578875</v>
      </c>
      <c r="Z1247" s="97">
        <f t="shared" si="238"/>
        <v>11472.769764077608</v>
      </c>
      <c r="AA1247" s="97">
        <f t="shared" si="239"/>
        <v>12977.99715712459</v>
      </c>
    </row>
    <row r="1248" spans="1:27" x14ac:dyDescent="0.25">
      <c r="A1248" s="102" t="s">
        <v>2854</v>
      </c>
      <c r="B1248" s="126" t="s">
        <v>2855</v>
      </c>
      <c r="C1248" s="88" t="s">
        <v>226</v>
      </c>
      <c r="D1248" s="89" t="s">
        <v>262</v>
      </c>
      <c r="E1248" s="90">
        <f t="shared" si="244"/>
        <v>1199</v>
      </c>
      <c r="F1248" s="90">
        <f t="shared" si="245"/>
        <v>1007.446135961338</v>
      </c>
      <c r="G1248" s="91">
        <v>0.19</v>
      </c>
      <c r="H1248" s="91" t="s">
        <v>228</v>
      </c>
      <c r="I1248" s="91"/>
      <c r="J1248" s="91"/>
      <c r="K1248" s="91"/>
      <c r="L1248" s="92" t="s">
        <v>1476</v>
      </c>
      <c r="M1248" s="91" t="str">
        <f t="shared" si="246"/>
        <v>VER ARCHIVO ANEXO</v>
      </c>
      <c r="N1248" s="93">
        <v>41608</v>
      </c>
      <c r="O1248" s="94"/>
      <c r="P1248" s="94"/>
      <c r="Q1248" s="94">
        <v>1100</v>
      </c>
      <c r="R1248" s="95">
        <f t="shared" si="237"/>
        <v>1007.446135961338</v>
      </c>
      <c r="S1248" s="94">
        <v>659.27760000000001</v>
      </c>
      <c r="T1248" s="94">
        <f t="shared" si="235"/>
        <v>703.91069352000011</v>
      </c>
      <c r="U1248" s="94">
        <f t="shared" si="242"/>
        <v>744.38555839740025</v>
      </c>
      <c r="V1248" s="94">
        <f t="shared" si="243"/>
        <v>774.83092773585383</v>
      </c>
      <c r="W1248" s="97">
        <f t="shared" si="240"/>
        <v>799.47055123785401</v>
      </c>
      <c r="X1248" s="97">
        <f t="shared" si="241"/>
        <v>829.8504321848925</v>
      </c>
      <c r="Y1248" s="97">
        <f t="shared" si="236"/>
        <v>843.21102414306927</v>
      </c>
      <c r="Z1248" s="97">
        <f t="shared" si="238"/>
        <v>890.5994836999098</v>
      </c>
      <c r="AA1248" s="97">
        <f t="shared" si="239"/>
        <v>1007.446135961338</v>
      </c>
    </row>
    <row r="1249" spans="1:27" x14ac:dyDescent="0.25">
      <c r="A1249" s="105" t="s">
        <v>2856</v>
      </c>
      <c r="B1249" s="106" t="s">
        <v>2857</v>
      </c>
      <c r="C1249" s="107"/>
      <c r="D1249" s="108"/>
      <c r="E1249" s="90">
        <f t="shared" si="244"/>
        <v>0</v>
      </c>
      <c r="F1249" s="90">
        <f t="shared" si="245"/>
        <v>0</v>
      </c>
      <c r="G1249" s="81"/>
      <c r="H1249" s="81"/>
      <c r="I1249" s="81"/>
      <c r="J1249" s="81"/>
      <c r="K1249" s="81"/>
      <c r="L1249" s="92"/>
      <c r="M1249" s="91"/>
      <c r="N1249" s="93">
        <v>41608</v>
      </c>
      <c r="O1249" s="109"/>
      <c r="P1249" s="109"/>
      <c r="Q1249" s="109">
        <v>0</v>
      </c>
      <c r="R1249" s="95">
        <f t="shared" si="237"/>
        <v>0</v>
      </c>
      <c r="S1249" s="109">
        <v>0</v>
      </c>
      <c r="T1249" s="94">
        <f t="shared" si="235"/>
        <v>0</v>
      </c>
      <c r="U1249" s="94">
        <f t="shared" si="242"/>
        <v>0</v>
      </c>
      <c r="V1249" s="94">
        <f t="shared" si="243"/>
        <v>0</v>
      </c>
      <c r="W1249" s="97">
        <f t="shared" si="240"/>
        <v>0</v>
      </c>
      <c r="X1249" s="97">
        <f t="shared" si="241"/>
        <v>0</v>
      </c>
      <c r="Y1249" s="97">
        <f t="shared" si="236"/>
        <v>0</v>
      </c>
      <c r="Z1249" s="97">
        <f t="shared" si="238"/>
        <v>0</v>
      </c>
      <c r="AA1249" s="97">
        <f t="shared" si="239"/>
        <v>0</v>
      </c>
    </row>
    <row r="1250" spans="1:27" x14ac:dyDescent="0.25">
      <c r="A1250" s="102" t="s">
        <v>2858</v>
      </c>
      <c r="B1250" s="87" t="s">
        <v>2859</v>
      </c>
      <c r="C1250" s="88" t="s">
        <v>226</v>
      </c>
      <c r="D1250" s="89" t="s">
        <v>262</v>
      </c>
      <c r="E1250" s="90">
        <f t="shared" si="244"/>
        <v>21170</v>
      </c>
      <c r="F1250" s="90">
        <f t="shared" si="245"/>
        <v>17790.294894625447</v>
      </c>
      <c r="G1250" s="91">
        <v>0.19</v>
      </c>
      <c r="H1250" s="91" t="s">
        <v>228</v>
      </c>
      <c r="I1250" s="91"/>
      <c r="J1250" s="91" t="s">
        <v>228</v>
      </c>
      <c r="K1250" s="91"/>
      <c r="L1250" s="92" t="s">
        <v>2860</v>
      </c>
      <c r="M1250" s="91" t="str">
        <f t="shared" ref="M1250:M1313" si="247">+IF(L1250="no aplica","no aplica","VER ARCHIVO ANEXO")</f>
        <v>VER ARCHIVO ANEXO</v>
      </c>
      <c r="N1250" s="93">
        <v>41608</v>
      </c>
      <c r="O1250" s="109"/>
      <c r="P1250" s="109"/>
      <c r="Q1250" s="94">
        <v>1101</v>
      </c>
      <c r="R1250" s="95">
        <f t="shared" si="237"/>
        <v>17790.294894625447</v>
      </c>
      <c r="S1250" s="109">
        <v>11642.054599999999</v>
      </c>
      <c r="T1250" s="94">
        <f t="shared" ref="T1250:T1313" si="248">+S1250*1.0677</f>
        <v>12430.22169642</v>
      </c>
      <c r="U1250" s="94">
        <f t="shared" si="242"/>
        <v>13144.959443964151</v>
      </c>
      <c r="V1250" s="94">
        <f t="shared" si="243"/>
        <v>13682.588285222284</v>
      </c>
      <c r="W1250" s="97">
        <f t="shared" si="240"/>
        <v>14117.694592692353</v>
      </c>
      <c r="X1250" s="97">
        <f t="shared" si="241"/>
        <v>14654.166987214663</v>
      </c>
      <c r="Y1250" s="97">
        <f t="shared" si="236"/>
        <v>14890.099075708818</v>
      </c>
      <c r="Z1250" s="97">
        <f t="shared" si="238"/>
        <v>15726.922643763655</v>
      </c>
      <c r="AA1250" s="97">
        <f t="shared" si="239"/>
        <v>17790.294894625447</v>
      </c>
    </row>
    <row r="1251" spans="1:27" x14ac:dyDescent="0.25">
      <c r="A1251" s="102" t="s">
        <v>2861</v>
      </c>
      <c r="B1251" s="87" t="s">
        <v>2862</v>
      </c>
      <c r="C1251" s="88" t="s">
        <v>226</v>
      </c>
      <c r="D1251" s="89" t="s">
        <v>262</v>
      </c>
      <c r="E1251" s="90">
        <f t="shared" si="244"/>
        <v>23159</v>
      </c>
      <c r="F1251" s="90">
        <f t="shared" si="245"/>
        <v>19461.451613869489</v>
      </c>
      <c r="G1251" s="91">
        <v>0.19</v>
      </c>
      <c r="H1251" s="91" t="s">
        <v>228</v>
      </c>
      <c r="I1251" s="91"/>
      <c r="J1251" s="91" t="s">
        <v>228</v>
      </c>
      <c r="K1251" s="91"/>
      <c r="L1251" s="92" t="s">
        <v>2860</v>
      </c>
      <c r="M1251" s="91" t="str">
        <f t="shared" si="247"/>
        <v>VER ARCHIVO ANEXO</v>
      </c>
      <c r="N1251" s="93">
        <v>41608</v>
      </c>
      <c r="O1251" s="109"/>
      <c r="P1251" s="109"/>
      <c r="Q1251" s="94">
        <v>1102</v>
      </c>
      <c r="R1251" s="95">
        <f t="shared" si="237"/>
        <v>19461.451613869489</v>
      </c>
      <c r="S1251" s="109">
        <v>12735.667599999999</v>
      </c>
      <c r="T1251" s="94">
        <f t="shared" si="248"/>
        <v>13597.87229652</v>
      </c>
      <c r="U1251" s="94">
        <f t="shared" si="242"/>
        <v>14379.749953569901</v>
      </c>
      <c r="V1251" s="94">
        <f t="shared" si="243"/>
        <v>14967.881726670908</v>
      </c>
      <c r="W1251" s="97">
        <f t="shared" si="240"/>
        <v>15443.860365579045</v>
      </c>
      <c r="X1251" s="97">
        <f t="shared" si="241"/>
        <v>16030.72705947105</v>
      </c>
      <c r="Y1251" s="97">
        <f t="shared" si="236"/>
        <v>16288.821765128534</v>
      </c>
      <c r="Z1251" s="97">
        <f t="shared" si="238"/>
        <v>17204.253548328757</v>
      </c>
      <c r="AA1251" s="97">
        <f t="shared" si="239"/>
        <v>19461.451613869489</v>
      </c>
    </row>
    <row r="1252" spans="1:27" x14ac:dyDescent="0.25">
      <c r="A1252" s="102" t="s">
        <v>2863</v>
      </c>
      <c r="B1252" s="87" t="s">
        <v>2864</v>
      </c>
      <c r="C1252" s="88" t="s">
        <v>226</v>
      </c>
      <c r="D1252" s="89" t="s">
        <v>262</v>
      </c>
      <c r="E1252" s="90">
        <f t="shared" si="244"/>
        <v>25802</v>
      </c>
      <c r="F1252" s="90">
        <f t="shared" si="245"/>
        <v>21682.268410438352</v>
      </c>
      <c r="G1252" s="91">
        <v>0.19</v>
      </c>
      <c r="H1252" s="91" t="s">
        <v>228</v>
      </c>
      <c r="I1252" s="91"/>
      <c r="J1252" s="91" t="s">
        <v>228</v>
      </c>
      <c r="K1252" s="91"/>
      <c r="L1252" s="92" t="s">
        <v>2860</v>
      </c>
      <c r="M1252" s="91" t="str">
        <f t="shared" si="247"/>
        <v>VER ARCHIVO ANEXO</v>
      </c>
      <c r="N1252" s="93">
        <v>41608</v>
      </c>
      <c r="O1252" s="109"/>
      <c r="P1252" s="109"/>
      <c r="Q1252" s="94">
        <v>1103</v>
      </c>
      <c r="R1252" s="95">
        <f t="shared" si="237"/>
        <v>21682.268410438352</v>
      </c>
      <c r="S1252" s="109">
        <v>14188.980799999999</v>
      </c>
      <c r="T1252" s="94">
        <f t="shared" si="248"/>
        <v>15149.57480016</v>
      </c>
      <c r="U1252" s="94">
        <f t="shared" si="242"/>
        <v>16020.675351169202</v>
      </c>
      <c r="V1252" s="94">
        <f t="shared" si="243"/>
        <v>16675.920973032022</v>
      </c>
      <c r="W1252" s="97">
        <f t="shared" si="240"/>
        <v>17206.21525997444</v>
      </c>
      <c r="X1252" s="97">
        <f t="shared" si="241"/>
        <v>17860.051439853469</v>
      </c>
      <c r="Y1252" s="97">
        <f t="shared" si="236"/>
        <v>18147.598268035108</v>
      </c>
      <c r="Z1252" s="97">
        <f t="shared" si="238"/>
        <v>19167.493290698683</v>
      </c>
      <c r="AA1252" s="97">
        <f t="shared" si="239"/>
        <v>21682.268410438352</v>
      </c>
    </row>
    <row r="1253" spans="1:27" x14ac:dyDescent="0.25">
      <c r="A1253" s="102" t="s">
        <v>2865</v>
      </c>
      <c r="B1253" s="87" t="s">
        <v>2866</v>
      </c>
      <c r="C1253" s="88" t="s">
        <v>226</v>
      </c>
      <c r="D1253" s="89" t="s">
        <v>262</v>
      </c>
      <c r="E1253" s="90">
        <f t="shared" si="244"/>
        <v>21606</v>
      </c>
      <c r="F1253" s="90">
        <f t="shared" si="245"/>
        <v>18156.206934573671</v>
      </c>
      <c r="G1253" s="91">
        <v>0.19</v>
      </c>
      <c r="H1253" s="91" t="s">
        <v>228</v>
      </c>
      <c r="I1253" s="91"/>
      <c r="J1253" s="91" t="s">
        <v>228</v>
      </c>
      <c r="K1253" s="91"/>
      <c r="L1253" s="92" t="s">
        <v>2860</v>
      </c>
      <c r="M1253" s="91" t="str">
        <f t="shared" si="247"/>
        <v>VER ARCHIVO ANEXO</v>
      </c>
      <c r="N1253" s="93">
        <v>41608</v>
      </c>
      <c r="O1253" s="109"/>
      <c r="P1253" s="109"/>
      <c r="Q1253" s="94">
        <v>1104</v>
      </c>
      <c r="R1253" s="95">
        <f t="shared" si="237"/>
        <v>18156.206934573671</v>
      </c>
      <c r="S1253" s="109">
        <v>11881.5092</v>
      </c>
      <c r="T1253" s="94">
        <f t="shared" si="248"/>
        <v>12685.887372840001</v>
      </c>
      <c r="U1253" s="94">
        <f t="shared" si="242"/>
        <v>13415.325896778302</v>
      </c>
      <c r="V1253" s="94">
        <f t="shared" si="243"/>
        <v>13964.012725956534</v>
      </c>
      <c r="W1253" s="97">
        <f t="shared" si="240"/>
        <v>14408.068330641952</v>
      </c>
      <c r="X1253" s="97">
        <f t="shared" si="241"/>
        <v>14955.574927206348</v>
      </c>
      <c r="Y1253" s="97">
        <f t="shared" si="236"/>
        <v>15196.359683534371</v>
      </c>
      <c r="Z1253" s="97">
        <f t="shared" si="238"/>
        <v>16050.395097749002</v>
      </c>
      <c r="AA1253" s="97">
        <f t="shared" si="239"/>
        <v>18156.206934573671</v>
      </c>
    </row>
    <row r="1254" spans="1:27" x14ac:dyDescent="0.25">
      <c r="A1254" s="102" t="s">
        <v>2867</v>
      </c>
      <c r="B1254" s="87" t="s">
        <v>2868</v>
      </c>
      <c r="C1254" s="88" t="s">
        <v>226</v>
      </c>
      <c r="D1254" s="89" t="s">
        <v>262</v>
      </c>
      <c r="E1254" s="90">
        <f t="shared" si="244"/>
        <v>22403</v>
      </c>
      <c r="F1254" s="90">
        <f t="shared" si="245"/>
        <v>18826.25365707626</v>
      </c>
      <c r="G1254" s="91">
        <v>0.19</v>
      </c>
      <c r="H1254" s="91" t="s">
        <v>228</v>
      </c>
      <c r="I1254" s="91"/>
      <c r="J1254" s="91" t="s">
        <v>228</v>
      </c>
      <c r="K1254" s="91"/>
      <c r="L1254" s="92" t="s">
        <v>2860</v>
      </c>
      <c r="M1254" s="91" t="str">
        <f t="shared" si="247"/>
        <v>VER ARCHIVO ANEXO</v>
      </c>
      <c r="N1254" s="93">
        <v>41608</v>
      </c>
      <c r="O1254" s="109"/>
      <c r="P1254" s="109"/>
      <c r="Q1254" s="94">
        <v>1105</v>
      </c>
      <c r="R1254" s="95">
        <f t="shared" si="237"/>
        <v>18826.25365707626</v>
      </c>
      <c r="S1254" s="109">
        <v>12319.991</v>
      </c>
      <c r="T1254" s="94">
        <f t="shared" si="248"/>
        <v>13154.054390700001</v>
      </c>
      <c r="U1254" s="94">
        <f t="shared" si="242"/>
        <v>13910.412518165253</v>
      </c>
      <c r="V1254" s="94">
        <f t="shared" si="243"/>
        <v>14479.348390158211</v>
      </c>
      <c r="W1254" s="97">
        <f t="shared" si="240"/>
        <v>14939.791668965243</v>
      </c>
      <c r="X1254" s="97">
        <f t="shared" si="241"/>
        <v>15507.503752385923</v>
      </c>
      <c r="Y1254" s="97">
        <f t="shared" si="236"/>
        <v>15757.174562799337</v>
      </c>
      <c r="Z1254" s="97">
        <f t="shared" si="238"/>
        <v>16642.72777322866</v>
      </c>
      <c r="AA1254" s="97">
        <f t="shared" si="239"/>
        <v>18826.25365707626</v>
      </c>
    </row>
    <row r="1255" spans="1:27" x14ac:dyDescent="0.25">
      <c r="A1255" s="102" t="s">
        <v>2869</v>
      </c>
      <c r="B1255" s="87" t="s">
        <v>2870</v>
      </c>
      <c r="C1255" s="88" t="s">
        <v>226</v>
      </c>
      <c r="D1255" s="89" t="s">
        <v>262</v>
      </c>
      <c r="E1255" s="90">
        <f t="shared" si="244"/>
        <v>19089</v>
      </c>
      <c r="F1255" s="90">
        <f t="shared" si="245"/>
        <v>16041.520469937843</v>
      </c>
      <c r="G1255" s="91">
        <v>0.19</v>
      </c>
      <c r="H1255" s="91" t="s">
        <v>228</v>
      </c>
      <c r="I1255" s="91"/>
      <c r="J1255" s="91" t="s">
        <v>228</v>
      </c>
      <c r="K1255" s="91"/>
      <c r="L1255" s="92" t="s">
        <v>2860</v>
      </c>
      <c r="M1255" s="91" t="str">
        <f t="shared" si="247"/>
        <v>VER ARCHIVO ANEXO</v>
      </c>
      <c r="N1255" s="93">
        <v>41608</v>
      </c>
      <c r="O1255" s="109"/>
      <c r="P1255" s="109"/>
      <c r="Q1255" s="94">
        <v>1106</v>
      </c>
      <c r="R1255" s="95">
        <f t="shared" si="237"/>
        <v>16041.520469937843</v>
      </c>
      <c r="S1255" s="109">
        <v>10497.6482</v>
      </c>
      <c r="T1255" s="94">
        <f t="shared" si="248"/>
        <v>11208.33898314</v>
      </c>
      <c r="U1255" s="94">
        <f t="shared" si="242"/>
        <v>11852.818474670552</v>
      </c>
      <c r="V1255" s="94">
        <f t="shared" si="243"/>
        <v>12337.598750284576</v>
      </c>
      <c r="W1255" s="97">
        <f t="shared" si="240"/>
        <v>12729.934390543627</v>
      </c>
      <c r="X1255" s="97">
        <f t="shared" si="241"/>
        <v>13213.671897384285</v>
      </c>
      <c r="Y1255" s="97">
        <f t="shared" si="236"/>
        <v>13426.412014932172</v>
      </c>
      <c r="Z1255" s="97">
        <f t="shared" si="238"/>
        <v>14180.97637017136</v>
      </c>
      <c r="AA1255" s="97">
        <f t="shared" si="239"/>
        <v>16041.520469937843</v>
      </c>
    </row>
    <row r="1256" spans="1:27" x14ac:dyDescent="0.25">
      <c r="A1256" s="102" t="s">
        <v>2871</v>
      </c>
      <c r="B1256" s="87" t="s">
        <v>2872</v>
      </c>
      <c r="C1256" s="88" t="s">
        <v>226</v>
      </c>
      <c r="D1256" s="89" t="s">
        <v>262</v>
      </c>
      <c r="E1256" s="90">
        <f t="shared" si="244"/>
        <v>24386</v>
      </c>
      <c r="F1256" s="90">
        <f t="shared" si="245"/>
        <v>20492.658271905391</v>
      </c>
      <c r="G1256" s="91">
        <v>0.19</v>
      </c>
      <c r="H1256" s="91" t="s">
        <v>228</v>
      </c>
      <c r="I1256" s="91"/>
      <c r="J1256" s="91" t="s">
        <v>228</v>
      </c>
      <c r="K1256" s="91"/>
      <c r="L1256" s="92" t="s">
        <v>2860</v>
      </c>
      <c r="M1256" s="91" t="str">
        <f t="shared" si="247"/>
        <v>VER ARCHIVO ANEXO</v>
      </c>
      <c r="N1256" s="93">
        <v>41608</v>
      </c>
      <c r="O1256" s="109"/>
      <c r="P1256" s="109"/>
      <c r="Q1256" s="94">
        <v>1107</v>
      </c>
      <c r="R1256" s="95">
        <f t="shared" si="237"/>
        <v>20492.658271905391</v>
      </c>
      <c r="S1256" s="109">
        <v>13410.494199999999</v>
      </c>
      <c r="T1256" s="94">
        <f t="shared" si="248"/>
        <v>14318.384657340001</v>
      </c>
      <c r="U1256" s="94">
        <f t="shared" si="242"/>
        <v>15141.691775137053</v>
      </c>
      <c r="V1256" s="94">
        <f t="shared" si="243"/>
        <v>15760.986968740157</v>
      </c>
      <c r="W1256" s="97">
        <f t="shared" si="240"/>
        <v>16262.186354346095</v>
      </c>
      <c r="X1256" s="97">
        <f t="shared" si="241"/>
        <v>16880.149435811247</v>
      </c>
      <c r="Y1256" s="97">
        <f t="shared" si="236"/>
        <v>17151.919841727809</v>
      </c>
      <c r="Z1256" s="97">
        <f t="shared" si="238"/>
        <v>18115.857736832913</v>
      </c>
      <c r="AA1256" s="97">
        <f t="shared" si="239"/>
        <v>20492.658271905391</v>
      </c>
    </row>
    <row r="1257" spans="1:27" x14ac:dyDescent="0.25">
      <c r="A1257" s="102" t="s">
        <v>2873</v>
      </c>
      <c r="B1257" s="87" t="s">
        <v>2874</v>
      </c>
      <c r="C1257" s="88" t="s">
        <v>226</v>
      </c>
      <c r="D1257" s="89" t="s">
        <v>262</v>
      </c>
      <c r="E1257" s="90">
        <f t="shared" si="244"/>
        <v>23685</v>
      </c>
      <c r="F1257" s="90">
        <f t="shared" si="245"/>
        <v>19903.397324456306</v>
      </c>
      <c r="G1257" s="91">
        <v>0.19</v>
      </c>
      <c r="H1257" s="91" t="s">
        <v>228</v>
      </c>
      <c r="I1257" s="91"/>
      <c r="J1257" s="91" t="s">
        <v>228</v>
      </c>
      <c r="K1257" s="91"/>
      <c r="L1257" s="92" t="s">
        <v>2860</v>
      </c>
      <c r="M1257" s="91" t="str">
        <f t="shared" si="247"/>
        <v>VER ARCHIVO ANEXO</v>
      </c>
      <c r="N1257" s="93">
        <v>41608</v>
      </c>
      <c r="O1257" s="109"/>
      <c r="P1257" s="109"/>
      <c r="Q1257" s="94">
        <v>1108</v>
      </c>
      <c r="R1257" s="95">
        <f t="shared" si="237"/>
        <v>19903.397324456306</v>
      </c>
      <c r="S1257" s="109">
        <v>13024.878999999999</v>
      </c>
      <c r="T1257" s="94">
        <f t="shared" si="248"/>
        <v>13906.6633083</v>
      </c>
      <c r="U1257" s="94">
        <f t="shared" si="242"/>
        <v>14706.296448527251</v>
      </c>
      <c r="V1257" s="94">
        <f t="shared" si="243"/>
        <v>15307.783973272015</v>
      </c>
      <c r="W1257" s="97">
        <f t="shared" si="240"/>
        <v>15794.571503622066</v>
      </c>
      <c r="X1257" s="97">
        <f t="shared" si="241"/>
        <v>16394.765220759706</v>
      </c>
      <c r="Y1257" s="97">
        <f t="shared" si="236"/>
        <v>16658.720940813939</v>
      </c>
      <c r="Z1257" s="97">
        <f t="shared" si="238"/>
        <v>17594.941057687683</v>
      </c>
      <c r="AA1257" s="97">
        <f t="shared" si="239"/>
        <v>19903.397324456306</v>
      </c>
    </row>
    <row r="1258" spans="1:27" x14ac:dyDescent="0.25">
      <c r="A1258" s="102" t="s">
        <v>2875</v>
      </c>
      <c r="B1258" s="87" t="s">
        <v>2876</v>
      </c>
      <c r="C1258" s="88" t="s">
        <v>226</v>
      </c>
      <c r="D1258" s="89" t="s">
        <v>262</v>
      </c>
      <c r="E1258" s="90">
        <f t="shared" si="244"/>
        <v>17632</v>
      </c>
      <c r="F1258" s="90">
        <f t="shared" si="245"/>
        <v>14817.061565695523</v>
      </c>
      <c r="G1258" s="91">
        <v>0.19</v>
      </c>
      <c r="H1258" s="91" t="s">
        <v>228</v>
      </c>
      <c r="I1258" s="91"/>
      <c r="J1258" s="91" t="s">
        <v>228</v>
      </c>
      <c r="K1258" s="91"/>
      <c r="L1258" s="92" t="s">
        <v>2860</v>
      </c>
      <c r="M1258" s="91" t="str">
        <f t="shared" si="247"/>
        <v>VER ARCHIVO ANEXO</v>
      </c>
      <c r="N1258" s="93">
        <v>41608</v>
      </c>
      <c r="O1258" s="109"/>
      <c r="P1258" s="109"/>
      <c r="Q1258" s="94">
        <v>1109</v>
      </c>
      <c r="R1258" s="95">
        <f t="shared" si="237"/>
        <v>14817.061565695523</v>
      </c>
      <c r="S1258" s="109">
        <v>9696.3564000000006</v>
      </c>
      <c r="T1258" s="94">
        <f t="shared" si="248"/>
        <v>10352.799728280001</v>
      </c>
      <c r="U1258" s="94">
        <f t="shared" si="242"/>
        <v>10948.085712656102</v>
      </c>
      <c r="V1258" s="94">
        <f t="shared" si="243"/>
        <v>11395.862418303735</v>
      </c>
      <c r="W1258" s="97">
        <f t="shared" si="240"/>
        <v>11758.250843205795</v>
      </c>
      <c r="X1258" s="97">
        <f t="shared" si="241"/>
        <v>12205.064375247615</v>
      </c>
      <c r="Y1258" s="97">
        <f t="shared" si="236"/>
        <v>12401.565911689102</v>
      </c>
      <c r="Z1258" s="97">
        <f t="shared" si="238"/>
        <v>13098.533915926029</v>
      </c>
      <c r="AA1258" s="97">
        <f t="shared" si="239"/>
        <v>14817.061565695523</v>
      </c>
    </row>
    <row r="1259" spans="1:27" x14ac:dyDescent="0.25">
      <c r="A1259" s="102" t="s">
        <v>2877</v>
      </c>
      <c r="B1259" s="98" t="s">
        <v>2878</v>
      </c>
      <c r="C1259" s="99" t="s">
        <v>226</v>
      </c>
      <c r="D1259" s="100" t="s">
        <v>262</v>
      </c>
      <c r="E1259" s="101">
        <f t="shared" si="244"/>
        <v>2141</v>
      </c>
      <c r="F1259" s="90">
        <f t="shared" si="245"/>
        <v>1799.4635384466665</v>
      </c>
      <c r="G1259" s="91">
        <v>0.19</v>
      </c>
      <c r="H1259" s="91" t="s">
        <v>228</v>
      </c>
      <c r="I1259" s="91"/>
      <c r="J1259" s="91" t="s">
        <v>228</v>
      </c>
      <c r="K1259" s="91"/>
      <c r="L1259" s="92" t="s">
        <v>2860</v>
      </c>
      <c r="M1259" s="91" t="str">
        <f t="shared" si="247"/>
        <v>VER ARCHIVO ANEXO</v>
      </c>
      <c r="N1259" s="93">
        <v>41608</v>
      </c>
      <c r="O1259" s="109"/>
      <c r="P1259" s="109"/>
      <c r="Q1259" s="94">
        <v>1110</v>
      </c>
      <c r="R1259" s="95">
        <f t="shared" si="237"/>
        <v>1799.4635384466665</v>
      </c>
      <c r="S1259" s="109">
        <v>1177.5776000000001</v>
      </c>
      <c r="T1259" s="94">
        <f t="shared" si="248"/>
        <v>1257.2996035200001</v>
      </c>
      <c r="U1259" s="94">
        <f t="shared" si="242"/>
        <v>1329.5943307224002</v>
      </c>
      <c r="V1259" s="94">
        <f t="shared" si="243"/>
        <v>1383.9747388489463</v>
      </c>
      <c r="W1259" s="97">
        <f t="shared" si="240"/>
        <v>1427.9851355443429</v>
      </c>
      <c r="X1259" s="97">
        <f t="shared" si="241"/>
        <v>1482.2485706950281</v>
      </c>
      <c r="Y1259" s="97">
        <f t="shared" si="236"/>
        <v>1506.1127726832181</v>
      </c>
      <c r="Z1259" s="97">
        <f t="shared" si="238"/>
        <v>1590.7563105080148</v>
      </c>
      <c r="AA1259" s="97">
        <f t="shared" si="239"/>
        <v>1799.4635384466665</v>
      </c>
    </row>
    <row r="1260" spans="1:27" x14ac:dyDescent="0.25">
      <c r="A1260" s="102" t="s">
        <v>2879</v>
      </c>
      <c r="B1260" s="98" t="s">
        <v>2880</v>
      </c>
      <c r="C1260" s="99" t="s">
        <v>226</v>
      </c>
      <c r="D1260" s="100" t="s">
        <v>262</v>
      </c>
      <c r="E1260" s="101">
        <f t="shared" si="244"/>
        <v>3427</v>
      </c>
      <c r="F1260" s="90">
        <f t="shared" si="245"/>
        <v>2879.7752754366547</v>
      </c>
      <c r="G1260" s="91">
        <v>0.19</v>
      </c>
      <c r="H1260" s="91" t="s">
        <v>228</v>
      </c>
      <c r="I1260" s="91"/>
      <c r="J1260" s="91" t="s">
        <v>228</v>
      </c>
      <c r="K1260" s="91"/>
      <c r="L1260" s="92" t="s">
        <v>2860</v>
      </c>
      <c r="M1260" s="91" t="str">
        <f t="shared" si="247"/>
        <v>VER ARCHIVO ANEXO</v>
      </c>
      <c r="N1260" s="93">
        <v>41608</v>
      </c>
      <c r="O1260" s="109"/>
      <c r="P1260" s="109"/>
      <c r="Q1260" s="94">
        <v>1111</v>
      </c>
      <c r="R1260" s="95">
        <f t="shared" si="237"/>
        <v>2879.7752754366547</v>
      </c>
      <c r="S1260" s="109">
        <v>1884.5388</v>
      </c>
      <c r="T1260" s="94">
        <f t="shared" si="248"/>
        <v>2012.1220767600003</v>
      </c>
      <c r="U1260" s="94">
        <f t="shared" si="242"/>
        <v>2127.8190961737005</v>
      </c>
      <c r="V1260" s="94">
        <f t="shared" si="243"/>
        <v>2214.8468972072046</v>
      </c>
      <c r="W1260" s="97">
        <f t="shared" si="240"/>
        <v>2285.279028538394</v>
      </c>
      <c r="X1260" s="97">
        <f t="shared" si="241"/>
        <v>2372.1196316228529</v>
      </c>
      <c r="Y1260" s="97">
        <f t="shared" si="236"/>
        <v>2410.3107576919811</v>
      </c>
      <c r="Z1260" s="97">
        <f t="shared" si="238"/>
        <v>2545.7702222742705</v>
      </c>
      <c r="AA1260" s="97">
        <f t="shared" si="239"/>
        <v>2879.7752754366547</v>
      </c>
    </row>
    <row r="1261" spans="1:27" x14ac:dyDescent="0.25">
      <c r="A1261" s="102" t="s">
        <v>2881</v>
      </c>
      <c r="B1261" s="87" t="s">
        <v>2882</v>
      </c>
      <c r="C1261" s="88" t="s">
        <v>226</v>
      </c>
      <c r="D1261" s="89" t="s">
        <v>262</v>
      </c>
      <c r="E1261" s="90">
        <f t="shared" si="244"/>
        <v>2569</v>
      </c>
      <c r="F1261" s="90">
        <f t="shared" si="245"/>
        <v>2159.0394391750056</v>
      </c>
      <c r="G1261" s="91">
        <v>0.19</v>
      </c>
      <c r="H1261" s="91" t="s">
        <v>228</v>
      </c>
      <c r="I1261" s="91"/>
      <c r="J1261" s="91" t="s">
        <v>228</v>
      </c>
      <c r="K1261" s="91"/>
      <c r="L1261" s="92" t="s">
        <v>2860</v>
      </c>
      <c r="M1261" s="91" t="str">
        <f t="shared" si="247"/>
        <v>VER ARCHIVO ANEXO</v>
      </c>
      <c r="N1261" s="93">
        <v>41608</v>
      </c>
      <c r="O1261" s="109"/>
      <c r="P1261" s="109"/>
      <c r="Q1261" s="94">
        <v>1112</v>
      </c>
      <c r="R1261" s="95">
        <f t="shared" si="237"/>
        <v>2159.0394391750056</v>
      </c>
      <c r="S1261" s="109">
        <v>1412.8858</v>
      </c>
      <c r="T1261" s="94">
        <f t="shared" si="248"/>
        <v>1508.5381686600001</v>
      </c>
      <c r="U1261" s="94">
        <f t="shared" si="242"/>
        <v>1595.2791133579503</v>
      </c>
      <c r="V1261" s="94">
        <f t="shared" si="243"/>
        <v>1660.5260290942904</v>
      </c>
      <c r="W1261" s="97">
        <f t="shared" si="240"/>
        <v>1713.3307568194889</v>
      </c>
      <c r="X1261" s="97">
        <f t="shared" si="241"/>
        <v>1778.4373255786295</v>
      </c>
      <c r="Y1261" s="97">
        <f t="shared" si="236"/>
        <v>1807.0701665204454</v>
      </c>
      <c r="Z1261" s="97">
        <f t="shared" si="238"/>
        <v>1908.6275098788944</v>
      </c>
      <c r="AA1261" s="97">
        <f t="shared" si="239"/>
        <v>2159.0394391750056</v>
      </c>
    </row>
    <row r="1262" spans="1:27" x14ac:dyDescent="0.25">
      <c r="A1262" s="102" t="s">
        <v>2883</v>
      </c>
      <c r="B1262" s="87" t="s">
        <v>2884</v>
      </c>
      <c r="C1262" s="88" t="s">
        <v>226</v>
      </c>
      <c r="D1262" s="89" t="s">
        <v>262</v>
      </c>
      <c r="E1262" s="90">
        <f t="shared" si="244"/>
        <v>4283</v>
      </c>
      <c r="F1262" s="90">
        <f t="shared" si="245"/>
        <v>3598.9270768933329</v>
      </c>
      <c r="G1262" s="91">
        <v>0.19</v>
      </c>
      <c r="H1262" s="91" t="s">
        <v>228</v>
      </c>
      <c r="I1262" s="91"/>
      <c r="J1262" s="91" t="s">
        <v>228</v>
      </c>
      <c r="K1262" s="91"/>
      <c r="L1262" s="92" t="s">
        <v>2860</v>
      </c>
      <c r="M1262" s="91" t="str">
        <f t="shared" si="247"/>
        <v>VER ARCHIVO ANEXO</v>
      </c>
      <c r="N1262" s="93">
        <v>41608</v>
      </c>
      <c r="O1262" s="109"/>
      <c r="P1262" s="109"/>
      <c r="Q1262" s="94">
        <v>1113</v>
      </c>
      <c r="R1262" s="95">
        <f t="shared" si="237"/>
        <v>3598.9270768933329</v>
      </c>
      <c r="S1262" s="109">
        <v>2355.1552000000001</v>
      </c>
      <c r="T1262" s="94">
        <f t="shared" si="248"/>
        <v>2514.5992070400002</v>
      </c>
      <c r="U1262" s="94">
        <f t="shared" si="242"/>
        <v>2659.1886614448003</v>
      </c>
      <c r="V1262" s="94">
        <f t="shared" si="243"/>
        <v>2767.9494776978927</v>
      </c>
      <c r="W1262" s="97">
        <f t="shared" si="240"/>
        <v>2855.9702710886859</v>
      </c>
      <c r="X1262" s="97">
        <f t="shared" si="241"/>
        <v>2964.4971413900562</v>
      </c>
      <c r="Y1262" s="97">
        <f t="shared" si="236"/>
        <v>3012.2255453664361</v>
      </c>
      <c r="Z1262" s="97">
        <f t="shared" si="238"/>
        <v>3181.5126210160297</v>
      </c>
      <c r="AA1262" s="97">
        <f t="shared" si="239"/>
        <v>3598.9270768933329</v>
      </c>
    </row>
    <row r="1263" spans="1:27" x14ac:dyDescent="0.25">
      <c r="A1263" s="102" t="s">
        <v>2885</v>
      </c>
      <c r="B1263" s="87" t="s">
        <v>2886</v>
      </c>
      <c r="C1263" s="88" t="s">
        <v>226</v>
      </c>
      <c r="D1263" s="89" t="s">
        <v>262</v>
      </c>
      <c r="E1263" s="90">
        <f t="shared" si="244"/>
        <v>8567</v>
      </c>
      <c r="F1263" s="90">
        <f t="shared" si="245"/>
        <v>7199.4381885916346</v>
      </c>
      <c r="G1263" s="91">
        <v>0.19</v>
      </c>
      <c r="H1263" s="91" t="s">
        <v>228</v>
      </c>
      <c r="I1263" s="91"/>
      <c r="J1263" s="91" t="s">
        <v>228</v>
      </c>
      <c r="K1263" s="91"/>
      <c r="L1263" s="92" t="s">
        <v>2860</v>
      </c>
      <c r="M1263" s="91" t="str">
        <f t="shared" si="247"/>
        <v>VER ARCHIVO ANEXO</v>
      </c>
      <c r="N1263" s="93">
        <v>41608</v>
      </c>
      <c r="O1263" s="109"/>
      <c r="P1263" s="109"/>
      <c r="Q1263" s="94">
        <v>1114</v>
      </c>
      <c r="R1263" s="95">
        <f t="shared" si="237"/>
        <v>7199.4381885916346</v>
      </c>
      <c r="S1263" s="109">
        <v>4711.3469999999998</v>
      </c>
      <c r="T1263" s="94">
        <f t="shared" si="248"/>
        <v>5030.3051919</v>
      </c>
      <c r="U1263" s="94">
        <f t="shared" si="242"/>
        <v>5319.54774043425</v>
      </c>
      <c r="V1263" s="94">
        <f t="shared" si="243"/>
        <v>5537.1172430180104</v>
      </c>
      <c r="W1263" s="97">
        <f t="shared" si="240"/>
        <v>5713.1975713459833</v>
      </c>
      <c r="X1263" s="97">
        <f t="shared" si="241"/>
        <v>5930.2990790571312</v>
      </c>
      <c r="Y1263" s="97">
        <f t="shared" si="236"/>
        <v>6025.7768942299508</v>
      </c>
      <c r="Z1263" s="97">
        <f t="shared" si="238"/>
        <v>6364.4255556856742</v>
      </c>
      <c r="AA1263" s="97">
        <f t="shared" si="239"/>
        <v>7199.4381885916346</v>
      </c>
    </row>
    <row r="1264" spans="1:27" x14ac:dyDescent="0.25">
      <c r="A1264" s="102" t="s">
        <v>2887</v>
      </c>
      <c r="B1264" s="87" t="s">
        <v>2888</v>
      </c>
      <c r="C1264" s="88" t="s">
        <v>226</v>
      </c>
      <c r="D1264" s="89" t="s">
        <v>262</v>
      </c>
      <c r="E1264" s="90">
        <f t="shared" si="244"/>
        <v>17137</v>
      </c>
      <c r="F1264" s="90">
        <f t="shared" si="245"/>
        <v>14400.460411988239</v>
      </c>
      <c r="G1264" s="91">
        <v>0.19</v>
      </c>
      <c r="H1264" s="91" t="s">
        <v>228</v>
      </c>
      <c r="I1264" s="91"/>
      <c r="J1264" s="91" t="s">
        <v>228</v>
      </c>
      <c r="K1264" s="91"/>
      <c r="L1264" s="92" t="s">
        <v>2860</v>
      </c>
      <c r="M1264" s="91" t="str">
        <f t="shared" si="247"/>
        <v>VER ARCHIVO ANEXO</v>
      </c>
      <c r="N1264" s="93">
        <v>41608</v>
      </c>
      <c r="O1264" s="109"/>
      <c r="P1264" s="109"/>
      <c r="Q1264" s="94">
        <v>1115</v>
      </c>
      <c r="R1264" s="95">
        <f t="shared" si="237"/>
        <v>14400.460411988239</v>
      </c>
      <c r="S1264" s="109">
        <v>9423.730599999999</v>
      </c>
      <c r="T1264" s="94">
        <f t="shared" si="248"/>
        <v>10061.717161619999</v>
      </c>
      <c r="U1264" s="94">
        <f t="shared" si="242"/>
        <v>10640.26589841315</v>
      </c>
      <c r="V1264" s="94">
        <f t="shared" si="243"/>
        <v>11075.452773658248</v>
      </c>
      <c r="W1264" s="97">
        <f t="shared" si="240"/>
        <v>11427.65217186058</v>
      </c>
      <c r="X1264" s="97">
        <f t="shared" si="241"/>
        <v>11861.902954391282</v>
      </c>
      <c r="Y1264" s="97">
        <f t="shared" si="236"/>
        <v>12052.879591956982</v>
      </c>
      <c r="Z1264" s="97">
        <f t="shared" si="238"/>
        <v>12730.251425024964</v>
      </c>
      <c r="AA1264" s="97">
        <f t="shared" si="239"/>
        <v>14400.460411988239</v>
      </c>
    </row>
    <row r="1265" spans="1:27" x14ac:dyDescent="0.25">
      <c r="A1265" s="102" t="s">
        <v>2889</v>
      </c>
      <c r="B1265" s="98" t="s">
        <v>2890</v>
      </c>
      <c r="C1265" s="99" t="s">
        <v>226</v>
      </c>
      <c r="D1265" s="100" t="s">
        <v>262</v>
      </c>
      <c r="E1265" s="101">
        <f t="shared" si="244"/>
        <v>2569</v>
      </c>
      <c r="F1265" s="90">
        <f t="shared" si="245"/>
        <v>2159.0394391750056</v>
      </c>
      <c r="G1265" s="91">
        <v>0.19</v>
      </c>
      <c r="H1265" s="91" t="s">
        <v>228</v>
      </c>
      <c r="I1265" s="91"/>
      <c r="J1265" s="91" t="s">
        <v>228</v>
      </c>
      <c r="K1265" s="91"/>
      <c r="L1265" s="92" t="s">
        <v>2860</v>
      </c>
      <c r="M1265" s="91" t="str">
        <f t="shared" si="247"/>
        <v>VER ARCHIVO ANEXO</v>
      </c>
      <c r="N1265" s="93">
        <v>41608</v>
      </c>
      <c r="O1265" s="109"/>
      <c r="P1265" s="109"/>
      <c r="Q1265" s="94">
        <v>1116</v>
      </c>
      <c r="R1265" s="95">
        <f t="shared" si="237"/>
        <v>2159.0394391750056</v>
      </c>
      <c r="S1265" s="109">
        <v>1412.8858</v>
      </c>
      <c r="T1265" s="94">
        <f t="shared" si="248"/>
        <v>1508.5381686600001</v>
      </c>
      <c r="U1265" s="94">
        <f t="shared" si="242"/>
        <v>1595.2791133579503</v>
      </c>
      <c r="V1265" s="94">
        <f t="shared" si="243"/>
        <v>1660.5260290942904</v>
      </c>
      <c r="W1265" s="97">
        <f t="shared" si="240"/>
        <v>1713.3307568194889</v>
      </c>
      <c r="X1265" s="97">
        <f t="shared" si="241"/>
        <v>1778.4373255786295</v>
      </c>
      <c r="Y1265" s="97">
        <f t="shared" si="236"/>
        <v>1807.0701665204454</v>
      </c>
      <c r="Z1265" s="97">
        <f t="shared" si="238"/>
        <v>1908.6275098788944</v>
      </c>
      <c r="AA1265" s="97">
        <f t="shared" si="239"/>
        <v>2159.0394391750056</v>
      </c>
    </row>
    <row r="1266" spans="1:27" x14ac:dyDescent="0.25">
      <c r="A1266" s="102" t="s">
        <v>2891</v>
      </c>
      <c r="B1266" s="87" t="s">
        <v>2892</v>
      </c>
      <c r="C1266" s="88" t="s">
        <v>226</v>
      </c>
      <c r="D1266" s="89" t="s">
        <v>262</v>
      </c>
      <c r="E1266" s="90">
        <f t="shared" si="244"/>
        <v>5996</v>
      </c>
      <c r="F1266" s="90">
        <f t="shared" si="245"/>
        <v>5038.8147146116598</v>
      </c>
      <c r="G1266" s="91">
        <v>0.19</v>
      </c>
      <c r="H1266" s="91" t="s">
        <v>228</v>
      </c>
      <c r="I1266" s="91"/>
      <c r="J1266" s="91" t="s">
        <v>228</v>
      </c>
      <c r="K1266" s="91"/>
      <c r="L1266" s="92" t="s">
        <v>2860</v>
      </c>
      <c r="M1266" s="91" t="str">
        <f t="shared" si="247"/>
        <v>VER ARCHIVO ANEXO</v>
      </c>
      <c r="N1266" s="93">
        <v>41608</v>
      </c>
      <c r="O1266" s="109"/>
      <c r="P1266" s="109"/>
      <c r="Q1266" s="94">
        <v>1117</v>
      </c>
      <c r="R1266" s="95">
        <f t="shared" si="237"/>
        <v>5038.8147146116598</v>
      </c>
      <c r="S1266" s="109">
        <v>3297.4245999999998</v>
      </c>
      <c r="T1266" s="94">
        <f t="shared" si="248"/>
        <v>3520.6602454200001</v>
      </c>
      <c r="U1266" s="94">
        <f t="shared" si="242"/>
        <v>3723.0982095316504</v>
      </c>
      <c r="V1266" s="94">
        <f t="shared" si="243"/>
        <v>3875.3729263014948</v>
      </c>
      <c r="W1266" s="97">
        <f t="shared" si="240"/>
        <v>3998.6097853578826</v>
      </c>
      <c r="X1266" s="97">
        <f t="shared" si="241"/>
        <v>4150.556957201482</v>
      </c>
      <c r="Y1266" s="97">
        <f t="shared" si="236"/>
        <v>4217.3809242124262</v>
      </c>
      <c r="Z1266" s="97">
        <f t="shared" si="238"/>
        <v>4454.3977321531647</v>
      </c>
      <c r="AA1266" s="97">
        <f t="shared" si="239"/>
        <v>5038.8147146116598</v>
      </c>
    </row>
    <row r="1267" spans="1:27" x14ac:dyDescent="0.25">
      <c r="A1267" s="102" t="s">
        <v>2893</v>
      </c>
      <c r="B1267" s="87" t="s">
        <v>2894</v>
      </c>
      <c r="C1267" s="88" t="s">
        <v>226</v>
      </c>
      <c r="D1267" s="89" t="s">
        <v>262</v>
      </c>
      <c r="E1267" s="90">
        <f t="shared" si="244"/>
        <v>3427</v>
      </c>
      <c r="F1267" s="90">
        <f t="shared" si="245"/>
        <v>2879.7752754366547</v>
      </c>
      <c r="G1267" s="91">
        <v>0.19</v>
      </c>
      <c r="H1267" s="91" t="s">
        <v>228</v>
      </c>
      <c r="I1267" s="91"/>
      <c r="J1267" s="91" t="s">
        <v>228</v>
      </c>
      <c r="K1267" s="91"/>
      <c r="L1267" s="92" t="s">
        <v>2860</v>
      </c>
      <c r="M1267" s="91" t="str">
        <f t="shared" si="247"/>
        <v>VER ARCHIVO ANEXO</v>
      </c>
      <c r="N1267" s="93">
        <v>41608</v>
      </c>
      <c r="O1267" s="109"/>
      <c r="P1267" s="109"/>
      <c r="Q1267" s="94">
        <v>1118</v>
      </c>
      <c r="R1267" s="95">
        <f t="shared" si="237"/>
        <v>2879.7752754366547</v>
      </c>
      <c r="S1267" s="109">
        <v>1884.5388</v>
      </c>
      <c r="T1267" s="94">
        <f t="shared" si="248"/>
        <v>2012.1220767600003</v>
      </c>
      <c r="U1267" s="94">
        <f t="shared" si="242"/>
        <v>2127.8190961737005</v>
      </c>
      <c r="V1267" s="94">
        <f t="shared" si="243"/>
        <v>2214.8468972072046</v>
      </c>
      <c r="W1267" s="97">
        <f t="shared" si="240"/>
        <v>2285.279028538394</v>
      </c>
      <c r="X1267" s="97">
        <f t="shared" si="241"/>
        <v>2372.1196316228529</v>
      </c>
      <c r="Y1267" s="97">
        <f t="shared" si="236"/>
        <v>2410.3107576919811</v>
      </c>
      <c r="Z1267" s="97">
        <f t="shared" si="238"/>
        <v>2545.7702222742705</v>
      </c>
      <c r="AA1267" s="97">
        <f t="shared" si="239"/>
        <v>2879.7752754366547</v>
      </c>
    </row>
    <row r="1268" spans="1:27" x14ac:dyDescent="0.25">
      <c r="A1268" s="102" t="s">
        <v>2895</v>
      </c>
      <c r="B1268" s="87" t="s">
        <v>2896</v>
      </c>
      <c r="C1268" s="88" t="s">
        <v>226</v>
      </c>
      <c r="D1268" s="89" t="s">
        <v>262</v>
      </c>
      <c r="E1268" s="90">
        <f t="shared" si="244"/>
        <v>8567</v>
      </c>
      <c r="F1268" s="90">
        <f t="shared" si="245"/>
        <v>7199.4381885916346</v>
      </c>
      <c r="G1268" s="91">
        <v>0.19</v>
      </c>
      <c r="H1268" s="91" t="s">
        <v>228</v>
      </c>
      <c r="I1268" s="91"/>
      <c r="J1268" s="91" t="s">
        <v>228</v>
      </c>
      <c r="K1268" s="91"/>
      <c r="L1268" s="92" t="s">
        <v>2860</v>
      </c>
      <c r="M1268" s="91" t="str">
        <f t="shared" si="247"/>
        <v>VER ARCHIVO ANEXO</v>
      </c>
      <c r="N1268" s="93">
        <v>41608</v>
      </c>
      <c r="O1268" s="109"/>
      <c r="P1268" s="109"/>
      <c r="Q1268" s="94">
        <v>1119</v>
      </c>
      <c r="R1268" s="95">
        <f t="shared" si="237"/>
        <v>7199.4381885916346</v>
      </c>
      <c r="S1268" s="109">
        <v>4711.3469999999998</v>
      </c>
      <c r="T1268" s="94">
        <f t="shared" si="248"/>
        <v>5030.3051919</v>
      </c>
      <c r="U1268" s="94">
        <f t="shared" si="242"/>
        <v>5319.54774043425</v>
      </c>
      <c r="V1268" s="94">
        <f t="shared" si="243"/>
        <v>5537.1172430180104</v>
      </c>
      <c r="W1268" s="97">
        <f t="shared" si="240"/>
        <v>5713.1975713459833</v>
      </c>
      <c r="X1268" s="97">
        <f t="shared" si="241"/>
        <v>5930.2990790571312</v>
      </c>
      <c r="Y1268" s="97">
        <f t="shared" si="236"/>
        <v>6025.7768942299508</v>
      </c>
      <c r="Z1268" s="97">
        <f t="shared" si="238"/>
        <v>6364.4255556856742</v>
      </c>
      <c r="AA1268" s="97">
        <f t="shared" si="239"/>
        <v>7199.4381885916346</v>
      </c>
    </row>
    <row r="1269" spans="1:27" x14ac:dyDescent="0.25">
      <c r="A1269" s="102" t="s">
        <v>2897</v>
      </c>
      <c r="B1269" s="87" t="s">
        <v>2898</v>
      </c>
      <c r="C1269" s="88" t="s">
        <v>226</v>
      </c>
      <c r="D1269" s="89" t="s">
        <v>262</v>
      </c>
      <c r="E1269" s="90">
        <f t="shared" si="244"/>
        <v>17137</v>
      </c>
      <c r="F1269" s="90">
        <f t="shared" si="245"/>
        <v>14400.460411988239</v>
      </c>
      <c r="G1269" s="91">
        <v>0.19</v>
      </c>
      <c r="H1269" s="91" t="s">
        <v>228</v>
      </c>
      <c r="I1269" s="91"/>
      <c r="J1269" s="91" t="s">
        <v>228</v>
      </c>
      <c r="K1269" s="91"/>
      <c r="L1269" s="92" t="s">
        <v>2860</v>
      </c>
      <c r="M1269" s="91" t="str">
        <f t="shared" si="247"/>
        <v>VER ARCHIVO ANEXO</v>
      </c>
      <c r="N1269" s="93">
        <v>41608</v>
      </c>
      <c r="O1269" s="109"/>
      <c r="P1269" s="109"/>
      <c r="Q1269" s="94">
        <v>1120</v>
      </c>
      <c r="R1269" s="95">
        <f t="shared" si="237"/>
        <v>14400.460411988239</v>
      </c>
      <c r="S1269" s="109">
        <v>9423.730599999999</v>
      </c>
      <c r="T1269" s="94">
        <f t="shared" si="248"/>
        <v>10061.717161619999</v>
      </c>
      <c r="U1269" s="94">
        <f t="shared" si="242"/>
        <v>10640.26589841315</v>
      </c>
      <c r="V1269" s="94">
        <f t="shared" si="243"/>
        <v>11075.452773658248</v>
      </c>
      <c r="W1269" s="97">
        <f t="shared" si="240"/>
        <v>11427.65217186058</v>
      </c>
      <c r="X1269" s="97">
        <f t="shared" si="241"/>
        <v>11861.902954391282</v>
      </c>
      <c r="Y1269" s="97">
        <f t="shared" si="236"/>
        <v>12052.879591956982</v>
      </c>
      <c r="Z1269" s="97">
        <f t="shared" si="238"/>
        <v>12730.251425024964</v>
      </c>
      <c r="AA1269" s="97">
        <f t="shared" si="239"/>
        <v>14400.460411988239</v>
      </c>
    </row>
    <row r="1270" spans="1:27" x14ac:dyDescent="0.25">
      <c r="A1270" s="102" t="s">
        <v>2899</v>
      </c>
      <c r="B1270" s="87" t="s">
        <v>2900</v>
      </c>
      <c r="C1270" s="88" t="s">
        <v>226</v>
      </c>
      <c r="D1270" s="89" t="s">
        <v>262</v>
      </c>
      <c r="E1270" s="90">
        <f t="shared" si="244"/>
        <v>25706</v>
      </c>
      <c r="F1270" s="90">
        <f t="shared" si="245"/>
        <v>21601.482635384848</v>
      </c>
      <c r="G1270" s="91">
        <v>0.19</v>
      </c>
      <c r="H1270" s="91" t="s">
        <v>228</v>
      </c>
      <c r="I1270" s="91"/>
      <c r="J1270" s="91" t="s">
        <v>228</v>
      </c>
      <c r="K1270" s="91"/>
      <c r="L1270" s="92" t="s">
        <v>2860</v>
      </c>
      <c r="M1270" s="91" t="str">
        <f t="shared" si="247"/>
        <v>VER ARCHIVO ANEXO</v>
      </c>
      <c r="N1270" s="93">
        <v>41608</v>
      </c>
      <c r="O1270" s="109"/>
      <c r="P1270" s="109"/>
      <c r="Q1270" s="94">
        <v>1121</v>
      </c>
      <c r="R1270" s="95">
        <f t="shared" si="237"/>
        <v>21601.482635384848</v>
      </c>
      <c r="S1270" s="109">
        <v>14136.1142</v>
      </c>
      <c r="T1270" s="94">
        <f t="shared" si="248"/>
        <v>15093.129131340002</v>
      </c>
      <c r="U1270" s="94">
        <f t="shared" si="242"/>
        <v>15960.984056392053</v>
      </c>
      <c r="V1270" s="94">
        <f t="shared" si="243"/>
        <v>16613.788304298487</v>
      </c>
      <c r="W1270" s="97">
        <f t="shared" si="240"/>
        <v>17142.10677237518</v>
      </c>
      <c r="X1270" s="97">
        <f t="shared" si="241"/>
        <v>17793.506829725437</v>
      </c>
      <c r="Y1270" s="97">
        <f t="shared" si="236"/>
        <v>18079.982289684016</v>
      </c>
      <c r="Z1270" s="97">
        <f t="shared" si="238"/>
        <v>19096.077294364259</v>
      </c>
      <c r="AA1270" s="97">
        <f t="shared" si="239"/>
        <v>21601.482635384848</v>
      </c>
    </row>
    <row r="1271" spans="1:27" x14ac:dyDescent="0.25">
      <c r="A1271" s="102" t="s">
        <v>2901</v>
      </c>
      <c r="B1271" s="98" t="s">
        <v>2902</v>
      </c>
      <c r="C1271" s="99" t="s">
        <v>226</v>
      </c>
      <c r="D1271" s="100" t="s">
        <v>262</v>
      </c>
      <c r="E1271" s="101">
        <f t="shared" si="244"/>
        <v>4283</v>
      </c>
      <c r="F1271" s="90">
        <f t="shared" si="245"/>
        <v>3598.9270768933329</v>
      </c>
      <c r="G1271" s="91">
        <v>0.19</v>
      </c>
      <c r="H1271" s="91" t="s">
        <v>228</v>
      </c>
      <c r="I1271" s="91"/>
      <c r="J1271" s="91" t="s">
        <v>228</v>
      </c>
      <c r="K1271" s="91"/>
      <c r="L1271" s="92" t="s">
        <v>2860</v>
      </c>
      <c r="M1271" s="91" t="str">
        <f t="shared" si="247"/>
        <v>VER ARCHIVO ANEXO</v>
      </c>
      <c r="N1271" s="93">
        <v>41608</v>
      </c>
      <c r="O1271" s="109"/>
      <c r="P1271" s="109"/>
      <c r="Q1271" s="94">
        <v>1122</v>
      </c>
      <c r="R1271" s="95">
        <f t="shared" si="237"/>
        <v>3598.9270768933329</v>
      </c>
      <c r="S1271" s="109">
        <v>2355.1552000000001</v>
      </c>
      <c r="T1271" s="94">
        <f t="shared" si="248"/>
        <v>2514.5992070400002</v>
      </c>
      <c r="U1271" s="94">
        <f t="shared" si="242"/>
        <v>2659.1886614448003</v>
      </c>
      <c r="V1271" s="94">
        <f t="shared" si="243"/>
        <v>2767.9494776978927</v>
      </c>
      <c r="W1271" s="97">
        <f t="shared" si="240"/>
        <v>2855.9702710886859</v>
      </c>
      <c r="X1271" s="97">
        <f t="shared" si="241"/>
        <v>2964.4971413900562</v>
      </c>
      <c r="Y1271" s="97">
        <f t="shared" si="236"/>
        <v>3012.2255453664361</v>
      </c>
      <c r="Z1271" s="97">
        <f t="shared" si="238"/>
        <v>3181.5126210160297</v>
      </c>
      <c r="AA1271" s="97">
        <f t="shared" si="239"/>
        <v>3598.9270768933329</v>
      </c>
    </row>
    <row r="1272" spans="1:27" x14ac:dyDescent="0.25">
      <c r="A1272" s="102" t="s">
        <v>2903</v>
      </c>
      <c r="B1272" s="87" t="s">
        <v>2904</v>
      </c>
      <c r="C1272" s="88" t="s">
        <v>226</v>
      </c>
      <c r="D1272" s="89" t="s">
        <v>262</v>
      </c>
      <c r="E1272" s="90">
        <f t="shared" si="244"/>
        <v>42844</v>
      </c>
      <c r="F1272" s="90">
        <f t="shared" si="245"/>
        <v>36003.527082178058</v>
      </c>
      <c r="G1272" s="91">
        <v>0.19</v>
      </c>
      <c r="H1272" s="91" t="s">
        <v>228</v>
      </c>
      <c r="I1272" s="91"/>
      <c r="J1272" s="91" t="s">
        <v>228</v>
      </c>
      <c r="K1272" s="91"/>
      <c r="L1272" s="92" t="s">
        <v>2860</v>
      </c>
      <c r="M1272" s="91" t="str">
        <f t="shared" si="247"/>
        <v>VER ARCHIVO ANEXO</v>
      </c>
      <c r="N1272" s="93">
        <v>41608</v>
      </c>
      <c r="O1272" s="109"/>
      <c r="P1272" s="109"/>
      <c r="Q1272" s="94">
        <v>1123</v>
      </c>
      <c r="R1272" s="95">
        <f t="shared" si="237"/>
        <v>36003.527082178058</v>
      </c>
      <c r="S1272" s="109">
        <v>23560.881399999998</v>
      </c>
      <c r="T1272" s="94">
        <f t="shared" si="248"/>
        <v>25155.95307078</v>
      </c>
      <c r="U1272" s="94">
        <f t="shared" si="242"/>
        <v>26602.420372349854</v>
      </c>
      <c r="V1272" s="94">
        <f t="shared" si="243"/>
        <v>27690.459365578961</v>
      </c>
      <c r="W1272" s="97">
        <f t="shared" si="240"/>
        <v>28571.015973404374</v>
      </c>
      <c r="X1272" s="97">
        <f t="shared" si="241"/>
        <v>29656.714580393742</v>
      </c>
      <c r="Y1272" s="97">
        <f t="shared" si="236"/>
        <v>30134.18768513808</v>
      </c>
      <c r="Z1272" s="97">
        <f t="shared" si="238"/>
        <v>31827.72903304284</v>
      </c>
      <c r="AA1272" s="97">
        <f t="shared" si="239"/>
        <v>36003.527082178058</v>
      </c>
    </row>
    <row r="1273" spans="1:27" x14ac:dyDescent="0.25">
      <c r="A1273" s="102" t="s">
        <v>2905</v>
      </c>
      <c r="B1273" s="98" t="s">
        <v>2906</v>
      </c>
      <c r="C1273" s="99" t="s">
        <v>226</v>
      </c>
      <c r="D1273" s="100" t="s">
        <v>262</v>
      </c>
      <c r="E1273" s="101">
        <f t="shared" si="244"/>
        <v>8647</v>
      </c>
      <c r="F1273" s="90">
        <f t="shared" si="245"/>
        <v>7265.9676504004028</v>
      </c>
      <c r="G1273" s="91">
        <v>0.19</v>
      </c>
      <c r="H1273" s="91" t="s">
        <v>228</v>
      </c>
      <c r="I1273" s="91"/>
      <c r="J1273" s="91" t="s">
        <v>228</v>
      </c>
      <c r="K1273" s="91"/>
      <c r="L1273" s="92" t="s">
        <v>2860</v>
      </c>
      <c r="M1273" s="91" t="str">
        <f t="shared" si="247"/>
        <v>VER ARCHIVO ANEXO</v>
      </c>
      <c r="N1273" s="93">
        <v>41608</v>
      </c>
      <c r="O1273" s="109"/>
      <c r="P1273" s="109"/>
      <c r="Q1273" s="94">
        <v>1124</v>
      </c>
      <c r="R1273" s="95">
        <f t="shared" si="237"/>
        <v>7265.9676504004028</v>
      </c>
      <c r="S1273" s="109">
        <v>4754.8841999999995</v>
      </c>
      <c r="T1273" s="94">
        <f t="shared" si="248"/>
        <v>5076.7898603399999</v>
      </c>
      <c r="U1273" s="94">
        <f t="shared" si="242"/>
        <v>5368.7052773095502</v>
      </c>
      <c r="V1273" s="94">
        <f t="shared" si="243"/>
        <v>5588.2853231515101</v>
      </c>
      <c r="W1273" s="97">
        <f t="shared" si="240"/>
        <v>5765.9927964277285</v>
      </c>
      <c r="X1273" s="97">
        <f t="shared" si="241"/>
        <v>5985.1005226919824</v>
      </c>
      <c r="Y1273" s="97">
        <f t="shared" ref="Y1273:Y1336" si="249">+X1273*(1+$Y$4)</f>
        <v>6081.4606411073237</v>
      </c>
      <c r="Z1273" s="97">
        <f t="shared" si="238"/>
        <v>6423.2387291375553</v>
      </c>
      <c r="AA1273" s="97">
        <f t="shared" si="239"/>
        <v>7265.9676504004028</v>
      </c>
    </row>
    <row r="1274" spans="1:27" x14ac:dyDescent="0.25">
      <c r="A1274" s="102" t="s">
        <v>2907</v>
      </c>
      <c r="B1274" s="87" t="s">
        <v>2908</v>
      </c>
      <c r="C1274" s="88" t="s">
        <v>226</v>
      </c>
      <c r="D1274" s="89" t="s">
        <v>262</v>
      </c>
      <c r="E1274" s="90">
        <f t="shared" si="244"/>
        <v>3372</v>
      </c>
      <c r="F1274" s="90">
        <f t="shared" si="245"/>
        <v>2833.8382660925054</v>
      </c>
      <c r="G1274" s="91">
        <v>0.19</v>
      </c>
      <c r="H1274" s="91" t="s">
        <v>228</v>
      </c>
      <c r="I1274" s="91"/>
      <c r="J1274" s="91" t="s">
        <v>228</v>
      </c>
      <c r="K1274" s="91"/>
      <c r="L1274" s="92" t="s">
        <v>2860</v>
      </c>
      <c r="M1274" s="91" t="str">
        <f t="shared" si="247"/>
        <v>VER ARCHIVO ANEXO</v>
      </c>
      <c r="N1274" s="93">
        <v>41608</v>
      </c>
      <c r="O1274" s="109"/>
      <c r="P1274" s="109"/>
      <c r="Q1274" s="94">
        <v>1125</v>
      </c>
      <c r="R1274" s="95">
        <f t="shared" si="237"/>
        <v>2833.8382660925054</v>
      </c>
      <c r="S1274" s="109">
        <v>1854.4774</v>
      </c>
      <c r="T1274" s="94">
        <f t="shared" si="248"/>
        <v>1980.0255199800001</v>
      </c>
      <c r="U1274" s="94">
        <f t="shared" si="242"/>
        <v>2093.8769873788506</v>
      </c>
      <c r="V1274" s="94">
        <f t="shared" si="243"/>
        <v>2179.5165561626454</v>
      </c>
      <c r="W1274" s="97">
        <f t="shared" si="240"/>
        <v>2248.8251826486176</v>
      </c>
      <c r="X1274" s="97">
        <f t="shared" si="241"/>
        <v>2334.2805395892651</v>
      </c>
      <c r="Y1274" s="97">
        <f t="shared" si="249"/>
        <v>2371.8624562766522</v>
      </c>
      <c r="Z1274" s="97">
        <f t="shared" si="238"/>
        <v>2505.1611263194</v>
      </c>
      <c r="AA1274" s="97">
        <f t="shared" si="239"/>
        <v>2833.8382660925054</v>
      </c>
    </row>
    <row r="1275" spans="1:27" x14ac:dyDescent="0.25">
      <c r="A1275" s="102" t="s">
        <v>2909</v>
      </c>
      <c r="B1275" s="87" t="s">
        <v>2910</v>
      </c>
      <c r="C1275" s="88" t="s">
        <v>226</v>
      </c>
      <c r="D1275" s="89" t="s">
        <v>262</v>
      </c>
      <c r="E1275" s="90">
        <f t="shared" si="244"/>
        <v>19020</v>
      </c>
      <c r="F1275" s="90">
        <f t="shared" si="245"/>
        <v>15982.91118215393</v>
      </c>
      <c r="G1275" s="91">
        <v>0.19</v>
      </c>
      <c r="H1275" s="91" t="s">
        <v>228</v>
      </c>
      <c r="I1275" s="91"/>
      <c r="J1275" s="91" t="s">
        <v>228</v>
      </c>
      <c r="K1275" s="91"/>
      <c r="L1275" s="92" t="s">
        <v>2860</v>
      </c>
      <c r="M1275" s="91" t="str">
        <f t="shared" si="247"/>
        <v>VER ARCHIVO ANEXO</v>
      </c>
      <c r="N1275" s="93">
        <v>41608</v>
      </c>
      <c r="O1275" s="109"/>
      <c r="P1275" s="109"/>
      <c r="Q1275" s="94">
        <v>1126</v>
      </c>
      <c r="R1275" s="95">
        <f t="shared" si="237"/>
        <v>15982.91118215393</v>
      </c>
      <c r="S1275" s="109">
        <v>10459.294</v>
      </c>
      <c r="T1275" s="94">
        <f t="shared" si="248"/>
        <v>11167.388203800001</v>
      </c>
      <c r="U1275" s="94">
        <f t="shared" si="242"/>
        <v>11809.513025518503</v>
      </c>
      <c r="V1275" s="94">
        <f t="shared" si="243"/>
        <v>12292.522108262208</v>
      </c>
      <c r="W1275" s="97">
        <f t="shared" si="240"/>
        <v>12683.424311304947</v>
      </c>
      <c r="X1275" s="97">
        <f t="shared" si="241"/>
        <v>13165.394435134536</v>
      </c>
      <c r="Y1275" s="97">
        <f t="shared" si="249"/>
        <v>13377.357285540202</v>
      </c>
      <c r="Z1275" s="97">
        <f t="shared" si="238"/>
        <v>14129.164764987561</v>
      </c>
      <c r="AA1275" s="97">
        <f t="shared" si="239"/>
        <v>15982.91118215393</v>
      </c>
    </row>
    <row r="1276" spans="1:27" x14ac:dyDescent="0.25">
      <c r="A1276" s="102" t="s">
        <v>2911</v>
      </c>
      <c r="B1276" s="87" t="s">
        <v>2912</v>
      </c>
      <c r="C1276" s="88" t="s">
        <v>226</v>
      </c>
      <c r="D1276" s="89" t="s">
        <v>262</v>
      </c>
      <c r="E1276" s="90">
        <f t="shared" si="244"/>
        <v>28825</v>
      </c>
      <c r="F1276" s="90">
        <f t="shared" si="245"/>
        <v>24223.060237611291</v>
      </c>
      <c r="G1276" s="91">
        <v>0.19</v>
      </c>
      <c r="H1276" s="91" t="s">
        <v>228</v>
      </c>
      <c r="I1276" s="91"/>
      <c r="J1276" s="91" t="s">
        <v>228</v>
      </c>
      <c r="K1276" s="91"/>
      <c r="L1276" s="92" t="s">
        <v>2860</v>
      </c>
      <c r="M1276" s="91" t="str">
        <f t="shared" si="247"/>
        <v>VER ARCHIVO ANEXO</v>
      </c>
      <c r="N1276" s="93">
        <v>41608</v>
      </c>
      <c r="O1276" s="109"/>
      <c r="P1276" s="109"/>
      <c r="Q1276" s="94">
        <v>1127</v>
      </c>
      <c r="R1276" s="95">
        <f t="shared" si="237"/>
        <v>24223.060237611291</v>
      </c>
      <c r="S1276" s="109">
        <v>15851.6872</v>
      </c>
      <c r="T1276" s="94">
        <f t="shared" si="248"/>
        <v>16924.846423440002</v>
      </c>
      <c r="U1276" s="94">
        <f t="shared" si="242"/>
        <v>17898.025092787804</v>
      </c>
      <c r="V1276" s="94">
        <f t="shared" si="243"/>
        <v>18630.054319082825</v>
      </c>
      <c r="W1276" s="97">
        <f t="shared" si="240"/>
        <v>19222.490046429659</v>
      </c>
      <c r="X1276" s="97">
        <f t="shared" si="241"/>
        <v>19952.944668193988</v>
      </c>
      <c r="Y1276" s="97">
        <f t="shared" si="249"/>
        <v>20274.187077351911</v>
      </c>
      <c r="Z1276" s="97">
        <f t="shared" si="238"/>
        <v>21413.59639109909</v>
      </c>
      <c r="AA1276" s="97">
        <f t="shared" si="239"/>
        <v>24223.060237611291</v>
      </c>
    </row>
    <row r="1277" spans="1:27" x14ac:dyDescent="0.25">
      <c r="A1277" s="102" t="s">
        <v>2913</v>
      </c>
      <c r="B1277" s="87" t="s">
        <v>2914</v>
      </c>
      <c r="C1277" s="88" t="s">
        <v>226</v>
      </c>
      <c r="D1277" s="89" t="s">
        <v>262</v>
      </c>
      <c r="E1277" s="90">
        <f t="shared" si="244"/>
        <v>143426</v>
      </c>
      <c r="F1277" s="90">
        <f t="shared" si="245"/>
        <v>120526.04024060734</v>
      </c>
      <c r="G1277" s="91">
        <v>0.19</v>
      </c>
      <c r="H1277" s="91" t="s">
        <v>228</v>
      </c>
      <c r="I1277" s="91"/>
      <c r="J1277" s="91" t="s">
        <v>228</v>
      </c>
      <c r="K1277" s="91"/>
      <c r="L1277" s="92" t="s">
        <v>2860</v>
      </c>
      <c r="M1277" s="91" t="str">
        <f t="shared" si="247"/>
        <v>VER ARCHIVO ANEXO</v>
      </c>
      <c r="N1277" s="93">
        <v>41608</v>
      </c>
      <c r="O1277" s="109"/>
      <c r="P1277" s="109"/>
      <c r="Q1277" s="94">
        <v>1128</v>
      </c>
      <c r="R1277" s="95">
        <f t="shared" si="237"/>
        <v>120526.04024060734</v>
      </c>
      <c r="S1277" s="109">
        <v>78872.820800000001</v>
      </c>
      <c r="T1277" s="94">
        <f t="shared" si="248"/>
        <v>84212.510768160006</v>
      </c>
      <c r="U1277" s="94">
        <f t="shared" si="242"/>
        <v>89054.730137329214</v>
      </c>
      <c r="V1277" s="94">
        <f t="shared" si="243"/>
        <v>92697.068599945967</v>
      </c>
      <c r="W1277" s="97">
        <f t="shared" si="240"/>
        <v>95644.835381424258</v>
      </c>
      <c r="X1277" s="97">
        <f t="shared" si="241"/>
        <v>99279.339125918385</v>
      </c>
      <c r="Y1277" s="97">
        <f t="shared" si="249"/>
        <v>100877.73648584567</v>
      </c>
      <c r="Z1277" s="97">
        <f t="shared" si="238"/>
        <v>106547.0652763502</v>
      </c>
      <c r="AA1277" s="97">
        <f t="shared" si="239"/>
        <v>120526.04024060734</v>
      </c>
    </row>
    <row r="1278" spans="1:27" x14ac:dyDescent="0.25">
      <c r="A1278" s="102" t="s">
        <v>2915</v>
      </c>
      <c r="B1278" s="98" t="s">
        <v>2916</v>
      </c>
      <c r="C1278" s="99" t="s">
        <v>226</v>
      </c>
      <c r="D1278" s="100" t="s">
        <v>262</v>
      </c>
      <c r="E1278" s="101">
        <f t="shared" si="244"/>
        <v>5406</v>
      </c>
      <c r="F1278" s="90">
        <f t="shared" si="245"/>
        <v>4543.0118206558454</v>
      </c>
      <c r="G1278" s="91">
        <v>0.19</v>
      </c>
      <c r="H1278" s="91" t="s">
        <v>228</v>
      </c>
      <c r="I1278" s="91"/>
      <c r="J1278" s="91" t="s">
        <v>228</v>
      </c>
      <c r="K1278" s="91"/>
      <c r="L1278" s="92" t="s">
        <v>2860</v>
      </c>
      <c r="M1278" s="91" t="str">
        <f t="shared" si="247"/>
        <v>VER ARCHIVO ANEXO</v>
      </c>
      <c r="N1278" s="93">
        <v>41608</v>
      </c>
      <c r="O1278" s="109"/>
      <c r="P1278" s="109"/>
      <c r="Q1278" s="94">
        <v>1129</v>
      </c>
      <c r="R1278" s="95">
        <f t="shared" si="237"/>
        <v>4543.0118206558454</v>
      </c>
      <c r="S1278" s="109">
        <v>2972.9688000000001</v>
      </c>
      <c r="T1278" s="94">
        <f t="shared" si="248"/>
        <v>3174.2387877600004</v>
      </c>
      <c r="U1278" s="94">
        <f t="shared" si="242"/>
        <v>3356.7575180562008</v>
      </c>
      <c r="V1278" s="94">
        <f t="shared" si="243"/>
        <v>3494.0489005446993</v>
      </c>
      <c r="W1278" s="97">
        <f t="shared" si="240"/>
        <v>3605.1596555820211</v>
      </c>
      <c r="X1278" s="97">
        <f t="shared" si="241"/>
        <v>3742.155722494138</v>
      </c>
      <c r="Y1278" s="97">
        <f t="shared" si="249"/>
        <v>3802.4044296262937</v>
      </c>
      <c r="Z1278" s="97">
        <f t="shared" si="238"/>
        <v>4016.0995585712917</v>
      </c>
      <c r="AA1278" s="97">
        <f t="shared" si="239"/>
        <v>4543.0118206558454</v>
      </c>
    </row>
    <row r="1279" spans="1:27" x14ac:dyDescent="0.25">
      <c r="A1279" s="102" t="s">
        <v>2917</v>
      </c>
      <c r="B1279" s="98" t="s">
        <v>2918</v>
      </c>
      <c r="C1279" s="99" t="s">
        <v>226</v>
      </c>
      <c r="D1279" s="100" t="s">
        <v>262</v>
      </c>
      <c r="E1279" s="101">
        <f t="shared" si="244"/>
        <v>13823</v>
      </c>
      <c r="F1279" s="90">
        <f t="shared" si="245"/>
        <v>11615.72722484983</v>
      </c>
      <c r="G1279" s="91">
        <v>0.19</v>
      </c>
      <c r="H1279" s="91" t="s">
        <v>228</v>
      </c>
      <c r="I1279" s="91"/>
      <c r="J1279" s="91" t="s">
        <v>228</v>
      </c>
      <c r="K1279" s="91"/>
      <c r="L1279" s="92" t="s">
        <v>2860</v>
      </c>
      <c r="M1279" s="91" t="str">
        <f t="shared" si="247"/>
        <v>VER ARCHIVO ANEXO</v>
      </c>
      <c r="N1279" s="93">
        <v>41608</v>
      </c>
      <c r="O1279" s="109"/>
      <c r="P1279" s="109"/>
      <c r="Q1279" s="94">
        <v>1130</v>
      </c>
      <c r="R1279" s="95">
        <f t="shared" si="237"/>
        <v>11615.72722484983</v>
      </c>
      <c r="S1279" s="109">
        <v>7601.3877999999995</v>
      </c>
      <c r="T1279" s="94">
        <f t="shared" si="248"/>
        <v>8116.0017540600002</v>
      </c>
      <c r="U1279" s="94">
        <f t="shared" si="242"/>
        <v>8582.6718549184516</v>
      </c>
      <c r="V1279" s="94">
        <f t="shared" si="243"/>
        <v>8933.7031337846165</v>
      </c>
      <c r="W1279" s="97">
        <f t="shared" si="240"/>
        <v>9217.7948934389678</v>
      </c>
      <c r="X1279" s="97">
        <f t="shared" si="241"/>
        <v>9568.0710993896482</v>
      </c>
      <c r="Y1279" s="97">
        <f t="shared" si="249"/>
        <v>9722.1170440898222</v>
      </c>
      <c r="Z1279" s="97">
        <f t="shared" si="238"/>
        <v>10268.500021967671</v>
      </c>
      <c r="AA1279" s="97">
        <f t="shared" si="239"/>
        <v>11615.72722484983</v>
      </c>
    </row>
    <row r="1280" spans="1:27" x14ac:dyDescent="0.25">
      <c r="A1280" s="102" t="s">
        <v>2919</v>
      </c>
      <c r="B1280" s="87" t="s">
        <v>2920</v>
      </c>
      <c r="C1280" s="88" t="s">
        <v>226</v>
      </c>
      <c r="D1280" s="89" t="s">
        <v>262</v>
      </c>
      <c r="E1280" s="90">
        <f t="shared" si="244"/>
        <v>7521</v>
      </c>
      <c r="F1280" s="90">
        <f t="shared" si="245"/>
        <v>6320.2988718329198</v>
      </c>
      <c r="G1280" s="91">
        <v>0.19</v>
      </c>
      <c r="H1280" s="91" t="s">
        <v>228</v>
      </c>
      <c r="I1280" s="91"/>
      <c r="J1280" s="91" t="s">
        <v>228</v>
      </c>
      <c r="K1280" s="91"/>
      <c r="L1280" s="92" t="s">
        <v>2860</v>
      </c>
      <c r="M1280" s="91" t="str">
        <f t="shared" si="247"/>
        <v>VER ARCHIVO ANEXO</v>
      </c>
      <c r="N1280" s="93">
        <v>41608</v>
      </c>
      <c r="O1280" s="109"/>
      <c r="P1280" s="109"/>
      <c r="Q1280" s="94">
        <v>1131</v>
      </c>
      <c r="R1280" s="95">
        <f t="shared" si="237"/>
        <v>6320.2988718329198</v>
      </c>
      <c r="S1280" s="109">
        <v>4136.0339999999997</v>
      </c>
      <c r="T1280" s="94">
        <f t="shared" si="248"/>
        <v>4416.0435017999998</v>
      </c>
      <c r="U1280" s="94">
        <f t="shared" si="242"/>
        <v>4669.9660031535004</v>
      </c>
      <c r="V1280" s="94">
        <f t="shared" si="243"/>
        <v>4860.9676126824779</v>
      </c>
      <c r="W1280" s="97">
        <f t="shared" si="240"/>
        <v>5015.5463827657813</v>
      </c>
      <c r="X1280" s="97">
        <f t="shared" si="241"/>
        <v>5206.1371453108814</v>
      </c>
      <c r="Y1280" s="97">
        <f t="shared" si="249"/>
        <v>5289.9559533503862</v>
      </c>
      <c r="Z1280" s="97">
        <f t="shared" si="238"/>
        <v>5587.2514779286776</v>
      </c>
      <c r="AA1280" s="97">
        <f t="shared" si="239"/>
        <v>6320.2988718329198</v>
      </c>
    </row>
    <row r="1281" spans="1:27" x14ac:dyDescent="0.25">
      <c r="A1281" s="102" t="s">
        <v>2921</v>
      </c>
      <c r="B1281" s="87" t="s">
        <v>2922</v>
      </c>
      <c r="C1281" s="88" t="s">
        <v>226</v>
      </c>
      <c r="D1281" s="89" t="s">
        <v>262</v>
      </c>
      <c r="E1281" s="90">
        <f t="shared" si="244"/>
        <v>25353</v>
      </c>
      <c r="F1281" s="90">
        <f t="shared" si="245"/>
        <v>21305.268126855342</v>
      </c>
      <c r="G1281" s="91">
        <v>0.19</v>
      </c>
      <c r="H1281" s="91" t="s">
        <v>228</v>
      </c>
      <c r="I1281" s="91"/>
      <c r="J1281" s="91" t="s">
        <v>228</v>
      </c>
      <c r="K1281" s="91"/>
      <c r="L1281" s="92" t="s">
        <v>2860</v>
      </c>
      <c r="M1281" s="91" t="str">
        <f t="shared" si="247"/>
        <v>VER ARCHIVO ANEXO</v>
      </c>
      <c r="N1281" s="93">
        <v>41608</v>
      </c>
      <c r="O1281" s="109"/>
      <c r="P1281" s="109"/>
      <c r="Q1281" s="94">
        <v>1132</v>
      </c>
      <c r="R1281" s="95">
        <f t="shared" si="237"/>
        <v>21305.268126855342</v>
      </c>
      <c r="S1281" s="109">
        <v>13942.27</v>
      </c>
      <c r="T1281" s="94">
        <f t="shared" si="248"/>
        <v>14886.161679000003</v>
      </c>
      <c r="U1281" s="94">
        <f t="shared" si="242"/>
        <v>15742.115975542505</v>
      </c>
      <c r="V1281" s="94">
        <f t="shared" si="243"/>
        <v>16385.968518942194</v>
      </c>
      <c r="W1281" s="97">
        <f t="shared" si="240"/>
        <v>16907.042317844556</v>
      </c>
      <c r="X1281" s="97">
        <f t="shared" si="241"/>
        <v>17549.509925922652</v>
      </c>
      <c r="Y1281" s="97">
        <f t="shared" si="249"/>
        <v>17832.057035730006</v>
      </c>
      <c r="Z1281" s="97">
        <f t="shared" si="238"/>
        <v>18834.218641138032</v>
      </c>
      <c r="AA1281" s="97">
        <f t="shared" si="239"/>
        <v>21305.268126855342</v>
      </c>
    </row>
    <row r="1282" spans="1:27" x14ac:dyDescent="0.25">
      <c r="A1282" s="102" t="s">
        <v>2923</v>
      </c>
      <c r="B1282" s="87" t="s">
        <v>2924</v>
      </c>
      <c r="C1282" s="88" t="s">
        <v>226</v>
      </c>
      <c r="D1282" s="89" t="s">
        <v>262</v>
      </c>
      <c r="E1282" s="90">
        <f t="shared" si="244"/>
        <v>36569</v>
      </c>
      <c r="F1282" s="90">
        <f t="shared" si="245"/>
        <v>30730.275216430749</v>
      </c>
      <c r="G1282" s="91">
        <v>0.19</v>
      </c>
      <c r="H1282" s="91" t="s">
        <v>228</v>
      </c>
      <c r="I1282" s="91"/>
      <c r="J1282" s="91" t="s">
        <v>228</v>
      </c>
      <c r="K1282" s="91"/>
      <c r="L1282" s="92" t="s">
        <v>2860</v>
      </c>
      <c r="M1282" s="91" t="str">
        <f t="shared" si="247"/>
        <v>VER ARCHIVO ANEXO</v>
      </c>
      <c r="N1282" s="93">
        <v>41608</v>
      </c>
      <c r="O1282" s="109"/>
      <c r="P1282" s="109"/>
      <c r="Q1282" s="94">
        <v>1133</v>
      </c>
      <c r="R1282" s="95">
        <f t="shared" si="237"/>
        <v>30730.275216430749</v>
      </c>
      <c r="S1282" s="109">
        <v>20110.04</v>
      </c>
      <c r="T1282" s="94">
        <f t="shared" si="248"/>
        <v>21471.489708000005</v>
      </c>
      <c r="U1282" s="94">
        <f t="shared" si="242"/>
        <v>22706.100366210008</v>
      </c>
      <c r="V1282" s="94">
        <f t="shared" si="243"/>
        <v>23634.779871187995</v>
      </c>
      <c r="W1282" s="97">
        <f t="shared" si="240"/>
        <v>24386.365871091773</v>
      </c>
      <c r="X1282" s="97">
        <f t="shared" si="241"/>
        <v>25313.047774193263</v>
      </c>
      <c r="Y1282" s="97">
        <f t="shared" si="249"/>
        <v>25720.587843357775</v>
      </c>
      <c r="Z1282" s="97">
        <f t="shared" si="238"/>
        <v>27166.084880154482</v>
      </c>
      <c r="AA1282" s="97">
        <f t="shared" si="239"/>
        <v>30730.275216430749</v>
      </c>
    </row>
    <row r="1283" spans="1:27" x14ac:dyDescent="0.25">
      <c r="A1283" s="102" t="s">
        <v>2925</v>
      </c>
      <c r="B1283" s="87" t="s">
        <v>2926</v>
      </c>
      <c r="C1283" s="88" t="s">
        <v>226</v>
      </c>
      <c r="D1283" s="89" t="s">
        <v>262</v>
      </c>
      <c r="E1283" s="90">
        <f t="shared" si="244"/>
        <v>172123</v>
      </c>
      <c r="F1283" s="90">
        <f t="shared" si="245"/>
        <v>144641.38611148062</v>
      </c>
      <c r="G1283" s="91">
        <v>0.19</v>
      </c>
      <c r="H1283" s="91" t="s">
        <v>228</v>
      </c>
      <c r="I1283" s="91"/>
      <c r="J1283" s="91" t="s">
        <v>228</v>
      </c>
      <c r="K1283" s="91"/>
      <c r="L1283" s="92" t="s">
        <v>2860</v>
      </c>
      <c r="M1283" s="91" t="str">
        <f t="shared" si="247"/>
        <v>VER ARCHIVO ANEXO</v>
      </c>
      <c r="N1283" s="93">
        <v>41608</v>
      </c>
      <c r="O1283" s="109"/>
      <c r="P1283" s="109"/>
      <c r="Q1283" s="94">
        <v>1134</v>
      </c>
      <c r="R1283" s="95">
        <f t="shared" si="237"/>
        <v>144641.38611148062</v>
      </c>
      <c r="S1283" s="109">
        <v>94654.019199999995</v>
      </c>
      <c r="T1283" s="94">
        <f t="shared" si="248"/>
        <v>101062.09629984001</v>
      </c>
      <c r="U1283" s="94">
        <f t="shared" si="242"/>
        <v>106873.16683708082</v>
      </c>
      <c r="V1283" s="94">
        <f t="shared" si="243"/>
        <v>111244.27936071741</v>
      </c>
      <c r="W1283" s="97">
        <f t="shared" si="240"/>
        <v>114781.84744438823</v>
      </c>
      <c r="X1283" s="97">
        <f t="shared" si="241"/>
        <v>119143.55764727498</v>
      </c>
      <c r="Y1283" s="97">
        <f t="shared" si="249"/>
        <v>121061.76892539611</v>
      </c>
      <c r="Z1283" s="97">
        <f t="shared" si="238"/>
        <v>127865.44033900338</v>
      </c>
      <c r="AA1283" s="97">
        <f t="shared" si="239"/>
        <v>144641.38611148062</v>
      </c>
    </row>
    <row r="1284" spans="1:27" x14ac:dyDescent="0.25">
      <c r="A1284" s="102" t="s">
        <v>2927</v>
      </c>
      <c r="B1284" s="98" t="s">
        <v>2928</v>
      </c>
      <c r="C1284" s="99" t="s">
        <v>226</v>
      </c>
      <c r="D1284" s="100" t="s">
        <v>262</v>
      </c>
      <c r="E1284" s="101">
        <f t="shared" si="244"/>
        <v>10007</v>
      </c>
      <c r="F1284" s="90">
        <f t="shared" si="245"/>
        <v>8409.6407795892192</v>
      </c>
      <c r="G1284" s="91">
        <v>0.19</v>
      </c>
      <c r="H1284" s="91" t="s">
        <v>228</v>
      </c>
      <c r="I1284" s="91"/>
      <c r="J1284" s="91" t="s">
        <v>228</v>
      </c>
      <c r="K1284" s="91"/>
      <c r="L1284" s="92" t="s">
        <v>2860</v>
      </c>
      <c r="M1284" s="91" t="str">
        <f t="shared" si="247"/>
        <v>VER ARCHIVO ANEXO</v>
      </c>
      <c r="N1284" s="93">
        <v>41608</v>
      </c>
      <c r="O1284" s="109"/>
      <c r="P1284" s="109"/>
      <c r="Q1284" s="94">
        <v>1135</v>
      </c>
      <c r="R1284" s="95">
        <f t="shared" si="237"/>
        <v>8409.6407795892192</v>
      </c>
      <c r="S1284" s="109">
        <v>5503.3094000000001</v>
      </c>
      <c r="T1284" s="94">
        <f t="shared" si="248"/>
        <v>5875.8834463800004</v>
      </c>
      <c r="U1284" s="94">
        <f t="shared" si="242"/>
        <v>6213.746744546851</v>
      </c>
      <c r="V1284" s="94">
        <f t="shared" si="243"/>
        <v>6467.888986398817</v>
      </c>
      <c r="W1284" s="97">
        <f t="shared" si="240"/>
        <v>6673.5678561662999</v>
      </c>
      <c r="X1284" s="97">
        <f t="shared" si="241"/>
        <v>6927.1634347006193</v>
      </c>
      <c r="Y1284" s="97">
        <f t="shared" si="249"/>
        <v>7038.6907659992994</v>
      </c>
      <c r="Z1284" s="97">
        <f t="shared" si="238"/>
        <v>7434.2651870484606</v>
      </c>
      <c r="AA1284" s="97">
        <f t="shared" si="239"/>
        <v>8409.6407795892192</v>
      </c>
    </row>
    <row r="1285" spans="1:27" x14ac:dyDescent="0.25">
      <c r="A1285" s="102" t="s">
        <v>2929</v>
      </c>
      <c r="B1285" s="87" t="s">
        <v>2930</v>
      </c>
      <c r="C1285" s="88" t="s">
        <v>226</v>
      </c>
      <c r="D1285" s="89" t="s">
        <v>262</v>
      </c>
      <c r="E1285" s="90">
        <f t="shared" si="244"/>
        <v>272004</v>
      </c>
      <c r="F1285" s="90">
        <f t="shared" si="245"/>
        <v>228574.63832246076</v>
      </c>
      <c r="G1285" s="91">
        <v>0.19</v>
      </c>
      <c r="H1285" s="91" t="s">
        <v>228</v>
      </c>
      <c r="I1285" s="91"/>
      <c r="J1285" s="91" t="s">
        <v>228</v>
      </c>
      <c r="K1285" s="91"/>
      <c r="L1285" s="92" t="s">
        <v>2860</v>
      </c>
      <c r="M1285" s="91" t="str">
        <f t="shared" si="247"/>
        <v>VER ARCHIVO ANEXO</v>
      </c>
      <c r="N1285" s="93">
        <v>41608</v>
      </c>
      <c r="O1285" s="109"/>
      <c r="P1285" s="109"/>
      <c r="Q1285" s="94">
        <v>1136</v>
      </c>
      <c r="R1285" s="95">
        <f t="shared" si="237"/>
        <v>228574.63832246076</v>
      </c>
      <c r="S1285" s="109">
        <v>149580.34339999998</v>
      </c>
      <c r="T1285" s="94">
        <f t="shared" si="248"/>
        <v>159706.93264817999</v>
      </c>
      <c r="U1285" s="94">
        <f t="shared" si="242"/>
        <v>168890.08127545036</v>
      </c>
      <c r="V1285" s="94">
        <f t="shared" si="243"/>
        <v>175797.68559961626</v>
      </c>
      <c r="W1285" s="97">
        <f t="shared" si="240"/>
        <v>181388.05200168406</v>
      </c>
      <c r="X1285" s="97">
        <f t="shared" si="241"/>
        <v>188280.79797774807</v>
      </c>
      <c r="Y1285" s="97">
        <f t="shared" si="249"/>
        <v>191312.1188251898</v>
      </c>
      <c r="Z1285" s="97">
        <f t="shared" si="238"/>
        <v>202063.85990316546</v>
      </c>
      <c r="AA1285" s="97">
        <f t="shared" si="239"/>
        <v>228574.63832246076</v>
      </c>
    </row>
    <row r="1286" spans="1:27" x14ac:dyDescent="0.25">
      <c r="A1286" s="102" t="s">
        <v>2931</v>
      </c>
      <c r="B1286" s="98" t="s">
        <v>2932</v>
      </c>
      <c r="C1286" s="99" t="s">
        <v>226</v>
      </c>
      <c r="D1286" s="100" t="s">
        <v>262</v>
      </c>
      <c r="E1286" s="101">
        <f t="shared" si="244"/>
        <v>294</v>
      </c>
      <c r="F1286" s="90">
        <f t="shared" si="245"/>
        <v>247.10942957542247</v>
      </c>
      <c r="G1286" s="91">
        <v>0.19</v>
      </c>
      <c r="H1286" s="91" t="s">
        <v>228</v>
      </c>
      <c r="I1286" s="91"/>
      <c r="J1286" s="91" t="s">
        <v>228</v>
      </c>
      <c r="K1286" s="91"/>
      <c r="L1286" s="92" t="s">
        <v>1262</v>
      </c>
      <c r="M1286" s="91" t="str">
        <f t="shared" si="247"/>
        <v>VER ARCHIVO ANEXO</v>
      </c>
      <c r="N1286" s="93">
        <v>41608</v>
      </c>
      <c r="O1286" s="109"/>
      <c r="P1286" s="109"/>
      <c r="Q1286" s="94">
        <v>1137</v>
      </c>
      <c r="R1286" s="95">
        <f t="shared" si="237"/>
        <v>247.10942957542247</v>
      </c>
      <c r="S1286" s="109">
        <v>161.70959999999999</v>
      </c>
      <c r="T1286" s="94">
        <f t="shared" si="248"/>
        <v>172.65733992</v>
      </c>
      <c r="U1286" s="94">
        <f t="shared" si="242"/>
        <v>182.58513696540001</v>
      </c>
      <c r="V1286" s="94">
        <f t="shared" si="243"/>
        <v>190.05286906728486</v>
      </c>
      <c r="W1286" s="97">
        <f t="shared" si="240"/>
        <v>196.09655030362453</v>
      </c>
      <c r="X1286" s="97">
        <f t="shared" si="241"/>
        <v>203.54821921516228</v>
      </c>
      <c r="Y1286" s="97">
        <f t="shared" si="249"/>
        <v>206.82534554452639</v>
      </c>
      <c r="Z1286" s="97">
        <f t="shared" si="238"/>
        <v>218.44892996412878</v>
      </c>
      <c r="AA1286" s="97">
        <f t="shared" si="239"/>
        <v>247.10942957542247</v>
      </c>
    </row>
    <row r="1287" spans="1:27" x14ac:dyDescent="0.25">
      <c r="A1287" s="102" t="s">
        <v>2933</v>
      </c>
      <c r="B1287" s="87" t="s">
        <v>2934</v>
      </c>
      <c r="C1287" s="88" t="s">
        <v>226</v>
      </c>
      <c r="D1287" s="89" t="s">
        <v>262</v>
      </c>
      <c r="E1287" s="90">
        <f t="shared" si="244"/>
        <v>31808</v>
      </c>
      <c r="F1287" s="90">
        <f t="shared" si="245"/>
        <v>26729.003299074873</v>
      </c>
      <c r="G1287" s="91">
        <v>0.19</v>
      </c>
      <c r="H1287" s="91" t="s">
        <v>228</v>
      </c>
      <c r="I1287" s="91"/>
      <c r="J1287" s="91" t="s">
        <v>228</v>
      </c>
      <c r="K1287" s="91"/>
      <c r="L1287" s="92" t="s">
        <v>1262</v>
      </c>
      <c r="M1287" s="91" t="str">
        <f t="shared" si="247"/>
        <v>VER ARCHIVO ANEXO</v>
      </c>
      <c r="N1287" s="93">
        <v>41608</v>
      </c>
      <c r="O1287" s="109"/>
      <c r="P1287" s="109"/>
      <c r="Q1287" s="94">
        <v>1138</v>
      </c>
      <c r="R1287" s="95">
        <f t="shared" ref="R1287:R1350" si="250">+AA1287</f>
        <v>26729.003299074873</v>
      </c>
      <c r="S1287" s="109">
        <v>17491.588400000001</v>
      </c>
      <c r="T1287" s="94">
        <f t="shared" si="248"/>
        <v>18675.768934680003</v>
      </c>
      <c r="U1287" s="94">
        <f t="shared" si="242"/>
        <v>19749.625648424106</v>
      </c>
      <c r="V1287" s="94">
        <f t="shared" si="243"/>
        <v>20557.385337444652</v>
      </c>
      <c r="W1287" s="97">
        <f t="shared" si="240"/>
        <v>21211.110191175394</v>
      </c>
      <c r="X1287" s="97">
        <f t="shared" si="241"/>
        <v>22017.132378440059</v>
      </c>
      <c r="Y1287" s="97">
        <f t="shared" si="249"/>
        <v>22371.608209732945</v>
      </c>
      <c r="Z1287" s="97">
        <f t="shared" ref="Z1287:Z1350" si="251">+Y1287*(1+$Z$4)</f>
        <v>23628.892591119937</v>
      </c>
      <c r="AA1287" s="97">
        <f t="shared" ref="AA1287:AA1350" si="252">+Z1287*(1+$AA$4)</f>
        <v>26729.003299074873</v>
      </c>
    </row>
    <row r="1288" spans="1:27" x14ac:dyDescent="0.25">
      <c r="A1288" s="102" t="s">
        <v>2935</v>
      </c>
      <c r="B1288" s="87" t="s">
        <v>2936</v>
      </c>
      <c r="C1288" s="88" t="s">
        <v>226</v>
      </c>
      <c r="D1288" s="89" t="s">
        <v>262</v>
      </c>
      <c r="E1288" s="90">
        <f t="shared" si="244"/>
        <v>31808</v>
      </c>
      <c r="F1288" s="90">
        <f t="shared" si="245"/>
        <v>26729.003299074873</v>
      </c>
      <c r="G1288" s="91">
        <v>0.19</v>
      </c>
      <c r="H1288" s="91" t="s">
        <v>228</v>
      </c>
      <c r="I1288" s="91"/>
      <c r="J1288" s="91" t="s">
        <v>228</v>
      </c>
      <c r="K1288" s="91"/>
      <c r="L1288" s="92" t="s">
        <v>1262</v>
      </c>
      <c r="M1288" s="91" t="str">
        <f t="shared" si="247"/>
        <v>VER ARCHIVO ANEXO</v>
      </c>
      <c r="N1288" s="93">
        <v>41608</v>
      </c>
      <c r="O1288" s="109"/>
      <c r="P1288" s="109"/>
      <c r="Q1288" s="94">
        <v>1139</v>
      </c>
      <c r="R1288" s="95">
        <f t="shared" si="250"/>
        <v>26729.003299074873</v>
      </c>
      <c r="S1288" s="109">
        <v>17491.588400000001</v>
      </c>
      <c r="T1288" s="94">
        <f t="shared" si="248"/>
        <v>18675.768934680003</v>
      </c>
      <c r="U1288" s="94">
        <f t="shared" si="242"/>
        <v>19749.625648424106</v>
      </c>
      <c r="V1288" s="94">
        <f t="shared" si="243"/>
        <v>20557.385337444652</v>
      </c>
      <c r="W1288" s="97">
        <f t="shared" ref="W1288:W1351" si="253">+V1288*(1+$W$4)</f>
        <v>21211.110191175394</v>
      </c>
      <c r="X1288" s="97">
        <f t="shared" ref="X1288:X1351" si="254">+W1288*(1+$X$4)</f>
        <v>22017.132378440059</v>
      </c>
      <c r="Y1288" s="97">
        <f t="shared" si="249"/>
        <v>22371.608209732945</v>
      </c>
      <c r="Z1288" s="97">
        <f t="shared" si="251"/>
        <v>23628.892591119937</v>
      </c>
      <c r="AA1288" s="97">
        <f t="shared" si="252"/>
        <v>26729.003299074873</v>
      </c>
    </row>
    <row r="1289" spans="1:27" x14ac:dyDescent="0.25">
      <c r="A1289" s="102" t="s">
        <v>2937</v>
      </c>
      <c r="B1289" s="87" t="s">
        <v>2938</v>
      </c>
      <c r="C1289" s="88" t="s">
        <v>226</v>
      </c>
      <c r="D1289" s="89" t="s">
        <v>262</v>
      </c>
      <c r="E1289" s="90">
        <f t="shared" si="244"/>
        <v>12228</v>
      </c>
      <c r="F1289" s="90">
        <f t="shared" si="245"/>
        <v>10275.633779844651</v>
      </c>
      <c r="G1289" s="91">
        <v>0.19</v>
      </c>
      <c r="H1289" s="91" t="s">
        <v>228</v>
      </c>
      <c r="I1289" s="91"/>
      <c r="J1289" s="91" t="s">
        <v>228</v>
      </c>
      <c r="K1289" s="91"/>
      <c r="L1289" s="92" t="s">
        <v>1262</v>
      </c>
      <c r="M1289" s="91" t="str">
        <f t="shared" si="247"/>
        <v>VER ARCHIVO ANEXO</v>
      </c>
      <c r="N1289" s="93">
        <v>41608</v>
      </c>
      <c r="O1289" s="109"/>
      <c r="P1289" s="109"/>
      <c r="Q1289" s="94">
        <v>1140</v>
      </c>
      <c r="R1289" s="95">
        <f t="shared" si="250"/>
        <v>10275.633779844651</v>
      </c>
      <c r="S1289" s="109">
        <v>6724.4241999999995</v>
      </c>
      <c r="T1289" s="94">
        <f t="shared" si="248"/>
        <v>7179.6677183399997</v>
      </c>
      <c r="U1289" s="94">
        <f t="shared" si="242"/>
        <v>7592.4986121445509</v>
      </c>
      <c r="V1289" s="94">
        <f t="shared" si="243"/>
        <v>7903.0318053812625</v>
      </c>
      <c r="W1289" s="97">
        <f t="shared" si="253"/>
        <v>8154.3482167923867</v>
      </c>
      <c r="X1289" s="97">
        <f t="shared" si="254"/>
        <v>8464.2134490304979</v>
      </c>
      <c r="Y1289" s="97">
        <f t="shared" si="249"/>
        <v>8600.4872855598896</v>
      </c>
      <c r="Z1289" s="97">
        <f t="shared" si="251"/>
        <v>9083.8346710083551</v>
      </c>
      <c r="AA1289" s="97">
        <f t="shared" si="252"/>
        <v>10275.633779844651</v>
      </c>
    </row>
    <row r="1290" spans="1:27" x14ac:dyDescent="0.25">
      <c r="A1290" s="102" t="s">
        <v>2939</v>
      </c>
      <c r="B1290" s="87" t="s">
        <v>2940</v>
      </c>
      <c r="C1290" s="88" t="s">
        <v>226</v>
      </c>
      <c r="D1290" s="89" t="s">
        <v>255</v>
      </c>
      <c r="E1290" s="90">
        <f t="shared" si="244"/>
        <v>2100</v>
      </c>
      <c r="F1290" s="90">
        <f t="shared" si="245"/>
        <v>1764.614772737312</v>
      </c>
      <c r="G1290" s="91">
        <v>0.19</v>
      </c>
      <c r="H1290" s="91" t="s">
        <v>228</v>
      </c>
      <c r="I1290" s="91"/>
      <c r="J1290" s="91" t="s">
        <v>228</v>
      </c>
      <c r="K1290" s="91"/>
      <c r="L1290" s="92" t="s">
        <v>1262</v>
      </c>
      <c r="M1290" s="91" t="str">
        <f t="shared" si="247"/>
        <v>VER ARCHIVO ANEXO</v>
      </c>
      <c r="N1290" s="93">
        <v>41608</v>
      </c>
      <c r="O1290" s="109"/>
      <c r="P1290" s="109"/>
      <c r="Q1290" s="94">
        <v>1141</v>
      </c>
      <c r="R1290" s="95">
        <f t="shared" si="250"/>
        <v>1764.614772737312</v>
      </c>
      <c r="S1290" s="109">
        <v>1154.7724000000001</v>
      </c>
      <c r="T1290" s="94">
        <f t="shared" si="248"/>
        <v>1232.9504914800002</v>
      </c>
      <c r="U1290" s="94">
        <f t="shared" si="242"/>
        <v>1303.8451447401003</v>
      </c>
      <c r="V1290" s="94">
        <f t="shared" si="243"/>
        <v>1357.1724111599704</v>
      </c>
      <c r="W1290" s="97">
        <f t="shared" si="253"/>
        <v>1400.3304938348574</v>
      </c>
      <c r="X1290" s="97">
        <f t="shared" si="254"/>
        <v>1453.5430526005821</v>
      </c>
      <c r="Y1290" s="97">
        <f t="shared" si="249"/>
        <v>1476.9450957474514</v>
      </c>
      <c r="Z1290" s="97">
        <f t="shared" si="251"/>
        <v>1559.9494101284583</v>
      </c>
      <c r="AA1290" s="97">
        <f t="shared" si="252"/>
        <v>1764.614772737312</v>
      </c>
    </row>
    <row r="1291" spans="1:27" x14ac:dyDescent="0.25">
      <c r="A1291" s="102" t="s">
        <v>2941</v>
      </c>
      <c r="B1291" s="87" t="s">
        <v>2942</v>
      </c>
      <c r="C1291" s="88" t="s">
        <v>226</v>
      </c>
      <c r="D1291" s="89" t="s">
        <v>255</v>
      </c>
      <c r="E1291" s="90">
        <f t="shared" si="244"/>
        <v>1451</v>
      </c>
      <c r="F1291" s="90">
        <f t="shared" si="245"/>
        <v>1219.7067998274063</v>
      </c>
      <c r="G1291" s="91">
        <v>0.19</v>
      </c>
      <c r="H1291" s="91" t="s">
        <v>228</v>
      </c>
      <c r="I1291" s="91"/>
      <c r="J1291" s="91" t="s">
        <v>228</v>
      </c>
      <c r="K1291" s="91"/>
      <c r="L1291" s="92" t="s">
        <v>1262</v>
      </c>
      <c r="M1291" s="91" t="str">
        <f t="shared" si="247"/>
        <v>VER ARCHIVO ANEXO</v>
      </c>
      <c r="N1291" s="93">
        <v>41608</v>
      </c>
      <c r="O1291" s="109"/>
      <c r="P1291" s="109"/>
      <c r="Q1291" s="94">
        <v>1142</v>
      </c>
      <c r="R1291" s="95">
        <f t="shared" si="250"/>
        <v>1219.7067998274063</v>
      </c>
      <c r="S1291" s="109">
        <v>798.18200000000002</v>
      </c>
      <c r="T1291" s="94">
        <f t="shared" si="248"/>
        <v>852.21892140000011</v>
      </c>
      <c r="U1291" s="94">
        <f t="shared" ref="U1291:U1354" si="255">+T1291*(1+$U$4)</f>
        <v>901.22150938050027</v>
      </c>
      <c r="V1291" s="94">
        <f t="shared" ref="V1291:V1354" si="256">+U1291*(1+$V$4)</f>
        <v>938.0814691141627</v>
      </c>
      <c r="W1291" s="97">
        <f t="shared" si="253"/>
        <v>967.91245983199315</v>
      </c>
      <c r="X1291" s="97">
        <f t="shared" si="254"/>
        <v>1004.693133305609</v>
      </c>
      <c r="Y1291" s="97">
        <f t="shared" si="249"/>
        <v>1020.8686927518293</v>
      </c>
      <c r="Z1291" s="97">
        <f t="shared" si="251"/>
        <v>1078.2415132844822</v>
      </c>
      <c r="AA1291" s="97">
        <f t="shared" si="252"/>
        <v>1219.7067998274063</v>
      </c>
    </row>
    <row r="1292" spans="1:27" x14ac:dyDescent="0.25">
      <c r="A1292" s="102" t="s">
        <v>2943</v>
      </c>
      <c r="B1292" s="87" t="s">
        <v>2944</v>
      </c>
      <c r="C1292" s="88" t="s">
        <v>226</v>
      </c>
      <c r="D1292" s="89" t="s">
        <v>255</v>
      </c>
      <c r="E1292" s="90">
        <f t="shared" si="244"/>
        <v>14036</v>
      </c>
      <c r="F1292" s="90">
        <f t="shared" si="245"/>
        <v>11794.72315781151</v>
      </c>
      <c r="G1292" s="91">
        <v>0.19</v>
      </c>
      <c r="H1292" s="91" t="s">
        <v>228</v>
      </c>
      <c r="I1292" s="91"/>
      <c r="J1292" s="91" t="s">
        <v>228</v>
      </c>
      <c r="K1292" s="91"/>
      <c r="L1292" s="92" t="s">
        <v>1262</v>
      </c>
      <c r="M1292" s="91" t="str">
        <f t="shared" si="247"/>
        <v>VER ARCHIVO ANEXO</v>
      </c>
      <c r="N1292" s="93">
        <v>41608</v>
      </c>
      <c r="O1292" s="109"/>
      <c r="P1292" s="109"/>
      <c r="Q1292" s="94">
        <v>1143</v>
      </c>
      <c r="R1292" s="95">
        <f t="shared" si="250"/>
        <v>11794.72315781151</v>
      </c>
      <c r="S1292" s="109">
        <v>7718.5235999999995</v>
      </c>
      <c r="T1292" s="94">
        <f t="shared" si="248"/>
        <v>8241.0676477199995</v>
      </c>
      <c r="U1292" s="94">
        <f t="shared" si="255"/>
        <v>8714.9290374639004</v>
      </c>
      <c r="V1292" s="94">
        <f t="shared" si="256"/>
        <v>9071.3696350961727</v>
      </c>
      <c r="W1292" s="97">
        <f t="shared" si="253"/>
        <v>9359.8391894922315</v>
      </c>
      <c r="X1292" s="97">
        <f t="shared" si="254"/>
        <v>9715.5130786929367</v>
      </c>
      <c r="Y1292" s="97">
        <f t="shared" si="249"/>
        <v>9871.9328392598927</v>
      </c>
      <c r="Z1292" s="97">
        <f t="shared" si="251"/>
        <v>10426.735464826299</v>
      </c>
      <c r="AA1292" s="97">
        <f t="shared" si="252"/>
        <v>11794.72315781151</v>
      </c>
    </row>
    <row r="1293" spans="1:27" x14ac:dyDescent="0.25">
      <c r="A1293" s="102" t="s">
        <v>2945</v>
      </c>
      <c r="B1293" s="98" t="s">
        <v>2946</v>
      </c>
      <c r="C1293" s="99" t="s">
        <v>226</v>
      </c>
      <c r="D1293" s="100" t="s">
        <v>255</v>
      </c>
      <c r="E1293" s="101">
        <f t="shared" ref="E1293:E1356" si="257">+ROUND(F1293*(1+G1293),0)</f>
        <v>2498</v>
      </c>
      <c r="F1293" s="90">
        <f t="shared" si="245"/>
        <v>2098.8461165861208</v>
      </c>
      <c r="G1293" s="91">
        <v>0.19</v>
      </c>
      <c r="H1293" s="91" t="s">
        <v>228</v>
      </c>
      <c r="I1293" s="91"/>
      <c r="J1293" s="91" t="s">
        <v>228</v>
      </c>
      <c r="K1293" s="91"/>
      <c r="L1293" s="92" t="s">
        <v>1262</v>
      </c>
      <c r="M1293" s="91" t="str">
        <f t="shared" si="247"/>
        <v>VER ARCHIVO ANEXO</v>
      </c>
      <c r="N1293" s="93">
        <v>41608</v>
      </c>
      <c r="O1293" s="109"/>
      <c r="P1293" s="109"/>
      <c r="Q1293" s="94">
        <v>1144</v>
      </c>
      <c r="R1293" s="95">
        <f t="shared" si="250"/>
        <v>2098.8461165861208</v>
      </c>
      <c r="S1293" s="109">
        <v>1373.4949999999999</v>
      </c>
      <c r="T1293" s="94">
        <f t="shared" si="248"/>
        <v>1466.4806115000001</v>
      </c>
      <c r="U1293" s="94">
        <f t="shared" si="255"/>
        <v>1550.8032466612503</v>
      </c>
      <c r="V1293" s="94">
        <f t="shared" si="256"/>
        <v>1614.2310994496954</v>
      </c>
      <c r="W1293" s="97">
        <f t="shared" si="253"/>
        <v>1665.5636484121958</v>
      </c>
      <c r="X1293" s="97">
        <f t="shared" si="254"/>
        <v>1728.8550670518594</v>
      </c>
      <c r="Y1293" s="97">
        <f t="shared" si="249"/>
        <v>1756.6896336313944</v>
      </c>
      <c r="Z1293" s="97">
        <f t="shared" si="251"/>
        <v>1855.4155910414788</v>
      </c>
      <c r="AA1293" s="97">
        <f t="shared" si="252"/>
        <v>2098.8461165861208</v>
      </c>
    </row>
    <row r="1294" spans="1:27" x14ac:dyDescent="0.25">
      <c r="A1294" s="102" t="s">
        <v>2947</v>
      </c>
      <c r="B1294" s="87" t="s">
        <v>2948</v>
      </c>
      <c r="C1294" s="88" t="s">
        <v>226</v>
      </c>
      <c r="D1294" s="89" t="s">
        <v>255</v>
      </c>
      <c r="E1294" s="90">
        <f t="shared" si="257"/>
        <v>1514</v>
      </c>
      <c r="F1294" s="90">
        <f t="shared" si="245"/>
        <v>1271.9799483914373</v>
      </c>
      <c r="G1294" s="91">
        <v>0.19</v>
      </c>
      <c r="H1294" s="91" t="s">
        <v>228</v>
      </c>
      <c r="I1294" s="91"/>
      <c r="J1294" s="91" t="s">
        <v>228</v>
      </c>
      <c r="K1294" s="91"/>
      <c r="L1294" s="92" t="s">
        <v>1262</v>
      </c>
      <c r="M1294" s="91" t="str">
        <f t="shared" si="247"/>
        <v>VER ARCHIVO ANEXO</v>
      </c>
      <c r="N1294" s="93">
        <v>41608</v>
      </c>
      <c r="O1294" s="109"/>
      <c r="P1294" s="109"/>
      <c r="Q1294" s="94">
        <v>1145</v>
      </c>
      <c r="R1294" s="95">
        <f t="shared" si="250"/>
        <v>1271.9799483914373</v>
      </c>
      <c r="S1294" s="109">
        <v>832.38979999999992</v>
      </c>
      <c r="T1294" s="94">
        <f t="shared" si="248"/>
        <v>888.74258945999998</v>
      </c>
      <c r="U1294" s="94">
        <f t="shared" si="255"/>
        <v>939.84528835395008</v>
      </c>
      <c r="V1294" s="94">
        <f t="shared" si="256"/>
        <v>978.28496064762658</v>
      </c>
      <c r="W1294" s="97">
        <f t="shared" si="253"/>
        <v>1009.3944223962211</v>
      </c>
      <c r="X1294" s="97">
        <f t="shared" si="254"/>
        <v>1047.7514104472775</v>
      </c>
      <c r="Y1294" s="97">
        <f t="shared" si="249"/>
        <v>1064.6202081554786</v>
      </c>
      <c r="Z1294" s="97">
        <f t="shared" si="251"/>
        <v>1124.4518638538166</v>
      </c>
      <c r="AA1294" s="97">
        <f t="shared" si="252"/>
        <v>1271.9799483914373</v>
      </c>
    </row>
    <row r="1295" spans="1:27" x14ac:dyDescent="0.25">
      <c r="A1295" s="102" t="s">
        <v>2949</v>
      </c>
      <c r="B1295" s="119" t="s">
        <v>2950</v>
      </c>
      <c r="C1295" s="107" t="s">
        <v>226</v>
      </c>
      <c r="D1295" s="124" t="s">
        <v>262</v>
      </c>
      <c r="E1295" s="90">
        <f t="shared" si="257"/>
        <v>6609</v>
      </c>
      <c r="F1295" s="90">
        <f t="shared" si="245"/>
        <v>5553.6260262271226</v>
      </c>
      <c r="G1295" s="91">
        <v>0.19</v>
      </c>
      <c r="H1295" s="91" t="s">
        <v>228</v>
      </c>
      <c r="I1295" s="91"/>
      <c r="J1295" s="91" t="s">
        <v>228</v>
      </c>
      <c r="K1295" s="91"/>
      <c r="L1295" s="92" t="s">
        <v>1262</v>
      </c>
      <c r="M1295" s="91" t="str">
        <f t="shared" si="247"/>
        <v>VER ARCHIVO ANEXO</v>
      </c>
      <c r="N1295" s="93">
        <v>41608</v>
      </c>
      <c r="O1295" s="109"/>
      <c r="P1295" s="109"/>
      <c r="Q1295" s="94">
        <v>1146</v>
      </c>
      <c r="R1295" s="95">
        <f t="shared" si="250"/>
        <v>5553.6260262271226</v>
      </c>
      <c r="S1295" s="109">
        <v>3634.3195999999998</v>
      </c>
      <c r="T1295" s="94">
        <f t="shared" si="248"/>
        <v>3880.36303692</v>
      </c>
      <c r="U1295" s="94">
        <f t="shared" si="255"/>
        <v>4103.4839115429004</v>
      </c>
      <c r="V1295" s="94">
        <f t="shared" si="256"/>
        <v>4271.3164035250047</v>
      </c>
      <c r="W1295" s="97">
        <f t="shared" si="253"/>
        <v>4407.1442651570997</v>
      </c>
      <c r="X1295" s="97">
        <f t="shared" si="254"/>
        <v>4574.6157472330697</v>
      </c>
      <c r="Y1295" s="97">
        <f t="shared" si="249"/>
        <v>4648.2670607635218</v>
      </c>
      <c r="Z1295" s="97">
        <f t="shared" si="251"/>
        <v>4909.4996695784321</v>
      </c>
      <c r="AA1295" s="97">
        <f t="shared" si="252"/>
        <v>5553.6260262271226</v>
      </c>
    </row>
    <row r="1296" spans="1:27" x14ac:dyDescent="0.25">
      <c r="A1296" s="102" t="s">
        <v>2951</v>
      </c>
      <c r="B1296" s="119" t="s">
        <v>2952</v>
      </c>
      <c r="C1296" s="107" t="s">
        <v>226</v>
      </c>
      <c r="D1296" s="124" t="s">
        <v>262</v>
      </c>
      <c r="E1296" s="90">
        <f t="shared" si="257"/>
        <v>77121</v>
      </c>
      <c r="F1296" s="90">
        <f t="shared" si="245"/>
        <v>64807.615975764478</v>
      </c>
      <c r="G1296" s="91">
        <v>0.19</v>
      </c>
      <c r="H1296" s="91" t="s">
        <v>228</v>
      </c>
      <c r="I1296" s="91"/>
      <c r="J1296" s="91" t="s">
        <v>228</v>
      </c>
      <c r="K1296" s="91"/>
      <c r="L1296" s="92" t="s">
        <v>1262</v>
      </c>
      <c r="M1296" s="91" t="str">
        <f t="shared" si="247"/>
        <v>VER ARCHIVO ANEXO</v>
      </c>
      <c r="N1296" s="93">
        <v>41608</v>
      </c>
      <c r="O1296" s="109"/>
      <c r="P1296" s="109"/>
      <c r="Q1296" s="94">
        <v>1147</v>
      </c>
      <c r="R1296" s="95">
        <f t="shared" si="250"/>
        <v>64807.615975764478</v>
      </c>
      <c r="S1296" s="109">
        <v>42410.415799999995</v>
      </c>
      <c r="T1296" s="94">
        <f t="shared" si="248"/>
        <v>45281.600949660002</v>
      </c>
      <c r="U1296" s="94">
        <f t="shared" si="255"/>
        <v>47885.293004265455</v>
      </c>
      <c r="V1296" s="94">
        <f t="shared" si="256"/>
        <v>49843.801488139907</v>
      </c>
      <c r="W1296" s="97">
        <f t="shared" si="253"/>
        <v>51428.834375462757</v>
      </c>
      <c r="X1296" s="97">
        <f t="shared" si="254"/>
        <v>53383.130081730342</v>
      </c>
      <c r="Y1296" s="97">
        <f t="shared" si="249"/>
        <v>54242.598476046202</v>
      </c>
      <c r="Z1296" s="97">
        <f t="shared" si="251"/>
        <v>57291.0325104</v>
      </c>
      <c r="AA1296" s="97">
        <f t="shared" si="252"/>
        <v>64807.615975764478</v>
      </c>
    </row>
    <row r="1297" spans="1:27" x14ac:dyDescent="0.25">
      <c r="A1297" s="102" t="s">
        <v>2953</v>
      </c>
      <c r="B1297" s="87" t="s">
        <v>2954</v>
      </c>
      <c r="C1297" s="88" t="s">
        <v>226</v>
      </c>
      <c r="D1297" s="89" t="s">
        <v>262</v>
      </c>
      <c r="E1297" s="90">
        <f t="shared" si="257"/>
        <v>4394</v>
      </c>
      <c r="F1297" s="90">
        <f t="shared" si="245"/>
        <v>3692.3851303866008</v>
      </c>
      <c r="G1297" s="91">
        <v>0.19</v>
      </c>
      <c r="H1297" s="91" t="s">
        <v>228</v>
      </c>
      <c r="I1297" s="91"/>
      <c r="J1297" s="91" t="s">
        <v>228</v>
      </c>
      <c r="K1297" s="91"/>
      <c r="L1297" s="92" t="s">
        <v>1262</v>
      </c>
      <c r="M1297" s="91" t="str">
        <f t="shared" si="247"/>
        <v>VER ARCHIVO ANEXO</v>
      </c>
      <c r="N1297" s="93">
        <v>41608</v>
      </c>
      <c r="O1297" s="109"/>
      <c r="P1297" s="109"/>
      <c r="Q1297" s="94">
        <v>1148</v>
      </c>
      <c r="R1297" s="95">
        <f t="shared" si="250"/>
        <v>3692.3851303866008</v>
      </c>
      <c r="S1297" s="109">
        <v>2416.3145999999997</v>
      </c>
      <c r="T1297" s="94">
        <f t="shared" si="248"/>
        <v>2579.89909842</v>
      </c>
      <c r="U1297" s="94">
        <f t="shared" si="255"/>
        <v>2728.2432965791504</v>
      </c>
      <c r="V1297" s="94">
        <f t="shared" si="256"/>
        <v>2839.8284474092375</v>
      </c>
      <c r="W1297" s="97">
        <f t="shared" si="253"/>
        <v>2930.1349920368511</v>
      </c>
      <c r="X1297" s="97">
        <f t="shared" si="254"/>
        <v>3041.4801217342515</v>
      </c>
      <c r="Y1297" s="97">
        <f t="shared" si="249"/>
        <v>3090.4479516941728</v>
      </c>
      <c r="Z1297" s="97">
        <f t="shared" si="251"/>
        <v>3264.1311265793856</v>
      </c>
      <c r="AA1297" s="97">
        <f t="shared" si="252"/>
        <v>3692.3851303866008</v>
      </c>
    </row>
    <row r="1298" spans="1:27" x14ac:dyDescent="0.25">
      <c r="A1298" s="102" t="s">
        <v>2955</v>
      </c>
      <c r="B1298" s="87" t="s">
        <v>2956</v>
      </c>
      <c r="C1298" s="88" t="s">
        <v>226</v>
      </c>
      <c r="D1298" s="89" t="s">
        <v>262</v>
      </c>
      <c r="E1298" s="90">
        <f t="shared" si="257"/>
        <v>277</v>
      </c>
      <c r="F1298" s="90">
        <f t="shared" si="245"/>
        <v>232.85311633068659</v>
      </c>
      <c r="G1298" s="91">
        <v>0.19</v>
      </c>
      <c r="H1298" s="91" t="s">
        <v>228</v>
      </c>
      <c r="I1298" s="91"/>
      <c r="J1298" s="91" t="s">
        <v>228</v>
      </c>
      <c r="K1298" s="91"/>
      <c r="L1298" s="92" t="s">
        <v>1262</v>
      </c>
      <c r="M1298" s="91" t="str">
        <f t="shared" si="247"/>
        <v>VER ARCHIVO ANEXO</v>
      </c>
      <c r="N1298" s="93">
        <v>41608</v>
      </c>
      <c r="O1298" s="109"/>
      <c r="P1298" s="109"/>
      <c r="Q1298" s="94">
        <v>1149</v>
      </c>
      <c r="R1298" s="95">
        <f t="shared" si="250"/>
        <v>232.85311633068659</v>
      </c>
      <c r="S1298" s="109">
        <v>152.3802</v>
      </c>
      <c r="T1298" s="94">
        <f t="shared" si="248"/>
        <v>162.69633954000003</v>
      </c>
      <c r="U1298" s="94">
        <f t="shared" si="255"/>
        <v>172.05137906355003</v>
      </c>
      <c r="V1298" s="94">
        <f t="shared" si="256"/>
        <v>179.08828046724921</v>
      </c>
      <c r="W1298" s="97">
        <f t="shared" si="253"/>
        <v>184.78328778610773</v>
      </c>
      <c r="X1298" s="97">
        <f t="shared" si="254"/>
        <v>191.80505272197985</v>
      </c>
      <c r="Y1298" s="97">
        <f t="shared" si="249"/>
        <v>194.89311407080373</v>
      </c>
      <c r="Z1298" s="97">
        <f t="shared" si="251"/>
        <v>205.84610708158291</v>
      </c>
      <c r="AA1298" s="97">
        <f t="shared" si="252"/>
        <v>232.85311633068659</v>
      </c>
    </row>
    <row r="1299" spans="1:27" x14ac:dyDescent="0.25">
      <c r="A1299" s="102" t="s">
        <v>2957</v>
      </c>
      <c r="B1299" s="119" t="s">
        <v>2958</v>
      </c>
      <c r="C1299" s="107" t="s">
        <v>226</v>
      </c>
      <c r="D1299" s="124" t="s">
        <v>262</v>
      </c>
      <c r="E1299" s="90">
        <f t="shared" si="257"/>
        <v>214229</v>
      </c>
      <c r="F1299" s="90">
        <f t="shared" si="245"/>
        <v>180023.9715501102</v>
      </c>
      <c r="G1299" s="91">
        <v>0.19</v>
      </c>
      <c r="H1299" s="91" t="s">
        <v>228</v>
      </c>
      <c r="I1299" s="91"/>
      <c r="J1299" s="91" t="s">
        <v>228</v>
      </c>
      <c r="K1299" s="91"/>
      <c r="L1299" s="92" t="s">
        <v>1262</v>
      </c>
      <c r="M1299" s="91" t="str">
        <f t="shared" si="247"/>
        <v>VER ARCHIVO ANEXO</v>
      </c>
      <c r="N1299" s="93">
        <v>41608</v>
      </c>
      <c r="O1299" s="109"/>
      <c r="P1299" s="109"/>
      <c r="Q1299" s="94">
        <v>1150</v>
      </c>
      <c r="R1299" s="95">
        <f t="shared" si="250"/>
        <v>180023.9715501102</v>
      </c>
      <c r="S1299" s="109">
        <v>117808.55339999999</v>
      </c>
      <c r="T1299" s="94">
        <f t="shared" si="248"/>
        <v>125784.19246518001</v>
      </c>
      <c r="U1299" s="94">
        <f t="shared" si="255"/>
        <v>133016.78353192788</v>
      </c>
      <c r="V1299" s="94">
        <f t="shared" si="256"/>
        <v>138457.16997838372</v>
      </c>
      <c r="W1299" s="97">
        <f t="shared" si="253"/>
        <v>142860.10798369633</v>
      </c>
      <c r="X1299" s="97">
        <f t="shared" si="254"/>
        <v>148288.79208707678</v>
      </c>
      <c r="Y1299" s="97">
        <f t="shared" si="249"/>
        <v>150676.24163967872</v>
      </c>
      <c r="Z1299" s="97">
        <f t="shared" si="251"/>
        <v>159144.24641982868</v>
      </c>
      <c r="AA1299" s="97">
        <f t="shared" si="252"/>
        <v>180023.9715501102</v>
      </c>
    </row>
    <row r="1300" spans="1:27" x14ac:dyDescent="0.25">
      <c r="A1300" s="102" t="s">
        <v>2959</v>
      </c>
      <c r="B1300" s="119" t="s">
        <v>2960</v>
      </c>
      <c r="C1300" s="107" t="s">
        <v>226</v>
      </c>
      <c r="D1300" s="124" t="s">
        <v>262</v>
      </c>
      <c r="E1300" s="90">
        <f t="shared" si="257"/>
        <v>206359</v>
      </c>
      <c r="F1300" s="90">
        <f t="shared" si="245"/>
        <v>173410.62623935766</v>
      </c>
      <c r="G1300" s="91">
        <v>0.19</v>
      </c>
      <c r="H1300" s="91" t="s">
        <v>228</v>
      </c>
      <c r="I1300" s="91"/>
      <c r="J1300" s="91" t="s">
        <v>228</v>
      </c>
      <c r="K1300" s="91"/>
      <c r="L1300" s="92" t="s">
        <v>1262</v>
      </c>
      <c r="M1300" s="91" t="str">
        <f t="shared" si="247"/>
        <v>VER ARCHIVO ANEXO</v>
      </c>
      <c r="N1300" s="93">
        <v>41608</v>
      </c>
      <c r="O1300" s="109"/>
      <c r="P1300" s="109"/>
      <c r="Q1300" s="94">
        <v>1151</v>
      </c>
      <c r="R1300" s="95">
        <f t="shared" si="250"/>
        <v>173410.62623935766</v>
      </c>
      <c r="S1300" s="109">
        <v>113480.7484</v>
      </c>
      <c r="T1300" s="94">
        <f t="shared" si="248"/>
        <v>121163.39506668001</v>
      </c>
      <c r="U1300" s="94">
        <f t="shared" si="255"/>
        <v>128130.29028301412</v>
      </c>
      <c r="V1300" s="94">
        <f t="shared" si="256"/>
        <v>133370.81915558939</v>
      </c>
      <c r="W1300" s="97">
        <f t="shared" si="253"/>
        <v>137612.01120473712</v>
      </c>
      <c r="X1300" s="97">
        <f t="shared" si="254"/>
        <v>142841.26763051713</v>
      </c>
      <c r="Y1300" s="97">
        <f t="shared" si="249"/>
        <v>145141.01203936845</v>
      </c>
      <c r="Z1300" s="97">
        <f t="shared" si="251"/>
        <v>153297.93691598097</v>
      </c>
      <c r="AA1300" s="97">
        <f t="shared" si="252"/>
        <v>173410.62623935766</v>
      </c>
    </row>
    <row r="1301" spans="1:27" x14ac:dyDescent="0.25">
      <c r="A1301" s="102" t="s">
        <v>2961</v>
      </c>
      <c r="B1301" s="119" t="s">
        <v>2962</v>
      </c>
      <c r="C1301" s="107" t="s">
        <v>226</v>
      </c>
      <c r="D1301" s="124" t="s">
        <v>262</v>
      </c>
      <c r="E1301" s="90">
        <f t="shared" si="257"/>
        <v>66199</v>
      </c>
      <c r="F1301" s="90">
        <f t="shared" si="245"/>
        <v>55629.718315764505</v>
      </c>
      <c r="G1301" s="91">
        <v>0.19</v>
      </c>
      <c r="H1301" s="91" t="s">
        <v>228</v>
      </c>
      <c r="I1301" s="91"/>
      <c r="J1301" s="91" t="s">
        <v>228</v>
      </c>
      <c r="K1301" s="91"/>
      <c r="L1301" s="92" t="s">
        <v>1262</v>
      </c>
      <c r="M1301" s="91" t="str">
        <f t="shared" si="247"/>
        <v>VER ARCHIVO ANEXO</v>
      </c>
      <c r="N1301" s="93">
        <v>41608</v>
      </c>
      <c r="O1301" s="109"/>
      <c r="P1301" s="109"/>
      <c r="Q1301" s="94">
        <v>1152</v>
      </c>
      <c r="R1301" s="95">
        <f t="shared" si="250"/>
        <v>55629.718315764505</v>
      </c>
      <c r="S1301" s="109">
        <v>36404.3554</v>
      </c>
      <c r="T1301" s="94">
        <f t="shared" si="248"/>
        <v>38868.930260580004</v>
      </c>
      <c r="U1301" s="94">
        <f t="shared" si="255"/>
        <v>41103.893750563358</v>
      </c>
      <c r="V1301" s="94">
        <f t="shared" si="256"/>
        <v>42785.043004961401</v>
      </c>
      <c r="W1301" s="97">
        <f t="shared" si="253"/>
        <v>44145.607372519175</v>
      </c>
      <c r="X1301" s="97">
        <f t="shared" si="254"/>
        <v>45823.140452674903</v>
      </c>
      <c r="Y1301" s="97">
        <f t="shared" si="249"/>
        <v>46560.893013962967</v>
      </c>
      <c r="Z1301" s="97">
        <f t="shared" si="251"/>
        <v>49177.615201347689</v>
      </c>
      <c r="AA1301" s="97">
        <f t="shared" si="252"/>
        <v>55629.718315764505</v>
      </c>
    </row>
    <row r="1302" spans="1:27" x14ac:dyDescent="0.25">
      <c r="A1302" s="102" t="s">
        <v>2963</v>
      </c>
      <c r="B1302" s="119" t="s">
        <v>2964</v>
      </c>
      <c r="C1302" s="107" t="s">
        <v>226</v>
      </c>
      <c r="D1302" s="124" t="s">
        <v>262</v>
      </c>
      <c r="E1302" s="90">
        <f t="shared" si="257"/>
        <v>385977</v>
      </c>
      <c r="F1302" s="90">
        <f t="shared" si="245"/>
        <v>324350.13473540166</v>
      </c>
      <c r="G1302" s="91">
        <v>0.19</v>
      </c>
      <c r="H1302" s="91" t="s">
        <v>228</v>
      </c>
      <c r="I1302" s="91"/>
      <c r="J1302" s="91" t="s">
        <v>228</v>
      </c>
      <c r="K1302" s="91"/>
      <c r="L1302" s="92" t="s">
        <v>1262</v>
      </c>
      <c r="M1302" s="91" t="str">
        <f t="shared" si="247"/>
        <v>VER ARCHIVO ANEXO</v>
      </c>
      <c r="N1302" s="93">
        <v>41608</v>
      </c>
      <c r="O1302" s="109"/>
      <c r="P1302" s="109"/>
      <c r="Q1302" s="94">
        <v>1153</v>
      </c>
      <c r="R1302" s="95">
        <f t="shared" si="250"/>
        <v>324350.13473540166</v>
      </c>
      <c r="S1302" s="109">
        <v>212256.2892</v>
      </c>
      <c r="T1302" s="94">
        <f t="shared" si="248"/>
        <v>226626.03997884001</v>
      </c>
      <c r="U1302" s="94">
        <f t="shared" si="255"/>
        <v>239657.03727762334</v>
      </c>
      <c r="V1302" s="94">
        <f t="shared" si="256"/>
        <v>249459.01010227812</v>
      </c>
      <c r="W1302" s="97">
        <f t="shared" si="253"/>
        <v>257391.80662353057</v>
      </c>
      <c r="X1302" s="97">
        <f t="shared" si="254"/>
        <v>267172.69527522475</v>
      </c>
      <c r="Y1302" s="97">
        <f t="shared" si="249"/>
        <v>271474.17566915584</v>
      </c>
      <c r="Z1302" s="97">
        <f t="shared" si="251"/>
        <v>286731.02434176242</v>
      </c>
      <c r="AA1302" s="97">
        <f t="shared" si="252"/>
        <v>324350.13473540166</v>
      </c>
    </row>
    <row r="1303" spans="1:27" x14ac:dyDescent="0.25">
      <c r="A1303" s="102" t="s">
        <v>2965</v>
      </c>
      <c r="B1303" s="119" t="s">
        <v>2966</v>
      </c>
      <c r="C1303" s="107" t="s">
        <v>226</v>
      </c>
      <c r="D1303" s="124" t="s">
        <v>262</v>
      </c>
      <c r="E1303" s="90">
        <f t="shared" si="257"/>
        <v>77121</v>
      </c>
      <c r="F1303" s="90">
        <f t="shared" si="245"/>
        <v>64807.615975764478</v>
      </c>
      <c r="G1303" s="91">
        <v>0.19</v>
      </c>
      <c r="H1303" s="91" t="s">
        <v>228</v>
      </c>
      <c r="I1303" s="91"/>
      <c r="J1303" s="91" t="s">
        <v>228</v>
      </c>
      <c r="K1303" s="91"/>
      <c r="L1303" s="92" t="s">
        <v>1262</v>
      </c>
      <c r="M1303" s="91" t="str">
        <f t="shared" si="247"/>
        <v>VER ARCHIVO ANEXO</v>
      </c>
      <c r="N1303" s="93">
        <v>41608</v>
      </c>
      <c r="O1303" s="109"/>
      <c r="P1303" s="109"/>
      <c r="Q1303" s="94">
        <v>1154</v>
      </c>
      <c r="R1303" s="95">
        <f t="shared" si="250"/>
        <v>64807.615975764478</v>
      </c>
      <c r="S1303" s="109">
        <v>42410.415799999995</v>
      </c>
      <c r="T1303" s="94">
        <f t="shared" si="248"/>
        <v>45281.600949660002</v>
      </c>
      <c r="U1303" s="94">
        <f t="shared" si="255"/>
        <v>47885.293004265455</v>
      </c>
      <c r="V1303" s="94">
        <f t="shared" si="256"/>
        <v>49843.801488139907</v>
      </c>
      <c r="W1303" s="97">
        <f t="shared" si="253"/>
        <v>51428.834375462757</v>
      </c>
      <c r="X1303" s="97">
        <f t="shared" si="254"/>
        <v>53383.130081730342</v>
      </c>
      <c r="Y1303" s="97">
        <f t="shared" si="249"/>
        <v>54242.598476046202</v>
      </c>
      <c r="Z1303" s="97">
        <f t="shared" si="251"/>
        <v>57291.0325104</v>
      </c>
      <c r="AA1303" s="97">
        <f t="shared" si="252"/>
        <v>64807.615975764478</v>
      </c>
    </row>
    <row r="1304" spans="1:27" x14ac:dyDescent="0.25">
      <c r="A1304" s="102" t="s">
        <v>2967</v>
      </c>
      <c r="B1304" s="87" t="s">
        <v>2968</v>
      </c>
      <c r="C1304" s="88" t="s">
        <v>226</v>
      </c>
      <c r="D1304" s="89" t="s">
        <v>255</v>
      </c>
      <c r="E1304" s="90">
        <f t="shared" si="257"/>
        <v>3084</v>
      </c>
      <c r="F1304" s="90">
        <f t="shared" ref="F1304:F1367" si="258">R1304</f>
        <v>2591.4809409319955</v>
      </c>
      <c r="G1304" s="91">
        <v>0.19</v>
      </c>
      <c r="H1304" s="91" t="s">
        <v>228</v>
      </c>
      <c r="I1304" s="91"/>
      <c r="J1304" s="91" t="s">
        <v>228</v>
      </c>
      <c r="K1304" s="91"/>
      <c r="L1304" s="92" t="s">
        <v>1262</v>
      </c>
      <c r="M1304" s="91" t="str">
        <f t="shared" si="247"/>
        <v>VER ARCHIVO ANEXO</v>
      </c>
      <c r="N1304" s="93">
        <v>41608</v>
      </c>
      <c r="O1304" s="109"/>
      <c r="P1304" s="109"/>
      <c r="Q1304" s="94">
        <v>1155</v>
      </c>
      <c r="R1304" s="95">
        <f t="shared" si="250"/>
        <v>2591.4809409319955</v>
      </c>
      <c r="S1304" s="109">
        <v>1695.8776</v>
      </c>
      <c r="T1304" s="94">
        <f t="shared" si="248"/>
        <v>1810.6885135200002</v>
      </c>
      <c r="U1304" s="94">
        <f t="shared" si="255"/>
        <v>1914.8031030474006</v>
      </c>
      <c r="V1304" s="94">
        <f t="shared" si="256"/>
        <v>1993.1185499620392</v>
      </c>
      <c r="W1304" s="97">
        <f t="shared" si="253"/>
        <v>2056.4997198508322</v>
      </c>
      <c r="X1304" s="97">
        <f t="shared" si="254"/>
        <v>2134.6467092051639</v>
      </c>
      <c r="Y1304" s="97">
        <f t="shared" si="249"/>
        <v>2169.014521223367</v>
      </c>
      <c r="Z1304" s="97">
        <f t="shared" si="251"/>
        <v>2290.9131373161204</v>
      </c>
      <c r="AA1304" s="97">
        <f t="shared" si="252"/>
        <v>2591.4809409319955</v>
      </c>
    </row>
    <row r="1305" spans="1:27" x14ac:dyDescent="0.25">
      <c r="A1305" s="102" t="s">
        <v>2969</v>
      </c>
      <c r="B1305" s="87" t="s">
        <v>2970</v>
      </c>
      <c r="C1305" s="88" t="s">
        <v>226</v>
      </c>
      <c r="D1305" s="89" t="s">
        <v>255</v>
      </c>
      <c r="E1305" s="90">
        <f t="shared" si="257"/>
        <v>54477</v>
      </c>
      <c r="F1305" s="90">
        <f t="shared" si="258"/>
        <v>45778.605863651988</v>
      </c>
      <c r="G1305" s="91">
        <v>0.19</v>
      </c>
      <c r="H1305" s="91" t="s">
        <v>228</v>
      </c>
      <c r="I1305" s="91"/>
      <c r="J1305" s="91" t="s">
        <v>228</v>
      </c>
      <c r="K1305" s="91"/>
      <c r="L1305" s="92" t="s">
        <v>2860</v>
      </c>
      <c r="M1305" s="91" t="str">
        <f t="shared" si="247"/>
        <v>VER ARCHIVO ANEXO</v>
      </c>
      <c r="N1305" s="93">
        <v>41608</v>
      </c>
      <c r="O1305" s="109"/>
      <c r="P1305" s="109"/>
      <c r="Q1305" s="94">
        <v>1156</v>
      </c>
      <c r="R1305" s="95">
        <f t="shared" si="250"/>
        <v>45778.605863651988</v>
      </c>
      <c r="S1305" s="109">
        <v>29957.739999999998</v>
      </c>
      <c r="T1305" s="94">
        <f t="shared" si="248"/>
        <v>31985.878998</v>
      </c>
      <c r="U1305" s="94">
        <f t="shared" si="255"/>
        <v>33825.067040385002</v>
      </c>
      <c r="V1305" s="94">
        <f t="shared" si="256"/>
        <v>35208.512282336749</v>
      </c>
      <c r="W1305" s="97">
        <f t="shared" si="253"/>
        <v>36328.142972915062</v>
      </c>
      <c r="X1305" s="97">
        <f t="shared" si="254"/>
        <v>37708.612405885833</v>
      </c>
      <c r="Y1305" s="97">
        <f t="shared" si="249"/>
        <v>38315.721065620593</v>
      </c>
      <c r="Z1305" s="97">
        <f t="shared" si="251"/>
        <v>40469.064589508474</v>
      </c>
      <c r="AA1305" s="97">
        <f t="shared" si="252"/>
        <v>45778.605863651988</v>
      </c>
    </row>
    <row r="1306" spans="1:27" x14ac:dyDescent="0.25">
      <c r="A1306" s="102" t="s">
        <v>2971</v>
      </c>
      <c r="B1306" s="87" t="s">
        <v>2972</v>
      </c>
      <c r="C1306" s="88" t="s">
        <v>226</v>
      </c>
      <c r="D1306" s="89" t="s">
        <v>255</v>
      </c>
      <c r="E1306" s="90">
        <f t="shared" si="257"/>
        <v>59255</v>
      </c>
      <c r="F1306" s="90">
        <f t="shared" si="258"/>
        <v>49794.134094252608</v>
      </c>
      <c r="G1306" s="91">
        <v>0.19</v>
      </c>
      <c r="H1306" s="91" t="s">
        <v>228</v>
      </c>
      <c r="I1306" s="91"/>
      <c r="J1306" s="91" t="s">
        <v>228</v>
      </c>
      <c r="K1306" s="91"/>
      <c r="L1306" s="92" t="s">
        <v>2860</v>
      </c>
      <c r="M1306" s="91" t="str">
        <f t="shared" si="247"/>
        <v>VER ARCHIVO ANEXO</v>
      </c>
      <c r="N1306" s="93">
        <v>41608</v>
      </c>
      <c r="O1306" s="109"/>
      <c r="P1306" s="109"/>
      <c r="Q1306" s="94">
        <v>1157</v>
      </c>
      <c r="R1306" s="95">
        <f t="shared" si="250"/>
        <v>49794.134094252608</v>
      </c>
      <c r="S1306" s="109">
        <v>32585.521000000001</v>
      </c>
      <c r="T1306" s="94">
        <f t="shared" si="248"/>
        <v>34791.560771700002</v>
      </c>
      <c r="U1306" s="94">
        <f t="shared" si="255"/>
        <v>36792.075516072757</v>
      </c>
      <c r="V1306" s="94">
        <f t="shared" si="256"/>
        <v>38296.871404680132</v>
      </c>
      <c r="W1306" s="97">
        <f t="shared" si="253"/>
        <v>39514.711915348962</v>
      </c>
      <c r="X1306" s="97">
        <f t="shared" si="254"/>
        <v>41016.270968132223</v>
      </c>
      <c r="Y1306" s="97">
        <f t="shared" si="249"/>
        <v>41676.632930719155</v>
      </c>
      <c r="Z1306" s="97">
        <f t="shared" si="251"/>
        <v>44018.859701425572</v>
      </c>
      <c r="AA1306" s="97">
        <f t="shared" si="252"/>
        <v>49794.134094252608</v>
      </c>
    </row>
    <row r="1307" spans="1:27" x14ac:dyDescent="0.25">
      <c r="A1307" s="102" t="s">
        <v>2973</v>
      </c>
      <c r="B1307" s="87" t="s">
        <v>2974</v>
      </c>
      <c r="C1307" s="88" t="s">
        <v>226</v>
      </c>
      <c r="D1307" s="89" t="s">
        <v>255</v>
      </c>
      <c r="E1307" s="90">
        <f t="shared" si="257"/>
        <v>64886</v>
      </c>
      <c r="F1307" s="90">
        <f t="shared" si="258"/>
        <v>54525.646056699959</v>
      </c>
      <c r="G1307" s="91">
        <v>0.19</v>
      </c>
      <c r="H1307" s="91" t="s">
        <v>228</v>
      </c>
      <c r="I1307" s="91"/>
      <c r="J1307" s="91" t="s">
        <v>228</v>
      </c>
      <c r="K1307" s="91"/>
      <c r="L1307" s="92" t="s">
        <v>2860</v>
      </c>
      <c r="M1307" s="91" t="str">
        <f t="shared" si="247"/>
        <v>VER ARCHIVO ANEXO</v>
      </c>
      <c r="N1307" s="93">
        <v>41608</v>
      </c>
      <c r="O1307" s="109"/>
      <c r="P1307" s="109"/>
      <c r="Q1307" s="94">
        <v>1158</v>
      </c>
      <c r="R1307" s="95">
        <f t="shared" si="250"/>
        <v>54525.646056699959</v>
      </c>
      <c r="S1307" s="109">
        <v>35681.845199999996</v>
      </c>
      <c r="T1307" s="94">
        <f t="shared" si="248"/>
        <v>38097.506120040001</v>
      </c>
      <c r="U1307" s="94">
        <f t="shared" si="255"/>
        <v>40288.112721942307</v>
      </c>
      <c r="V1307" s="94">
        <f t="shared" si="256"/>
        <v>41935.896532269748</v>
      </c>
      <c r="W1307" s="97">
        <f t="shared" si="253"/>
        <v>43269.458041995931</v>
      </c>
      <c r="X1307" s="97">
        <f t="shared" si="254"/>
        <v>44913.697447591781</v>
      </c>
      <c r="Y1307" s="97">
        <f t="shared" si="249"/>
        <v>45636.807976498007</v>
      </c>
      <c r="Z1307" s="97">
        <f t="shared" si="251"/>
        <v>48201.596584777195</v>
      </c>
      <c r="AA1307" s="97">
        <f t="shared" si="252"/>
        <v>54525.646056699959</v>
      </c>
    </row>
    <row r="1308" spans="1:27" x14ac:dyDescent="0.25">
      <c r="A1308" s="102" t="s">
        <v>2975</v>
      </c>
      <c r="B1308" s="87" t="s">
        <v>2976</v>
      </c>
      <c r="C1308" s="88" t="s">
        <v>226</v>
      </c>
      <c r="D1308" s="89" t="s">
        <v>255</v>
      </c>
      <c r="E1308" s="90">
        <f t="shared" si="257"/>
        <v>70714</v>
      </c>
      <c r="F1308" s="90">
        <f t="shared" si="258"/>
        <v>59423.481673669223</v>
      </c>
      <c r="G1308" s="91">
        <v>0.19</v>
      </c>
      <c r="H1308" s="91" t="s">
        <v>228</v>
      </c>
      <c r="I1308" s="91"/>
      <c r="J1308" s="91" t="s">
        <v>228</v>
      </c>
      <c r="K1308" s="91"/>
      <c r="L1308" s="92" t="s">
        <v>2860</v>
      </c>
      <c r="M1308" s="91" t="str">
        <f t="shared" si="247"/>
        <v>VER ARCHIVO ANEXO</v>
      </c>
      <c r="N1308" s="93">
        <v>41608</v>
      </c>
      <c r="O1308" s="109"/>
      <c r="P1308" s="109"/>
      <c r="Q1308" s="94">
        <v>1159</v>
      </c>
      <c r="R1308" s="95">
        <f t="shared" si="250"/>
        <v>59423.481673669223</v>
      </c>
      <c r="S1308" s="109">
        <v>38887.0124</v>
      </c>
      <c r="T1308" s="94">
        <f t="shared" si="248"/>
        <v>41519.663139480006</v>
      </c>
      <c r="U1308" s="94">
        <f t="shared" si="255"/>
        <v>43907.043770000113</v>
      </c>
      <c r="V1308" s="94">
        <f t="shared" si="256"/>
        <v>45702.841860193112</v>
      </c>
      <c r="W1308" s="97">
        <f t="shared" si="253"/>
        <v>47156.192231347253</v>
      </c>
      <c r="X1308" s="97">
        <f t="shared" si="254"/>
        <v>48948.127536138447</v>
      </c>
      <c r="Y1308" s="97">
        <f t="shared" si="249"/>
        <v>49736.192389470278</v>
      </c>
      <c r="Z1308" s="97">
        <f t="shared" si="251"/>
        <v>52531.366401758511</v>
      </c>
      <c r="AA1308" s="97">
        <f t="shared" si="252"/>
        <v>59423.481673669223</v>
      </c>
    </row>
    <row r="1309" spans="1:27" x14ac:dyDescent="0.25">
      <c r="A1309" s="102" t="s">
        <v>2977</v>
      </c>
      <c r="B1309" s="87" t="s">
        <v>2978</v>
      </c>
      <c r="C1309" s="88" t="s">
        <v>226</v>
      </c>
      <c r="D1309" s="89" t="s">
        <v>255</v>
      </c>
      <c r="E1309" s="90">
        <f t="shared" si="257"/>
        <v>76241</v>
      </c>
      <c r="F1309" s="90">
        <f t="shared" si="258"/>
        <v>64067.871721843178</v>
      </c>
      <c r="G1309" s="91">
        <v>0.19</v>
      </c>
      <c r="H1309" s="91" t="s">
        <v>228</v>
      </c>
      <c r="I1309" s="91"/>
      <c r="J1309" s="91" t="s">
        <v>228</v>
      </c>
      <c r="K1309" s="91"/>
      <c r="L1309" s="92" t="s">
        <v>2860</v>
      </c>
      <c r="M1309" s="91" t="str">
        <f t="shared" si="247"/>
        <v>VER ARCHIVO ANEXO</v>
      </c>
      <c r="N1309" s="93">
        <v>41608</v>
      </c>
      <c r="O1309" s="109"/>
      <c r="P1309" s="109"/>
      <c r="Q1309" s="94">
        <v>1160</v>
      </c>
      <c r="R1309" s="95">
        <f t="shared" si="250"/>
        <v>64067.871721843178</v>
      </c>
      <c r="S1309" s="109">
        <v>41926.323599999996</v>
      </c>
      <c r="T1309" s="94">
        <f t="shared" si="248"/>
        <v>44764.735707719999</v>
      </c>
      <c r="U1309" s="94">
        <f t="shared" si="255"/>
        <v>47338.708010913906</v>
      </c>
      <c r="V1309" s="94">
        <f t="shared" si="256"/>
        <v>49274.861168560281</v>
      </c>
      <c r="W1309" s="97">
        <f t="shared" si="253"/>
        <v>50841.801753720501</v>
      </c>
      <c r="X1309" s="97">
        <f t="shared" si="254"/>
        <v>52773.79022036188</v>
      </c>
      <c r="Y1309" s="97">
        <f t="shared" si="249"/>
        <v>53623.448242909704</v>
      </c>
      <c r="Z1309" s="97">
        <f t="shared" si="251"/>
        <v>56637.086034161228</v>
      </c>
      <c r="AA1309" s="97">
        <f t="shared" si="252"/>
        <v>64067.871721843178</v>
      </c>
    </row>
    <row r="1310" spans="1:27" x14ac:dyDescent="0.25">
      <c r="A1310" s="102" t="s">
        <v>2979</v>
      </c>
      <c r="B1310" s="87" t="s">
        <v>2980</v>
      </c>
      <c r="C1310" s="88" t="s">
        <v>226</v>
      </c>
      <c r="D1310" s="89" t="s">
        <v>255</v>
      </c>
      <c r="E1310" s="90">
        <f t="shared" si="257"/>
        <v>81711</v>
      </c>
      <c r="F1310" s="90">
        <f t="shared" si="258"/>
        <v>68664.740725868047</v>
      </c>
      <c r="G1310" s="91">
        <v>0.19</v>
      </c>
      <c r="H1310" s="91" t="s">
        <v>228</v>
      </c>
      <c r="I1310" s="91"/>
      <c r="J1310" s="91" t="s">
        <v>228</v>
      </c>
      <c r="K1310" s="91"/>
      <c r="L1310" s="92" t="s">
        <v>2860</v>
      </c>
      <c r="M1310" s="91" t="str">
        <f t="shared" si="247"/>
        <v>VER ARCHIVO ANEXO</v>
      </c>
      <c r="N1310" s="93">
        <v>41608</v>
      </c>
      <c r="O1310" s="109"/>
      <c r="P1310" s="109"/>
      <c r="Q1310" s="94">
        <v>1161</v>
      </c>
      <c r="R1310" s="95">
        <f t="shared" si="250"/>
        <v>68664.740725868047</v>
      </c>
      <c r="S1310" s="109">
        <v>44934.536800000002</v>
      </c>
      <c r="T1310" s="94">
        <f t="shared" si="248"/>
        <v>47976.604941360005</v>
      </c>
      <c r="U1310" s="94">
        <f t="shared" si="255"/>
        <v>50735.259725488213</v>
      </c>
      <c r="V1310" s="94">
        <f t="shared" si="256"/>
        <v>52810.331848260677</v>
      </c>
      <c r="W1310" s="97">
        <f t="shared" si="253"/>
        <v>54489.70040103537</v>
      </c>
      <c r="X1310" s="97">
        <f t="shared" si="254"/>
        <v>56560.309016274718</v>
      </c>
      <c r="Y1310" s="97">
        <f t="shared" si="249"/>
        <v>57470.929991436744</v>
      </c>
      <c r="Z1310" s="97">
        <f t="shared" si="251"/>
        <v>60700.796256955487</v>
      </c>
      <c r="AA1310" s="97">
        <f t="shared" si="252"/>
        <v>68664.740725868047</v>
      </c>
    </row>
    <row r="1311" spans="1:27" x14ac:dyDescent="0.25">
      <c r="A1311" s="102" t="s">
        <v>2981</v>
      </c>
      <c r="B1311" s="87" t="s">
        <v>2982</v>
      </c>
      <c r="C1311" s="88" t="s">
        <v>226</v>
      </c>
      <c r="D1311" s="89" t="s">
        <v>262</v>
      </c>
      <c r="E1311" s="90">
        <f t="shared" si="257"/>
        <v>33419</v>
      </c>
      <c r="F1311" s="90">
        <f t="shared" si="258"/>
        <v>28083.353057324777</v>
      </c>
      <c r="G1311" s="91">
        <v>0.19</v>
      </c>
      <c r="H1311" s="91" t="s">
        <v>228</v>
      </c>
      <c r="I1311" s="91"/>
      <c r="J1311" s="91" t="s">
        <v>228</v>
      </c>
      <c r="K1311" s="91"/>
      <c r="L1311" s="92" t="s">
        <v>2860</v>
      </c>
      <c r="M1311" s="91" t="str">
        <f t="shared" si="247"/>
        <v>VER ARCHIVO ANEXO</v>
      </c>
      <c r="N1311" s="93">
        <v>41608</v>
      </c>
      <c r="O1311" s="109"/>
      <c r="P1311" s="109"/>
      <c r="Q1311" s="94">
        <v>1162</v>
      </c>
      <c r="R1311" s="95">
        <f t="shared" si="250"/>
        <v>28083.353057324777</v>
      </c>
      <c r="S1311" s="109">
        <v>18377.881399999998</v>
      </c>
      <c r="T1311" s="94">
        <f t="shared" si="248"/>
        <v>19622.06397078</v>
      </c>
      <c r="U1311" s="94">
        <f t="shared" si="255"/>
        <v>20750.332649099852</v>
      </c>
      <c r="V1311" s="94">
        <f t="shared" si="256"/>
        <v>21599.021254448035</v>
      </c>
      <c r="W1311" s="97">
        <f t="shared" si="253"/>
        <v>22285.870130339485</v>
      </c>
      <c r="X1311" s="97">
        <f t="shared" si="254"/>
        <v>23132.733195292385</v>
      </c>
      <c r="Y1311" s="97">
        <f t="shared" si="249"/>
        <v>23505.170199736593</v>
      </c>
      <c r="Z1311" s="97">
        <f t="shared" si="251"/>
        <v>24826.160764961791</v>
      </c>
      <c r="AA1311" s="97">
        <f t="shared" si="252"/>
        <v>28083.353057324777</v>
      </c>
    </row>
    <row r="1312" spans="1:27" x14ac:dyDescent="0.25">
      <c r="A1312" s="102" t="s">
        <v>2983</v>
      </c>
      <c r="B1312" s="87" t="s">
        <v>2984</v>
      </c>
      <c r="C1312" s="88" t="s">
        <v>226</v>
      </c>
      <c r="D1312" s="89" t="s">
        <v>262</v>
      </c>
      <c r="E1312" s="90">
        <f t="shared" si="257"/>
        <v>187610</v>
      </c>
      <c r="F1312" s="90">
        <f t="shared" si="258"/>
        <v>157655.81606911952</v>
      </c>
      <c r="G1312" s="91">
        <v>0.19</v>
      </c>
      <c r="H1312" s="91" t="s">
        <v>228</v>
      </c>
      <c r="I1312" s="91"/>
      <c r="J1312" s="91" t="s">
        <v>228</v>
      </c>
      <c r="K1312" s="91"/>
      <c r="L1312" s="92" t="s">
        <v>2860</v>
      </c>
      <c r="M1312" s="91" t="str">
        <f t="shared" si="247"/>
        <v>VER ARCHIVO ANEXO</v>
      </c>
      <c r="N1312" s="93">
        <v>41608</v>
      </c>
      <c r="O1312" s="109"/>
      <c r="P1312" s="109"/>
      <c r="Q1312" s="94">
        <v>1163</v>
      </c>
      <c r="R1312" s="95">
        <f t="shared" si="250"/>
        <v>157655.81606911952</v>
      </c>
      <c r="S1312" s="109">
        <v>103170.7248</v>
      </c>
      <c r="T1312" s="94">
        <f t="shared" si="248"/>
        <v>110155.38286896</v>
      </c>
      <c r="U1312" s="94">
        <f t="shared" si="255"/>
        <v>116489.31738392521</v>
      </c>
      <c r="V1312" s="94">
        <f t="shared" si="256"/>
        <v>121253.73046492775</v>
      </c>
      <c r="W1312" s="97">
        <f t="shared" si="253"/>
        <v>125109.59909371246</v>
      </c>
      <c r="X1312" s="97">
        <f t="shared" si="254"/>
        <v>129863.76385927353</v>
      </c>
      <c r="Y1312" s="97">
        <f t="shared" si="249"/>
        <v>131954.57045740783</v>
      </c>
      <c r="Z1312" s="97">
        <f t="shared" si="251"/>
        <v>139370.41731711416</v>
      </c>
      <c r="AA1312" s="97">
        <f t="shared" si="252"/>
        <v>157655.81606911952</v>
      </c>
    </row>
    <row r="1313" spans="1:27" x14ac:dyDescent="0.25">
      <c r="A1313" s="102" t="s">
        <v>2985</v>
      </c>
      <c r="B1313" s="87" t="s">
        <v>2986</v>
      </c>
      <c r="C1313" s="88" t="s">
        <v>226</v>
      </c>
      <c r="D1313" s="89" t="s">
        <v>262</v>
      </c>
      <c r="E1313" s="90">
        <f t="shared" si="257"/>
        <v>86906</v>
      </c>
      <c r="F1313" s="90">
        <f t="shared" si="258"/>
        <v>73030.340648367172</v>
      </c>
      <c r="G1313" s="91">
        <v>0.19</v>
      </c>
      <c r="H1313" s="91" t="s">
        <v>228</v>
      </c>
      <c r="I1313" s="91"/>
      <c r="J1313" s="91" t="s">
        <v>228</v>
      </c>
      <c r="K1313" s="91"/>
      <c r="L1313" s="92" t="s">
        <v>2860</v>
      </c>
      <c r="M1313" s="91" t="str">
        <f t="shared" si="247"/>
        <v>VER ARCHIVO ANEXO</v>
      </c>
      <c r="N1313" s="93">
        <v>41608</v>
      </c>
      <c r="O1313" s="109"/>
      <c r="P1313" s="109"/>
      <c r="Q1313" s="94">
        <v>1164</v>
      </c>
      <c r="R1313" s="95">
        <f t="shared" si="250"/>
        <v>73030.340648367172</v>
      </c>
      <c r="S1313" s="109">
        <v>47791.4064</v>
      </c>
      <c r="T1313" s="94">
        <f t="shared" si="248"/>
        <v>51026.884613280003</v>
      </c>
      <c r="U1313" s="94">
        <f t="shared" si="255"/>
        <v>53960.930478543611</v>
      </c>
      <c r="V1313" s="94">
        <f t="shared" si="256"/>
        <v>56167.932535116044</v>
      </c>
      <c r="W1313" s="97">
        <f t="shared" si="253"/>
        <v>57954.072789732738</v>
      </c>
      <c r="X1313" s="97">
        <f t="shared" si="254"/>
        <v>60156.32755574258</v>
      </c>
      <c r="Y1313" s="97">
        <f t="shared" si="249"/>
        <v>61124.844429390039</v>
      </c>
      <c r="Z1313" s="97">
        <f t="shared" si="251"/>
        <v>64560.060686321762</v>
      </c>
      <c r="AA1313" s="97">
        <f t="shared" si="252"/>
        <v>73030.340648367172</v>
      </c>
    </row>
    <row r="1314" spans="1:27" x14ac:dyDescent="0.25">
      <c r="A1314" s="102" t="s">
        <v>2987</v>
      </c>
      <c r="B1314" s="87" t="s">
        <v>2988</v>
      </c>
      <c r="C1314" s="88" t="s">
        <v>226</v>
      </c>
      <c r="D1314" s="89" t="s">
        <v>262</v>
      </c>
      <c r="E1314" s="90">
        <f t="shared" si="257"/>
        <v>2633</v>
      </c>
      <c r="F1314" s="90">
        <f t="shared" si="258"/>
        <v>2212.8966225440081</v>
      </c>
      <c r="G1314" s="91">
        <v>0.19</v>
      </c>
      <c r="H1314" s="91" t="s">
        <v>228</v>
      </c>
      <c r="I1314" s="91"/>
      <c r="J1314" s="91" t="s">
        <v>228</v>
      </c>
      <c r="K1314" s="91"/>
      <c r="L1314" s="92" t="s">
        <v>2860</v>
      </c>
      <c r="M1314" s="91" t="str">
        <f t="shared" ref="M1314:M1377" si="259">+IF(L1314="no aplica","no aplica","VER ARCHIVO ANEXO")</f>
        <v>VER ARCHIVO ANEXO</v>
      </c>
      <c r="N1314" s="93">
        <v>41608</v>
      </c>
      <c r="O1314" s="109"/>
      <c r="P1314" s="109"/>
      <c r="Q1314" s="94">
        <v>1165</v>
      </c>
      <c r="R1314" s="95">
        <f t="shared" si="250"/>
        <v>2212.8966225440081</v>
      </c>
      <c r="S1314" s="109">
        <v>1448.1302000000001</v>
      </c>
      <c r="T1314" s="94">
        <f t="shared" ref="T1314:T1377" si="260">+S1314*1.0677</f>
        <v>1546.1686145400001</v>
      </c>
      <c r="U1314" s="94">
        <f t="shared" si="255"/>
        <v>1635.0733098760504</v>
      </c>
      <c r="V1314" s="94">
        <f t="shared" si="256"/>
        <v>1701.9478082499809</v>
      </c>
      <c r="W1314" s="97">
        <f t="shared" si="253"/>
        <v>1756.0697485523303</v>
      </c>
      <c r="X1314" s="97">
        <f t="shared" si="254"/>
        <v>1822.800398997319</v>
      </c>
      <c r="Y1314" s="97">
        <f t="shared" si="249"/>
        <v>1852.1474854211758</v>
      </c>
      <c r="Z1314" s="97">
        <f t="shared" si="251"/>
        <v>1956.238174101846</v>
      </c>
      <c r="AA1314" s="97">
        <f t="shared" si="252"/>
        <v>2212.8966225440081</v>
      </c>
    </row>
    <row r="1315" spans="1:27" x14ac:dyDescent="0.25">
      <c r="A1315" s="102" t="s">
        <v>2989</v>
      </c>
      <c r="B1315" s="87" t="s">
        <v>2990</v>
      </c>
      <c r="C1315" s="88" t="s">
        <v>226</v>
      </c>
      <c r="D1315" s="89" t="s">
        <v>262</v>
      </c>
      <c r="E1315" s="90">
        <f t="shared" si="257"/>
        <v>12622</v>
      </c>
      <c r="F1315" s="90">
        <f t="shared" si="258"/>
        <v>10606.697054083519</v>
      </c>
      <c r="G1315" s="91">
        <v>0.19</v>
      </c>
      <c r="H1315" s="91" t="s">
        <v>228</v>
      </c>
      <c r="I1315" s="91"/>
      <c r="J1315" s="91" t="s">
        <v>228</v>
      </c>
      <c r="K1315" s="91"/>
      <c r="L1315" s="92" t="s">
        <v>2860</v>
      </c>
      <c r="M1315" s="91" t="str">
        <f t="shared" si="259"/>
        <v>VER ARCHIVO ANEXO</v>
      </c>
      <c r="N1315" s="93">
        <v>41608</v>
      </c>
      <c r="O1315" s="109"/>
      <c r="P1315" s="109"/>
      <c r="Q1315" s="94">
        <v>1166</v>
      </c>
      <c r="R1315" s="95">
        <f t="shared" si="250"/>
        <v>10606.697054083519</v>
      </c>
      <c r="S1315" s="109">
        <v>6941.0735999999997</v>
      </c>
      <c r="T1315" s="94">
        <f t="shared" si="260"/>
        <v>7410.98428272</v>
      </c>
      <c r="U1315" s="94">
        <f t="shared" si="255"/>
        <v>7837.1158789764004</v>
      </c>
      <c r="V1315" s="94">
        <f t="shared" si="256"/>
        <v>8157.6539184265348</v>
      </c>
      <c r="W1315" s="97">
        <f t="shared" si="253"/>
        <v>8417.0673130324994</v>
      </c>
      <c r="X1315" s="97">
        <f t="shared" si="254"/>
        <v>8736.9158709277344</v>
      </c>
      <c r="Y1315" s="97">
        <f t="shared" si="249"/>
        <v>8877.5802164496708</v>
      </c>
      <c r="Z1315" s="97">
        <f t="shared" si="251"/>
        <v>9376.500224614143</v>
      </c>
      <c r="AA1315" s="97">
        <f t="shared" si="252"/>
        <v>10606.697054083519</v>
      </c>
    </row>
    <row r="1316" spans="1:27" x14ac:dyDescent="0.25">
      <c r="A1316" s="102" t="s">
        <v>2991</v>
      </c>
      <c r="B1316" s="87" t="s">
        <v>2992</v>
      </c>
      <c r="C1316" s="88" t="s">
        <v>226</v>
      </c>
      <c r="D1316" s="89" t="s">
        <v>262</v>
      </c>
      <c r="E1316" s="90">
        <f t="shared" si="257"/>
        <v>19879</v>
      </c>
      <c r="F1316" s="90">
        <f t="shared" si="258"/>
        <v>16705.231053220548</v>
      </c>
      <c r="G1316" s="91">
        <v>0.19</v>
      </c>
      <c r="H1316" s="91" t="s">
        <v>228</v>
      </c>
      <c r="I1316" s="91"/>
      <c r="J1316" s="91" t="s">
        <v>228</v>
      </c>
      <c r="K1316" s="91"/>
      <c r="L1316" s="92" t="s">
        <v>2860</v>
      </c>
      <c r="M1316" s="91" t="str">
        <f t="shared" si="259"/>
        <v>VER ARCHIVO ANEXO</v>
      </c>
      <c r="N1316" s="93">
        <v>41608</v>
      </c>
      <c r="O1316" s="109"/>
      <c r="P1316" s="109"/>
      <c r="Q1316" s="94">
        <v>1167</v>
      </c>
      <c r="R1316" s="95">
        <f t="shared" si="250"/>
        <v>16705.231053220548</v>
      </c>
      <c r="S1316" s="109">
        <v>10931.9836</v>
      </c>
      <c r="T1316" s="94">
        <f t="shared" si="260"/>
        <v>11672.07888972</v>
      </c>
      <c r="U1316" s="94">
        <f t="shared" si="255"/>
        <v>12343.223425878901</v>
      </c>
      <c r="V1316" s="94">
        <f t="shared" si="256"/>
        <v>12848.061263997348</v>
      </c>
      <c r="W1316" s="97">
        <f t="shared" si="253"/>
        <v>13256.629612192464</v>
      </c>
      <c r="X1316" s="97">
        <f t="shared" si="254"/>
        <v>13760.381537455778</v>
      </c>
      <c r="Y1316" s="97">
        <f t="shared" si="249"/>
        <v>13981.923680208816</v>
      </c>
      <c r="Z1316" s="97">
        <f t="shared" si="251"/>
        <v>14767.707791036551</v>
      </c>
      <c r="AA1316" s="97">
        <f t="shared" si="252"/>
        <v>16705.231053220548</v>
      </c>
    </row>
    <row r="1317" spans="1:27" x14ac:dyDescent="0.25">
      <c r="A1317" s="102" t="s">
        <v>2993</v>
      </c>
      <c r="B1317" s="87" t="s">
        <v>2994</v>
      </c>
      <c r="C1317" s="88" t="s">
        <v>226</v>
      </c>
      <c r="D1317" s="89" t="s">
        <v>262</v>
      </c>
      <c r="E1317" s="90">
        <f t="shared" si="257"/>
        <v>9849</v>
      </c>
      <c r="F1317" s="90">
        <f t="shared" si="258"/>
        <v>8276.5818559716809</v>
      </c>
      <c r="G1317" s="91">
        <v>0.19</v>
      </c>
      <c r="H1317" s="91" t="s">
        <v>228</v>
      </c>
      <c r="I1317" s="91"/>
      <c r="J1317" s="91" t="s">
        <v>228</v>
      </c>
      <c r="K1317" s="91"/>
      <c r="L1317" s="92" t="s">
        <v>2860</v>
      </c>
      <c r="M1317" s="91" t="str">
        <f t="shared" si="259"/>
        <v>VER ARCHIVO ANEXO</v>
      </c>
      <c r="N1317" s="93">
        <v>41608</v>
      </c>
      <c r="O1317" s="109"/>
      <c r="P1317" s="109"/>
      <c r="Q1317" s="94">
        <v>1168</v>
      </c>
      <c r="R1317" s="95">
        <f t="shared" si="250"/>
        <v>8276.5818559716809</v>
      </c>
      <c r="S1317" s="109">
        <v>5416.2349999999997</v>
      </c>
      <c r="T1317" s="94">
        <f t="shared" si="260"/>
        <v>5782.9141095000004</v>
      </c>
      <c r="U1317" s="94">
        <f t="shared" si="255"/>
        <v>6115.4316707962507</v>
      </c>
      <c r="V1317" s="94">
        <f t="shared" si="256"/>
        <v>6365.5528261318168</v>
      </c>
      <c r="W1317" s="97">
        <f t="shared" si="253"/>
        <v>6567.9774060028085</v>
      </c>
      <c r="X1317" s="97">
        <f t="shared" si="254"/>
        <v>6817.560547430915</v>
      </c>
      <c r="Y1317" s="97">
        <f t="shared" si="249"/>
        <v>6927.3232722445528</v>
      </c>
      <c r="Z1317" s="97">
        <f t="shared" si="251"/>
        <v>7316.6388401446966</v>
      </c>
      <c r="AA1317" s="97">
        <f t="shared" si="252"/>
        <v>8276.5818559716809</v>
      </c>
    </row>
    <row r="1318" spans="1:27" x14ac:dyDescent="0.25">
      <c r="A1318" s="102" t="s">
        <v>2995</v>
      </c>
      <c r="B1318" s="119" t="s">
        <v>2996</v>
      </c>
      <c r="C1318" s="107" t="s">
        <v>226</v>
      </c>
      <c r="D1318" s="124" t="s">
        <v>262</v>
      </c>
      <c r="E1318" s="90">
        <f t="shared" si="257"/>
        <v>4630</v>
      </c>
      <c r="F1318" s="90">
        <f t="shared" si="258"/>
        <v>3890.3894810079337</v>
      </c>
      <c r="G1318" s="91">
        <v>0.19</v>
      </c>
      <c r="H1318" s="91" t="s">
        <v>228</v>
      </c>
      <c r="I1318" s="91"/>
      <c r="J1318" s="91" t="s">
        <v>228</v>
      </c>
      <c r="K1318" s="91"/>
      <c r="L1318" s="92" t="s">
        <v>2860</v>
      </c>
      <c r="M1318" s="91" t="str">
        <f t="shared" si="259"/>
        <v>VER ARCHIVO ANEXO</v>
      </c>
      <c r="N1318" s="93">
        <v>41608</v>
      </c>
      <c r="O1318" s="109"/>
      <c r="P1318" s="109"/>
      <c r="Q1318" s="94">
        <v>1169</v>
      </c>
      <c r="R1318" s="95">
        <f t="shared" si="250"/>
        <v>3890.3894810079337</v>
      </c>
      <c r="S1318" s="109">
        <v>2545.8896</v>
      </c>
      <c r="T1318" s="94">
        <f t="shared" si="260"/>
        <v>2718.2463259200003</v>
      </c>
      <c r="U1318" s="94">
        <f t="shared" si="255"/>
        <v>2874.5454896604006</v>
      </c>
      <c r="V1318" s="94">
        <f t="shared" si="256"/>
        <v>2992.1144001875109</v>
      </c>
      <c r="W1318" s="97">
        <f t="shared" si="253"/>
        <v>3087.2636381134739</v>
      </c>
      <c r="X1318" s="97">
        <f t="shared" si="254"/>
        <v>3204.579656361786</v>
      </c>
      <c r="Y1318" s="97">
        <f t="shared" si="249"/>
        <v>3256.1733888292106</v>
      </c>
      <c r="Z1318" s="97">
        <f t="shared" si="251"/>
        <v>3439.1703332814122</v>
      </c>
      <c r="AA1318" s="97">
        <f t="shared" si="252"/>
        <v>3890.3894810079337</v>
      </c>
    </row>
    <row r="1319" spans="1:27" x14ac:dyDescent="0.25">
      <c r="A1319" s="102" t="s">
        <v>2997</v>
      </c>
      <c r="B1319" s="119" t="s">
        <v>2998</v>
      </c>
      <c r="C1319" s="107" t="s">
        <v>226</v>
      </c>
      <c r="D1319" s="124" t="s">
        <v>262</v>
      </c>
      <c r="E1319" s="90">
        <f t="shared" si="257"/>
        <v>5655</v>
      </c>
      <c r="F1319" s="90">
        <f t="shared" si="258"/>
        <v>4752.1044149119698</v>
      </c>
      <c r="G1319" s="91">
        <v>0.19</v>
      </c>
      <c r="H1319" s="91" t="s">
        <v>228</v>
      </c>
      <c r="I1319" s="91"/>
      <c r="J1319" s="91" t="s">
        <v>228</v>
      </c>
      <c r="K1319" s="91"/>
      <c r="L1319" s="92" t="s">
        <v>2860</v>
      </c>
      <c r="M1319" s="91" t="str">
        <f t="shared" si="259"/>
        <v>VER ARCHIVO ANEXO</v>
      </c>
      <c r="N1319" s="93">
        <v>41608</v>
      </c>
      <c r="O1319" s="109"/>
      <c r="P1319" s="109"/>
      <c r="Q1319" s="94">
        <v>1170</v>
      </c>
      <c r="R1319" s="95">
        <f t="shared" si="250"/>
        <v>4752.1044149119698</v>
      </c>
      <c r="S1319" s="109">
        <v>3109.7999999999997</v>
      </c>
      <c r="T1319" s="94">
        <f t="shared" si="260"/>
        <v>3320.3334599999998</v>
      </c>
      <c r="U1319" s="94">
        <f t="shared" si="255"/>
        <v>3511.25263395</v>
      </c>
      <c r="V1319" s="94">
        <f t="shared" si="256"/>
        <v>3654.8628666785548</v>
      </c>
      <c r="W1319" s="97">
        <f t="shared" si="253"/>
        <v>3771.0875058389329</v>
      </c>
      <c r="X1319" s="97">
        <f t="shared" si="254"/>
        <v>3914.3888310608127</v>
      </c>
      <c r="Y1319" s="97">
        <f t="shared" si="249"/>
        <v>3977.4104912408916</v>
      </c>
      <c r="Z1319" s="97">
        <f t="shared" si="251"/>
        <v>4200.9409608486294</v>
      </c>
      <c r="AA1319" s="97">
        <f t="shared" si="252"/>
        <v>4752.1044149119698</v>
      </c>
    </row>
    <row r="1320" spans="1:27" x14ac:dyDescent="0.25">
      <c r="A1320" s="102" t="s">
        <v>2999</v>
      </c>
      <c r="B1320" s="118" t="s">
        <v>3000</v>
      </c>
      <c r="C1320" s="144" t="s">
        <v>226</v>
      </c>
      <c r="D1320" s="145" t="s">
        <v>262</v>
      </c>
      <c r="E1320" s="101">
        <f t="shared" si="257"/>
        <v>4571</v>
      </c>
      <c r="F1320" s="90">
        <f t="shared" si="258"/>
        <v>3841.2844020538437</v>
      </c>
      <c r="G1320" s="91">
        <v>0.19</v>
      </c>
      <c r="H1320" s="91" t="s">
        <v>228</v>
      </c>
      <c r="I1320" s="91"/>
      <c r="J1320" s="91" t="s">
        <v>228</v>
      </c>
      <c r="K1320" s="91"/>
      <c r="L1320" s="92" t="s">
        <v>2860</v>
      </c>
      <c r="M1320" s="91" t="str">
        <f t="shared" si="259"/>
        <v>VER ARCHIVO ANEXO</v>
      </c>
      <c r="N1320" s="93">
        <v>41608</v>
      </c>
      <c r="O1320" s="109"/>
      <c r="P1320" s="109"/>
      <c r="Q1320" s="94">
        <v>1171</v>
      </c>
      <c r="R1320" s="95">
        <f t="shared" si="250"/>
        <v>3841.2844020538437</v>
      </c>
      <c r="S1320" s="109">
        <v>2513.7550000000001</v>
      </c>
      <c r="T1320" s="94">
        <f t="shared" si="260"/>
        <v>2683.9362135000006</v>
      </c>
      <c r="U1320" s="94">
        <f t="shared" si="255"/>
        <v>2838.262545776251</v>
      </c>
      <c r="V1320" s="94">
        <f t="shared" si="256"/>
        <v>2954.3474838984994</v>
      </c>
      <c r="W1320" s="97">
        <f t="shared" si="253"/>
        <v>3048.2957338864717</v>
      </c>
      <c r="X1320" s="97">
        <f t="shared" si="254"/>
        <v>3164.1309717741578</v>
      </c>
      <c r="Y1320" s="97">
        <f t="shared" si="249"/>
        <v>3215.0734804197218</v>
      </c>
      <c r="Z1320" s="97">
        <f t="shared" si="251"/>
        <v>3395.7606100193102</v>
      </c>
      <c r="AA1320" s="97">
        <f t="shared" si="252"/>
        <v>3841.2844020538437</v>
      </c>
    </row>
    <row r="1321" spans="1:27" x14ac:dyDescent="0.25">
      <c r="A1321" s="102" t="s">
        <v>3001</v>
      </c>
      <c r="B1321" s="119" t="s">
        <v>3002</v>
      </c>
      <c r="C1321" s="107" t="s">
        <v>226</v>
      </c>
      <c r="D1321" s="124" t="s">
        <v>262</v>
      </c>
      <c r="E1321" s="90">
        <f t="shared" si="257"/>
        <v>89202</v>
      </c>
      <c r="F1321" s="90">
        <f t="shared" si="258"/>
        <v>74959.695040821418</v>
      </c>
      <c r="G1321" s="91">
        <v>0.19</v>
      </c>
      <c r="H1321" s="91" t="s">
        <v>228</v>
      </c>
      <c r="I1321" s="91"/>
      <c r="J1321" s="91" t="s">
        <v>228</v>
      </c>
      <c r="K1321" s="91"/>
      <c r="L1321" s="92" t="s">
        <v>2860</v>
      </c>
      <c r="M1321" s="91" t="str">
        <f t="shared" si="259"/>
        <v>VER ARCHIVO ANEXO</v>
      </c>
      <c r="N1321" s="93">
        <v>41608</v>
      </c>
      <c r="O1321" s="109"/>
      <c r="P1321" s="109"/>
      <c r="Q1321" s="94">
        <v>1172</v>
      </c>
      <c r="R1321" s="95">
        <f t="shared" si="250"/>
        <v>74959.695040821418</v>
      </c>
      <c r="S1321" s="109">
        <v>49053.985199999996</v>
      </c>
      <c r="T1321" s="94">
        <f t="shared" si="260"/>
        <v>52374.939998039998</v>
      </c>
      <c r="U1321" s="94">
        <f t="shared" si="255"/>
        <v>55386.499047927304</v>
      </c>
      <c r="V1321" s="94">
        <f t="shared" si="256"/>
        <v>57651.806858987526</v>
      </c>
      <c r="W1321" s="97">
        <f t="shared" si="253"/>
        <v>59485.13431710333</v>
      </c>
      <c r="X1321" s="97">
        <f t="shared" si="254"/>
        <v>61745.569421153261</v>
      </c>
      <c r="Y1321" s="97">
        <f t="shared" si="249"/>
        <v>62739.673088833828</v>
      </c>
      <c r="Z1321" s="97">
        <f t="shared" si="251"/>
        <v>66265.642716426286</v>
      </c>
      <c r="AA1321" s="97">
        <f t="shared" si="252"/>
        <v>74959.695040821418</v>
      </c>
    </row>
    <row r="1322" spans="1:27" x14ac:dyDescent="0.25">
      <c r="A1322" s="102" t="s">
        <v>3003</v>
      </c>
      <c r="B1322" s="87" t="s">
        <v>3004</v>
      </c>
      <c r="C1322" s="88" t="s">
        <v>226</v>
      </c>
      <c r="D1322" s="89" t="s">
        <v>255</v>
      </c>
      <c r="E1322" s="90">
        <f t="shared" si="257"/>
        <v>53687</v>
      </c>
      <c r="F1322" s="90">
        <f t="shared" si="258"/>
        <v>45114.895280369288</v>
      </c>
      <c r="G1322" s="91">
        <v>0.19</v>
      </c>
      <c r="H1322" s="91" t="s">
        <v>228</v>
      </c>
      <c r="I1322" s="91"/>
      <c r="J1322" s="91" t="s">
        <v>228</v>
      </c>
      <c r="K1322" s="91"/>
      <c r="L1322" s="92" t="s">
        <v>1262</v>
      </c>
      <c r="M1322" s="91" t="str">
        <f t="shared" si="259"/>
        <v>VER ARCHIVO ANEXO</v>
      </c>
      <c r="N1322" s="93">
        <v>41608</v>
      </c>
      <c r="O1322" s="109"/>
      <c r="P1322" s="109"/>
      <c r="Q1322" s="94">
        <v>1173</v>
      </c>
      <c r="R1322" s="95">
        <f t="shared" si="250"/>
        <v>45114.895280369288</v>
      </c>
      <c r="S1322" s="109">
        <v>29523.404599999998</v>
      </c>
      <c r="T1322" s="94">
        <f t="shared" si="260"/>
        <v>31522.139091420002</v>
      </c>
      <c r="U1322" s="94">
        <f t="shared" si="255"/>
        <v>33334.662089176658</v>
      </c>
      <c r="V1322" s="94">
        <f t="shared" si="256"/>
        <v>34698.049768623983</v>
      </c>
      <c r="W1322" s="97">
        <f t="shared" si="253"/>
        <v>35801.447751266227</v>
      </c>
      <c r="X1322" s="97">
        <f t="shared" si="254"/>
        <v>37161.902765814346</v>
      </c>
      <c r="Y1322" s="97">
        <f t="shared" si="249"/>
        <v>37760.209400343956</v>
      </c>
      <c r="Z1322" s="97">
        <f t="shared" si="251"/>
        <v>39882.333168643287</v>
      </c>
      <c r="AA1322" s="97">
        <f t="shared" si="252"/>
        <v>45114.895280369288</v>
      </c>
    </row>
    <row r="1323" spans="1:27" x14ac:dyDescent="0.25">
      <c r="A1323" s="102" t="s">
        <v>3005</v>
      </c>
      <c r="B1323" s="87" t="s">
        <v>3006</v>
      </c>
      <c r="C1323" s="88" t="s">
        <v>226</v>
      </c>
      <c r="D1323" s="89" t="s">
        <v>255</v>
      </c>
      <c r="E1323" s="90">
        <f t="shared" si="257"/>
        <v>85159</v>
      </c>
      <c r="F1323" s="90">
        <f t="shared" si="258"/>
        <v>71561.940384159359</v>
      </c>
      <c r="G1323" s="91">
        <v>0.19</v>
      </c>
      <c r="H1323" s="91" t="s">
        <v>228</v>
      </c>
      <c r="I1323" s="91"/>
      <c r="J1323" s="91" t="s">
        <v>228</v>
      </c>
      <c r="K1323" s="91"/>
      <c r="L1323" s="92" t="s">
        <v>1262</v>
      </c>
      <c r="M1323" s="91" t="str">
        <f t="shared" si="259"/>
        <v>VER ARCHIVO ANEXO</v>
      </c>
      <c r="N1323" s="93">
        <v>41608</v>
      </c>
      <c r="O1323" s="109"/>
      <c r="P1323" s="109"/>
      <c r="Q1323" s="94">
        <v>1174</v>
      </c>
      <c r="R1323" s="95">
        <f t="shared" si="250"/>
        <v>71561.940384159359</v>
      </c>
      <c r="S1323" s="109">
        <v>46830.478199999998</v>
      </c>
      <c r="T1323" s="94">
        <f t="shared" si="260"/>
        <v>50000.90157414</v>
      </c>
      <c r="U1323" s="94">
        <f t="shared" si="255"/>
        <v>52875.953414653057</v>
      </c>
      <c r="V1323" s="94">
        <f t="shared" si="256"/>
        <v>55038.579909312364</v>
      </c>
      <c r="W1323" s="97">
        <f t="shared" si="253"/>
        <v>56788.806750428499</v>
      </c>
      <c r="X1323" s="97">
        <f t="shared" si="254"/>
        <v>58946.781406944785</v>
      </c>
      <c r="Y1323" s="97">
        <f t="shared" si="249"/>
        <v>59895.824587596595</v>
      </c>
      <c r="Z1323" s="97">
        <f t="shared" si="251"/>
        <v>63261.969929419523</v>
      </c>
      <c r="AA1323" s="97">
        <f t="shared" si="252"/>
        <v>71561.940384159359</v>
      </c>
    </row>
    <row r="1324" spans="1:27" x14ac:dyDescent="0.25">
      <c r="A1324" s="102" t="s">
        <v>3007</v>
      </c>
      <c r="B1324" s="87" t="s">
        <v>3008</v>
      </c>
      <c r="C1324" s="88" t="s">
        <v>226</v>
      </c>
      <c r="D1324" s="89" t="s">
        <v>255</v>
      </c>
      <c r="E1324" s="90">
        <f t="shared" si="257"/>
        <v>3516</v>
      </c>
      <c r="F1324" s="90">
        <f t="shared" si="258"/>
        <v>2954.2249112702752</v>
      </c>
      <c r="G1324" s="91">
        <v>0.19</v>
      </c>
      <c r="H1324" s="91" t="s">
        <v>228</v>
      </c>
      <c r="I1324" s="91"/>
      <c r="J1324" s="91" t="s">
        <v>228</v>
      </c>
      <c r="K1324" s="91"/>
      <c r="L1324" s="92" t="s">
        <v>1262</v>
      </c>
      <c r="M1324" s="91" t="str">
        <f t="shared" si="259"/>
        <v>VER ARCHIVO ANEXO</v>
      </c>
      <c r="N1324" s="93">
        <v>41608</v>
      </c>
      <c r="O1324" s="109"/>
      <c r="P1324" s="109"/>
      <c r="Q1324" s="94">
        <v>1175</v>
      </c>
      <c r="R1324" s="95">
        <f t="shared" si="250"/>
        <v>2954.2249112702752</v>
      </c>
      <c r="S1324" s="109">
        <v>1933.259</v>
      </c>
      <c r="T1324" s="94">
        <f t="shared" si="260"/>
        <v>2064.1406343000003</v>
      </c>
      <c r="U1324" s="94">
        <f t="shared" si="255"/>
        <v>2182.8287207722506</v>
      </c>
      <c r="V1324" s="94">
        <f t="shared" si="256"/>
        <v>2272.1064154518353</v>
      </c>
      <c r="W1324" s="97">
        <f t="shared" si="253"/>
        <v>2344.3593994632038</v>
      </c>
      <c r="X1324" s="97">
        <f t="shared" si="254"/>
        <v>2433.4450566428054</v>
      </c>
      <c r="Y1324" s="97">
        <f t="shared" si="249"/>
        <v>2472.6235220547546</v>
      </c>
      <c r="Z1324" s="97">
        <f t="shared" si="251"/>
        <v>2611.5849639942321</v>
      </c>
      <c r="AA1324" s="97">
        <f t="shared" si="252"/>
        <v>2954.2249112702752</v>
      </c>
    </row>
    <row r="1325" spans="1:27" x14ac:dyDescent="0.25">
      <c r="A1325" s="102" t="s">
        <v>3009</v>
      </c>
      <c r="B1325" s="87" t="s">
        <v>3008</v>
      </c>
      <c r="C1325" s="88" t="s">
        <v>226</v>
      </c>
      <c r="D1325" s="89" t="s">
        <v>255</v>
      </c>
      <c r="E1325" s="90">
        <f t="shared" si="257"/>
        <v>5267</v>
      </c>
      <c r="F1325" s="90">
        <f t="shared" si="258"/>
        <v>4425.7932450880162</v>
      </c>
      <c r="G1325" s="91">
        <v>0.19</v>
      </c>
      <c r="H1325" s="91" t="s">
        <v>228</v>
      </c>
      <c r="I1325" s="91"/>
      <c r="J1325" s="91" t="s">
        <v>228</v>
      </c>
      <c r="K1325" s="91"/>
      <c r="L1325" s="92" t="s">
        <v>1262</v>
      </c>
      <c r="M1325" s="91" t="str">
        <f t="shared" si="259"/>
        <v>VER ARCHIVO ANEXO</v>
      </c>
      <c r="N1325" s="93">
        <v>41608</v>
      </c>
      <c r="O1325" s="109"/>
      <c r="P1325" s="109"/>
      <c r="Q1325" s="94">
        <v>1176</v>
      </c>
      <c r="R1325" s="95">
        <f t="shared" si="250"/>
        <v>4425.7932450880162</v>
      </c>
      <c r="S1325" s="109">
        <v>2896.2604000000001</v>
      </c>
      <c r="T1325" s="94">
        <f t="shared" si="260"/>
        <v>3092.3372290800003</v>
      </c>
      <c r="U1325" s="94">
        <f t="shared" si="255"/>
        <v>3270.1466197521008</v>
      </c>
      <c r="V1325" s="94">
        <f t="shared" si="256"/>
        <v>3403.8956164999618</v>
      </c>
      <c r="W1325" s="97">
        <f t="shared" si="253"/>
        <v>3512.1394971046607</v>
      </c>
      <c r="X1325" s="97">
        <f t="shared" si="254"/>
        <v>3645.600797994638</v>
      </c>
      <c r="Y1325" s="97">
        <f t="shared" si="249"/>
        <v>3704.2949708423516</v>
      </c>
      <c r="Z1325" s="97">
        <f t="shared" si="251"/>
        <v>3912.4763482036919</v>
      </c>
      <c r="AA1325" s="97">
        <f t="shared" si="252"/>
        <v>4425.7932450880162</v>
      </c>
    </row>
    <row r="1326" spans="1:27" x14ac:dyDescent="0.25">
      <c r="A1326" s="102" t="s">
        <v>3010</v>
      </c>
      <c r="B1326" s="87" t="s">
        <v>3011</v>
      </c>
      <c r="C1326" s="88" t="s">
        <v>226</v>
      </c>
      <c r="D1326" s="89" t="s">
        <v>255</v>
      </c>
      <c r="E1326" s="90">
        <f t="shared" si="257"/>
        <v>7091</v>
      </c>
      <c r="F1326" s="90">
        <f t="shared" si="258"/>
        <v>5959.1389362996115</v>
      </c>
      <c r="G1326" s="91">
        <v>0.19</v>
      </c>
      <c r="H1326" s="91" t="s">
        <v>228</v>
      </c>
      <c r="I1326" s="91"/>
      <c r="J1326" s="91" t="s">
        <v>228</v>
      </c>
      <c r="K1326" s="91"/>
      <c r="L1326" s="92" t="s">
        <v>1262</v>
      </c>
      <c r="M1326" s="91" t="str">
        <f t="shared" si="259"/>
        <v>VER ARCHIVO ANEXO</v>
      </c>
      <c r="N1326" s="93">
        <v>41608</v>
      </c>
      <c r="O1326" s="109"/>
      <c r="P1326" s="109"/>
      <c r="Q1326" s="94">
        <v>1177</v>
      </c>
      <c r="R1326" s="95">
        <f t="shared" si="250"/>
        <v>5959.1389362996115</v>
      </c>
      <c r="S1326" s="109">
        <v>3899.6891999999998</v>
      </c>
      <c r="T1326" s="94">
        <f t="shared" si="260"/>
        <v>4163.6981588400004</v>
      </c>
      <c r="U1326" s="94">
        <f t="shared" si="255"/>
        <v>4403.1108029733005</v>
      </c>
      <c r="V1326" s="94">
        <f t="shared" si="256"/>
        <v>4583.1980348149082</v>
      </c>
      <c r="W1326" s="97">
        <f t="shared" si="253"/>
        <v>4728.9437323220227</v>
      </c>
      <c r="X1326" s="97">
        <f t="shared" si="254"/>
        <v>4908.6435941502596</v>
      </c>
      <c r="Y1326" s="97">
        <f t="shared" si="249"/>
        <v>4987.6727560160789</v>
      </c>
      <c r="Z1326" s="97">
        <f t="shared" si="251"/>
        <v>5267.9799649041825</v>
      </c>
      <c r="AA1326" s="97">
        <f t="shared" si="252"/>
        <v>5959.1389362996115</v>
      </c>
    </row>
    <row r="1327" spans="1:27" x14ac:dyDescent="0.25">
      <c r="A1327" s="102" t="s">
        <v>3012</v>
      </c>
      <c r="B1327" s="87" t="s">
        <v>3013</v>
      </c>
      <c r="C1327" s="88" t="s">
        <v>226</v>
      </c>
      <c r="D1327" s="89" t="s">
        <v>255</v>
      </c>
      <c r="E1327" s="90">
        <f t="shared" si="257"/>
        <v>26092</v>
      </c>
      <c r="F1327" s="90">
        <f t="shared" si="258"/>
        <v>21926.209770403839</v>
      </c>
      <c r="G1327" s="91">
        <v>0.19</v>
      </c>
      <c r="H1327" s="91" t="s">
        <v>228</v>
      </c>
      <c r="I1327" s="91"/>
      <c r="J1327" s="91" t="s">
        <v>228</v>
      </c>
      <c r="K1327" s="91"/>
      <c r="L1327" s="92" t="s">
        <v>1262</v>
      </c>
      <c r="M1327" s="91" t="str">
        <f t="shared" si="259"/>
        <v>VER ARCHIVO ANEXO</v>
      </c>
      <c r="N1327" s="93">
        <v>41608</v>
      </c>
      <c r="O1327" s="109"/>
      <c r="P1327" s="109"/>
      <c r="Q1327" s="94">
        <v>1178</v>
      </c>
      <c r="R1327" s="95">
        <f t="shared" si="250"/>
        <v>21926.209770403839</v>
      </c>
      <c r="S1327" s="109">
        <v>14348.617199999999</v>
      </c>
      <c r="T1327" s="94">
        <f t="shared" si="260"/>
        <v>15320.01858444</v>
      </c>
      <c r="U1327" s="94">
        <f t="shared" si="255"/>
        <v>16200.919653045303</v>
      </c>
      <c r="V1327" s="94">
        <f t="shared" si="256"/>
        <v>16863.537266854855</v>
      </c>
      <c r="W1327" s="97">
        <f t="shared" si="253"/>
        <v>17399.797751940841</v>
      </c>
      <c r="X1327" s="97">
        <f t="shared" si="254"/>
        <v>18060.990066514594</v>
      </c>
      <c r="Y1327" s="97">
        <f t="shared" si="249"/>
        <v>18351.772006585481</v>
      </c>
      <c r="Z1327" s="97">
        <f t="shared" si="251"/>
        <v>19383.141593355587</v>
      </c>
      <c r="AA1327" s="97">
        <f t="shared" si="252"/>
        <v>21926.209770403839</v>
      </c>
    </row>
    <row r="1328" spans="1:27" x14ac:dyDescent="0.25">
      <c r="A1328" s="102" t="s">
        <v>3014</v>
      </c>
      <c r="B1328" s="87" t="s">
        <v>3015</v>
      </c>
      <c r="C1328" s="88" t="s">
        <v>226</v>
      </c>
      <c r="D1328" s="89" t="s">
        <v>255</v>
      </c>
      <c r="E1328" s="90">
        <f t="shared" si="257"/>
        <v>3216</v>
      </c>
      <c r="F1328" s="90">
        <f t="shared" si="258"/>
        <v>2702.3633772799408</v>
      </c>
      <c r="G1328" s="91">
        <v>0.19</v>
      </c>
      <c r="H1328" s="91" t="s">
        <v>228</v>
      </c>
      <c r="I1328" s="91"/>
      <c r="J1328" s="91" t="s">
        <v>228</v>
      </c>
      <c r="K1328" s="91"/>
      <c r="L1328" s="92" t="s">
        <v>1262</v>
      </c>
      <c r="M1328" s="91" t="str">
        <f t="shared" si="259"/>
        <v>VER ARCHIVO ANEXO</v>
      </c>
      <c r="N1328" s="93">
        <v>41608</v>
      </c>
      <c r="O1328" s="109"/>
      <c r="P1328" s="109"/>
      <c r="Q1328" s="94">
        <v>1179</v>
      </c>
      <c r="R1328" s="95">
        <f t="shared" si="250"/>
        <v>2702.3633772799408</v>
      </c>
      <c r="S1328" s="109">
        <v>1768.4395999999999</v>
      </c>
      <c r="T1328" s="94">
        <f t="shared" si="260"/>
        <v>1888.1629609200002</v>
      </c>
      <c r="U1328" s="94">
        <f t="shared" si="255"/>
        <v>1996.7323311729003</v>
      </c>
      <c r="V1328" s="94">
        <f t="shared" si="256"/>
        <v>2078.3986835178716</v>
      </c>
      <c r="W1328" s="97">
        <f t="shared" si="253"/>
        <v>2144.49176165374</v>
      </c>
      <c r="X1328" s="97">
        <f t="shared" si="254"/>
        <v>2225.9824485965823</v>
      </c>
      <c r="Y1328" s="97">
        <f t="shared" si="249"/>
        <v>2261.8207660189873</v>
      </c>
      <c r="Z1328" s="97">
        <f t="shared" si="251"/>
        <v>2388.9350930692544</v>
      </c>
      <c r="AA1328" s="97">
        <f t="shared" si="252"/>
        <v>2702.3633772799408</v>
      </c>
    </row>
    <row r="1329" spans="1:27" x14ac:dyDescent="0.25">
      <c r="A1329" s="102" t="s">
        <v>3016</v>
      </c>
      <c r="B1329" s="98" t="s">
        <v>3017</v>
      </c>
      <c r="C1329" s="99" t="s">
        <v>226</v>
      </c>
      <c r="D1329" s="100" t="s">
        <v>255</v>
      </c>
      <c r="E1329" s="101">
        <f t="shared" si="257"/>
        <v>14744</v>
      </c>
      <c r="F1329" s="90">
        <f t="shared" si="258"/>
        <v>12390.320244480477</v>
      </c>
      <c r="G1329" s="91">
        <v>0.19</v>
      </c>
      <c r="H1329" s="91" t="s">
        <v>228</v>
      </c>
      <c r="I1329" s="91"/>
      <c r="J1329" s="91" t="s">
        <v>228</v>
      </c>
      <c r="K1329" s="91"/>
      <c r="L1329" s="92" t="s">
        <v>1262</v>
      </c>
      <c r="M1329" s="91" t="str">
        <f t="shared" si="259"/>
        <v>VER ARCHIVO ANEXO</v>
      </c>
      <c r="N1329" s="93">
        <v>41608</v>
      </c>
      <c r="O1329" s="109"/>
      <c r="P1329" s="109"/>
      <c r="Q1329" s="94">
        <v>1180</v>
      </c>
      <c r="R1329" s="95">
        <f t="shared" si="250"/>
        <v>12390.320244480477</v>
      </c>
      <c r="S1329" s="109">
        <v>8108.2851999999993</v>
      </c>
      <c r="T1329" s="94">
        <f t="shared" si="260"/>
        <v>8657.2161080400001</v>
      </c>
      <c r="U1329" s="94">
        <f t="shared" si="255"/>
        <v>9155.0060342523011</v>
      </c>
      <c r="V1329" s="94">
        <f t="shared" si="256"/>
        <v>9529.4457810532203</v>
      </c>
      <c r="W1329" s="97">
        <f t="shared" si="253"/>
        <v>9832.4821568907137</v>
      </c>
      <c r="X1329" s="97">
        <f t="shared" si="254"/>
        <v>10206.11647885256</v>
      </c>
      <c r="Y1329" s="97">
        <f t="shared" si="249"/>
        <v>10370.434954162087</v>
      </c>
      <c r="Z1329" s="97">
        <f t="shared" si="251"/>
        <v>10953.253398585995</v>
      </c>
      <c r="AA1329" s="97">
        <f t="shared" si="252"/>
        <v>12390.320244480477</v>
      </c>
    </row>
    <row r="1330" spans="1:27" x14ac:dyDescent="0.25">
      <c r="A1330" s="102" t="s">
        <v>3018</v>
      </c>
      <c r="B1330" s="87" t="s">
        <v>3019</v>
      </c>
      <c r="C1330" s="88" t="s">
        <v>226</v>
      </c>
      <c r="D1330" s="89" t="s">
        <v>255</v>
      </c>
      <c r="E1330" s="90">
        <f t="shared" si="257"/>
        <v>34271</v>
      </c>
      <c r="F1330" s="90">
        <f t="shared" si="258"/>
        <v>28799.336789171521</v>
      </c>
      <c r="G1330" s="91">
        <v>0.19</v>
      </c>
      <c r="H1330" s="91" t="s">
        <v>228</v>
      </c>
      <c r="I1330" s="91"/>
      <c r="J1330" s="91" t="s">
        <v>228</v>
      </c>
      <c r="K1330" s="91"/>
      <c r="L1330" s="92" t="s">
        <v>1262</v>
      </c>
      <c r="M1330" s="91" t="str">
        <f t="shared" si="259"/>
        <v>VER ARCHIVO ANEXO</v>
      </c>
      <c r="N1330" s="93">
        <v>41608</v>
      </c>
      <c r="O1330" s="109"/>
      <c r="P1330" s="109"/>
      <c r="Q1330" s="94">
        <v>1181</v>
      </c>
      <c r="R1330" s="95">
        <f t="shared" si="250"/>
        <v>28799.336789171521</v>
      </c>
      <c r="S1330" s="109">
        <v>18846.424599999998</v>
      </c>
      <c r="T1330" s="94">
        <f t="shared" si="260"/>
        <v>20122.327545420001</v>
      </c>
      <c r="U1330" s="94">
        <f t="shared" si="255"/>
        <v>21279.361379281654</v>
      </c>
      <c r="V1330" s="94">
        <f t="shared" si="256"/>
        <v>22149.687259694274</v>
      </c>
      <c r="W1330" s="97">
        <f t="shared" si="253"/>
        <v>22854.047314552554</v>
      </c>
      <c r="X1330" s="97">
        <f t="shared" si="254"/>
        <v>23722.501112505553</v>
      </c>
      <c r="Y1330" s="97">
        <f t="shared" si="249"/>
        <v>24104.433380416893</v>
      </c>
      <c r="Z1330" s="97">
        <f t="shared" si="251"/>
        <v>25459.102536396324</v>
      </c>
      <c r="AA1330" s="97">
        <f t="shared" si="252"/>
        <v>28799.336789171521</v>
      </c>
    </row>
    <row r="1331" spans="1:27" x14ac:dyDescent="0.25">
      <c r="A1331" s="102" t="s">
        <v>3020</v>
      </c>
      <c r="B1331" s="87" t="s">
        <v>3021</v>
      </c>
      <c r="C1331" s="88" t="s">
        <v>226</v>
      </c>
      <c r="D1331" s="89" t="s">
        <v>255</v>
      </c>
      <c r="E1331" s="90">
        <f t="shared" si="257"/>
        <v>12149</v>
      </c>
      <c r="F1331" s="90">
        <f t="shared" si="258"/>
        <v>10209.104318035885</v>
      </c>
      <c r="G1331" s="91">
        <v>0.19</v>
      </c>
      <c r="H1331" s="91" t="s">
        <v>228</v>
      </c>
      <c r="I1331" s="91"/>
      <c r="J1331" s="91" t="s">
        <v>228</v>
      </c>
      <c r="K1331" s="91"/>
      <c r="L1331" s="92" t="s">
        <v>1262</v>
      </c>
      <c r="M1331" s="91" t="str">
        <f t="shared" si="259"/>
        <v>VER ARCHIVO ANEXO</v>
      </c>
      <c r="N1331" s="93">
        <v>41608</v>
      </c>
      <c r="O1331" s="109"/>
      <c r="P1331" s="109"/>
      <c r="Q1331" s="94">
        <v>1182</v>
      </c>
      <c r="R1331" s="95">
        <f t="shared" si="250"/>
        <v>10209.104318035885</v>
      </c>
      <c r="S1331" s="109">
        <v>6680.8869999999997</v>
      </c>
      <c r="T1331" s="94">
        <f t="shared" si="260"/>
        <v>7133.1830499000007</v>
      </c>
      <c r="U1331" s="94">
        <f t="shared" si="255"/>
        <v>7543.3410752692516</v>
      </c>
      <c r="V1331" s="94">
        <f t="shared" si="256"/>
        <v>7851.8637252477638</v>
      </c>
      <c r="W1331" s="97">
        <f t="shared" si="253"/>
        <v>8101.5529917106433</v>
      </c>
      <c r="X1331" s="97">
        <f t="shared" si="254"/>
        <v>8409.4120053956485</v>
      </c>
      <c r="Y1331" s="97">
        <f t="shared" si="249"/>
        <v>8544.8035386825177</v>
      </c>
      <c r="Z1331" s="97">
        <f t="shared" si="251"/>
        <v>9025.0214975564759</v>
      </c>
      <c r="AA1331" s="97">
        <f t="shared" si="252"/>
        <v>10209.104318035885</v>
      </c>
    </row>
    <row r="1332" spans="1:27" x14ac:dyDescent="0.25">
      <c r="A1332" s="102" t="s">
        <v>3022</v>
      </c>
      <c r="B1332" s="87" t="s">
        <v>3023</v>
      </c>
      <c r="C1332" s="88" t="s">
        <v>226</v>
      </c>
      <c r="D1332" s="89" t="s">
        <v>255</v>
      </c>
      <c r="E1332" s="90">
        <f t="shared" si="257"/>
        <v>60354</v>
      </c>
      <c r="F1332" s="90">
        <f t="shared" si="258"/>
        <v>50717.626385550488</v>
      </c>
      <c r="G1332" s="91">
        <v>0.19</v>
      </c>
      <c r="H1332" s="91" t="s">
        <v>228</v>
      </c>
      <c r="I1332" s="91"/>
      <c r="J1332" s="91" t="s">
        <v>228</v>
      </c>
      <c r="K1332" s="91"/>
      <c r="L1332" s="92" t="s">
        <v>1262</v>
      </c>
      <c r="M1332" s="91" t="str">
        <f t="shared" si="259"/>
        <v>VER ARCHIVO ANEXO</v>
      </c>
      <c r="N1332" s="93">
        <v>41608</v>
      </c>
      <c r="O1332" s="109"/>
      <c r="P1332" s="109"/>
      <c r="Q1332" s="94">
        <v>1183</v>
      </c>
      <c r="R1332" s="95">
        <f t="shared" si="250"/>
        <v>50717.626385550488</v>
      </c>
      <c r="S1332" s="109">
        <v>33189.858800000002</v>
      </c>
      <c r="T1332" s="94">
        <f t="shared" si="260"/>
        <v>35436.812240760002</v>
      </c>
      <c r="U1332" s="94">
        <f t="shared" si="255"/>
        <v>37474.428944603707</v>
      </c>
      <c r="V1332" s="94">
        <f t="shared" si="256"/>
        <v>39007.133088437993</v>
      </c>
      <c r="W1332" s="97">
        <f t="shared" si="253"/>
        <v>40247.559920650325</v>
      </c>
      <c r="X1332" s="97">
        <f t="shared" si="254"/>
        <v>41776.967197635036</v>
      </c>
      <c r="Y1332" s="97">
        <f t="shared" si="249"/>
        <v>42449.576369516959</v>
      </c>
      <c r="Z1332" s="97">
        <f t="shared" si="251"/>
        <v>44835.242561483814</v>
      </c>
      <c r="AA1332" s="97">
        <f t="shared" si="252"/>
        <v>50717.626385550488</v>
      </c>
    </row>
    <row r="1333" spans="1:27" x14ac:dyDescent="0.25">
      <c r="A1333" s="102" t="s">
        <v>3024</v>
      </c>
      <c r="B1333" s="87" t="s">
        <v>3025</v>
      </c>
      <c r="C1333" s="88" t="s">
        <v>226</v>
      </c>
      <c r="D1333" s="89" t="s">
        <v>255</v>
      </c>
      <c r="E1333" s="90">
        <f t="shared" si="257"/>
        <v>6656</v>
      </c>
      <c r="F1333" s="90">
        <f t="shared" si="258"/>
        <v>5593.2268963513898</v>
      </c>
      <c r="G1333" s="91">
        <v>0.19</v>
      </c>
      <c r="H1333" s="91" t="s">
        <v>228</v>
      </c>
      <c r="I1333" s="91"/>
      <c r="J1333" s="91" t="s">
        <v>228</v>
      </c>
      <c r="K1333" s="91"/>
      <c r="L1333" s="92" t="s">
        <v>1262</v>
      </c>
      <c r="M1333" s="91" t="str">
        <f t="shared" si="259"/>
        <v>VER ARCHIVO ANEXO</v>
      </c>
      <c r="N1333" s="93">
        <v>41608</v>
      </c>
      <c r="O1333" s="109"/>
      <c r="P1333" s="109"/>
      <c r="Q1333" s="94">
        <v>1184</v>
      </c>
      <c r="R1333" s="95">
        <f t="shared" si="250"/>
        <v>5593.2268963513898</v>
      </c>
      <c r="S1333" s="109">
        <v>3660.2345999999998</v>
      </c>
      <c r="T1333" s="94">
        <f t="shared" si="260"/>
        <v>3908.0324824200002</v>
      </c>
      <c r="U1333" s="94">
        <f t="shared" si="255"/>
        <v>4132.7443501591506</v>
      </c>
      <c r="V1333" s="94">
        <f t="shared" si="256"/>
        <v>4301.7735940806597</v>
      </c>
      <c r="W1333" s="97">
        <f t="shared" si="253"/>
        <v>4438.5699943724248</v>
      </c>
      <c r="X1333" s="97">
        <f t="shared" si="254"/>
        <v>4607.2356541585768</v>
      </c>
      <c r="Y1333" s="97">
        <f t="shared" si="249"/>
        <v>4681.4121481905304</v>
      </c>
      <c r="Z1333" s="97">
        <f t="shared" si="251"/>
        <v>4944.5075109188383</v>
      </c>
      <c r="AA1333" s="97">
        <f t="shared" si="252"/>
        <v>5593.2268963513898</v>
      </c>
    </row>
    <row r="1334" spans="1:27" x14ac:dyDescent="0.25">
      <c r="A1334" s="102" t="s">
        <v>3026</v>
      </c>
      <c r="B1334" s="87" t="s">
        <v>3027</v>
      </c>
      <c r="C1334" s="88" t="s">
        <v>226</v>
      </c>
      <c r="D1334" s="89" t="s">
        <v>255</v>
      </c>
      <c r="E1334" s="90">
        <f t="shared" si="257"/>
        <v>4115</v>
      </c>
      <c r="F1334" s="90">
        <f t="shared" si="258"/>
        <v>3457.9479792509437</v>
      </c>
      <c r="G1334" s="91">
        <v>0.19</v>
      </c>
      <c r="H1334" s="91" t="s">
        <v>228</v>
      </c>
      <c r="I1334" s="91"/>
      <c r="J1334" s="91" t="s">
        <v>228</v>
      </c>
      <c r="K1334" s="91"/>
      <c r="L1334" s="92" t="s">
        <v>1262</v>
      </c>
      <c r="M1334" s="91" t="str">
        <f t="shared" si="259"/>
        <v>VER ARCHIVO ANEXO</v>
      </c>
      <c r="N1334" s="93">
        <v>41608</v>
      </c>
      <c r="O1334" s="109"/>
      <c r="P1334" s="109"/>
      <c r="Q1334" s="94">
        <v>1185</v>
      </c>
      <c r="R1334" s="95">
        <f t="shared" si="250"/>
        <v>3457.9479792509437</v>
      </c>
      <c r="S1334" s="109">
        <v>2262.8977999999997</v>
      </c>
      <c r="T1334" s="94">
        <f t="shared" si="260"/>
        <v>2416.0959810599998</v>
      </c>
      <c r="U1334" s="94">
        <f t="shared" si="255"/>
        <v>2555.0214999709501</v>
      </c>
      <c r="V1334" s="94">
        <f t="shared" si="256"/>
        <v>2659.5218793197619</v>
      </c>
      <c r="W1334" s="97">
        <f t="shared" si="253"/>
        <v>2744.0946750821304</v>
      </c>
      <c r="X1334" s="97">
        <f t="shared" si="254"/>
        <v>2848.3702727352515</v>
      </c>
      <c r="Y1334" s="97">
        <f t="shared" si="249"/>
        <v>2894.2290341262892</v>
      </c>
      <c r="Z1334" s="97">
        <f t="shared" si="251"/>
        <v>3056.8847058441866</v>
      </c>
      <c r="AA1334" s="97">
        <f t="shared" si="252"/>
        <v>3457.9479792509437</v>
      </c>
    </row>
    <row r="1335" spans="1:27" x14ac:dyDescent="0.25">
      <c r="A1335" s="102" t="s">
        <v>3028</v>
      </c>
      <c r="B1335" s="98" t="s">
        <v>3029</v>
      </c>
      <c r="C1335" s="99" t="s">
        <v>226</v>
      </c>
      <c r="D1335" s="100" t="s">
        <v>255</v>
      </c>
      <c r="E1335" s="101">
        <f t="shared" si="257"/>
        <v>4300</v>
      </c>
      <c r="F1335" s="90">
        <f t="shared" si="258"/>
        <v>3613.1833901380687</v>
      </c>
      <c r="G1335" s="91">
        <v>0.19</v>
      </c>
      <c r="H1335" s="91" t="s">
        <v>228</v>
      </c>
      <c r="I1335" s="91"/>
      <c r="J1335" s="91" t="s">
        <v>228</v>
      </c>
      <c r="K1335" s="91"/>
      <c r="L1335" s="92" t="s">
        <v>1262</v>
      </c>
      <c r="M1335" s="91" t="str">
        <f t="shared" si="259"/>
        <v>VER ARCHIVO ANEXO</v>
      </c>
      <c r="N1335" s="93">
        <v>41608</v>
      </c>
      <c r="O1335" s="109"/>
      <c r="P1335" s="109"/>
      <c r="Q1335" s="94">
        <v>1186</v>
      </c>
      <c r="R1335" s="95">
        <f t="shared" si="250"/>
        <v>3613.1833901380687</v>
      </c>
      <c r="S1335" s="109">
        <v>2364.4845999999998</v>
      </c>
      <c r="T1335" s="94">
        <f t="shared" si="260"/>
        <v>2524.5602074200001</v>
      </c>
      <c r="U1335" s="94">
        <f t="shared" si="255"/>
        <v>2669.7224193466504</v>
      </c>
      <c r="V1335" s="94">
        <f t="shared" si="256"/>
        <v>2778.9140662979285</v>
      </c>
      <c r="W1335" s="97">
        <f t="shared" si="253"/>
        <v>2867.2835336062026</v>
      </c>
      <c r="X1335" s="97">
        <f t="shared" si="254"/>
        <v>2976.2403078832385</v>
      </c>
      <c r="Y1335" s="97">
        <f t="shared" si="249"/>
        <v>3024.1577768401585</v>
      </c>
      <c r="Z1335" s="97">
        <f t="shared" si="251"/>
        <v>3194.1154438985754</v>
      </c>
      <c r="AA1335" s="97">
        <f t="shared" si="252"/>
        <v>3613.1833901380687</v>
      </c>
    </row>
    <row r="1336" spans="1:27" x14ac:dyDescent="0.25">
      <c r="A1336" s="102" t="s">
        <v>3030</v>
      </c>
      <c r="B1336" s="87" t="s">
        <v>3031</v>
      </c>
      <c r="C1336" s="88" t="s">
        <v>226</v>
      </c>
      <c r="D1336" s="89" t="s">
        <v>255</v>
      </c>
      <c r="E1336" s="90">
        <f t="shared" si="257"/>
        <v>43189</v>
      </c>
      <c r="F1336" s="90">
        <f t="shared" si="258"/>
        <v>36293.405451487692</v>
      </c>
      <c r="G1336" s="91">
        <v>0.19</v>
      </c>
      <c r="H1336" s="91" t="s">
        <v>228</v>
      </c>
      <c r="I1336" s="91"/>
      <c r="J1336" s="91" t="s">
        <v>228</v>
      </c>
      <c r="K1336" s="91"/>
      <c r="L1336" s="92" t="s">
        <v>1262</v>
      </c>
      <c r="M1336" s="91" t="str">
        <f t="shared" si="259"/>
        <v>VER ARCHIVO ANEXO</v>
      </c>
      <c r="N1336" s="93">
        <v>41608</v>
      </c>
      <c r="O1336" s="109"/>
      <c r="P1336" s="109"/>
      <c r="Q1336" s="94">
        <v>1187</v>
      </c>
      <c r="R1336" s="95">
        <f t="shared" si="250"/>
        <v>36293.405451487692</v>
      </c>
      <c r="S1336" s="109">
        <v>23750.5792</v>
      </c>
      <c r="T1336" s="94">
        <f t="shared" si="260"/>
        <v>25358.493411840001</v>
      </c>
      <c r="U1336" s="94">
        <f t="shared" si="255"/>
        <v>26816.606783020805</v>
      </c>
      <c r="V1336" s="94">
        <f t="shared" si="256"/>
        <v>27913.406000446354</v>
      </c>
      <c r="W1336" s="97">
        <f t="shared" si="253"/>
        <v>28801.052311260548</v>
      </c>
      <c r="X1336" s="97">
        <f t="shared" si="254"/>
        <v>29895.492299088448</v>
      </c>
      <c r="Y1336" s="97">
        <f t="shared" si="249"/>
        <v>30376.809725103773</v>
      </c>
      <c r="Z1336" s="97">
        <f t="shared" si="251"/>
        <v>32083.986431654605</v>
      </c>
      <c r="AA1336" s="97">
        <f t="shared" si="252"/>
        <v>36293.405451487692</v>
      </c>
    </row>
    <row r="1337" spans="1:27" x14ac:dyDescent="0.25">
      <c r="A1337" s="102" t="s">
        <v>3032</v>
      </c>
      <c r="B1337" s="87" t="s">
        <v>3033</v>
      </c>
      <c r="C1337" s="88" t="s">
        <v>226</v>
      </c>
      <c r="D1337" s="89" t="s">
        <v>255</v>
      </c>
      <c r="E1337" s="90">
        <f t="shared" si="257"/>
        <v>29762</v>
      </c>
      <c r="F1337" s="90">
        <f t="shared" si="258"/>
        <v>25010.325535681699</v>
      </c>
      <c r="G1337" s="91">
        <v>0.19</v>
      </c>
      <c r="H1337" s="91" t="s">
        <v>228</v>
      </c>
      <c r="I1337" s="91"/>
      <c r="J1337" s="91" t="s">
        <v>228</v>
      </c>
      <c r="K1337" s="91"/>
      <c r="L1337" s="92" t="s">
        <v>1262</v>
      </c>
      <c r="M1337" s="91" t="str">
        <f t="shared" si="259"/>
        <v>VER ARCHIVO ANEXO</v>
      </c>
      <c r="N1337" s="93">
        <v>41608</v>
      </c>
      <c r="O1337" s="109"/>
      <c r="P1337" s="109"/>
      <c r="Q1337" s="94">
        <v>1188</v>
      </c>
      <c r="R1337" s="95">
        <f t="shared" si="250"/>
        <v>25010.325535681699</v>
      </c>
      <c r="S1337" s="109">
        <v>16366.877399999999</v>
      </c>
      <c r="T1337" s="94">
        <f t="shared" si="260"/>
        <v>17474.914999979999</v>
      </c>
      <c r="U1337" s="94">
        <f t="shared" si="255"/>
        <v>18479.72261247885</v>
      </c>
      <c r="V1337" s="94">
        <f t="shared" si="256"/>
        <v>19235.543267329234</v>
      </c>
      <c r="W1337" s="97">
        <f t="shared" si="253"/>
        <v>19847.233543230304</v>
      </c>
      <c r="X1337" s="97">
        <f t="shared" si="254"/>
        <v>20601.428417873056</v>
      </c>
      <c r="Y1337" s="97">
        <f t="shared" ref="Y1337:Y1400" si="261">+X1337*(1+$Y$4)</f>
        <v>20933.111415400814</v>
      </c>
      <c r="Z1337" s="97">
        <f t="shared" si="251"/>
        <v>22109.552276946339</v>
      </c>
      <c r="AA1337" s="97">
        <f t="shared" si="252"/>
        <v>25010.325535681699</v>
      </c>
    </row>
    <row r="1338" spans="1:27" x14ac:dyDescent="0.25">
      <c r="A1338" s="102" t="s">
        <v>3034</v>
      </c>
      <c r="B1338" s="98" t="s">
        <v>3035</v>
      </c>
      <c r="C1338" s="99" t="s">
        <v>226</v>
      </c>
      <c r="D1338" s="100" t="s">
        <v>255</v>
      </c>
      <c r="E1338" s="101">
        <f t="shared" si="257"/>
        <v>2620</v>
      </c>
      <c r="F1338" s="90">
        <f t="shared" si="258"/>
        <v>2201.8083789092134</v>
      </c>
      <c r="G1338" s="91">
        <v>0.19</v>
      </c>
      <c r="H1338" s="91" t="s">
        <v>228</v>
      </c>
      <c r="I1338" s="91"/>
      <c r="J1338" s="91" t="s">
        <v>228</v>
      </c>
      <c r="K1338" s="91"/>
      <c r="L1338" s="92" t="s">
        <v>1262</v>
      </c>
      <c r="M1338" s="91" t="str">
        <f t="shared" si="259"/>
        <v>VER ARCHIVO ANEXO</v>
      </c>
      <c r="N1338" s="93">
        <v>41608</v>
      </c>
      <c r="O1338" s="109"/>
      <c r="P1338" s="109"/>
      <c r="Q1338" s="94">
        <v>1189</v>
      </c>
      <c r="R1338" s="95">
        <f t="shared" si="250"/>
        <v>2201.8083789092134</v>
      </c>
      <c r="S1338" s="109">
        <v>1440.874</v>
      </c>
      <c r="T1338" s="94">
        <f t="shared" si="260"/>
        <v>1538.4211698000001</v>
      </c>
      <c r="U1338" s="94">
        <f t="shared" si="255"/>
        <v>1626.8803870635004</v>
      </c>
      <c r="V1338" s="94">
        <f t="shared" si="256"/>
        <v>1693.4197948943975</v>
      </c>
      <c r="W1338" s="97">
        <f t="shared" si="253"/>
        <v>1747.2705443720395</v>
      </c>
      <c r="X1338" s="97">
        <f t="shared" si="254"/>
        <v>1813.666825058177</v>
      </c>
      <c r="Y1338" s="97">
        <f t="shared" si="261"/>
        <v>1842.8668609416136</v>
      </c>
      <c r="Z1338" s="97">
        <f t="shared" si="251"/>
        <v>1946.4359785265324</v>
      </c>
      <c r="AA1338" s="97">
        <f t="shared" si="252"/>
        <v>2201.8083789092134</v>
      </c>
    </row>
    <row r="1339" spans="1:27" x14ac:dyDescent="0.25">
      <c r="A1339" s="102" t="s">
        <v>3036</v>
      </c>
      <c r="B1339" s="87" t="s">
        <v>3037</v>
      </c>
      <c r="C1339" s="88" t="s">
        <v>226</v>
      </c>
      <c r="D1339" s="89" t="s">
        <v>255</v>
      </c>
      <c r="E1339" s="90">
        <f t="shared" si="257"/>
        <v>16102</v>
      </c>
      <c r="F1339" s="90">
        <f t="shared" si="258"/>
        <v>13530.825304059348</v>
      </c>
      <c r="G1339" s="91">
        <v>0.19</v>
      </c>
      <c r="H1339" s="91" t="s">
        <v>228</v>
      </c>
      <c r="I1339" s="91"/>
      <c r="J1339" s="91" t="s">
        <v>228</v>
      </c>
      <c r="K1339" s="91"/>
      <c r="L1339" s="92" t="s">
        <v>1262</v>
      </c>
      <c r="M1339" s="91" t="str">
        <f t="shared" si="259"/>
        <v>VER ARCHIVO ANEXO</v>
      </c>
      <c r="N1339" s="93">
        <v>41608</v>
      </c>
      <c r="O1339" s="109"/>
      <c r="P1339" s="109"/>
      <c r="Q1339" s="94">
        <v>1190</v>
      </c>
      <c r="R1339" s="95">
        <f t="shared" si="250"/>
        <v>13530.825304059348</v>
      </c>
      <c r="S1339" s="109">
        <v>8854.6371999999992</v>
      </c>
      <c r="T1339" s="94">
        <f t="shared" si="260"/>
        <v>9454.0961384399998</v>
      </c>
      <c r="U1339" s="94">
        <f t="shared" si="255"/>
        <v>9997.7066664003014</v>
      </c>
      <c r="V1339" s="94">
        <f t="shared" si="256"/>
        <v>10406.612869056073</v>
      </c>
      <c r="W1339" s="97">
        <f t="shared" si="253"/>
        <v>10737.543158292056</v>
      </c>
      <c r="X1339" s="97">
        <f t="shared" si="254"/>
        <v>11145.569798307153</v>
      </c>
      <c r="Y1339" s="97">
        <f t="shared" si="261"/>
        <v>11325.013472059898</v>
      </c>
      <c r="Z1339" s="97">
        <f t="shared" si="251"/>
        <v>11961.479229189665</v>
      </c>
      <c r="AA1339" s="97">
        <f t="shared" si="252"/>
        <v>13530.825304059348</v>
      </c>
    </row>
    <row r="1340" spans="1:27" x14ac:dyDescent="0.25">
      <c r="A1340" s="102" t="s">
        <v>3038</v>
      </c>
      <c r="B1340" s="87" t="s">
        <v>3039</v>
      </c>
      <c r="C1340" s="88" t="s">
        <v>226</v>
      </c>
      <c r="D1340" s="89" t="s">
        <v>255</v>
      </c>
      <c r="E1340" s="90">
        <f t="shared" si="257"/>
        <v>34024</v>
      </c>
      <c r="F1340" s="90">
        <f t="shared" si="258"/>
        <v>28591.828229720359</v>
      </c>
      <c r="G1340" s="91">
        <v>0.19</v>
      </c>
      <c r="H1340" s="91" t="s">
        <v>228</v>
      </c>
      <c r="I1340" s="91"/>
      <c r="J1340" s="91" t="s">
        <v>228</v>
      </c>
      <c r="K1340" s="91"/>
      <c r="L1340" s="92" t="s">
        <v>1262</v>
      </c>
      <c r="M1340" s="91" t="str">
        <f t="shared" si="259"/>
        <v>VER ARCHIVO ANEXO</v>
      </c>
      <c r="N1340" s="93">
        <v>41608</v>
      </c>
      <c r="O1340" s="109"/>
      <c r="P1340" s="109"/>
      <c r="Q1340" s="94">
        <v>1191</v>
      </c>
      <c r="R1340" s="95">
        <f t="shared" si="250"/>
        <v>28591.828229720359</v>
      </c>
      <c r="S1340" s="109">
        <v>18710.63</v>
      </c>
      <c r="T1340" s="94">
        <f t="shared" si="260"/>
        <v>19977.339651000002</v>
      </c>
      <c r="U1340" s="94">
        <f t="shared" si="255"/>
        <v>21126.036680932506</v>
      </c>
      <c r="V1340" s="94">
        <f t="shared" si="256"/>
        <v>21990.091581182645</v>
      </c>
      <c r="W1340" s="97">
        <f t="shared" si="253"/>
        <v>22689.376493464253</v>
      </c>
      <c r="X1340" s="97">
        <f t="shared" si="254"/>
        <v>23551.572800215894</v>
      </c>
      <c r="Y1340" s="97">
        <f t="shared" si="261"/>
        <v>23930.753122299371</v>
      </c>
      <c r="Z1340" s="97">
        <f t="shared" si="251"/>
        <v>25275.661447772596</v>
      </c>
      <c r="AA1340" s="97">
        <f t="shared" si="252"/>
        <v>28591.828229720359</v>
      </c>
    </row>
    <row r="1341" spans="1:27" x14ac:dyDescent="0.25">
      <c r="A1341" s="102" t="s">
        <v>3040</v>
      </c>
      <c r="B1341" s="87" t="s">
        <v>3041</v>
      </c>
      <c r="C1341" s="88" t="s">
        <v>226</v>
      </c>
      <c r="D1341" s="89" t="s">
        <v>255</v>
      </c>
      <c r="E1341" s="90">
        <f t="shared" si="257"/>
        <v>92520</v>
      </c>
      <c r="F1341" s="90">
        <f t="shared" si="258"/>
        <v>77747.596297569791</v>
      </c>
      <c r="G1341" s="91">
        <v>0.19</v>
      </c>
      <c r="H1341" s="91" t="s">
        <v>228</v>
      </c>
      <c r="I1341" s="91"/>
      <c r="J1341" s="91" t="s">
        <v>228</v>
      </c>
      <c r="K1341" s="91"/>
      <c r="L1341" s="92" t="s">
        <v>1262</v>
      </c>
      <c r="M1341" s="91" t="str">
        <f t="shared" si="259"/>
        <v>VER ARCHIVO ANEXO</v>
      </c>
      <c r="N1341" s="93">
        <v>41608</v>
      </c>
      <c r="O1341" s="109"/>
      <c r="P1341" s="109"/>
      <c r="Q1341" s="94">
        <v>1192</v>
      </c>
      <c r="R1341" s="95">
        <f t="shared" si="250"/>
        <v>77747.596297569791</v>
      </c>
      <c r="S1341" s="109">
        <v>50878.4012</v>
      </c>
      <c r="T1341" s="94">
        <f t="shared" si="260"/>
        <v>54322.868961240005</v>
      </c>
      <c r="U1341" s="94">
        <f t="shared" si="255"/>
        <v>57446.433926511309</v>
      </c>
      <c r="V1341" s="94">
        <f t="shared" si="256"/>
        <v>59795.993074105616</v>
      </c>
      <c r="W1341" s="97">
        <f t="shared" si="253"/>
        <v>61697.505653862179</v>
      </c>
      <c r="X1341" s="97">
        <f t="shared" si="254"/>
        <v>64042.010868708945</v>
      </c>
      <c r="Y1341" s="97">
        <f t="shared" si="261"/>
        <v>65073.087243695161</v>
      </c>
      <c r="Z1341" s="97">
        <f t="shared" si="251"/>
        <v>68730.194746790832</v>
      </c>
      <c r="AA1341" s="97">
        <f t="shared" si="252"/>
        <v>77747.596297569791</v>
      </c>
    </row>
    <row r="1342" spans="1:27" x14ac:dyDescent="0.25">
      <c r="A1342" s="102" t="s">
        <v>3042</v>
      </c>
      <c r="B1342" s="87" t="s">
        <v>3043</v>
      </c>
      <c r="C1342" s="88" t="s">
        <v>226</v>
      </c>
      <c r="D1342" s="89" t="s">
        <v>255</v>
      </c>
      <c r="E1342" s="90">
        <f t="shared" si="257"/>
        <v>9951</v>
      </c>
      <c r="F1342" s="90">
        <f t="shared" si="258"/>
        <v>8362.1197354400974</v>
      </c>
      <c r="G1342" s="91">
        <v>0.19</v>
      </c>
      <c r="H1342" s="91" t="s">
        <v>228</v>
      </c>
      <c r="I1342" s="91"/>
      <c r="J1342" s="91" t="s">
        <v>228</v>
      </c>
      <c r="K1342" s="91"/>
      <c r="L1342" s="92" t="s">
        <v>1262</v>
      </c>
      <c r="M1342" s="91" t="str">
        <f t="shared" si="259"/>
        <v>VER ARCHIVO ANEXO</v>
      </c>
      <c r="N1342" s="93">
        <v>41608</v>
      </c>
      <c r="O1342" s="109"/>
      <c r="P1342" s="109"/>
      <c r="Q1342" s="94">
        <v>1193</v>
      </c>
      <c r="R1342" s="95">
        <f t="shared" si="250"/>
        <v>8362.1197354400974</v>
      </c>
      <c r="S1342" s="109">
        <v>5472.2114000000001</v>
      </c>
      <c r="T1342" s="94">
        <f t="shared" si="260"/>
        <v>5842.6801117800005</v>
      </c>
      <c r="U1342" s="94">
        <f t="shared" si="255"/>
        <v>6178.6342182073513</v>
      </c>
      <c r="V1342" s="94">
        <f t="shared" si="256"/>
        <v>6431.3403577320314</v>
      </c>
      <c r="W1342" s="97">
        <f t="shared" si="253"/>
        <v>6635.8569811079105</v>
      </c>
      <c r="X1342" s="97">
        <f t="shared" si="254"/>
        <v>6888.0195463900118</v>
      </c>
      <c r="Y1342" s="97">
        <f t="shared" si="261"/>
        <v>6998.9166610868906</v>
      </c>
      <c r="Z1342" s="97">
        <f t="shared" si="251"/>
        <v>7392.2557774399738</v>
      </c>
      <c r="AA1342" s="97">
        <f t="shared" si="252"/>
        <v>8362.1197354400974</v>
      </c>
    </row>
    <row r="1343" spans="1:27" x14ac:dyDescent="0.25">
      <c r="A1343" s="102" t="s">
        <v>3044</v>
      </c>
      <c r="B1343" s="87" t="s">
        <v>3045</v>
      </c>
      <c r="C1343" s="88" t="s">
        <v>226</v>
      </c>
      <c r="D1343" s="89" t="s">
        <v>255</v>
      </c>
      <c r="E1343" s="90">
        <f t="shared" si="257"/>
        <v>60825</v>
      </c>
      <c r="F1343" s="90">
        <f t="shared" si="258"/>
        <v>51113.635086793161</v>
      </c>
      <c r="G1343" s="91">
        <v>0.19</v>
      </c>
      <c r="H1343" s="91" t="s">
        <v>228</v>
      </c>
      <c r="I1343" s="91"/>
      <c r="J1343" s="91" t="s">
        <v>228</v>
      </c>
      <c r="K1343" s="91"/>
      <c r="L1343" s="92" t="s">
        <v>1262</v>
      </c>
      <c r="M1343" s="91" t="str">
        <f t="shared" si="259"/>
        <v>VER ARCHIVO ANEXO</v>
      </c>
      <c r="N1343" s="93">
        <v>41608</v>
      </c>
      <c r="O1343" s="109"/>
      <c r="P1343" s="109"/>
      <c r="Q1343" s="94">
        <v>1194</v>
      </c>
      <c r="R1343" s="95">
        <f t="shared" si="250"/>
        <v>51113.635086793161</v>
      </c>
      <c r="S1343" s="109">
        <v>33449.008799999996</v>
      </c>
      <c r="T1343" s="94">
        <f t="shared" si="260"/>
        <v>35713.506695759999</v>
      </c>
      <c r="U1343" s="94">
        <f t="shared" si="255"/>
        <v>37767.0333307662</v>
      </c>
      <c r="V1343" s="94">
        <f t="shared" si="256"/>
        <v>39311.704993994535</v>
      </c>
      <c r="W1343" s="97">
        <f t="shared" si="253"/>
        <v>40561.817212803566</v>
      </c>
      <c r="X1343" s="97">
        <f t="shared" si="254"/>
        <v>42103.166266890104</v>
      </c>
      <c r="Y1343" s="97">
        <f t="shared" si="261"/>
        <v>42781.027243787037</v>
      </c>
      <c r="Z1343" s="97">
        <f t="shared" si="251"/>
        <v>45185.320974887873</v>
      </c>
      <c r="AA1343" s="97">
        <f t="shared" si="252"/>
        <v>51113.635086793161</v>
      </c>
    </row>
    <row r="1344" spans="1:27" x14ac:dyDescent="0.25">
      <c r="A1344" s="102" t="s">
        <v>3046</v>
      </c>
      <c r="B1344" s="98" t="s">
        <v>3047</v>
      </c>
      <c r="C1344" s="99" t="s">
        <v>226</v>
      </c>
      <c r="D1344" s="100" t="s">
        <v>255</v>
      </c>
      <c r="E1344" s="101">
        <f t="shared" si="257"/>
        <v>6961</v>
      </c>
      <c r="F1344" s="90">
        <f t="shared" si="258"/>
        <v>5849.8405347566368</v>
      </c>
      <c r="G1344" s="91">
        <v>0.19</v>
      </c>
      <c r="H1344" s="91" t="s">
        <v>228</v>
      </c>
      <c r="I1344" s="91"/>
      <c r="J1344" s="91" t="s">
        <v>228</v>
      </c>
      <c r="K1344" s="91"/>
      <c r="L1344" s="92" t="s">
        <v>1262</v>
      </c>
      <c r="M1344" s="91" t="str">
        <f t="shared" si="259"/>
        <v>VER ARCHIVO ANEXO</v>
      </c>
      <c r="N1344" s="93">
        <v>41608</v>
      </c>
      <c r="O1344" s="109"/>
      <c r="P1344" s="109"/>
      <c r="Q1344" s="94">
        <v>1195</v>
      </c>
      <c r="R1344" s="95">
        <f t="shared" si="250"/>
        <v>5849.8405347566368</v>
      </c>
      <c r="S1344" s="109">
        <v>3828.1637999999998</v>
      </c>
      <c r="T1344" s="94">
        <f t="shared" si="260"/>
        <v>4087.3304892600004</v>
      </c>
      <c r="U1344" s="94">
        <f t="shared" si="255"/>
        <v>4322.3519923924505</v>
      </c>
      <c r="V1344" s="94">
        <f t="shared" si="256"/>
        <v>4499.1361888813017</v>
      </c>
      <c r="W1344" s="97">
        <f t="shared" si="253"/>
        <v>4642.2087196877274</v>
      </c>
      <c r="X1344" s="97">
        <f t="shared" si="254"/>
        <v>4818.6126510358608</v>
      </c>
      <c r="Y1344" s="97">
        <f t="shared" si="261"/>
        <v>4896.1923147175385</v>
      </c>
      <c r="Z1344" s="97">
        <f t="shared" si="251"/>
        <v>5171.3583228046646</v>
      </c>
      <c r="AA1344" s="97">
        <f t="shared" si="252"/>
        <v>5849.8405347566368</v>
      </c>
    </row>
    <row r="1345" spans="1:27" x14ac:dyDescent="0.25">
      <c r="A1345" s="102" t="s">
        <v>3048</v>
      </c>
      <c r="B1345" s="87" t="s">
        <v>3049</v>
      </c>
      <c r="C1345" s="88" t="s">
        <v>226</v>
      </c>
      <c r="D1345" s="89" t="s">
        <v>255</v>
      </c>
      <c r="E1345" s="90">
        <f t="shared" si="257"/>
        <v>4941</v>
      </c>
      <c r="F1345" s="90">
        <f t="shared" si="258"/>
        <v>4151.7552238280914</v>
      </c>
      <c r="G1345" s="91">
        <v>0.19</v>
      </c>
      <c r="H1345" s="91" t="s">
        <v>228</v>
      </c>
      <c r="I1345" s="91"/>
      <c r="J1345" s="91" t="s">
        <v>228</v>
      </c>
      <c r="K1345" s="91"/>
      <c r="L1345" s="92" t="s">
        <v>1262</v>
      </c>
      <c r="M1345" s="91" t="str">
        <f t="shared" si="259"/>
        <v>VER ARCHIVO ANEXO</v>
      </c>
      <c r="N1345" s="93">
        <v>41608</v>
      </c>
      <c r="O1345" s="109"/>
      <c r="P1345" s="109"/>
      <c r="Q1345" s="94">
        <v>1196</v>
      </c>
      <c r="R1345" s="95">
        <f t="shared" si="250"/>
        <v>4151.7552238280914</v>
      </c>
      <c r="S1345" s="109">
        <v>2716.9285999999997</v>
      </c>
      <c r="T1345" s="94">
        <f t="shared" si="260"/>
        <v>2900.8646662199999</v>
      </c>
      <c r="U1345" s="94">
        <f t="shared" si="255"/>
        <v>3067.6643845276503</v>
      </c>
      <c r="V1345" s="94">
        <f t="shared" si="256"/>
        <v>3193.1318578548312</v>
      </c>
      <c r="W1345" s="97">
        <f t="shared" si="253"/>
        <v>3294.6734509346152</v>
      </c>
      <c r="X1345" s="97">
        <f t="shared" si="254"/>
        <v>3419.8710420701304</v>
      </c>
      <c r="Y1345" s="97">
        <f t="shared" si="261"/>
        <v>3474.9309658474594</v>
      </c>
      <c r="Z1345" s="97">
        <f t="shared" si="251"/>
        <v>3670.2220861280866</v>
      </c>
      <c r="AA1345" s="97">
        <f t="shared" si="252"/>
        <v>4151.7552238280914</v>
      </c>
    </row>
    <row r="1346" spans="1:27" x14ac:dyDescent="0.25">
      <c r="A1346" s="102" t="s">
        <v>3050</v>
      </c>
      <c r="B1346" s="87" t="s">
        <v>3051</v>
      </c>
      <c r="C1346" s="88" t="s">
        <v>226</v>
      </c>
      <c r="D1346" s="89" t="s">
        <v>255</v>
      </c>
      <c r="E1346" s="90">
        <f t="shared" si="257"/>
        <v>3770</v>
      </c>
      <c r="F1346" s="90">
        <f t="shared" si="258"/>
        <v>3168.0696099413135</v>
      </c>
      <c r="G1346" s="91">
        <v>0.19</v>
      </c>
      <c r="H1346" s="91" t="s">
        <v>228</v>
      </c>
      <c r="I1346" s="91"/>
      <c r="J1346" s="91" t="s">
        <v>228</v>
      </c>
      <c r="K1346" s="91"/>
      <c r="L1346" s="92" t="s">
        <v>1262</v>
      </c>
      <c r="M1346" s="91" t="str">
        <f t="shared" si="259"/>
        <v>VER ARCHIVO ANEXO</v>
      </c>
      <c r="N1346" s="93">
        <v>41608</v>
      </c>
      <c r="O1346" s="109"/>
      <c r="P1346" s="109"/>
      <c r="Q1346" s="94">
        <v>1197</v>
      </c>
      <c r="R1346" s="95">
        <f t="shared" si="250"/>
        <v>3168.0696099413135</v>
      </c>
      <c r="S1346" s="109">
        <v>2073.1999999999998</v>
      </c>
      <c r="T1346" s="94">
        <f t="shared" si="260"/>
        <v>2213.55564</v>
      </c>
      <c r="U1346" s="94">
        <f t="shared" si="255"/>
        <v>2340.8350893000002</v>
      </c>
      <c r="V1346" s="94">
        <f t="shared" si="256"/>
        <v>2436.57524445237</v>
      </c>
      <c r="W1346" s="97">
        <f t="shared" si="253"/>
        <v>2514.0583372259557</v>
      </c>
      <c r="X1346" s="97">
        <f t="shared" si="254"/>
        <v>2609.5925540405419</v>
      </c>
      <c r="Y1346" s="97">
        <f t="shared" si="261"/>
        <v>2651.6069941605947</v>
      </c>
      <c r="Z1346" s="97">
        <f t="shared" si="251"/>
        <v>2800.6273072324202</v>
      </c>
      <c r="AA1346" s="97">
        <f t="shared" si="252"/>
        <v>3168.0696099413135</v>
      </c>
    </row>
    <row r="1347" spans="1:27" x14ac:dyDescent="0.25">
      <c r="A1347" s="102" t="s">
        <v>3052</v>
      </c>
      <c r="B1347" s="87" t="s">
        <v>3053</v>
      </c>
      <c r="C1347" s="88" t="s">
        <v>226</v>
      </c>
      <c r="D1347" s="89" t="s">
        <v>255</v>
      </c>
      <c r="E1347" s="90">
        <f t="shared" si="257"/>
        <v>2828</v>
      </c>
      <c r="F1347" s="90">
        <f t="shared" si="258"/>
        <v>2376.0522074559849</v>
      </c>
      <c r="G1347" s="91">
        <v>0.19</v>
      </c>
      <c r="H1347" s="91" t="s">
        <v>228</v>
      </c>
      <c r="I1347" s="91"/>
      <c r="J1347" s="91" t="s">
        <v>228</v>
      </c>
      <c r="K1347" s="91"/>
      <c r="L1347" s="92" t="s">
        <v>1262</v>
      </c>
      <c r="M1347" s="91" t="str">
        <f t="shared" si="259"/>
        <v>VER ARCHIVO ANEXO</v>
      </c>
      <c r="N1347" s="93">
        <v>41608</v>
      </c>
      <c r="O1347" s="109"/>
      <c r="P1347" s="109"/>
      <c r="Q1347" s="94">
        <v>1198</v>
      </c>
      <c r="R1347" s="95">
        <f t="shared" si="250"/>
        <v>2376.0522074559849</v>
      </c>
      <c r="S1347" s="109">
        <v>1554.8999999999999</v>
      </c>
      <c r="T1347" s="94">
        <f t="shared" si="260"/>
        <v>1660.1667299999999</v>
      </c>
      <c r="U1347" s="94">
        <f t="shared" si="255"/>
        <v>1755.626316975</v>
      </c>
      <c r="V1347" s="94">
        <f t="shared" si="256"/>
        <v>1827.4314333392774</v>
      </c>
      <c r="W1347" s="97">
        <f t="shared" si="253"/>
        <v>1885.5437529194664</v>
      </c>
      <c r="X1347" s="97">
        <f t="shared" si="254"/>
        <v>1957.1944155304063</v>
      </c>
      <c r="Y1347" s="97">
        <f t="shared" si="261"/>
        <v>1988.7052456204458</v>
      </c>
      <c r="Z1347" s="97">
        <f t="shared" si="251"/>
        <v>2100.4704804243147</v>
      </c>
      <c r="AA1347" s="97">
        <f t="shared" si="252"/>
        <v>2376.0522074559849</v>
      </c>
    </row>
    <row r="1348" spans="1:27" x14ac:dyDescent="0.25">
      <c r="A1348" s="102" t="s">
        <v>3054</v>
      </c>
      <c r="B1348" s="87" t="s">
        <v>3055</v>
      </c>
      <c r="C1348" s="88" t="s">
        <v>226</v>
      </c>
      <c r="D1348" s="89" t="s">
        <v>255</v>
      </c>
      <c r="E1348" s="90">
        <f t="shared" si="257"/>
        <v>2545</v>
      </c>
      <c r="F1348" s="90">
        <f t="shared" si="258"/>
        <v>2138.4469867103867</v>
      </c>
      <c r="G1348" s="91">
        <v>0.19</v>
      </c>
      <c r="H1348" s="91" t="s">
        <v>228</v>
      </c>
      <c r="I1348" s="91"/>
      <c r="J1348" s="91" t="s">
        <v>228</v>
      </c>
      <c r="K1348" s="91"/>
      <c r="L1348" s="92" t="s">
        <v>1262</v>
      </c>
      <c r="M1348" s="91" t="str">
        <f t="shared" si="259"/>
        <v>VER ARCHIVO ANEXO</v>
      </c>
      <c r="N1348" s="93">
        <v>41608</v>
      </c>
      <c r="O1348" s="109"/>
      <c r="P1348" s="109"/>
      <c r="Q1348" s="94">
        <v>1199</v>
      </c>
      <c r="R1348" s="95">
        <f t="shared" si="250"/>
        <v>2138.4469867103867</v>
      </c>
      <c r="S1348" s="109">
        <v>1399.4099999999999</v>
      </c>
      <c r="T1348" s="94">
        <f t="shared" si="260"/>
        <v>1494.1500570000001</v>
      </c>
      <c r="U1348" s="94">
        <f t="shared" si="255"/>
        <v>1580.0636852775003</v>
      </c>
      <c r="V1348" s="94">
        <f t="shared" si="256"/>
        <v>1644.6882900053499</v>
      </c>
      <c r="W1348" s="97">
        <f t="shared" si="253"/>
        <v>1696.9893776275201</v>
      </c>
      <c r="X1348" s="97">
        <f t="shared" si="254"/>
        <v>1761.4749739773658</v>
      </c>
      <c r="Y1348" s="97">
        <f t="shared" si="261"/>
        <v>1789.8347210584013</v>
      </c>
      <c r="Z1348" s="97">
        <f t="shared" si="251"/>
        <v>1890.4234323818835</v>
      </c>
      <c r="AA1348" s="97">
        <f t="shared" si="252"/>
        <v>2138.4469867103867</v>
      </c>
    </row>
    <row r="1349" spans="1:27" x14ac:dyDescent="0.25">
      <c r="A1349" s="102" t="s">
        <v>3056</v>
      </c>
      <c r="B1349" s="98" t="s">
        <v>3057</v>
      </c>
      <c r="C1349" s="99" t="s">
        <v>226</v>
      </c>
      <c r="D1349" s="100" t="s">
        <v>255</v>
      </c>
      <c r="E1349" s="101">
        <f t="shared" si="257"/>
        <v>11499</v>
      </c>
      <c r="F1349" s="90">
        <f t="shared" si="258"/>
        <v>9662.6123103210066</v>
      </c>
      <c r="G1349" s="91">
        <v>0.19</v>
      </c>
      <c r="H1349" s="91" t="s">
        <v>228</v>
      </c>
      <c r="I1349" s="91"/>
      <c r="J1349" s="91" t="s">
        <v>228</v>
      </c>
      <c r="K1349" s="91"/>
      <c r="L1349" s="92" t="s">
        <v>1262</v>
      </c>
      <c r="M1349" s="91" t="str">
        <f t="shared" si="259"/>
        <v>VER ARCHIVO ANEXO</v>
      </c>
      <c r="N1349" s="93">
        <v>41608</v>
      </c>
      <c r="O1349" s="109"/>
      <c r="P1349" s="109"/>
      <c r="Q1349" s="94">
        <v>1200</v>
      </c>
      <c r="R1349" s="95">
        <f t="shared" si="250"/>
        <v>9662.6123103210066</v>
      </c>
      <c r="S1349" s="109">
        <v>6323.26</v>
      </c>
      <c r="T1349" s="94">
        <f t="shared" si="260"/>
        <v>6751.3447020000012</v>
      </c>
      <c r="U1349" s="94">
        <f t="shared" si="255"/>
        <v>7139.5470223650018</v>
      </c>
      <c r="V1349" s="94">
        <f t="shared" si="256"/>
        <v>7431.5544955797295</v>
      </c>
      <c r="W1349" s="97">
        <f t="shared" si="253"/>
        <v>7667.8779285391656</v>
      </c>
      <c r="X1349" s="97">
        <f t="shared" si="254"/>
        <v>7959.257289823654</v>
      </c>
      <c r="Y1349" s="97">
        <f t="shared" si="261"/>
        <v>8087.4013321898146</v>
      </c>
      <c r="Z1349" s="97">
        <f t="shared" si="251"/>
        <v>8541.9132870588819</v>
      </c>
      <c r="AA1349" s="97">
        <f t="shared" si="252"/>
        <v>9662.6123103210066</v>
      </c>
    </row>
    <row r="1350" spans="1:27" x14ac:dyDescent="0.25">
      <c r="A1350" s="102" t="s">
        <v>3058</v>
      </c>
      <c r="B1350" s="98" t="s">
        <v>3059</v>
      </c>
      <c r="C1350" s="99" t="s">
        <v>226</v>
      </c>
      <c r="D1350" s="100" t="s">
        <v>255</v>
      </c>
      <c r="E1350" s="101">
        <f t="shared" si="257"/>
        <v>7729</v>
      </c>
      <c r="F1350" s="90">
        <f t="shared" si="258"/>
        <v>6494.5427003796931</v>
      </c>
      <c r="G1350" s="91">
        <v>0.19</v>
      </c>
      <c r="H1350" s="91" t="s">
        <v>228</v>
      </c>
      <c r="I1350" s="91"/>
      <c r="J1350" s="91" t="s">
        <v>228</v>
      </c>
      <c r="K1350" s="91"/>
      <c r="L1350" s="92" t="s">
        <v>1262</v>
      </c>
      <c r="M1350" s="91" t="str">
        <f t="shared" si="259"/>
        <v>VER ARCHIVO ANEXO</v>
      </c>
      <c r="N1350" s="93">
        <v>41608</v>
      </c>
      <c r="O1350" s="109"/>
      <c r="P1350" s="109"/>
      <c r="Q1350" s="94">
        <v>1201</v>
      </c>
      <c r="R1350" s="95">
        <f t="shared" si="250"/>
        <v>6494.5427003796931</v>
      </c>
      <c r="S1350" s="109">
        <v>4250.0599999999995</v>
      </c>
      <c r="T1350" s="94">
        <f t="shared" si="260"/>
        <v>4537.7890619999998</v>
      </c>
      <c r="U1350" s="94">
        <f t="shared" si="255"/>
        <v>4798.7119330650003</v>
      </c>
      <c r="V1350" s="94">
        <f t="shared" si="256"/>
        <v>4994.9792511273581</v>
      </c>
      <c r="W1350" s="97">
        <f t="shared" si="253"/>
        <v>5153.8195913132085</v>
      </c>
      <c r="X1350" s="97">
        <f t="shared" si="254"/>
        <v>5349.6647357831107</v>
      </c>
      <c r="Y1350" s="97">
        <f t="shared" si="261"/>
        <v>5435.794338029219</v>
      </c>
      <c r="Z1350" s="97">
        <f t="shared" si="251"/>
        <v>5741.2859798264617</v>
      </c>
      <c r="AA1350" s="97">
        <f t="shared" si="252"/>
        <v>6494.5427003796931</v>
      </c>
    </row>
    <row r="1351" spans="1:27" x14ac:dyDescent="0.25">
      <c r="A1351" s="102" t="s">
        <v>3060</v>
      </c>
      <c r="B1351" s="87" t="s">
        <v>3061</v>
      </c>
      <c r="C1351" s="88" t="s">
        <v>226</v>
      </c>
      <c r="D1351" s="89" t="s">
        <v>255</v>
      </c>
      <c r="E1351" s="90">
        <f t="shared" si="257"/>
        <v>5467</v>
      </c>
      <c r="F1351" s="90">
        <f t="shared" si="258"/>
        <v>4593.7009344149046</v>
      </c>
      <c r="G1351" s="91">
        <v>0.19</v>
      </c>
      <c r="H1351" s="91" t="s">
        <v>228</v>
      </c>
      <c r="I1351" s="91"/>
      <c r="J1351" s="91" t="s">
        <v>228</v>
      </c>
      <c r="K1351" s="91"/>
      <c r="L1351" s="92" t="s">
        <v>1262</v>
      </c>
      <c r="M1351" s="91" t="str">
        <f t="shared" si="259"/>
        <v>VER ARCHIVO ANEXO</v>
      </c>
      <c r="N1351" s="93">
        <v>41608</v>
      </c>
      <c r="O1351" s="109"/>
      <c r="P1351" s="109"/>
      <c r="Q1351" s="94">
        <v>1202</v>
      </c>
      <c r="R1351" s="95">
        <f t="shared" ref="R1351:R1414" si="262">+AA1351</f>
        <v>4593.7009344149046</v>
      </c>
      <c r="S1351" s="109">
        <v>3006.14</v>
      </c>
      <c r="T1351" s="94">
        <f t="shared" si="260"/>
        <v>3209.6556780000001</v>
      </c>
      <c r="U1351" s="94">
        <f t="shared" si="255"/>
        <v>3394.2108794850005</v>
      </c>
      <c r="V1351" s="94">
        <f t="shared" si="256"/>
        <v>3533.0341044559368</v>
      </c>
      <c r="W1351" s="97">
        <f t="shared" si="253"/>
        <v>3645.3845889776358</v>
      </c>
      <c r="X1351" s="97">
        <f t="shared" si="254"/>
        <v>3783.9092033587858</v>
      </c>
      <c r="Y1351" s="97">
        <f t="shared" si="261"/>
        <v>3844.8301415328624</v>
      </c>
      <c r="Z1351" s="97">
        <f t="shared" ref="Z1351:Z1414" si="263">+Y1351*(1+$Z$4)</f>
        <v>4060.9095954870095</v>
      </c>
      <c r="AA1351" s="97">
        <f t="shared" ref="AA1351:AA1414" si="264">+Z1351*(1+$AA$4)</f>
        <v>4593.7009344149046</v>
      </c>
    </row>
    <row r="1352" spans="1:27" x14ac:dyDescent="0.25">
      <c r="A1352" s="102" t="s">
        <v>3062</v>
      </c>
      <c r="B1352" s="98" t="s">
        <v>3063</v>
      </c>
      <c r="C1352" s="99" t="s">
        <v>226</v>
      </c>
      <c r="D1352" s="100" t="s">
        <v>255</v>
      </c>
      <c r="E1352" s="101">
        <f t="shared" si="257"/>
        <v>3770</v>
      </c>
      <c r="F1352" s="90">
        <f t="shared" si="258"/>
        <v>3168.0696099413135</v>
      </c>
      <c r="G1352" s="91">
        <v>0.19</v>
      </c>
      <c r="H1352" s="91" t="s">
        <v>228</v>
      </c>
      <c r="I1352" s="91"/>
      <c r="J1352" s="91" t="s">
        <v>228</v>
      </c>
      <c r="K1352" s="91"/>
      <c r="L1352" s="92" t="s">
        <v>1262</v>
      </c>
      <c r="M1352" s="91" t="str">
        <f t="shared" si="259"/>
        <v>VER ARCHIVO ANEXO</v>
      </c>
      <c r="N1352" s="93">
        <v>41608</v>
      </c>
      <c r="O1352" s="109"/>
      <c r="P1352" s="109"/>
      <c r="Q1352" s="94">
        <v>1203</v>
      </c>
      <c r="R1352" s="95">
        <f t="shared" si="262"/>
        <v>3168.0696099413135</v>
      </c>
      <c r="S1352" s="109">
        <v>2073.1999999999998</v>
      </c>
      <c r="T1352" s="94">
        <f t="shared" si="260"/>
        <v>2213.55564</v>
      </c>
      <c r="U1352" s="94">
        <f t="shared" si="255"/>
        <v>2340.8350893000002</v>
      </c>
      <c r="V1352" s="94">
        <f t="shared" si="256"/>
        <v>2436.57524445237</v>
      </c>
      <c r="W1352" s="97">
        <f t="shared" ref="W1352:W1415" si="265">+V1352*(1+$W$4)</f>
        <v>2514.0583372259557</v>
      </c>
      <c r="X1352" s="97">
        <f t="shared" ref="X1352:X1415" si="266">+W1352*(1+$X$4)</f>
        <v>2609.5925540405419</v>
      </c>
      <c r="Y1352" s="97">
        <f t="shared" si="261"/>
        <v>2651.6069941605947</v>
      </c>
      <c r="Z1352" s="97">
        <f t="shared" si="263"/>
        <v>2800.6273072324202</v>
      </c>
      <c r="AA1352" s="97">
        <f t="shared" si="264"/>
        <v>3168.0696099413135</v>
      </c>
    </row>
    <row r="1353" spans="1:27" x14ac:dyDescent="0.25">
      <c r="A1353" s="102" t="s">
        <v>3064</v>
      </c>
      <c r="B1353" s="87" t="s">
        <v>3065</v>
      </c>
      <c r="C1353" s="88" t="s">
        <v>226</v>
      </c>
      <c r="D1353" s="89" t="s">
        <v>255</v>
      </c>
      <c r="E1353" s="90">
        <f t="shared" si="257"/>
        <v>4073</v>
      </c>
      <c r="F1353" s="90">
        <f t="shared" si="258"/>
        <v>3423.0992135415904</v>
      </c>
      <c r="G1353" s="91">
        <v>0.19</v>
      </c>
      <c r="H1353" s="91" t="s">
        <v>228</v>
      </c>
      <c r="I1353" s="91"/>
      <c r="J1353" s="91" t="s">
        <v>228</v>
      </c>
      <c r="K1353" s="91"/>
      <c r="L1353" s="92" t="s">
        <v>1262</v>
      </c>
      <c r="M1353" s="91" t="str">
        <f t="shared" si="259"/>
        <v>VER ARCHIVO ANEXO</v>
      </c>
      <c r="N1353" s="93">
        <v>41608</v>
      </c>
      <c r="O1353" s="109"/>
      <c r="P1353" s="109"/>
      <c r="Q1353" s="94">
        <v>1204</v>
      </c>
      <c r="R1353" s="95">
        <f t="shared" si="262"/>
        <v>3423.0992135415904</v>
      </c>
      <c r="S1353" s="109">
        <v>2240.0925999999999</v>
      </c>
      <c r="T1353" s="94">
        <f t="shared" si="260"/>
        <v>2391.7468690200003</v>
      </c>
      <c r="U1353" s="94">
        <f t="shared" si="255"/>
        <v>2529.2723139886507</v>
      </c>
      <c r="V1353" s="94">
        <f t="shared" si="256"/>
        <v>2632.7195516307866</v>
      </c>
      <c r="W1353" s="97">
        <f t="shared" si="265"/>
        <v>2716.4400333726458</v>
      </c>
      <c r="X1353" s="97">
        <f t="shared" si="266"/>
        <v>2819.6647546408062</v>
      </c>
      <c r="Y1353" s="97">
        <f t="shared" si="261"/>
        <v>2865.0613571905233</v>
      </c>
      <c r="Z1353" s="97">
        <f t="shared" si="263"/>
        <v>3026.0778054646307</v>
      </c>
      <c r="AA1353" s="97">
        <f t="shared" si="264"/>
        <v>3423.0992135415904</v>
      </c>
    </row>
    <row r="1354" spans="1:27" x14ac:dyDescent="0.25">
      <c r="A1354" s="102" t="s">
        <v>3066</v>
      </c>
      <c r="B1354" s="98" t="s">
        <v>3067</v>
      </c>
      <c r="C1354" s="99" t="s">
        <v>226</v>
      </c>
      <c r="D1354" s="100" t="s">
        <v>262</v>
      </c>
      <c r="E1354" s="101">
        <f t="shared" si="257"/>
        <v>2910</v>
      </c>
      <c r="F1354" s="90">
        <f t="shared" si="258"/>
        <v>2445.7497388746942</v>
      </c>
      <c r="G1354" s="91">
        <v>0.19</v>
      </c>
      <c r="H1354" s="91" t="s">
        <v>228</v>
      </c>
      <c r="I1354" s="91"/>
      <c r="J1354" s="91" t="s">
        <v>228</v>
      </c>
      <c r="K1354" s="91"/>
      <c r="L1354" s="92" t="s">
        <v>2860</v>
      </c>
      <c r="M1354" s="91" t="str">
        <f t="shared" si="259"/>
        <v>VER ARCHIVO ANEXO</v>
      </c>
      <c r="N1354" s="93">
        <v>41608</v>
      </c>
      <c r="O1354" s="109"/>
      <c r="P1354" s="109"/>
      <c r="Q1354" s="94">
        <v>1205</v>
      </c>
      <c r="R1354" s="95">
        <f t="shared" si="262"/>
        <v>2445.7497388746942</v>
      </c>
      <c r="S1354" s="109">
        <v>1600.5103999999999</v>
      </c>
      <c r="T1354" s="94">
        <f t="shared" si="260"/>
        <v>1708.86495408</v>
      </c>
      <c r="U1354" s="94">
        <f t="shared" si="255"/>
        <v>1807.1246889396002</v>
      </c>
      <c r="V1354" s="94">
        <f t="shared" si="256"/>
        <v>1881.0360887172299</v>
      </c>
      <c r="W1354" s="97">
        <f t="shared" si="265"/>
        <v>1940.853036338438</v>
      </c>
      <c r="X1354" s="97">
        <f t="shared" si="266"/>
        <v>2014.6054517192986</v>
      </c>
      <c r="Y1354" s="97">
        <f t="shared" si="261"/>
        <v>2047.0405994919793</v>
      </c>
      <c r="Z1354" s="97">
        <f t="shared" si="263"/>
        <v>2162.0842811834286</v>
      </c>
      <c r="AA1354" s="97">
        <f t="shared" si="264"/>
        <v>2445.7497388746942</v>
      </c>
    </row>
    <row r="1355" spans="1:27" x14ac:dyDescent="0.25">
      <c r="A1355" s="102" t="s">
        <v>3068</v>
      </c>
      <c r="B1355" s="98" t="s">
        <v>3069</v>
      </c>
      <c r="C1355" s="99" t="s">
        <v>226</v>
      </c>
      <c r="D1355" s="100" t="s">
        <v>262</v>
      </c>
      <c r="E1355" s="101">
        <f t="shared" si="257"/>
        <v>2236</v>
      </c>
      <c r="F1355" s="90">
        <f t="shared" si="258"/>
        <v>1878.6652786951997</v>
      </c>
      <c r="G1355" s="91">
        <v>0.19</v>
      </c>
      <c r="H1355" s="91" t="s">
        <v>228</v>
      </c>
      <c r="I1355" s="91"/>
      <c r="J1355" s="91" t="s">
        <v>228</v>
      </c>
      <c r="K1355" s="91"/>
      <c r="L1355" s="92" t="s">
        <v>2860</v>
      </c>
      <c r="M1355" s="91" t="str">
        <f t="shared" si="259"/>
        <v>VER ARCHIVO ANEXO</v>
      </c>
      <c r="N1355" s="93">
        <v>41608</v>
      </c>
      <c r="O1355" s="109"/>
      <c r="P1355" s="109"/>
      <c r="Q1355" s="94">
        <v>1206</v>
      </c>
      <c r="R1355" s="95">
        <f t="shared" si="262"/>
        <v>1878.6652786951997</v>
      </c>
      <c r="S1355" s="109">
        <v>1229.4076</v>
      </c>
      <c r="T1355" s="94">
        <f t="shared" si="260"/>
        <v>1312.6384945200002</v>
      </c>
      <c r="U1355" s="94">
        <f t="shared" ref="U1355:U1418" si="267">+T1355*(1+$U$4)</f>
        <v>1388.1152079549004</v>
      </c>
      <c r="V1355" s="94">
        <f t="shared" ref="V1355:V1418" si="268">+U1355*(1+$V$4)</f>
        <v>1444.8891199602558</v>
      </c>
      <c r="W1355" s="97">
        <f t="shared" si="265"/>
        <v>1490.836593974992</v>
      </c>
      <c r="X1355" s="97">
        <f t="shared" si="266"/>
        <v>1547.4883845460417</v>
      </c>
      <c r="Y1355" s="97">
        <f t="shared" si="261"/>
        <v>1572.4029475372331</v>
      </c>
      <c r="Z1355" s="97">
        <f t="shared" si="263"/>
        <v>1660.7719931888257</v>
      </c>
      <c r="AA1355" s="97">
        <f t="shared" si="264"/>
        <v>1878.6652786951997</v>
      </c>
    </row>
    <row r="1356" spans="1:27" x14ac:dyDescent="0.25">
      <c r="A1356" s="102" t="s">
        <v>3070</v>
      </c>
      <c r="B1356" s="87" t="s">
        <v>3071</v>
      </c>
      <c r="C1356" s="88" t="s">
        <v>226</v>
      </c>
      <c r="D1356" s="89" t="s">
        <v>262</v>
      </c>
      <c r="E1356" s="90">
        <f t="shared" si="257"/>
        <v>2236</v>
      </c>
      <c r="F1356" s="90">
        <f t="shared" si="258"/>
        <v>1878.6652786951997</v>
      </c>
      <c r="G1356" s="91">
        <v>0.19</v>
      </c>
      <c r="H1356" s="91" t="s">
        <v>228</v>
      </c>
      <c r="I1356" s="91"/>
      <c r="J1356" s="91" t="s">
        <v>228</v>
      </c>
      <c r="K1356" s="91"/>
      <c r="L1356" s="92" t="s">
        <v>2860</v>
      </c>
      <c r="M1356" s="91" t="str">
        <f t="shared" si="259"/>
        <v>VER ARCHIVO ANEXO</v>
      </c>
      <c r="N1356" s="93">
        <v>41608</v>
      </c>
      <c r="O1356" s="109"/>
      <c r="P1356" s="109"/>
      <c r="Q1356" s="94">
        <v>1207</v>
      </c>
      <c r="R1356" s="95">
        <f t="shared" si="262"/>
        <v>1878.6652786951997</v>
      </c>
      <c r="S1356" s="109">
        <v>1229.4076</v>
      </c>
      <c r="T1356" s="94">
        <f t="shared" si="260"/>
        <v>1312.6384945200002</v>
      </c>
      <c r="U1356" s="94">
        <f t="shared" si="267"/>
        <v>1388.1152079549004</v>
      </c>
      <c r="V1356" s="94">
        <f t="shared" si="268"/>
        <v>1444.8891199602558</v>
      </c>
      <c r="W1356" s="97">
        <f t="shared" si="265"/>
        <v>1490.836593974992</v>
      </c>
      <c r="X1356" s="97">
        <f t="shared" si="266"/>
        <v>1547.4883845460417</v>
      </c>
      <c r="Y1356" s="97">
        <f t="shared" si="261"/>
        <v>1572.4029475372331</v>
      </c>
      <c r="Z1356" s="97">
        <f t="shared" si="263"/>
        <v>1660.7719931888257</v>
      </c>
      <c r="AA1356" s="97">
        <f t="shared" si="264"/>
        <v>1878.6652786951997</v>
      </c>
    </row>
    <row r="1357" spans="1:27" x14ac:dyDescent="0.25">
      <c r="A1357" s="102" t="s">
        <v>3072</v>
      </c>
      <c r="B1357" s="87" t="s">
        <v>3073</v>
      </c>
      <c r="C1357" s="88" t="s">
        <v>226</v>
      </c>
      <c r="D1357" s="89" t="s">
        <v>255</v>
      </c>
      <c r="E1357" s="90">
        <f t="shared" ref="E1357:E1420" si="269">+ROUND(F1357*(1+G1357),0)</f>
        <v>158870</v>
      </c>
      <c r="F1357" s="90">
        <f t="shared" si="258"/>
        <v>133504.03739773191</v>
      </c>
      <c r="G1357" s="91">
        <v>0.19</v>
      </c>
      <c r="H1357" s="91" t="s">
        <v>228</v>
      </c>
      <c r="I1357" s="91"/>
      <c r="J1357" s="91" t="s">
        <v>228</v>
      </c>
      <c r="K1357" s="91"/>
      <c r="L1357" s="92" t="s">
        <v>2860</v>
      </c>
      <c r="M1357" s="91" t="str">
        <f t="shared" si="259"/>
        <v>VER ARCHIVO ANEXO</v>
      </c>
      <c r="N1357" s="93">
        <v>41608</v>
      </c>
      <c r="O1357" s="109"/>
      <c r="P1357" s="109"/>
      <c r="Q1357" s="94">
        <v>1208</v>
      </c>
      <c r="R1357" s="95">
        <f t="shared" si="262"/>
        <v>133504.03739773191</v>
      </c>
      <c r="S1357" s="109">
        <v>87365.684599999993</v>
      </c>
      <c r="T1357" s="94">
        <f t="shared" si="260"/>
        <v>93280.341447419996</v>
      </c>
      <c r="U1357" s="94">
        <f t="shared" si="267"/>
        <v>98643.961080646652</v>
      </c>
      <c r="V1357" s="94">
        <f t="shared" si="268"/>
        <v>102678.4990888451</v>
      </c>
      <c r="W1357" s="97">
        <f t="shared" si="265"/>
        <v>105943.67535987038</v>
      </c>
      <c r="X1357" s="97">
        <f t="shared" si="266"/>
        <v>109969.53502354545</v>
      </c>
      <c r="Y1357" s="97">
        <f t="shared" si="261"/>
        <v>111740.04453742453</v>
      </c>
      <c r="Z1357" s="97">
        <f t="shared" si="263"/>
        <v>118019.83504042779</v>
      </c>
      <c r="AA1357" s="97">
        <f t="shared" si="264"/>
        <v>133504.03739773191</v>
      </c>
    </row>
    <row r="1358" spans="1:27" x14ac:dyDescent="0.25">
      <c r="A1358" s="102" t="s">
        <v>3074</v>
      </c>
      <c r="B1358" s="98" t="s">
        <v>3075</v>
      </c>
      <c r="C1358" s="99" t="s">
        <v>226</v>
      </c>
      <c r="D1358" s="100" t="s">
        <v>262</v>
      </c>
      <c r="E1358" s="101">
        <f t="shared" si="269"/>
        <v>5467</v>
      </c>
      <c r="F1358" s="90">
        <f t="shared" si="258"/>
        <v>4593.7009344149046</v>
      </c>
      <c r="G1358" s="91">
        <v>0.19</v>
      </c>
      <c r="H1358" s="91" t="s">
        <v>228</v>
      </c>
      <c r="I1358" s="91"/>
      <c r="J1358" s="91" t="s">
        <v>228</v>
      </c>
      <c r="K1358" s="91"/>
      <c r="L1358" s="92" t="s">
        <v>2860</v>
      </c>
      <c r="M1358" s="91" t="str">
        <f t="shared" si="259"/>
        <v>VER ARCHIVO ANEXO</v>
      </c>
      <c r="N1358" s="93">
        <v>41608</v>
      </c>
      <c r="O1358" s="109"/>
      <c r="P1358" s="109"/>
      <c r="Q1358" s="94">
        <v>1209</v>
      </c>
      <c r="R1358" s="95">
        <f t="shared" si="262"/>
        <v>4593.7009344149046</v>
      </c>
      <c r="S1358" s="109">
        <v>3006.14</v>
      </c>
      <c r="T1358" s="94">
        <f t="shared" si="260"/>
        <v>3209.6556780000001</v>
      </c>
      <c r="U1358" s="94">
        <f t="shared" si="267"/>
        <v>3394.2108794850005</v>
      </c>
      <c r="V1358" s="94">
        <f t="shared" si="268"/>
        <v>3533.0341044559368</v>
      </c>
      <c r="W1358" s="97">
        <f t="shared" si="265"/>
        <v>3645.3845889776358</v>
      </c>
      <c r="X1358" s="97">
        <f t="shared" si="266"/>
        <v>3783.9092033587858</v>
      </c>
      <c r="Y1358" s="97">
        <f t="shared" si="261"/>
        <v>3844.8301415328624</v>
      </c>
      <c r="Z1358" s="97">
        <f t="shared" si="263"/>
        <v>4060.9095954870095</v>
      </c>
      <c r="AA1358" s="97">
        <f t="shared" si="264"/>
        <v>4593.7009344149046</v>
      </c>
    </row>
    <row r="1359" spans="1:27" x14ac:dyDescent="0.25">
      <c r="A1359" s="102" t="s">
        <v>3076</v>
      </c>
      <c r="B1359" s="87" t="s">
        <v>3077</v>
      </c>
      <c r="C1359" s="88" t="s">
        <v>226</v>
      </c>
      <c r="D1359" s="89" t="s">
        <v>262</v>
      </c>
      <c r="E1359" s="90">
        <f t="shared" si="269"/>
        <v>18884</v>
      </c>
      <c r="F1359" s="90">
        <f t="shared" si="258"/>
        <v>15868.860676196038</v>
      </c>
      <c r="G1359" s="91">
        <v>0.19</v>
      </c>
      <c r="H1359" s="91" t="s">
        <v>228</v>
      </c>
      <c r="I1359" s="91"/>
      <c r="J1359" s="91" t="s">
        <v>228</v>
      </c>
      <c r="K1359" s="91"/>
      <c r="L1359" s="92" t="s">
        <v>2860</v>
      </c>
      <c r="M1359" s="91" t="str">
        <f t="shared" si="259"/>
        <v>VER ARCHIVO ANEXO</v>
      </c>
      <c r="N1359" s="93">
        <v>41608</v>
      </c>
      <c r="O1359" s="109"/>
      <c r="P1359" s="109"/>
      <c r="Q1359" s="94">
        <v>1210</v>
      </c>
      <c r="R1359" s="95">
        <f t="shared" si="262"/>
        <v>15868.860676196038</v>
      </c>
      <c r="S1359" s="109">
        <v>10384.658799999999</v>
      </c>
      <c r="T1359" s="94">
        <f t="shared" si="260"/>
        <v>11087.70020076</v>
      </c>
      <c r="U1359" s="94">
        <f t="shared" si="267"/>
        <v>11725.242962303702</v>
      </c>
      <c r="V1359" s="94">
        <f t="shared" si="268"/>
        <v>12204.805399461922</v>
      </c>
      <c r="W1359" s="97">
        <f t="shared" si="265"/>
        <v>12592.918211164812</v>
      </c>
      <c r="X1359" s="97">
        <f t="shared" si="266"/>
        <v>13071.449103189074</v>
      </c>
      <c r="Y1359" s="97">
        <f t="shared" si="261"/>
        <v>13281.899433750417</v>
      </c>
      <c r="Z1359" s="97">
        <f t="shared" si="263"/>
        <v>14028.342181927192</v>
      </c>
      <c r="AA1359" s="97">
        <f t="shared" si="264"/>
        <v>15868.860676196038</v>
      </c>
    </row>
    <row r="1360" spans="1:27" x14ac:dyDescent="0.25">
      <c r="A1360" s="102" t="s">
        <v>3078</v>
      </c>
      <c r="B1360" s="87" t="s">
        <v>3079</v>
      </c>
      <c r="C1360" s="88" t="s">
        <v>226</v>
      </c>
      <c r="D1360" s="89" t="s">
        <v>262</v>
      </c>
      <c r="E1360" s="90">
        <f t="shared" si="269"/>
        <v>26579</v>
      </c>
      <c r="F1360" s="90">
        <f t="shared" si="258"/>
        <v>22334.890750086262</v>
      </c>
      <c r="G1360" s="91">
        <v>0.19</v>
      </c>
      <c r="H1360" s="91" t="s">
        <v>228</v>
      </c>
      <c r="I1360" s="91"/>
      <c r="J1360" s="91" t="s">
        <v>228</v>
      </c>
      <c r="K1360" s="91"/>
      <c r="L1360" s="92" t="s">
        <v>2860</v>
      </c>
      <c r="M1360" s="91" t="str">
        <f t="shared" si="259"/>
        <v>VER ARCHIVO ANEXO</v>
      </c>
      <c r="N1360" s="93">
        <v>41608</v>
      </c>
      <c r="O1360" s="109"/>
      <c r="P1360" s="109"/>
      <c r="Q1360" s="94">
        <v>1211</v>
      </c>
      <c r="R1360" s="95">
        <f t="shared" si="262"/>
        <v>22334.890750086262</v>
      </c>
      <c r="S1360" s="109">
        <v>14616.06</v>
      </c>
      <c r="T1360" s="94">
        <f t="shared" si="260"/>
        <v>15605.567262</v>
      </c>
      <c r="U1360" s="94">
        <f t="shared" si="267"/>
        <v>16502.887379565003</v>
      </c>
      <c r="V1360" s="94">
        <f t="shared" si="268"/>
        <v>17177.855473389212</v>
      </c>
      <c r="W1360" s="97">
        <f t="shared" si="265"/>
        <v>17724.111277442989</v>
      </c>
      <c r="X1360" s="97">
        <f t="shared" si="266"/>
        <v>18397.627505985824</v>
      </c>
      <c r="Y1360" s="97">
        <f t="shared" si="261"/>
        <v>18693.829308832195</v>
      </c>
      <c r="Z1360" s="97">
        <f t="shared" si="263"/>
        <v>19744.422515988565</v>
      </c>
      <c r="AA1360" s="97">
        <f t="shared" si="264"/>
        <v>22334.890750086262</v>
      </c>
    </row>
    <row r="1361" spans="1:27" x14ac:dyDescent="0.25">
      <c r="A1361" s="102" t="s">
        <v>3080</v>
      </c>
      <c r="B1361" s="87" t="s">
        <v>3081</v>
      </c>
      <c r="C1361" s="88" t="s">
        <v>226</v>
      </c>
      <c r="D1361" s="89" t="s">
        <v>262</v>
      </c>
      <c r="E1361" s="90">
        <f t="shared" si="269"/>
        <v>28075</v>
      </c>
      <c r="F1361" s="90">
        <f t="shared" si="258"/>
        <v>23592.614385232966</v>
      </c>
      <c r="G1361" s="91">
        <v>0.19</v>
      </c>
      <c r="H1361" s="91" t="s">
        <v>228</v>
      </c>
      <c r="I1361" s="91"/>
      <c r="J1361" s="91" t="s">
        <v>228</v>
      </c>
      <c r="K1361" s="91"/>
      <c r="L1361" s="92" t="s">
        <v>2860</v>
      </c>
      <c r="M1361" s="91" t="str">
        <f t="shared" si="259"/>
        <v>VER ARCHIVO ANEXO</v>
      </c>
      <c r="N1361" s="93">
        <v>41608</v>
      </c>
      <c r="O1361" s="109"/>
      <c r="P1361" s="109"/>
      <c r="Q1361" s="94">
        <v>1212</v>
      </c>
      <c r="R1361" s="95">
        <f t="shared" si="262"/>
        <v>23592.614385232966</v>
      </c>
      <c r="S1361" s="109">
        <v>15439.1204</v>
      </c>
      <c r="T1361" s="94">
        <f t="shared" si="260"/>
        <v>16484.348851080002</v>
      </c>
      <c r="U1361" s="94">
        <f t="shared" si="267"/>
        <v>17432.198910017105</v>
      </c>
      <c r="V1361" s="94">
        <f t="shared" si="268"/>
        <v>18145.175845436803</v>
      </c>
      <c r="W1361" s="97">
        <f t="shared" si="265"/>
        <v>18722.192437321693</v>
      </c>
      <c r="X1361" s="97">
        <f t="shared" si="266"/>
        <v>19433.63574993992</v>
      </c>
      <c r="Y1361" s="97">
        <f t="shared" si="261"/>
        <v>19746.517285513954</v>
      </c>
      <c r="Z1361" s="97">
        <f t="shared" si="263"/>
        <v>20856.271556959837</v>
      </c>
      <c r="AA1361" s="97">
        <f t="shared" si="264"/>
        <v>23592.614385232966</v>
      </c>
    </row>
    <row r="1362" spans="1:27" x14ac:dyDescent="0.25">
      <c r="A1362" s="102" t="s">
        <v>3082</v>
      </c>
      <c r="B1362" s="98" t="s">
        <v>3083</v>
      </c>
      <c r="C1362" s="99" t="s">
        <v>226</v>
      </c>
      <c r="D1362" s="100" t="s">
        <v>255</v>
      </c>
      <c r="E1362" s="101">
        <f t="shared" si="269"/>
        <v>5853</v>
      </c>
      <c r="F1362" s="90">
        <f t="shared" si="258"/>
        <v>4918.4280694338895</v>
      </c>
      <c r="G1362" s="91">
        <v>0.19</v>
      </c>
      <c r="H1362" s="91" t="s">
        <v>228</v>
      </c>
      <c r="I1362" s="91"/>
      <c r="J1362" s="91" t="s">
        <v>228</v>
      </c>
      <c r="K1362" s="91"/>
      <c r="L1362" s="92" t="s">
        <v>1262</v>
      </c>
      <c r="M1362" s="91" t="str">
        <f t="shared" si="259"/>
        <v>VER ARCHIVO ANEXO</v>
      </c>
      <c r="N1362" s="93">
        <v>41608</v>
      </c>
      <c r="O1362" s="109"/>
      <c r="P1362" s="109"/>
      <c r="Q1362" s="94">
        <v>1213</v>
      </c>
      <c r="R1362" s="95">
        <f t="shared" si="262"/>
        <v>4918.4280694338895</v>
      </c>
      <c r="S1362" s="109">
        <v>3218.643</v>
      </c>
      <c r="T1362" s="94">
        <f t="shared" si="260"/>
        <v>3436.5451311000002</v>
      </c>
      <c r="U1362" s="94">
        <f t="shared" si="267"/>
        <v>3634.1464761382504</v>
      </c>
      <c r="V1362" s="94">
        <f t="shared" si="268"/>
        <v>3782.7830670123044</v>
      </c>
      <c r="W1362" s="97">
        <f t="shared" si="265"/>
        <v>3903.075568543296</v>
      </c>
      <c r="X1362" s="97">
        <f t="shared" si="266"/>
        <v>4051.3924401479412</v>
      </c>
      <c r="Y1362" s="97">
        <f t="shared" si="261"/>
        <v>4116.6198584343229</v>
      </c>
      <c r="Z1362" s="97">
        <f t="shared" si="263"/>
        <v>4347.9738944783321</v>
      </c>
      <c r="AA1362" s="97">
        <f t="shared" si="264"/>
        <v>4918.4280694338895</v>
      </c>
    </row>
    <row r="1363" spans="1:27" x14ac:dyDescent="0.25">
      <c r="A1363" s="102" t="s">
        <v>3084</v>
      </c>
      <c r="B1363" s="87" t="s">
        <v>3085</v>
      </c>
      <c r="C1363" s="88" t="s">
        <v>226</v>
      </c>
      <c r="D1363" s="89" t="s">
        <v>255</v>
      </c>
      <c r="E1363" s="90">
        <f t="shared" si="269"/>
        <v>4524</v>
      </c>
      <c r="F1363" s="90">
        <f t="shared" si="258"/>
        <v>3801.6835319295778</v>
      </c>
      <c r="G1363" s="91">
        <v>0.19</v>
      </c>
      <c r="H1363" s="91" t="s">
        <v>228</v>
      </c>
      <c r="I1363" s="91"/>
      <c r="J1363" s="91" t="s">
        <v>228</v>
      </c>
      <c r="K1363" s="91"/>
      <c r="L1363" s="92" t="s">
        <v>1262</v>
      </c>
      <c r="M1363" s="91" t="str">
        <f t="shared" si="259"/>
        <v>VER ARCHIVO ANEXO</v>
      </c>
      <c r="N1363" s="93">
        <v>41608</v>
      </c>
      <c r="O1363" s="109"/>
      <c r="P1363" s="109"/>
      <c r="Q1363" s="94">
        <v>1214</v>
      </c>
      <c r="R1363" s="95">
        <f t="shared" si="262"/>
        <v>3801.6835319295778</v>
      </c>
      <c r="S1363" s="109">
        <v>2487.84</v>
      </c>
      <c r="T1363" s="94">
        <f t="shared" si="260"/>
        <v>2656.2667680000004</v>
      </c>
      <c r="U1363" s="94">
        <f t="shared" si="267"/>
        <v>2809.0021071600008</v>
      </c>
      <c r="V1363" s="94">
        <f t="shared" si="268"/>
        <v>2923.8902933428449</v>
      </c>
      <c r="W1363" s="97">
        <f t="shared" si="265"/>
        <v>3016.8700046711474</v>
      </c>
      <c r="X1363" s="97">
        <f t="shared" si="266"/>
        <v>3131.5110648486511</v>
      </c>
      <c r="Y1363" s="97">
        <f t="shared" si="261"/>
        <v>3181.9283929927146</v>
      </c>
      <c r="Z1363" s="97">
        <f t="shared" si="263"/>
        <v>3360.7527686789053</v>
      </c>
      <c r="AA1363" s="97">
        <f t="shared" si="264"/>
        <v>3801.6835319295778</v>
      </c>
    </row>
    <row r="1364" spans="1:27" x14ac:dyDescent="0.25">
      <c r="A1364" s="102" t="s">
        <v>3086</v>
      </c>
      <c r="B1364" s="119" t="s">
        <v>3087</v>
      </c>
      <c r="C1364" s="107" t="s">
        <v>226</v>
      </c>
      <c r="D1364" s="89" t="s">
        <v>262</v>
      </c>
      <c r="E1364" s="90">
        <f t="shared" si="269"/>
        <v>80912</v>
      </c>
      <c r="F1364" s="90">
        <f t="shared" si="258"/>
        <v>67993.109968560486</v>
      </c>
      <c r="G1364" s="91">
        <v>0.19</v>
      </c>
      <c r="H1364" s="91" t="s">
        <v>228</v>
      </c>
      <c r="I1364" s="91"/>
      <c r="J1364" s="91" t="s">
        <v>228</v>
      </c>
      <c r="K1364" s="91"/>
      <c r="L1364" s="92" t="s">
        <v>2860</v>
      </c>
      <c r="M1364" s="91" t="str">
        <f t="shared" si="259"/>
        <v>VER ARCHIVO ANEXO</v>
      </c>
      <c r="N1364" s="93">
        <v>41608</v>
      </c>
      <c r="O1364" s="109"/>
      <c r="P1364" s="109"/>
      <c r="Q1364" s="94">
        <v>1215</v>
      </c>
      <c r="R1364" s="95">
        <f t="shared" si="262"/>
        <v>67993.109968560486</v>
      </c>
      <c r="S1364" s="109">
        <v>44495.018400000001</v>
      </c>
      <c r="T1364" s="94">
        <f t="shared" si="260"/>
        <v>47507.331145680007</v>
      </c>
      <c r="U1364" s="94">
        <f t="shared" si="267"/>
        <v>50239.002686556611</v>
      </c>
      <c r="V1364" s="94">
        <f t="shared" si="268"/>
        <v>52293.777896436775</v>
      </c>
      <c r="W1364" s="97">
        <f t="shared" si="265"/>
        <v>53956.720033543468</v>
      </c>
      <c r="X1364" s="97">
        <f t="shared" si="266"/>
        <v>56007.075394818123</v>
      </c>
      <c r="Y1364" s="97">
        <f t="shared" si="261"/>
        <v>56908.789308674692</v>
      </c>
      <c r="Z1364" s="97">
        <f t="shared" si="263"/>
        <v>60107.06326782221</v>
      </c>
      <c r="AA1364" s="97">
        <f t="shared" si="264"/>
        <v>67993.109968560486</v>
      </c>
    </row>
    <row r="1365" spans="1:27" x14ac:dyDescent="0.25">
      <c r="A1365" s="102" t="s">
        <v>3088</v>
      </c>
      <c r="B1365" s="119" t="s">
        <v>3089</v>
      </c>
      <c r="C1365" s="107" t="s">
        <v>226</v>
      </c>
      <c r="D1365" s="89" t="s">
        <v>262</v>
      </c>
      <c r="E1365" s="90">
        <f t="shared" si="269"/>
        <v>87274</v>
      </c>
      <c r="F1365" s="90">
        <f t="shared" si="258"/>
        <v>73339.227435336434</v>
      </c>
      <c r="G1365" s="91">
        <v>0.19</v>
      </c>
      <c r="H1365" s="91" t="s">
        <v>228</v>
      </c>
      <c r="I1365" s="91"/>
      <c r="J1365" s="91" t="s">
        <v>228</v>
      </c>
      <c r="K1365" s="91"/>
      <c r="L1365" s="92" t="s">
        <v>2860</v>
      </c>
      <c r="M1365" s="91" t="str">
        <f t="shared" si="259"/>
        <v>VER ARCHIVO ANEXO</v>
      </c>
      <c r="N1365" s="93">
        <v>41608</v>
      </c>
      <c r="O1365" s="109"/>
      <c r="P1365" s="109"/>
      <c r="Q1365" s="94">
        <v>1216</v>
      </c>
      <c r="R1365" s="95">
        <f t="shared" si="262"/>
        <v>73339.227435336434</v>
      </c>
      <c r="S1365" s="109">
        <v>47993.543399999995</v>
      </c>
      <c r="T1365" s="94">
        <f t="shared" si="260"/>
        <v>51242.706288180001</v>
      </c>
      <c r="U1365" s="94">
        <f t="shared" si="267"/>
        <v>54189.161899750354</v>
      </c>
      <c r="V1365" s="94">
        <f t="shared" si="268"/>
        <v>56405.49862145014</v>
      </c>
      <c r="W1365" s="97">
        <f t="shared" si="265"/>
        <v>58199.193477612258</v>
      </c>
      <c r="X1365" s="97">
        <f t="shared" si="266"/>
        <v>60410.762829761523</v>
      </c>
      <c r="Y1365" s="97">
        <f t="shared" si="261"/>
        <v>61383.376111320686</v>
      </c>
      <c r="Z1365" s="97">
        <f t="shared" si="263"/>
        <v>64833.121848776907</v>
      </c>
      <c r="AA1365" s="97">
        <f t="shared" si="264"/>
        <v>73339.227435336434</v>
      </c>
    </row>
    <row r="1366" spans="1:27" x14ac:dyDescent="0.25">
      <c r="A1366" s="102" t="s">
        <v>3090</v>
      </c>
      <c r="B1366" s="87" t="s">
        <v>3091</v>
      </c>
      <c r="C1366" s="107" t="s">
        <v>226</v>
      </c>
      <c r="D1366" s="89" t="s">
        <v>262</v>
      </c>
      <c r="E1366" s="90">
        <f t="shared" si="269"/>
        <v>74948</v>
      </c>
      <c r="F1366" s="90">
        <f t="shared" si="258"/>
        <v>62981.223845633322</v>
      </c>
      <c r="G1366" s="91">
        <v>0.19</v>
      </c>
      <c r="H1366" s="91" t="s">
        <v>228</v>
      </c>
      <c r="I1366" s="91"/>
      <c r="J1366" s="91" t="s">
        <v>228</v>
      </c>
      <c r="K1366" s="91"/>
      <c r="L1366" s="92" t="s">
        <v>2860</v>
      </c>
      <c r="M1366" s="91" t="str">
        <f t="shared" si="259"/>
        <v>VER ARCHIVO ANEXO</v>
      </c>
      <c r="N1366" s="93">
        <v>41608</v>
      </c>
      <c r="O1366" s="109"/>
      <c r="P1366" s="109"/>
      <c r="Q1366" s="94">
        <v>1217</v>
      </c>
      <c r="R1366" s="95">
        <f t="shared" si="262"/>
        <v>62981.223845633322</v>
      </c>
      <c r="S1366" s="109">
        <v>41215.216</v>
      </c>
      <c r="T1366" s="94">
        <f t="shared" si="260"/>
        <v>44005.486123200004</v>
      </c>
      <c r="U1366" s="94">
        <f t="shared" si="267"/>
        <v>46535.801575284007</v>
      </c>
      <c r="V1366" s="94">
        <f t="shared" si="268"/>
        <v>48439.115859713122</v>
      </c>
      <c r="W1366" s="97">
        <f t="shared" si="265"/>
        <v>49979.479744051998</v>
      </c>
      <c r="X1366" s="97">
        <f t="shared" si="266"/>
        <v>51878.699974325973</v>
      </c>
      <c r="Y1366" s="97">
        <f t="shared" si="261"/>
        <v>52713.947043912623</v>
      </c>
      <c r="Z1366" s="97">
        <f t="shared" si="263"/>
        <v>55676.470867780517</v>
      </c>
      <c r="AA1366" s="97">
        <f t="shared" si="264"/>
        <v>62981.223845633322</v>
      </c>
    </row>
    <row r="1367" spans="1:27" x14ac:dyDescent="0.25">
      <c r="A1367" s="102" t="s">
        <v>3092</v>
      </c>
      <c r="B1367" s="87" t="s">
        <v>3093</v>
      </c>
      <c r="C1367" s="107" t="s">
        <v>226</v>
      </c>
      <c r="D1367" s="89" t="s">
        <v>262</v>
      </c>
      <c r="E1367" s="90">
        <f t="shared" si="269"/>
        <v>138169</v>
      </c>
      <c r="F1367" s="90">
        <f t="shared" si="258"/>
        <v>116108.16716954418</v>
      </c>
      <c r="G1367" s="91">
        <v>0.19</v>
      </c>
      <c r="H1367" s="91" t="s">
        <v>228</v>
      </c>
      <c r="I1367" s="91"/>
      <c r="J1367" s="91" t="s">
        <v>228</v>
      </c>
      <c r="K1367" s="91"/>
      <c r="L1367" s="92" t="s">
        <v>2860</v>
      </c>
      <c r="M1367" s="91" t="str">
        <f t="shared" si="259"/>
        <v>VER ARCHIVO ANEXO</v>
      </c>
      <c r="N1367" s="93">
        <v>41608</v>
      </c>
      <c r="O1367" s="109"/>
      <c r="P1367" s="109"/>
      <c r="Q1367" s="94">
        <v>1218</v>
      </c>
      <c r="R1367" s="95">
        <f t="shared" si="262"/>
        <v>116108.16716954418</v>
      </c>
      <c r="S1367" s="109">
        <v>75981.743399999992</v>
      </c>
      <c r="T1367" s="94">
        <f t="shared" si="260"/>
        <v>81125.707428180001</v>
      </c>
      <c r="U1367" s="94">
        <f t="shared" si="267"/>
        <v>85790.435605300358</v>
      </c>
      <c r="V1367" s="94">
        <f t="shared" si="268"/>
        <v>89299.264421557134</v>
      </c>
      <c r="W1367" s="97">
        <f t="shared" si="265"/>
        <v>92138.981030162657</v>
      </c>
      <c r="X1367" s="97">
        <f t="shared" si="266"/>
        <v>95640.262309308848</v>
      </c>
      <c r="Y1367" s="97">
        <f t="shared" si="261"/>
        <v>97180.070532488724</v>
      </c>
      <c r="Z1367" s="97">
        <f t="shared" si="263"/>
        <v>102641.59049641459</v>
      </c>
      <c r="AA1367" s="97">
        <f t="shared" si="264"/>
        <v>116108.16716954418</v>
      </c>
    </row>
    <row r="1368" spans="1:27" x14ac:dyDescent="0.25">
      <c r="A1368" s="102" t="s">
        <v>3094</v>
      </c>
      <c r="B1368" s="87" t="s">
        <v>3095</v>
      </c>
      <c r="C1368" s="107" t="s">
        <v>226</v>
      </c>
      <c r="D1368" s="89" t="s">
        <v>262</v>
      </c>
      <c r="E1368" s="90">
        <f t="shared" si="269"/>
        <v>99002</v>
      </c>
      <c r="F1368" s="90">
        <f t="shared" ref="F1368:F1431" si="270">R1368</f>
        <v>83195.091991863883</v>
      </c>
      <c r="G1368" s="91">
        <v>0.19</v>
      </c>
      <c r="H1368" s="91" t="s">
        <v>228</v>
      </c>
      <c r="I1368" s="91"/>
      <c r="J1368" s="91" t="s">
        <v>228</v>
      </c>
      <c r="K1368" s="91"/>
      <c r="L1368" s="92" t="s">
        <v>2860</v>
      </c>
      <c r="M1368" s="91" t="str">
        <f t="shared" si="259"/>
        <v>VER ARCHIVO ANEXO</v>
      </c>
      <c r="N1368" s="93">
        <v>41608</v>
      </c>
      <c r="O1368" s="109"/>
      <c r="P1368" s="109"/>
      <c r="Q1368" s="94">
        <v>1219</v>
      </c>
      <c r="R1368" s="95">
        <f t="shared" si="262"/>
        <v>83195.091991863883</v>
      </c>
      <c r="S1368" s="109">
        <v>54443.268599999996</v>
      </c>
      <c r="T1368" s="94">
        <f t="shared" si="260"/>
        <v>58129.077884220002</v>
      </c>
      <c r="U1368" s="94">
        <f t="shared" si="267"/>
        <v>61471.499862562661</v>
      </c>
      <c r="V1368" s="94">
        <f t="shared" si="268"/>
        <v>63985.684206941471</v>
      </c>
      <c r="W1368" s="97">
        <f t="shared" si="265"/>
        <v>66020.428964722218</v>
      </c>
      <c r="X1368" s="97">
        <f t="shared" si="266"/>
        <v>68529.205265381665</v>
      </c>
      <c r="Y1368" s="97">
        <f t="shared" si="261"/>
        <v>69632.525470154316</v>
      </c>
      <c r="Z1368" s="97">
        <f t="shared" si="263"/>
        <v>73545.873401576988</v>
      </c>
      <c r="AA1368" s="97">
        <f t="shared" si="264"/>
        <v>83195.091991863883</v>
      </c>
    </row>
    <row r="1369" spans="1:27" x14ac:dyDescent="0.25">
      <c r="A1369" s="102" t="s">
        <v>3096</v>
      </c>
      <c r="B1369" s="87" t="s">
        <v>3097</v>
      </c>
      <c r="C1369" s="107" t="s">
        <v>226</v>
      </c>
      <c r="D1369" s="89" t="s">
        <v>262</v>
      </c>
      <c r="E1369" s="90">
        <f t="shared" si="269"/>
        <v>175741</v>
      </c>
      <c r="F1369" s="90">
        <f t="shared" si="270"/>
        <v>147681.14890221934</v>
      </c>
      <c r="G1369" s="91">
        <v>0.19</v>
      </c>
      <c r="H1369" s="91" t="s">
        <v>228</v>
      </c>
      <c r="I1369" s="91"/>
      <c r="J1369" s="91" t="s">
        <v>228</v>
      </c>
      <c r="K1369" s="91"/>
      <c r="L1369" s="92" t="s">
        <v>2860</v>
      </c>
      <c r="M1369" s="91" t="str">
        <f t="shared" si="259"/>
        <v>VER ARCHIVO ANEXO</v>
      </c>
      <c r="N1369" s="93">
        <v>41608</v>
      </c>
      <c r="O1369" s="109"/>
      <c r="P1369" s="109"/>
      <c r="Q1369" s="94">
        <v>1220</v>
      </c>
      <c r="R1369" s="95">
        <f t="shared" si="262"/>
        <v>147681.14890221934</v>
      </c>
      <c r="S1369" s="109">
        <v>96643.2546</v>
      </c>
      <c r="T1369" s="94">
        <f t="shared" si="260"/>
        <v>103186.00293642002</v>
      </c>
      <c r="U1369" s="94">
        <f t="shared" si="267"/>
        <v>109119.19810526418</v>
      </c>
      <c r="V1369" s="94">
        <f t="shared" si="268"/>
        <v>113582.17330776948</v>
      </c>
      <c r="W1369" s="97">
        <f t="shared" si="265"/>
        <v>117194.08641895656</v>
      </c>
      <c r="X1369" s="97">
        <f t="shared" si="266"/>
        <v>121647.46170287691</v>
      </c>
      <c r="Y1369" s="97">
        <f t="shared" si="261"/>
        <v>123605.98583629323</v>
      </c>
      <c r="Z1369" s="97">
        <f t="shared" si="263"/>
        <v>130552.64224029292</v>
      </c>
      <c r="AA1369" s="97">
        <f t="shared" si="264"/>
        <v>147681.14890221934</v>
      </c>
    </row>
    <row r="1370" spans="1:27" x14ac:dyDescent="0.25">
      <c r="A1370" s="102" t="s">
        <v>3098</v>
      </c>
      <c r="B1370" s="87" t="s">
        <v>3099</v>
      </c>
      <c r="C1370" s="107" t="s">
        <v>226</v>
      </c>
      <c r="D1370" s="89" t="s">
        <v>262</v>
      </c>
      <c r="E1370" s="90">
        <f t="shared" si="269"/>
        <v>399198</v>
      </c>
      <c r="F1370" s="90">
        <f t="shared" si="270"/>
        <v>335460.5548574659</v>
      </c>
      <c r="G1370" s="91">
        <v>0.19</v>
      </c>
      <c r="H1370" s="91" t="s">
        <v>228</v>
      </c>
      <c r="I1370" s="91"/>
      <c r="J1370" s="91" t="s">
        <v>228</v>
      </c>
      <c r="K1370" s="91"/>
      <c r="L1370" s="92" t="s">
        <v>2860</v>
      </c>
      <c r="M1370" s="91" t="str">
        <f t="shared" si="259"/>
        <v>VER ARCHIVO ANEXO</v>
      </c>
      <c r="N1370" s="93">
        <v>41608</v>
      </c>
      <c r="O1370" s="109"/>
      <c r="P1370" s="109"/>
      <c r="Q1370" s="94">
        <v>1221</v>
      </c>
      <c r="R1370" s="95">
        <f t="shared" si="262"/>
        <v>335460.5548574659</v>
      </c>
      <c r="S1370" s="109">
        <v>219527.00159999999</v>
      </c>
      <c r="T1370" s="94">
        <f t="shared" si="260"/>
        <v>234388.97960832002</v>
      </c>
      <c r="U1370" s="94">
        <f t="shared" si="267"/>
        <v>247866.34593579845</v>
      </c>
      <c r="V1370" s="94">
        <f t="shared" si="268"/>
        <v>258004.0794845726</v>
      </c>
      <c r="W1370" s="97">
        <f t="shared" si="265"/>
        <v>266208.60921218205</v>
      </c>
      <c r="X1370" s="97">
        <f t="shared" si="266"/>
        <v>276324.53636224498</v>
      </c>
      <c r="Y1370" s="97">
        <f t="shared" si="261"/>
        <v>280773.3613976771</v>
      </c>
      <c r="Z1370" s="97">
        <f t="shared" si="263"/>
        <v>296552.82430822658</v>
      </c>
      <c r="AA1370" s="97">
        <f t="shared" si="264"/>
        <v>335460.5548574659</v>
      </c>
    </row>
    <row r="1371" spans="1:27" x14ac:dyDescent="0.25">
      <c r="A1371" s="102" t="s">
        <v>3100</v>
      </c>
      <c r="B1371" s="87" t="s">
        <v>3101</v>
      </c>
      <c r="C1371" s="107" t="s">
        <v>226</v>
      </c>
      <c r="D1371" s="89" t="s">
        <v>262</v>
      </c>
      <c r="E1371" s="90">
        <f t="shared" si="269"/>
        <v>52084</v>
      </c>
      <c r="F1371" s="90">
        <f t="shared" si="270"/>
        <v>43768.465696144216</v>
      </c>
      <c r="G1371" s="91">
        <v>0.19</v>
      </c>
      <c r="H1371" s="91" t="s">
        <v>228</v>
      </c>
      <c r="I1371" s="91"/>
      <c r="J1371" s="91" t="s">
        <v>228</v>
      </c>
      <c r="K1371" s="91"/>
      <c r="L1371" s="92" t="s">
        <v>2860</v>
      </c>
      <c r="M1371" s="91" t="str">
        <f t="shared" si="259"/>
        <v>VER ARCHIVO ANEXO</v>
      </c>
      <c r="N1371" s="93">
        <v>41608</v>
      </c>
      <c r="O1371" s="109"/>
      <c r="P1371" s="109"/>
      <c r="Q1371" s="94">
        <v>1222</v>
      </c>
      <c r="R1371" s="95">
        <f t="shared" si="262"/>
        <v>43768.465696144216</v>
      </c>
      <c r="S1371" s="109">
        <v>28642.294599999997</v>
      </c>
      <c r="T1371" s="94">
        <f t="shared" si="260"/>
        <v>30581.377944420001</v>
      </c>
      <c r="U1371" s="94">
        <f t="shared" si="267"/>
        <v>32339.807176224152</v>
      </c>
      <c r="V1371" s="94">
        <f t="shared" si="268"/>
        <v>33662.505289731722</v>
      </c>
      <c r="W1371" s="97">
        <f t="shared" si="265"/>
        <v>34732.972957945189</v>
      </c>
      <c r="X1371" s="97">
        <f t="shared" si="266"/>
        <v>36052.825930347106</v>
      </c>
      <c r="Y1371" s="97">
        <f t="shared" si="261"/>
        <v>36633.276427825695</v>
      </c>
      <c r="Z1371" s="97">
        <f t="shared" si="263"/>
        <v>38692.0665630695</v>
      </c>
      <c r="AA1371" s="97">
        <f t="shared" si="264"/>
        <v>43768.465696144216</v>
      </c>
    </row>
    <row r="1372" spans="1:27" x14ac:dyDescent="0.25">
      <c r="A1372" s="102" t="s">
        <v>3102</v>
      </c>
      <c r="B1372" s="87" t="s">
        <v>3103</v>
      </c>
      <c r="C1372" s="107" t="s">
        <v>226</v>
      </c>
      <c r="D1372" s="89" t="s">
        <v>262</v>
      </c>
      <c r="E1372" s="90">
        <f t="shared" si="269"/>
        <v>123656</v>
      </c>
      <c r="F1372" s="90">
        <f t="shared" si="270"/>
        <v>103912.68320607509</v>
      </c>
      <c r="G1372" s="91">
        <v>0.19</v>
      </c>
      <c r="H1372" s="91" t="s">
        <v>228</v>
      </c>
      <c r="I1372" s="91"/>
      <c r="J1372" s="91" t="s">
        <v>228</v>
      </c>
      <c r="K1372" s="91"/>
      <c r="L1372" s="92" t="s">
        <v>2860</v>
      </c>
      <c r="M1372" s="91" t="str">
        <f t="shared" si="259"/>
        <v>VER ARCHIVO ANEXO</v>
      </c>
      <c r="N1372" s="93">
        <v>41608</v>
      </c>
      <c r="O1372" s="109"/>
      <c r="P1372" s="109"/>
      <c r="Q1372" s="94">
        <v>1223</v>
      </c>
      <c r="R1372" s="95">
        <f t="shared" si="262"/>
        <v>103912.68320607509</v>
      </c>
      <c r="S1372" s="109">
        <v>68000.959999999992</v>
      </c>
      <c r="T1372" s="94">
        <f t="shared" si="260"/>
        <v>72604.624991999997</v>
      </c>
      <c r="U1372" s="94">
        <f t="shared" si="267"/>
        <v>76779.390929040004</v>
      </c>
      <c r="V1372" s="94">
        <f t="shared" si="268"/>
        <v>79919.66801803773</v>
      </c>
      <c r="W1372" s="97">
        <f t="shared" si="265"/>
        <v>82461.113461011337</v>
      </c>
      <c r="X1372" s="97">
        <f t="shared" si="266"/>
        <v>85594.635772529771</v>
      </c>
      <c r="Y1372" s="97">
        <f t="shared" si="261"/>
        <v>86972.709408467505</v>
      </c>
      <c r="Z1372" s="97">
        <f t="shared" si="263"/>
        <v>91860.575677223387</v>
      </c>
      <c r="AA1372" s="97">
        <f t="shared" si="264"/>
        <v>103912.68320607509</v>
      </c>
    </row>
    <row r="1373" spans="1:27" x14ac:dyDescent="0.25">
      <c r="A1373" s="102" t="s">
        <v>3104</v>
      </c>
      <c r="B1373" s="87" t="s">
        <v>3105</v>
      </c>
      <c r="C1373" s="107" t="s">
        <v>226</v>
      </c>
      <c r="D1373" s="89" t="s">
        <v>262</v>
      </c>
      <c r="E1373" s="90">
        <f t="shared" si="269"/>
        <v>78327</v>
      </c>
      <c r="F1373" s="90">
        <f t="shared" si="270"/>
        <v>65821.398250945713</v>
      </c>
      <c r="G1373" s="91">
        <v>0.19</v>
      </c>
      <c r="H1373" s="91" t="s">
        <v>228</v>
      </c>
      <c r="I1373" s="91"/>
      <c r="J1373" s="91" t="s">
        <v>228</v>
      </c>
      <c r="K1373" s="91"/>
      <c r="L1373" s="92" t="s">
        <v>2860</v>
      </c>
      <c r="M1373" s="91" t="str">
        <f t="shared" si="259"/>
        <v>VER ARCHIVO ANEXO</v>
      </c>
      <c r="N1373" s="93">
        <v>41608</v>
      </c>
      <c r="O1373" s="109"/>
      <c r="P1373" s="109"/>
      <c r="Q1373" s="94">
        <v>1224</v>
      </c>
      <c r="R1373" s="95">
        <f t="shared" si="262"/>
        <v>65821.398250945713</v>
      </c>
      <c r="S1373" s="109">
        <v>43073.839800000002</v>
      </c>
      <c r="T1373" s="94">
        <f t="shared" si="260"/>
        <v>45989.938754460003</v>
      </c>
      <c r="U1373" s="94">
        <f t="shared" si="267"/>
        <v>48634.360232841456</v>
      </c>
      <c r="V1373" s="94">
        <f t="shared" si="268"/>
        <v>50623.505566364671</v>
      </c>
      <c r="W1373" s="97">
        <f t="shared" si="265"/>
        <v>52233.333043375067</v>
      </c>
      <c r="X1373" s="97">
        <f t="shared" si="266"/>
        <v>54218.199699023324</v>
      </c>
      <c r="Y1373" s="97">
        <f t="shared" si="261"/>
        <v>55091.112714177601</v>
      </c>
      <c r="Z1373" s="97">
        <f t="shared" si="263"/>
        <v>58187.233248714387</v>
      </c>
      <c r="AA1373" s="97">
        <f t="shared" si="264"/>
        <v>65821.398250945713</v>
      </c>
    </row>
    <row r="1374" spans="1:27" x14ac:dyDescent="0.25">
      <c r="A1374" s="102" t="s">
        <v>3106</v>
      </c>
      <c r="B1374" s="87" t="s">
        <v>3107</v>
      </c>
      <c r="C1374" s="107" t="s">
        <v>226</v>
      </c>
      <c r="D1374" s="89" t="s">
        <v>262</v>
      </c>
      <c r="E1374" s="90">
        <f t="shared" si="269"/>
        <v>159837</v>
      </c>
      <c r="F1374" s="90">
        <f t="shared" si="270"/>
        <v>134316.64725268187</v>
      </c>
      <c r="G1374" s="91">
        <v>0.19</v>
      </c>
      <c r="H1374" s="91" t="s">
        <v>228</v>
      </c>
      <c r="I1374" s="91"/>
      <c r="J1374" s="91" t="s">
        <v>228</v>
      </c>
      <c r="K1374" s="91"/>
      <c r="L1374" s="92" t="s">
        <v>2860</v>
      </c>
      <c r="M1374" s="91" t="str">
        <f t="shared" si="259"/>
        <v>VER ARCHIVO ANEXO</v>
      </c>
      <c r="N1374" s="93">
        <v>41608</v>
      </c>
      <c r="O1374" s="109"/>
      <c r="P1374" s="109"/>
      <c r="Q1374" s="94">
        <v>1225</v>
      </c>
      <c r="R1374" s="95">
        <f t="shared" si="262"/>
        <v>134316.64725268187</v>
      </c>
      <c r="S1374" s="109">
        <v>87897.460399999996</v>
      </c>
      <c r="T1374" s="94">
        <f t="shared" si="260"/>
        <v>93848.11846908</v>
      </c>
      <c r="U1374" s="94">
        <f t="shared" si="267"/>
        <v>99244.385281052106</v>
      </c>
      <c r="V1374" s="94">
        <f t="shared" si="268"/>
        <v>103303.48063904713</v>
      </c>
      <c r="W1374" s="97">
        <f t="shared" si="265"/>
        <v>106588.53132336884</v>
      </c>
      <c r="X1374" s="97">
        <f t="shared" si="266"/>
        <v>110638.89551365685</v>
      </c>
      <c r="Y1374" s="97">
        <f t="shared" si="261"/>
        <v>112420.18173142672</v>
      </c>
      <c r="Z1374" s="97">
        <f t="shared" si="263"/>
        <v>118738.19594473291</v>
      </c>
      <c r="AA1374" s="97">
        <f t="shared" si="264"/>
        <v>134316.64725268187</v>
      </c>
    </row>
    <row r="1375" spans="1:27" x14ac:dyDescent="0.25">
      <c r="A1375" s="102" t="s">
        <v>3108</v>
      </c>
      <c r="B1375" s="87" t="s">
        <v>3109</v>
      </c>
      <c r="C1375" s="107" t="s">
        <v>226</v>
      </c>
      <c r="D1375" s="89" t="s">
        <v>262</v>
      </c>
      <c r="E1375" s="90">
        <f t="shared" si="269"/>
        <v>369975</v>
      </c>
      <c r="F1375" s="90">
        <f t="shared" si="270"/>
        <v>310903.2632760058</v>
      </c>
      <c r="G1375" s="91">
        <v>0.19</v>
      </c>
      <c r="H1375" s="91" t="s">
        <v>228</v>
      </c>
      <c r="I1375" s="91"/>
      <c r="J1375" s="91" t="s">
        <v>228</v>
      </c>
      <c r="K1375" s="91"/>
      <c r="L1375" s="92" t="s">
        <v>2860</v>
      </c>
      <c r="M1375" s="91" t="str">
        <f t="shared" si="259"/>
        <v>VER ARCHIVO ANEXO</v>
      </c>
      <c r="N1375" s="93">
        <v>41608</v>
      </c>
      <c r="O1375" s="109"/>
      <c r="P1375" s="109"/>
      <c r="Q1375" s="94">
        <v>1226</v>
      </c>
      <c r="R1375" s="95">
        <f t="shared" si="262"/>
        <v>310903.2632760058</v>
      </c>
      <c r="S1375" s="109">
        <v>203456.59179999999</v>
      </c>
      <c r="T1375" s="94">
        <f t="shared" si="260"/>
        <v>217230.60306486001</v>
      </c>
      <c r="U1375" s="94">
        <f t="shared" si="267"/>
        <v>229721.36274108948</v>
      </c>
      <c r="V1375" s="94">
        <f t="shared" si="268"/>
        <v>239116.96647720004</v>
      </c>
      <c r="W1375" s="97">
        <f t="shared" si="265"/>
        <v>246720.88601117503</v>
      </c>
      <c r="X1375" s="97">
        <f t="shared" si="266"/>
        <v>256096.27967959968</v>
      </c>
      <c r="Y1375" s="97">
        <f t="shared" si="261"/>
        <v>260219.42978244124</v>
      </c>
      <c r="Z1375" s="97">
        <f t="shared" si="263"/>
        <v>274843.76173621445</v>
      </c>
      <c r="AA1375" s="97">
        <f t="shared" si="264"/>
        <v>310903.2632760058</v>
      </c>
    </row>
    <row r="1376" spans="1:27" x14ac:dyDescent="0.25">
      <c r="A1376" s="102" t="s">
        <v>3110</v>
      </c>
      <c r="B1376" s="98" t="s">
        <v>3111</v>
      </c>
      <c r="C1376" s="99" t="s">
        <v>226</v>
      </c>
      <c r="D1376" s="100" t="s">
        <v>262</v>
      </c>
      <c r="E1376" s="101">
        <f t="shared" si="269"/>
        <v>13546</v>
      </c>
      <c r="F1376" s="90">
        <f t="shared" si="270"/>
        <v>11382.874108519141</v>
      </c>
      <c r="G1376" s="91">
        <v>0.19</v>
      </c>
      <c r="H1376" s="91" t="s">
        <v>228</v>
      </c>
      <c r="I1376" s="91"/>
      <c r="J1376" s="91" t="s">
        <v>228</v>
      </c>
      <c r="K1376" s="91"/>
      <c r="L1376" s="92" t="s">
        <v>2860</v>
      </c>
      <c r="M1376" s="91" t="str">
        <f t="shared" si="259"/>
        <v>VER ARCHIVO ANEXO</v>
      </c>
      <c r="N1376" s="93">
        <v>41608</v>
      </c>
      <c r="O1376" s="109"/>
      <c r="P1376" s="109"/>
      <c r="Q1376" s="94">
        <v>1227</v>
      </c>
      <c r="R1376" s="95">
        <f t="shared" si="262"/>
        <v>11382.874108519141</v>
      </c>
      <c r="S1376" s="109">
        <v>7449.0075999999999</v>
      </c>
      <c r="T1376" s="94">
        <f t="shared" si="260"/>
        <v>7953.3054145200003</v>
      </c>
      <c r="U1376" s="94">
        <f t="shared" si="267"/>
        <v>8410.6204758549011</v>
      </c>
      <c r="V1376" s="94">
        <f t="shared" si="268"/>
        <v>8754.6148533173655</v>
      </c>
      <c r="W1376" s="97">
        <f t="shared" si="265"/>
        <v>9033.0116056528586</v>
      </c>
      <c r="X1376" s="97">
        <f t="shared" si="266"/>
        <v>9376.266046667668</v>
      </c>
      <c r="Y1376" s="97">
        <f t="shared" si="261"/>
        <v>9527.2239300190176</v>
      </c>
      <c r="Z1376" s="97">
        <f t="shared" si="263"/>
        <v>10062.653914886087</v>
      </c>
      <c r="AA1376" s="97">
        <f t="shared" si="264"/>
        <v>11382.874108519141</v>
      </c>
    </row>
    <row r="1377" spans="1:27" x14ac:dyDescent="0.25">
      <c r="A1377" s="102" t="s">
        <v>3112</v>
      </c>
      <c r="B1377" s="87" t="s">
        <v>3113</v>
      </c>
      <c r="C1377" s="88" t="s">
        <v>226</v>
      </c>
      <c r="D1377" s="89" t="s">
        <v>262</v>
      </c>
      <c r="E1377" s="90">
        <f t="shared" si="269"/>
        <v>28277</v>
      </c>
      <c r="F1377" s="90">
        <f t="shared" si="270"/>
        <v>23762.106109364828</v>
      </c>
      <c r="G1377" s="91">
        <v>0.19</v>
      </c>
      <c r="H1377" s="91" t="s">
        <v>228</v>
      </c>
      <c r="I1377" s="91"/>
      <c r="J1377" s="91" t="s">
        <v>228</v>
      </c>
      <c r="K1377" s="91"/>
      <c r="L1377" s="92" t="s">
        <v>2860</v>
      </c>
      <c r="M1377" s="91" t="str">
        <f t="shared" si="259"/>
        <v>VER ARCHIVO ANEXO</v>
      </c>
      <c r="N1377" s="93">
        <v>41608</v>
      </c>
      <c r="O1377" s="109"/>
      <c r="P1377" s="109"/>
      <c r="Q1377" s="94">
        <v>1228</v>
      </c>
      <c r="R1377" s="95">
        <f t="shared" si="262"/>
        <v>23762.106109364828</v>
      </c>
      <c r="S1377" s="109">
        <v>15550.036599999999</v>
      </c>
      <c r="T1377" s="94">
        <f t="shared" si="260"/>
        <v>16602.774077820002</v>
      </c>
      <c r="U1377" s="94">
        <f t="shared" si="267"/>
        <v>17557.433587294654</v>
      </c>
      <c r="V1377" s="94">
        <f t="shared" si="268"/>
        <v>18275.532621015005</v>
      </c>
      <c r="W1377" s="97">
        <f t="shared" si="265"/>
        <v>18856.694558363284</v>
      </c>
      <c r="X1377" s="97">
        <f t="shared" si="266"/>
        <v>19573.248951581088</v>
      </c>
      <c r="Y1377" s="97">
        <f t="shared" si="261"/>
        <v>19888.378259701545</v>
      </c>
      <c r="Z1377" s="97">
        <f t="shared" si="263"/>
        <v>21006.105117896772</v>
      </c>
      <c r="AA1377" s="97">
        <f t="shared" si="264"/>
        <v>23762.106109364828</v>
      </c>
    </row>
    <row r="1378" spans="1:27" x14ac:dyDescent="0.25">
      <c r="A1378" s="102" t="s">
        <v>3114</v>
      </c>
      <c r="B1378" s="98" t="s">
        <v>3115</v>
      </c>
      <c r="C1378" s="99" t="s">
        <v>226</v>
      </c>
      <c r="D1378" s="100" t="s">
        <v>262</v>
      </c>
      <c r="E1378" s="101">
        <f t="shared" si="269"/>
        <v>14856</v>
      </c>
      <c r="F1378" s="90">
        <f t="shared" si="270"/>
        <v>12483.778297973749</v>
      </c>
      <c r="G1378" s="91">
        <v>0.19</v>
      </c>
      <c r="H1378" s="91" t="s">
        <v>228</v>
      </c>
      <c r="I1378" s="91"/>
      <c r="J1378" s="91" t="s">
        <v>228</v>
      </c>
      <c r="K1378" s="91"/>
      <c r="L1378" s="92" t="s">
        <v>2860</v>
      </c>
      <c r="M1378" s="91" t="str">
        <f t="shared" ref="M1378:M1441" si="271">+IF(L1378="no aplica","no aplica","VER ARCHIVO ANEXO")</f>
        <v>VER ARCHIVO ANEXO</v>
      </c>
      <c r="N1378" s="93">
        <v>41608</v>
      </c>
      <c r="O1378" s="109"/>
      <c r="P1378" s="109"/>
      <c r="Q1378" s="94">
        <v>1229</v>
      </c>
      <c r="R1378" s="95">
        <f t="shared" si="262"/>
        <v>12483.778297973749</v>
      </c>
      <c r="S1378" s="109">
        <v>8169.4445999999998</v>
      </c>
      <c r="T1378" s="94">
        <f t="shared" ref="T1378:T1441" si="272">+S1378*1.0677</f>
        <v>8722.5159994200003</v>
      </c>
      <c r="U1378" s="94">
        <f t="shared" si="267"/>
        <v>9224.0606693866521</v>
      </c>
      <c r="V1378" s="94">
        <f t="shared" si="268"/>
        <v>9601.3247507645647</v>
      </c>
      <c r="W1378" s="97">
        <f t="shared" si="265"/>
        <v>9906.6468778388789</v>
      </c>
      <c r="X1378" s="97">
        <f t="shared" si="266"/>
        <v>10283.099459196757</v>
      </c>
      <c r="Y1378" s="97">
        <f t="shared" si="261"/>
        <v>10448.657360489826</v>
      </c>
      <c r="Z1378" s="97">
        <f t="shared" si="263"/>
        <v>11035.871904149355</v>
      </c>
      <c r="AA1378" s="97">
        <f t="shared" si="264"/>
        <v>12483.778297973749</v>
      </c>
    </row>
    <row r="1379" spans="1:27" x14ac:dyDescent="0.25">
      <c r="A1379" s="102" t="s">
        <v>3116</v>
      </c>
      <c r="B1379" s="87" t="s">
        <v>3117</v>
      </c>
      <c r="C1379" s="88" t="s">
        <v>226</v>
      </c>
      <c r="D1379" s="89" t="s">
        <v>262</v>
      </c>
      <c r="E1379" s="90">
        <f t="shared" si="269"/>
        <v>6954</v>
      </c>
      <c r="F1379" s="90">
        <f t="shared" si="270"/>
        <v>5843.5043955367537</v>
      </c>
      <c r="G1379" s="91">
        <v>0.19</v>
      </c>
      <c r="H1379" s="91" t="s">
        <v>228</v>
      </c>
      <c r="I1379" s="91"/>
      <c r="J1379" s="91" t="s">
        <v>228</v>
      </c>
      <c r="K1379" s="91"/>
      <c r="L1379" s="92" t="s">
        <v>2860</v>
      </c>
      <c r="M1379" s="91" t="str">
        <f t="shared" si="271"/>
        <v>VER ARCHIVO ANEXO</v>
      </c>
      <c r="N1379" s="93">
        <v>41608</v>
      </c>
      <c r="O1379" s="109"/>
      <c r="P1379" s="109"/>
      <c r="Q1379" s="94">
        <v>1230</v>
      </c>
      <c r="R1379" s="95">
        <f t="shared" si="262"/>
        <v>5843.5043955367537</v>
      </c>
      <c r="S1379" s="109">
        <v>3824.0173999999997</v>
      </c>
      <c r="T1379" s="94">
        <f t="shared" si="272"/>
        <v>4082.9033779800002</v>
      </c>
      <c r="U1379" s="94">
        <f t="shared" si="267"/>
        <v>4317.6703222138503</v>
      </c>
      <c r="V1379" s="94">
        <f t="shared" si="268"/>
        <v>4494.263038392397</v>
      </c>
      <c r="W1379" s="97">
        <f t="shared" si="265"/>
        <v>4637.1806030132757</v>
      </c>
      <c r="X1379" s="97">
        <f t="shared" si="266"/>
        <v>4813.3934659277802</v>
      </c>
      <c r="Y1379" s="97">
        <f t="shared" si="261"/>
        <v>4890.8891007292177</v>
      </c>
      <c r="Z1379" s="97">
        <f t="shared" si="263"/>
        <v>5165.7570681901998</v>
      </c>
      <c r="AA1379" s="97">
        <f t="shared" si="264"/>
        <v>5843.5043955367537</v>
      </c>
    </row>
    <row r="1380" spans="1:27" x14ac:dyDescent="0.25">
      <c r="A1380" s="102" t="s">
        <v>3118</v>
      </c>
      <c r="B1380" s="87" t="s">
        <v>3119</v>
      </c>
      <c r="C1380" s="88" t="s">
        <v>226</v>
      </c>
      <c r="D1380" s="89" t="s">
        <v>262</v>
      </c>
      <c r="E1380" s="90">
        <f t="shared" si="269"/>
        <v>181665</v>
      </c>
      <c r="F1380" s="90">
        <f t="shared" si="270"/>
        <v>152659.77029424207</v>
      </c>
      <c r="G1380" s="91">
        <v>0.19</v>
      </c>
      <c r="H1380" s="91" t="s">
        <v>228</v>
      </c>
      <c r="I1380" s="91"/>
      <c r="J1380" s="91" t="s">
        <v>228</v>
      </c>
      <c r="K1380" s="91"/>
      <c r="L1380" s="92" t="s">
        <v>2860</v>
      </c>
      <c r="M1380" s="91" t="str">
        <f t="shared" si="271"/>
        <v>VER ARCHIVO ANEXO</v>
      </c>
      <c r="N1380" s="93">
        <v>41608</v>
      </c>
      <c r="O1380" s="109"/>
      <c r="P1380" s="109"/>
      <c r="Q1380" s="94">
        <v>1231</v>
      </c>
      <c r="R1380" s="95">
        <f t="shared" si="262"/>
        <v>152659.77029424207</v>
      </c>
      <c r="S1380" s="109">
        <v>99901.28839999999</v>
      </c>
      <c r="T1380" s="94">
        <f t="shared" si="272"/>
        <v>106664.60562468</v>
      </c>
      <c r="U1380" s="94">
        <f t="shared" si="267"/>
        <v>112797.82044809911</v>
      </c>
      <c r="V1380" s="94">
        <f t="shared" si="268"/>
        <v>117411.25130442636</v>
      </c>
      <c r="W1380" s="97">
        <f t="shared" si="265"/>
        <v>121144.92909590712</v>
      </c>
      <c r="X1380" s="97">
        <f t="shared" si="266"/>
        <v>125748.4364015516</v>
      </c>
      <c r="Y1380" s="97">
        <f t="shared" si="261"/>
        <v>127772.98622761658</v>
      </c>
      <c r="Z1380" s="97">
        <f t="shared" si="263"/>
        <v>134953.82805360862</v>
      </c>
      <c r="AA1380" s="97">
        <f t="shared" si="264"/>
        <v>152659.77029424207</v>
      </c>
    </row>
    <row r="1381" spans="1:27" x14ac:dyDescent="0.25">
      <c r="A1381" s="102" t="s">
        <v>3120</v>
      </c>
      <c r="B1381" s="87" t="s">
        <v>3121</v>
      </c>
      <c r="C1381" s="88" t="s">
        <v>226</v>
      </c>
      <c r="D1381" s="89" t="s">
        <v>262</v>
      </c>
      <c r="E1381" s="90">
        <f t="shared" si="269"/>
        <v>13879</v>
      </c>
      <c r="F1381" s="90">
        <f t="shared" si="270"/>
        <v>11663.248268998943</v>
      </c>
      <c r="G1381" s="91">
        <v>0.19</v>
      </c>
      <c r="H1381" s="91" t="s">
        <v>228</v>
      </c>
      <c r="I1381" s="91"/>
      <c r="J1381" s="91" t="s">
        <v>228</v>
      </c>
      <c r="K1381" s="91"/>
      <c r="L1381" s="92" t="s">
        <v>2860</v>
      </c>
      <c r="M1381" s="91" t="str">
        <f t="shared" si="271"/>
        <v>VER ARCHIVO ANEXO</v>
      </c>
      <c r="N1381" s="93">
        <v>41608</v>
      </c>
      <c r="O1381" s="109"/>
      <c r="P1381" s="109"/>
      <c r="Q1381" s="94">
        <v>1232</v>
      </c>
      <c r="R1381" s="95">
        <f t="shared" si="262"/>
        <v>11663.248268998943</v>
      </c>
      <c r="S1381" s="109">
        <v>7632.4857999999995</v>
      </c>
      <c r="T1381" s="94">
        <f t="shared" si="272"/>
        <v>8149.20508866</v>
      </c>
      <c r="U1381" s="94">
        <f t="shared" si="267"/>
        <v>8617.7843812579504</v>
      </c>
      <c r="V1381" s="94">
        <f t="shared" si="268"/>
        <v>8970.2517624514003</v>
      </c>
      <c r="W1381" s="97">
        <f t="shared" si="265"/>
        <v>9255.5057684973544</v>
      </c>
      <c r="X1381" s="97">
        <f t="shared" si="266"/>
        <v>9607.2149877002539</v>
      </c>
      <c r="Y1381" s="97">
        <f t="shared" si="261"/>
        <v>9761.8911490022274</v>
      </c>
      <c r="Z1381" s="97">
        <f t="shared" si="263"/>
        <v>10310.509431576153</v>
      </c>
      <c r="AA1381" s="97">
        <f t="shared" si="264"/>
        <v>11663.248268998943</v>
      </c>
    </row>
    <row r="1382" spans="1:27" x14ac:dyDescent="0.25">
      <c r="A1382" s="102" t="s">
        <v>3122</v>
      </c>
      <c r="B1382" s="87" t="s">
        <v>3123</v>
      </c>
      <c r="C1382" s="88" t="s">
        <v>226</v>
      </c>
      <c r="D1382" s="89" t="s">
        <v>262</v>
      </c>
      <c r="E1382" s="90">
        <f t="shared" si="269"/>
        <v>2570752</v>
      </c>
      <c r="F1382" s="90">
        <f t="shared" si="270"/>
        <v>2160295.5787753467</v>
      </c>
      <c r="G1382" s="91">
        <v>0.19</v>
      </c>
      <c r="H1382" s="91" t="s">
        <v>228</v>
      </c>
      <c r="I1382" s="91"/>
      <c r="J1382" s="91" t="s">
        <v>228</v>
      </c>
      <c r="K1382" s="91"/>
      <c r="L1382" s="92" t="s">
        <v>2860</v>
      </c>
      <c r="M1382" s="91" t="str">
        <f t="shared" si="271"/>
        <v>VER ARCHIVO ANEXO</v>
      </c>
      <c r="N1382" s="93">
        <v>41608</v>
      </c>
      <c r="O1382" s="109"/>
      <c r="P1382" s="109"/>
      <c r="Q1382" s="94">
        <v>1233</v>
      </c>
      <c r="R1382" s="95">
        <f t="shared" si="262"/>
        <v>2160295.5787753467</v>
      </c>
      <c r="S1382" s="109">
        <v>1413707.8237999999</v>
      </c>
      <c r="T1382" s="94">
        <f t="shared" si="272"/>
        <v>1509415.84347126</v>
      </c>
      <c r="U1382" s="94">
        <f t="shared" si="267"/>
        <v>1596207.2544708576</v>
      </c>
      <c r="V1382" s="94">
        <f t="shared" si="268"/>
        <v>1661492.1311787155</v>
      </c>
      <c r="W1382" s="97">
        <f t="shared" si="265"/>
        <v>1714327.5809501987</v>
      </c>
      <c r="X1382" s="97">
        <f t="shared" si="266"/>
        <v>1779472.0290263062</v>
      </c>
      <c r="Y1382" s="97">
        <f t="shared" si="261"/>
        <v>1808121.5286936297</v>
      </c>
      <c r="Z1382" s="97">
        <f t="shared" si="263"/>
        <v>1909737.9586062117</v>
      </c>
      <c r="AA1382" s="97">
        <f t="shared" si="264"/>
        <v>2160295.5787753467</v>
      </c>
    </row>
    <row r="1383" spans="1:27" x14ac:dyDescent="0.25">
      <c r="A1383" s="102" t="s">
        <v>3124</v>
      </c>
      <c r="B1383" s="87" t="s">
        <v>3125</v>
      </c>
      <c r="C1383" s="88" t="s">
        <v>226</v>
      </c>
      <c r="D1383" s="89" t="s">
        <v>262</v>
      </c>
      <c r="E1383" s="90">
        <f t="shared" si="269"/>
        <v>225310</v>
      </c>
      <c r="F1383" s="90">
        <f t="shared" si="270"/>
        <v>189336.51216853264</v>
      </c>
      <c r="G1383" s="91">
        <v>0.19</v>
      </c>
      <c r="H1383" s="91" t="s">
        <v>228</v>
      </c>
      <c r="I1383" s="91"/>
      <c r="J1383" s="91" t="s">
        <v>228</v>
      </c>
      <c r="K1383" s="91"/>
      <c r="L1383" s="92" t="s">
        <v>2860</v>
      </c>
      <c r="M1383" s="91" t="str">
        <f t="shared" si="271"/>
        <v>VER ARCHIVO ANEXO</v>
      </c>
      <c r="N1383" s="93">
        <v>41608</v>
      </c>
      <c r="O1383" s="109"/>
      <c r="P1383" s="109"/>
      <c r="Q1383" s="94">
        <v>1234</v>
      </c>
      <c r="R1383" s="95">
        <f t="shared" si="262"/>
        <v>189336.51216853264</v>
      </c>
      <c r="S1383" s="109">
        <v>123902.7248</v>
      </c>
      <c r="T1383" s="94">
        <f t="shared" si="272"/>
        <v>132290.93926896001</v>
      </c>
      <c r="U1383" s="94">
        <f t="shared" si="267"/>
        <v>139897.66827692522</v>
      </c>
      <c r="V1383" s="94">
        <f t="shared" si="268"/>
        <v>145619.48290945144</v>
      </c>
      <c r="W1383" s="97">
        <f t="shared" si="265"/>
        <v>150250.182465972</v>
      </c>
      <c r="X1383" s="97">
        <f t="shared" si="266"/>
        <v>155959.68939967893</v>
      </c>
      <c r="Y1383" s="97">
        <f t="shared" si="261"/>
        <v>158470.64039901376</v>
      </c>
      <c r="Z1383" s="97">
        <f t="shared" si="263"/>
        <v>167376.69038943833</v>
      </c>
      <c r="AA1383" s="97">
        <f t="shared" si="264"/>
        <v>189336.51216853264</v>
      </c>
    </row>
    <row r="1384" spans="1:27" x14ac:dyDescent="0.25">
      <c r="A1384" s="102" t="s">
        <v>3126</v>
      </c>
      <c r="B1384" s="87" t="s">
        <v>3127</v>
      </c>
      <c r="C1384" s="88" t="s">
        <v>226</v>
      </c>
      <c r="D1384" s="89" t="s">
        <v>262</v>
      </c>
      <c r="E1384" s="90">
        <f t="shared" si="269"/>
        <v>117929</v>
      </c>
      <c r="F1384" s="90">
        <f t="shared" si="270"/>
        <v>99100.385468574226</v>
      </c>
      <c r="G1384" s="91">
        <v>0.19</v>
      </c>
      <c r="H1384" s="91" t="s">
        <v>228</v>
      </c>
      <c r="I1384" s="91"/>
      <c r="J1384" s="91" t="s">
        <v>228</v>
      </c>
      <c r="K1384" s="91"/>
      <c r="L1384" s="92" t="s">
        <v>2860</v>
      </c>
      <c r="M1384" s="91" t="str">
        <f t="shared" si="271"/>
        <v>VER ARCHIVO ANEXO</v>
      </c>
      <c r="N1384" s="93">
        <v>41608</v>
      </c>
      <c r="O1384" s="109"/>
      <c r="P1384" s="109"/>
      <c r="Q1384" s="94">
        <v>1235</v>
      </c>
      <c r="R1384" s="95">
        <f t="shared" si="262"/>
        <v>99100.385468574226</v>
      </c>
      <c r="S1384" s="109">
        <v>64851.769199999995</v>
      </c>
      <c r="T1384" s="94">
        <f t="shared" si="272"/>
        <v>69242.233974839997</v>
      </c>
      <c r="U1384" s="94">
        <f t="shared" si="267"/>
        <v>73223.662428393305</v>
      </c>
      <c r="V1384" s="94">
        <f t="shared" si="268"/>
        <v>76218.51022171459</v>
      </c>
      <c r="W1384" s="97">
        <f t="shared" si="265"/>
        <v>78642.258846765122</v>
      </c>
      <c r="X1384" s="97">
        <f t="shared" si="266"/>
        <v>81630.664682942195</v>
      </c>
      <c r="Y1384" s="97">
        <f t="shared" si="261"/>
        <v>82944.918384337565</v>
      </c>
      <c r="Z1384" s="97">
        <f t="shared" si="263"/>
        <v>87606.422797537336</v>
      </c>
      <c r="AA1384" s="97">
        <f t="shared" si="264"/>
        <v>99100.385468574226</v>
      </c>
    </row>
    <row r="1385" spans="1:27" x14ac:dyDescent="0.25">
      <c r="A1385" s="102" t="s">
        <v>3128</v>
      </c>
      <c r="B1385" s="87" t="s">
        <v>3129</v>
      </c>
      <c r="C1385" s="88" t="s">
        <v>226</v>
      </c>
      <c r="D1385" s="89" t="s">
        <v>262</v>
      </c>
      <c r="E1385" s="90">
        <f t="shared" si="269"/>
        <v>125475</v>
      </c>
      <c r="F1385" s="90">
        <f t="shared" si="270"/>
        <v>105441.27679287178</v>
      </c>
      <c r="G1385" s="91">
        <v>0.19</v>
      </c>
      <c r="H1385" s="91" t="s">
        <v>228</v>
      </c>
      <c r="I1385" s="91"/>
      <c r="J1385" s="91" t="s">
        <v>228</v>
      </c>
      <c r="K1385" s="91"/>
      <c r="L1385" s="92" t="s">
        <v>2860</v>
      </c>
      <c r="M1385" s="91" t="str">
        <f t="shared" si="271"/>
        <v>VER ARCHIVO ANEXO</v>
      </c>
      <c r="N1385" s="93">
        <v>41608</v>
      </c>
      <c r="O1385" s="109"/>
      <c r="P1385" s="109"/>
      <c r="Q1385" s="94">
        <v>1236</v>
      </c>
      <c r="R1385" s="95">
        <f t="shared" si="262"/>
        <v>105441.27679287178</v>
      </c>
      <c r="S1385" s="109">
        <v>69001.278999999995</v>
      </c>
      <c r="T1385" s="94">
        <f t="shared" si="272"/>
        <v>73672.665588300006</v>
      </c>
      <c r="U1385" s="94">
        <f t="shared" si="267"/>
        <v>77908.843859627261</v>
      </c>
      <c r="V1385" s="94">
        <f t="shared" si="268"/>
        <v>81095.315573486005</v>
      </c>
      <c r="W1385" s="97">
        <f t="shared" si="265"/>
        <v>83674.146608722862</v>
      </c>
      <c r="X1385" s="97">
        <f t="shared" si="266"/>
        <v>86853.764179854334</v>
      </c>
      <c r="Y1385" s="97">
        <f t="shared" si="261"/>
        <v>88252.109783149994</v>
      </c>
      <c r="Z1385" s="97">
        <f t="shared" si="263"/>
        <v>93211.878352963031</v>
      </c>
      <c r="AA1385" s="97">
        <f t="shared" si="264"/>
        <v>105441.27679287178</v>
      </c>
    </row>
    <row r="1386" spans="1:27" x14ac:dyDescent="0.25">
      <c r="A1386" s="102" t="s">
        <v>3130</v>
      </c>
      <c r="B1386" s="87" t="s">
        <v>3131</v>
      </c>
      <c r="C1386" s="88" t="s">
        <v>226</v>
      </c>
      <c r="D1386" s="89" t="s">
        <v>262</v>
      </c>
      <c r="E1386" s="90">
        <f t="shared" si="269"/>
        <v>136855</v>
      </c>
      <c r="F1386" s="90">
        <f t="shared" si="270"/>
        <v>115004.09491047963</v>
      </c>
      <c r="G1386" s="91">
        <v>0.19</v>
      </c>
      <c r="H1386" s="91" t="s">
        <v>228</v>
      </c>
      <c r="I1386" s="91"/>
      <c r="J1386" s="91" t="s">
        <v>228</v>
      </c>
      <c r="K1386" s="91"/>
      <c r="L1386" s="92" t="s">
        <v>2860</v>
      </c>
      <c r="M1386" s="91" t="str">
        <f t="shared" si="271"/>
        <v>VER ARCHIVO ANEXO</v>
      </c>
      <c r="N1386" s="93">
        <v>41608</v>
      </c>
      <c r="O1386" s="109"/>
      <c r="P1386" s="109"/>
      <c r="Q1386" s="94">
        <v>1237</v>
      </c>
      <c r="R1386" s="95">
        <f t="shared" si="262"/>
        <v>115004.09491047963</v>
      </c>
      <c r="S1386" s="109">
        <v>75259.233200000002</v>
      </c>
      <c r="T1386" s="94">
        <f t="shared" si="272"/>
        <v>80354.283287640006</v>
      </c>
      <c r="U1386" s="94">
        <f t="shared" si="267"/>
        <v>84974.654576679313</v>
      </c>
      <c r="V1386" s="94">
        <f t="shared" si="268"/>
        <v>88450.117948865489</v>
      </c>
      <c r="W1386" s="97">
        <f t="shared" si="265"/>
        <v>91262.831699639413</v>
      </c>
      <c r="X1386" s="97">
        <f t="shared" si="266"/>
        <v>94730.819304225719</v>
      </c>
      <c r="Y1386" s="97">
        <f t="shared" si="261"/>
        <v>96255.98549502375</v>
      </c>
      <c r="Z1386" s="97">
        <f t="shared" si="263"/>
        <v>101665.57187984409</v>
      </c>
      <c r="AA1386" s="97">
        <f t="shared" si="264"/>
        <v>115004.09491047963</v>
      </c>
    </row>
    <row r="1387" spans="1:27" x14ac:dyDescent="0.25">
      <c r="A1387" s="102" t="s">
        <v>3132</v>
      </c>
      <c r="B1387" s="87" t="s">
        <v>3133</v>
      </c>
      <c r="C1387" s="88" t="s">
        <v>226</v>
      </c>
      <c r="D1387" s="89" t="s">
        <v>262</v>
      </c>
      <c r="E1387" s="90">
        <f t="shared" si="269"/>
        <v>151139</v>
      </c>
      <c r="F1387" s="90">
        <f t="shared" si="270"/>
        <v>127007.91066254726</v>
      </c>
      <c r="G1387" s="91">
        <v>0.19</v>
      </c>
      <c r="H1387" s="91" t="s">
        <v>228</v>
      </c>
      <c r="I1387" s="91"/>
      <c r="J1387" s="91" t="s">
        <v>228</v>
      </c>
      <c r="K1387" s="91"/>
      <c r="L1387" s="92" t="s">
        <v>2860</v>
      </c>
      <c r="M1387" s="91" t="str">
        <f t="shared" si="271"/>
        <v>VER ARCHIVO ANEXO</v>
      </c>
      <c r="N1387" s="93">
        <v>41608</v>
      </c>
      <c r="O1387" s="109"/>
      <c r="P1387" s="109"/>
      <c r="Q1387" s="94">
        <v>1238</v>
      </c>
      <c r="R1387" s="95">
        <f t="shared" si="262"/>
        <v>127007.91066254726</v>
      </c>
      <c r="S1387" s="109">
        <v>83114.588000000003</v>
      </c>
      <c r="T1387" s="94">
        <f t="shared" si="272"/>
        <v>88741.445607600006</v>
      </c>
      <c r="U1387" s="94">
        <f t="shared" si="267"/>
        <v>93844.078730037014</v>
      </c>
      <c r="V1387" s="94">
        <f t="shared" si="268"/>
        <v>97682.301550095523</v>
      </c>
      <c r="W1387" s="97">
        <f t="shared" si="265"/>
        <v>100788.59873938856</v>
      </c>
      <c r="X1387" s="97">
        <f t="shared" si="266"/>
        <v>104618.56549148532</v>
      </c>
      <c r="Y1387" s="97">
        <f t="shared" si="261"/>
        <v>106302.92439589824</v>
      </c>
      <c r="Z1387" s="97">
        <f t="shared" si="263"/>
        <v>112277.14874694773</v>
      </c>
      <c r="AA1387" s="97">
        <f t="shared" si="264"/>
        <v>127007.91066254726</v>
      </c>
    </row>
    <row r="1388" spans="1:27" x14ac:dyDescent="0.25">
      <c r="A1388" s="102" t="s">
        <v>3134</v>
      </c>
      <c r="B1388" s="87" t="s">
        <v>3135</v>
      </c>
      <c r="C1388" s="88" t="s">
        <v>226</v>
      </c>
      <c r="D1388" s="89" t="s">
        <v>262</v>
      </c>
      <c r="E1388" s="90">
        <f t="shared" si="269"/>
        <v>163358</v>
      </c>
      <c r="F1388" s="90">
        <f t="shared" si="270"/>
        <v>137275.62426836707</v>
      </c>
      <c r="G1388" s="91">
        <v>0.19</v>
      </c>
      <c r="H1388" s="91" t="s">
        <v>228</v>
      </c>
      <c r="I1388" s="91"/>
      <c r="J1388" s="91" t="s">
        <v>228</v>
      </c>
      <c r="K1388" s="91"/>
      <c r="L1388" s="92" t="s">
        <v>2860</v>
      </c>
      <c r="M1388" s="91" t="str">
        <f t="shared" si="271"/>
        <v>VER ARCHIVO ANEXO</v>
      </c>
      <c r="N1388" s="93">
        <v>41608</v>
      </c>
      <c r="O1388" s="109"/>
      <c r="P1388" s="109"/>
      <c r="Q1388" s="94">
        <v>1239</v>
      </c>
      <c r="R1388" s="95">
        <f t="shared" si="262"/>
        <v>137275.62426836707</v>
      </c>
      <c r="S1388" s="109">
        <v>89833.829199999993</v>
      </c>
      <c r="T1388" s="94">
        <f t="shared" si="272"/>
        <v>95915.579436839995</v>
      </c>
      <c r="U1388" s="94">
        <f t="shared" si="267"/>
        <v>101430.7252544583</v>
      </c>
      <c r="V1388" s="94">
        <f t="shared" si="268"/>
        <v>105579.24191736564</v>
      </c>
      <c r="W1388" s="97">
        <f t="shared" si="265"/>
        <v>108936.66181033787</v>
      </c>
      <c r="X1388" s="97">
        <f t="shared" si="266"/>
        <v>113076.25495913072</v>
      </c>
      <c r="Y1388" s="97">
        <f t="shared" si="261"/>
        <v>114896.78266397273</v>
      </c>
      <c r="Z1388" s="97">
        <f t="shared" si="263"/>
        <v>121353.981849688</v>
      </c>
      <c r="AA1388" s="97">
        <f t="shared" si="264"/>
        <v>137275.62426836707</v>
      </c>
    </row>
    <row r="1389" spans="1:27" x14ac:dyDescent="0.25">
      <c r="A1389" s="102" t="s">
        <v>3136</v>
      </c>
      <c r="B1389" s="87" t="s">
        <v>3137</v>
      </c>
      <c r="C1389" s="88" t="s">
        <v>226</v>
      </c>
      <c r="D1389" s="89" t="s">
        <v>262</v>
      </c>
      <c r="E1389" s="90">
        <f t="shared" si="269"/>
        <v>178559</v>
      </c>
      <c r="F1389" s="90">
        <f t="shared" si="270"/>
        <v>150049.28093565046</v>
      </c>
      <c r="G1389" s="91">
        <v>0.19</v>
      </c>
      <c r="H1389" s="91" t="s">
        <v>228</v>
      </c>
      <c r="I1389" s="91"/>
      <c r="J1389" s="91" t="s">
        <v>228</v>
      </c>
      <c r="K1389" s="91"/>
      <c r="L1389" s="92" t="s">
        <v>2860</v>
      </c>
      <c r="M1389" s="91" t="str">
        <f t="shared" si="271"/>
        <v>VER ARCHIVO ANEXO</v>
      </c>
      <c r="N1389" s="93">
        <v>41608</v>
      </c>
      <c r="O1389" s="109"/>
      <c r="P1389" s="109"/>
      <c r="Q1389" s="94">
        <v>1240</v>
      </c>
      <c r="R1389" s="95">
        <f t="shared" si="262"/>
        <v>150049.28093565046</v>
      </c>
      <c r="S1389" s="109">
        <v>98192.97159999999</v>
      </c>
      <c r="T1389" s="94">
        <f t="shared" si="272"/>
        <v>104840.63577732</v>
      </c>
      <c r="U1389" s="94">
        <f t="shared" si="267"/>
        <v>110868.97233451591</v>
      </c>
      <c r="V1389" s="94">
        <f t="shared" si="268"/>
        <v>115403.51330299761</v>
      </c>
      <c r="W1389" s="97">
        <f t="shared" si="265"/>
        <v>119073.34502603294</v>
      </c>
      <c r="X1389" s="97">
        <f t="shared" si="266"/>
        <v>123598.1321370222</v>
      </c>
      <c r="Y1389" s="97">
        <f t="shared" si="261"/>
        <v>125588.06206442826</v>
      </c>
      <c r="Z1389" s="97">
        <f t="shared" si="263"/>
        <v>132646.11115244913</v>
      </c>
      <c r="AA1389" s="97">
        <f t="shared" si="264"/>
        <v>150049.28093565046</v>
      </c>
    </row>
    <row r="1390" spans="1:27" x14ac:dyDescent="0.25">
      <c r="A1390" s="102" t="s">
        <v>3138</v>
      </c>
      <c r="B1390" s="87" t="s">
        <v>3139</v>
      </c>
      <c r="C1390" s="88" t="s">
        <v>226</v>
      </c>
      <c r="D1390" s="89" t="s">
        <v>262</v>
      </c>
      <c r="E1390" s="90">
        <f t="shared" si="269"/>
        <v>81662</v>
      </c>
      <c r="F1390" s="90">
        <f t="shared" si="270"/>
        <v>68623.555820938811</v>
      </c>
      <c r="G1390" s="91">
        <v>0.19</v>
      </c>
      <c r="H1390" s="91" t="s">
        <v>228</v>
      </c>
      <c r="I1390" s="91"/>
      <c r="J1390" s="91" t="s">
        <v>228</v>
      </c>
      <c r="K1390" s="91"/>
      <c r="L1390" s="92" t="s">
        <v>2860</v>
      </c>
      <c r="M1390" s="91" t="str">
        <f t="shared" si="271"/>
        <v>VER ARCHIVO ANEXO</v>
      </c>
      <c r="N1390" s="93">
        <v>41608</v>
      </c>
      <c r="O1390" s="109"/>
      <c r="P1390" s="109"/>
      <c r="Q1390" s="94">
        <v>1241</v>
      </c>
      <c r="R1390" s="95">
        <f t="shared" si="262"/>
        <v>68623.555820938811</v>
      </c>
      <c r="S1390" s="109">
        <v>44907.585200000001</v>
      </c>
      <c r="T1390" s="94">
        <f t="shared" si="272"/>
        <v>47947.828718040008</v>
      </c>
      <c r="U1390" s="94">
        <f t="shared" si="267"/>
        <v>50704.828869327313</v>
      </c>
      <c r="V1390" s="94">
        <f t="shared" si="268"/>
        <v>52778.656370082797</v>
      </c>
      <c r="W1390" s="97">
        <f t="shared" si="265"/>
        <v>54457.01764265143</v>
      </c>
      <c r="X1390" s="97">
        <f t="shared" si="266"/>
        <v>56526.384313072187</v>
      </c>
      <c r="Y1390" s="97">
        <f t="shared" si="261"/>
        <v>57436.459100512649</v>
      </c>
      <c r="Z1390" s="97">
        <f t="shared" si="263"/>
        <v>60664.388101961464</v>
      </c>
      <c r="AA1390" s="97">
        <f t="shared" si="264"/>
        <v>68623.555820938811</v>
      </c>
    </row>
    <row r="1391" spans="1:27" x14ac:dyDescent="0.25">
      <c r="A1391" s="102" t="s">
        <v>3140</v>
      </c>
      <c r="B1391" s="87" t="s">
        <v>3141</v>
      </c>
      <c r="C1391" s="88" t="s">
        <v>226</v>
      </c>
      <c r="D1391" s="89" t="s">
        <v>89</v>
      </c>
      <c r="E1391" s="90">
        <f t="shared" si="269"/>
        <v>112124</v>
      </c>
      <c r="F1391" s="90">
        <f t="shared" si="270"/>
        <v>94221.558269264642</v>
      </c>
      <c r="G1391" s="91">
        <v>0.19</v>
      </c>
      <c r="H1391" s="91" t="s">
        <v>228</v>
      </c>
      <c r="I1391" s="91"/>
      <c r="J1391" s="91" t="s">
        <v>228</v>
      </c>
      <c r="K1391" s="91"/>
      <c r="L1391" s="92" t="s">
        <v>2860</v>
      </c>
      <c r="M1391" s="91" t="str">
        <f t="shared" si="271"/>
        <v>VER ARCHIVO ANEXO</v>
      </c>
      <c r="N1391" s="93">
        <v>41608</v>
      </c>
      <c r="O1391" s="109"/>
      <c r="P1391" s="109"/>
      <c r="Q1391" s="94">
        <v>1242</v>
      </c>
      <c r="R1391" s="95">
        <f t="shared" si="262"/>
        <v>94221.558269264642</v>
      </c>
      <c r="S1391" s="109">
        <v>61659.0412</v>
      </c>
      <c r="T1391" s="94">
        <f t="shared" si="272"/>
        <v>65833.358289240001</v>
      </c>
      <c r="U1391" s="94">
        <f t="shared" si="267"/>
        <v>69618.77639087131</v>
      </c>
      <c r="V1391" s="94">
        <f t="shared" si="268"/>
        <v>72466.184345257949</v>
      </c>
      <c r="W1391" s="97">
        <f t="shared" si="265"/>
        <v>74770.60900743716</v>
      </c>
      <c r="X1391" s="97">
        <f t="shared" si="266"/>
        <v>77611.892149719773</v>
      </c>
      <c r="Y1391" s="97">
        <f t="shared" si="261"/>
        <v>78861.443613330266</v>
      </c>
      <c r="Z1391" s="97">
        <f t="shared" si="263"/>
        <v>83293.456744399431</v>
      </c>
      <c r="AA1391" s="97">
        <f t="shared" si="264"/>
        <v>94221.558269264642</v>
      </c>
    </row>
    <row r="1392" spans="1:27" x14ac:dyDescent="0.25">
      <c r="A1392" s="102" t="s">
        <v>3142</v>
      </c>
      <c r="B1392" s="87" t="s">
        <v>3143</v>
      </c>
      <c r="C1392" s="88" t="s">
        <v>226</v>
      </c>
      <c r="D1392" s="89" t="s">
        <v>262</v>
      </c>
      <c r="E1392" s="90">
        <f t="shared" si="269"/>
        <v>118648</v>
      </c>
      <c r="F1392" s="90">
        <f t="shared" si="270"/>
        <v>99703.902729268069</v>
      </c>
      <c r="G1392" s="91">
        <v>0.19</v>
      </c>
      <c r="H1392" s="91" t="s">
        <v>228</v>
      </c>
      <c r="I1392" s="91"/>
      <c r="J1392" s="91" t="s">
        <v>228</v>
      </c>
      <c r="K1392" s="91"/>
      <c r="L1392" s="92" t="s">
        <v>2860</v>
      </c>
      <c r="M1392" s="91" t="str">
        <f t="shared" si="271"/>
        <v>VER ARCHIVO ANEXO</v>
      </c>
      <c r="N1392" s="93">
        <v>41608</v>
      </c>
      <c r="O1392" s="109"/>
      <c r="P1392" s="109"/>
      <c r="Q1392" s="94">
        <v>1243</v>
      </c>
      <c r="R1392" s="95">
        <f t="shared" si="262"/>
        <v>99703.902729268069</v>
      </c>
      <c r="S1392" s="109">
        <v>65246.713799999998</v>
      </c>
      <c r="T1392" s="94">
        <f t="shared" si="272"/>
        <v>69663.916324260004</v>
      </c>
      <c r="U1392" s="94">
        <f t="shared" si="267"/>
        <v>73669.591512904968</v>
      </c>
      <c r="V1392" s="94">
        <f t="shared" si="268"/>
        <v>76682.677805782776</v>
      </c>
      <c r="W1392" s="97">
        <f t="shared" si="265"/>
        <v>79121.186960006671</v>
      </c>
      <c r="X1392" s="97">
        <f t="shared" si="266"/>
        <v>82127.79206448693</v>
      </c>
      <c r="Y1392" s="97">
        <f t="shared" si="261"/>
        <v>83450.049516725165</v>
      </c>
      <c r="Z1392" s="97">
        <f t="shared" si="263"/>
        <v>88139.942299565126</v>
      </c>
      <c r="AA1392" s="97">
        <f t="shared" si="264"/>
        <v>99703.902729268069</v>
      </c>
    </row>
    <row r="1393" spans="1:27" x14ac:dyDescent="0.25">
      <c r="A1393" s="102" t="s">
        <v>3144</v>
      </c>
      <c r="B1393" s="87" t="s">
        <v>3145</v>
      </c>
      <c r="C1393" s="88" t="s">
        <v>226</v>
      </c>
      <c r="D1393" s="89" t="s">
        <v>262</v>
      </c>
      <c r="E1393" s="90">
        <f t="shared" si="269"/>
        <v>14905</v>
      </c>
      <c r="F1393" s="90">
        <f t="shared" si="270"/>
        <v>12524.963202902984</v>
      </c>
      <c r="G1393" s="91">
        <v>0.19</v>
      </c>
      <c r="H1393" s="91" t="s">
        <v>228</v>
      </c>
      <c r="I1393" s="91"/>
      <c r="J1393" s="91" t="s">
        <v>228</v>
      </c>
      <c r="K1393" s="91"/>
      <c r="L1393" s="92" t="s">
        <v>2860</v>
      </c>
      <c r="M1393" s="91" t="str">
        <f t="shared" si="271"/>
        <v>VER ARCHIVO ANEXO</v>
      </c>
      <c r="N1393" s="93">
        <v>41608</v>
      </c>
      <c r="O1393" s="109"/>
      <c r="P1393" s="109"/>
      <c r="Q1393" s="94">
        <v>1244</v>
      </c>
      <c r="R1393" s="95">
        <f t="shared" si="262"/>
        <v>12524.963202902984</v>
      </c>
      <c r="S1393" s="109">
        <v>8196.3961999999992</v>
      </c>
      <c r="T1393" s="94">
        <f t="shared" si="272"/>
        <v>8751.2922227399995</v>
      </c>
      <c r="U1393" s="94">
        <f t="shared" si="267"/>
        <v>9254.4915255475498</v>
      </c>
      <c r="V1393" s="94">
        <f t="shared" si="268"/>
        <v>9633.0002289424447</v>
      </c>
      <c r="W1393" s="97">
        <f t="shared" si="265"/>
        <v>9939.3296362228157</v>
      </c>
      <c r="X1393" s="97">
        <f t="shared" si="266"/>
        <v>10317.024162399282</v>
      </c>
      <c r="Y1393" s="97">
        <f t="shared" si="261"/>
        <v>10483.128251413911</v>
      </c>
      <c r="Z1393" s="97">
        <f t="shared" si="263"/>
        <v>11072.280059143373</v>
      </c>
      <c r="AA1393" s="97">
        <f t="shared" si="264"/>
        <v>12524.963202902984</v>
      </c>
    </row>
    <row r="1394" spans="1:27" x14ac:dyDescent="0.25">
      <c r="A1394" s="102" t="s">
        <v>3146</v>
      </c>
      <c r="B1394" s="87" t="s">
        <v>3147</v>
      </c>
      <c r="C1394" s="88" t="s">
        <v>226</v>
      </c>
      <c r="D1394" s="89" t="s">
        <v>262</v>
      </c>
      <c r="E1394" s="90">
        <f t="shared" si="269"/>
        <v>32256</v>
      </c>
      <c r="F1394" s="90">
        <f t="shared" si="270"/>
        <v>27106.003582657886</v>
      </c>
      <c r="G1394" s="91">
        <v>0.19</v>
      </c>
      <c r="H1394" s="91" t="s">
        <v>228</v>
      </c>
      <c r="I1394" s="91"/>
      <c r="J1394" s="91" t="s">
        <v>228</v>
      </c>
      <c r="K1394" s="91"/>
      <c r="L1394" s="92" t="s">
        <v>2860</v>
      </c>
      <c r="M1394" s="91" t="str">
        <f t="shared" si="271"/>
        <v>VER ARCHIVO ANEXO</v>
      </c>
      <c r="N1394" s="93">
        <v>41608</v>
      </c>
      <c r="O1394" s="109"/>
      <c r="P1394" s="109"/>
      <c r="Q1394" s="94">
        <v>1245</v>
      </c>
      <c r="R1394" s="95">
        <f t="shared" si="262"/>
        <v>27106.003582657886</v>
      </c>
      <c r="S1394" s="109">
        <v>17738.299199999998</v>
      </c>
      <c r="T1394" s="94">
        <f t="shared" si="272"/>
        <v>18939.18205584</v>
      </c>
      <c r="U1394" s="94">
        <f t="shared" si="267"/>
        <v>20028.185024050803</v>
      </c>
      <c r="V1394" s="94">
        <f t="shared" si="268"/>
        <v>20847.337791534479</v>
      </c>
      <c r="W1394" s="97">
        <f t="shared" si="265"/>
        <v>21510.283133305278</v>
      </c>
      <c r="X1394" s="97">
        <f t="shared" si="266"/>
        <v>22327.67389237088</v>
      </c>
      <c r="Y1394" s="97">
        <f t="shared" si="261"/>
        <v>22687.149442038051</v>
      </c>
      <c r="Z1394" s="97">
        <f t="shared" si="263"/>
        <v>23962.167240680592</v>
      </c>
      <c r="AA1394" s="97">
        <f t="shared" si="264"/>
        <v>27106.003582657886</v>
      </c>
    </row>
    <row r="1395" spans="1:27" x14ac:dyDescent="0.25">
      <c r="A1395" s="102" t="s">
        <v>3148</v>
      </c>
      <c r="B1395" s="87" t="s">
        <v>3149</v>
      </c>
      <c r="C1395" s="88" t="s">
        <v>226</v>
      </c>
      <c r="D1395" s="89" t="s">
        <v>262</v>
      </c>
      <c r="E1395" s="90">
        <f t="shared" si="269"/>
        <v>65690</v>
      </c>
      <c r="F1395" s="90">
        <f t="shared" si="270"/>
        <v>55202.028918422417</v>
      </c>
      <c r="G1395" s="91">
        <v>0.19</v>
      </c>
      <c r="H1395" s="91" t="s">
        <v>228</v>
      </c>
      <c r="I1395" s="91"/>
      <c r="J1395" s="91" t="s">
        <v>228</v>
      </c>
      <c r="K1395" s="91"/>
      <c r="L1395" s="92" t="s">
        <v>2860</v>
      </c>
      <c r="M1395" s="91" t="str">
        <f t="shared" si="271"/>
        <v>VER ARCHIVO ANEXO</v>
      </c>
      <c r="N1395" s="93">
        <v>41608</v>
      </c>
      <c r="O1395" s="109"/>
      <c r="P1395" s="109"/>
      <c r="Q1395" s="94">
        <v>1246</v>
      </c>
      <c r="R1395" s="95">
        <f t="shared" si="262"/>
        <v>55202.028918422417</v>
      </c>
      <c r="S1395" s="109">
        <v>36124.473399999995</v>
      </c>
      <c r="T1395" s="94">
        <f t="shared" si="272"/>
        <v>38570.100249179995</v>
      </c>
      <c r="U1395" s="94">
        <f t="shared" si="267"/>
        <v>40787.881013507853</v>
      </c>
      <c r="V1395" s="94">
        <f t="shared" si="268"/>
        <v>42456.105346960321</v>
      </c>
      <c r="W1395" s="97">
        <f t="shared" si="265"/>
        <v>43806.209496993659</v>
      </c>
      <c r="X1395" s="97">
        <f t="shared" si="266"/>
        <v>45470.845457879419</v>
      </c>
      <c r="Y1395" s="97">
        <f t="shared" si="261"/>
        <v>46202.92606975128</v>
      </c>
      <c r="Z1395" s="97">
        <f t="shared" si="263"/>
        <v>48799.530514871301</v>
      </c>
      <c r="AA1395" s="97">
        <f t="shared" si="264"/>
        <v>55202.028918422417</v>
      </c>
    </row>
    <row r="1396" spans="1:27" x14ac:dyDescent="0.25">
      <c r="A1396" s="102" t="s">
        <v>3150</v>
      </c>
      <c r="B1396" s="87" t="s">
        <v>3151</v>
      </c>
      <c r="C1396" s="88" t="s">
        <v>226</v>
      </c>
      <c r="D1396" s="89" t="s">
        <v>262</v>
      </c>
      <c r="E1396" s="90">
        <f t="shared" si="269"/>
        <v>63971</v>
      </c>
      <c r="F1396" s="90">
        <f t="shared" si="270"/>
        <v>53757.389176289194</v>
      </c>
      <c r="G1396" s="91">
        <v>0.19</v>
      </c>
      <c r="H1396" s="91" t="s">
        <v>228</v>
      </c>
      <c r="I1396" s="91"/>
      <c r="J1396" s="91" t="s">
        <v>228</v>
      </c>
      <c r="K1396" s="91"/>
      <c r="L1396" s="92" t="s">
        <v>2860</v>
      </c>
      <c r="M1396" s="91" t="str">
        <f t="shared" si="271"/>
        <v>VER ARCHIVO ANEXO</v>
      </c>
      <c r="N1396" s="93">
        <v>41608</v>
      </c>
      <c r="O1396" s="109"/>
      <c r="P1396" s="109"/>
      <c r="Q1396" s="94">
        <v>1247</v>
      </c>
      <c r="R1396" s="95">
        <f t="shared" si="262"/>
        <v>53757.389176289194</v>
      </c>
      <c r="S1396" s="109">
        <v>35179.0942</v>
      </c>
      <c r="T1396" s="94">
        <f t="shared" si="272"/>
        <v>37560.718877340005</v>
      </c>
      <c r="U1396" s="94">
        <f t="shared" si="267"/>
        <v>39720.46021278706</v>
      </c>
      <c r="V1396" s="94">
        <f t="shared" si="268"/>
        <v>41345.027035490049</v>
      </c>
      <c r="W1396" s="97">
        <f t="shared" si="265"/>
        <v>42659.798895218635</v>
      </c>
      <c r="X1396" s="97">
        <f t="shared" si="266"/>
        <v>44280.871253236946</v>
      </c>
      <c r="Y1396" s="97">
        <f t="shared" si="261"/>
        <v>44993.793280414058</v>
      </c>
      <c r="Z1396" s="97">
        <f t="shared" si="263"/>
        <v>47522.444462773332</v>
      </c>
      <c r="AA1396" s="97">
        <f t="shared" si="264"/>
        <v>53757.389176289194</v>
      </c>
    </row>
    <row r="1397" spans="1:27" x14ac:dyDescent="0.25">
      <c r="A1397" s="102" t="s">
        <v>3152</v>
      </c>
      <c r="B1397" s="87" t="s">
        <v>3153</v>
      </c>
      <c r="C1397" s="88" t="s">
        <v>226</v>
      </c>
      <c r="D1397" s="89" t="s">
        <v>262</v>
      </c>
      <c r="E1397" s="90">
        <f t="shared" si="269"/>
        <v>72708</v>
      </c>
      <c r="F1397" s="90">
        <f t="shared" si="270"/>
        <v>61099.390497328175</v>
      </c>
      <c r="G1397" s="91">
        <v>0.19</v>
      </c>
      <c r="H1397" s="91" t="s">
        <v>228</v>
      </c>
      <c r="I1397" s="91"/>
      <c r="J1397" s="91" t="s">
        <v>228</v>
      </c>
      <c r="K1397" s="91"/>
      <c r="L1397" s="92" t="s">
        <v>2860</v>
      </c>
      <c r="M1397" s="91" t="str">
        <f t="shared" si="271"/>
        <v>VER ARCHIVO ANEXO</v>
      </c>
      <c r="N1397" s="93">
        <v>41608</v>
      </c>
      <c r="O1397" s="109"/>
      <c r="P1397" s="109"/>
      <c r="Q1397" s="94">
        <v>1248</v>
      </c>
      <c r="R1397" s="95">
        <f t="shared" si="262"/>
        <v>61099.390497328175</v>
      </c>
      <c r="S1397" s="109">
        <v>39983.735199999996</v>
      </c>
      <c r="T1397" s="94">
        <f t="shared" si="272"/>
        <v>42690.634073039997</v>
      </c>
      <c r="U1397" s="94">
        <f t="shared" si="267"/>
        <v>45145.3455322398</v>
      </c>
      <c r="V1397" s="94">
        <f t="shared" si="268"/>
        <v>46991.790164508406</v>
      </c>
      <c r="W1397" s="97">
        <f t="shared" si="265"/>
        <v>48486.129091739778</v>
      </c>
      <c r="X1397" s="97">
        <f t="shared" si="266"/>
        <v>50328.601997225895</v>
      </c>
      <c r="Y1397" s="97">
        <f t="shared" si="261"/>
        <v>51138.892489381229</v>
      </c>
      <c r="Z1397" s="97">
        <f t="shared" si="263"/>
        <v>54012.898247284458</v>
      </c>
      <c r="AA1397" s="97">
        <f t="shared" si="264"/>
        <v>61099.390497328175</v>
      </c>
    </row>
    <row r="1398" spans="1:27" x14ac:dyDescent="0.25">
      <c r="A1398" s="102" t="s">
        <v>3154</v>
      </c>
      <c r="B1398" s="87" t="s">
        <v>3155</v>
      </c>
      <c r="C1398" s="88" t="s">
        <v>226</v>
      </c>
      <c r="D1398" s="89" t="s">
        <v>262</v>
      </c>
      <c r="E1398" s="90">
        <f t="shared" si="269"/>
        <v>81753</v>
      </c>
      <c r="F1398" s="90">
        <f t="shared" si="270"/>
        <v>68699.589491577382</v>
      </c>
      <c r="G1398" s="91">
        <v>0.19</v>
      </c>
      <c r="H1398" s="91" t="s">
        <v>228</v>
      </c>
      <c r="I1398" s="91"/>
      <c r="J1398" s="91" t="s">
        <v>228</v>
      </c>
      <c r="K1398" s="91"/>
      <c r="L1398" s="92" t="s">
        <v>2860</v>
      </c>
      <c r="M1398" s="91" t="str">
        <f t="shared" si="271"/>
        <v>VER ARCHIVO ANEXO</v>
      </c>
      <c r="N1398" s="93">
        <v>41608</v>
      </c>
      <c r="O1398" s="109"/>
      <c r="P1398" s="109"/>
      <c r="Q1398" s="94">
        <v>1249</v>
      </c>
      <c r="R1398" s="95">
        <f t="shared" si="262"/>
        <v>68699.589491577382</v>
      </c>
      <c r="S1398" s="109">
        <v>44957.341999999997</v>
      </c>
      <c r="T1398" s="94">
        <f t="shared" si="272"/>
        <v>48000.954053400004</v>
      </c>
      <c r="U1398" s="94">
        <f t="shared" si="267"/>
        <v>50761.008911470512</v>
      </c>
      <c r="V1398" s="94">
        <f t="shared" si="268"/>
        <v>52837.13417594965</v>
      </c>
      <c r="W1398" s="97">
        <f t="shared" si="265"/>
        <v>54517.35504274485</v>
      </c>
      <c r="X1398" s="97">
        <f t="shared" si="266"/>
        <v>56589.014534369155</v>
      </c>
      <c r="Y1398" s="97">
        <f t="shared" si="261"/>
        <v>57500.097668372495</v>
      </c>
      <c r="Z1398" s="97">
        <f t="shared" si="263"/>
        <v>60731.603157335034</v>
      </c>
      <c r="AA1398" s="97">
        <f t="shared" si="264"/>
        <v>68699.589491577382</v>
      </c>
    </row>
    <row r="1399" spans="1:27" x14ac:dyDescent="0.25">
      <c r="A1399" s="102" t="s">
        <v>3156</v>
      </c>
      <c r="B1399" s="87" t="s">
        <v>3157</v>
      </c>
      <c r="C1399" s="88" t="s">
        <v>226</v>
      </c>
      <c r="D1399" s="89" t="s">
        <v>262</v>
      </c>
      <c r="E1399" s="90">
        <f t="shared" si="269"/>
        <v>92126</v>
      </c>
      <c r="F1399" s="90">
        <f t="shared" si="270"/>
        <v>77416.533023330936</v>
      </c>
      <c r="G1399" s="91">
        <v>0.19</v>
      </c>
      <c r="H1399" s="91" t="s">
        <v>228</v>
      </c>
      <c r="I1399" s="91"/>
      <c r="J1399" s="91" t="s">
        <v>228</v>
      </c>
      <c r="K1399" s="91"/>
      <c r="L1399" s="92" t="s">
        <v>2860</v>
      </c>
      <c r="M1399" s="91" t="str">
        <f t="shared" si="271"/>
        <v>VER ARCHIVO ANEXO</v>
      </c>
      <c r="N1399" s="93">
        <v>41608</v>
      </c>
      <c r="O1399" s="109"/>
      <c r="P1399" s="109"/>
      <c r="Q1399" s="94">
        <v>1250</v>
      </c>
      <c r="R1399" s="95">
        <f t="shared" si="262"/>
        <v>77416.533023330936</v>
      </c>
      <c r="S1399" s="109">
        <v>50661.751799999998</v>
      </c>
      <c r="T1399" s="94">
        <f t="shared" si="272"/>
        <v>54091.552396860003</v>
      </c>
      <c r="U1399" s="94">
        <f t="shared" si="267"/>
        <v>57201.816659679462</v>
      </c>
      <c r="V1399" s="94">
        <f t="shared" si="268"/>
        <v>59541.370961060347</v>
      </c>
      <c r="W1399" s="97">
        <f t="shared" si="265"/>
        <v>61434.786557622072</v>
      </c>
      <c r="X1399" s="97">
        <f t="shared" si="266"/>
        <v>63769.308446811716</v>
      </c>
      <c r="Y1399" s="97">
        <f t="shared" si="261"/>
        <v>64795.994312805386</v>
      </c>
      <c r="Z1399" s="97">
        <f t="shared" si="263"/>
        <v>68437.529193185052</v>
      </c>
      <c r="AA1399" s="97">
        <f t="shared" si="264"/>
        <v>77416.533023330936</v>
      </c>
    </row>
    <row r="1400" spans="1:27" x14ac:dyDescent="0.25">
      <c r="A1400" s="102" t="s">
        <v>3158</v>
      </c>
      <c r="B1400" s="87" t="s">
        <v>3159</v>
      </c>
      <c r="C1400" s="88" t="s">
        <v>226</v>
      </c>
      <c r="D1400" s="89" t="s">
        <v>262</v>
      </c>
      <c r="E1400" s="90">
        <f t="shared" si="269"/>
        <v>106267</v>
      </c>
      <c r="F1400" s="90">
        <f t="shared" si="270"/>
        <v>89299.962130220767</v>
      </c>
      <c r="G1400" s="91">
        <v>0.19</v>
      </c>
      <c r="H1400" s="91" t="s">
        <v>228</v>
      </c>
      <c r="I1400" s="91"/>
      <c r="J1400" s="91" t="s">
        <v>228</v>
      </c>
      <c r="K1400" s="91"/>
      <c r="L1400" s="92" t="s">
        <v>2860</v>
      </c>
      <c r="M1400" s="91" t="str">
        <f t="shared" si="271"/>
        <v>VER ARCHIVO ANEXO</v>
      </c>
      <c r="N1400" s="93">
        <v>41608</v>
      </c>
      <c r="O1400" s="109"/>
      <c r="P1400" s="109"/>
      <c r="Q1400" s="94">
        <v>1251</v>
      </c>
      <c r="R1400" s="95">
        <f t="shared" si="262"/>
        <v>89299.962130220767</v>
      </c>
      <c r="S1400" s="109">
        <v>58438.324999999997</v>
      </c>
      <c r="T1400" s="94">
        <f t="shared" si="272"/>
        <v>62394.599602500006</v>
      </c>
      <c r="U1400" s="94">
        <f t="shared" si="267"/>
        <v>65982.289079643757</v>
      </c>
      <c r="V1400" s="94">
        <f t="shared" si="268"/>
        <v>68680.964703001184</v>
      </c>
      <c r="W1400" s="97">
        <f t="shared" si="265"/>
        <v>70865.019380556623</v>
      </c>
      <c r="X1400" s="97">
        <f t="shared" si="266"/>
        <v>73557.890117017771</v>
      </c>
      <c r="Y1400" s="97">
        <f t="shared" si="261"/>
        <v>74742.172147901758</v>
      </c>
      <c r="Z1400" s="97">
        <f t="shared" si="263"/>
        <v>78942.682222613832</v>
      </c>
      <c r="AA1400" s="97">
        <f t="shared" si="264"/>
        <v>89299.962130220767</v>
      </c>
    </row>
    <row r="1401" spans="1:27" x14ac:dyDescent="0.25">
      <c r="A1401" s="102" t="s">
        <v>3160</v>
      </c>
      <c r="B1401" s="87" t="s">
        <v>3161</v>
      </c>
      <c r="C1401" s="88" t="s">
        <v>226</v>
      </c>
      <c r="D1401" s="89" t="s">
        <v>262</v>
      </c>
      <c r="E1401" s="90">
        <f t="shared" si="269"/>
        <v>123230</v>
      </c>
      <c r="F1401" s="90">
        <f t="shared" si="270"/>
        <v>103554.69134015172</v>
      </c>
      <c r="G1401" s="91">
        <v>0.19</v>
      </c>
      <c r="H1401" s="91" t="s">
        <v>228</v>
      </c>
      <c r="I1401" s="91"/>
      <c r="J1401" s="91" t="s">
        <v>228</v>
      </c>
      <c r="K1401" s="91"/>
      <c r="L1401" s="92" t="s">
        <v>2860</v>
      </c>
      <c r="M1401" s="91" t="str">
        <f t="shared" si="271"/>
        <v>VER ARCHIVO ANEXO</v>
      </c>
      <c r="N1401" s="93">
        <v>41608</v>
      </c>
      <c r="O1401" s="109"/>
      <c r="P1401" s="109"/>
      <c r="Q1401" s="94">
        <v>1252</v>
      </c>
      <c r="R1401" s="95">
        <f t="shared" si="262"/>
        <v>103554.69134015172</v>
      </c>
      <c r="S1401" s="109">
        <v>67766.688399999999</v>
      </c>
      <c r="T1401" s="94">
        <f t="shared" si="272"/>
        <v>72354.49320468001</v>
      </c>
      <c r="U1401" s="94">
        <f t="shared" si="267"/>
        <v>76514.876563949118</v>
      </c>
      <c r="V1401" s="94">
        <f t="shared" si="268"/>
        <v>79644.335015414632</v>
      </c>
      <c r="W1401" s="97">
        <f t="shared" si="265"/>
        <v>82177.024868904817</v>
      </c>
      <c r="X1401" s="97">
        <f t="shared" si="266"/>
        <v>85299.751813923198</v>
      </c>
      <c r="Y1401" s="97">
        <f t="shared" ref="Y1401:Y1464" si="273">+X1401*(1+$Y$4)</f>
        <v>86673.077818127364</v>
      </c>
      <c r="Z1401" s="97">
        <f t="shared" si="263"/>
        <v>91544.104791506121</v>
      </c>
      <c r="AA1401" s="97">
        <f t="shared" si="264"/>
        <v>103554.69134015172</v>
      </c>
    </row>
    <row r="1402" spans="1:27" x14ac:dyDescent="0.25">
      <c r="A1402" s="102" t="s">
        <v>3162</v>
      </c>
      <c r="B1402" s="87" t="s">
        <v>3163</v>
      </c>
      <c r="C1402" s="88" t="s">
        <v>226</v>
      </c>
      <c r="D1402" s="89" t="s">
        <v>262</v>
      </c>
      <c r="E1402" s="90">
        <f t="shared" si="269"/>
        <v>2639</v>
      </c>
      <c r="F1402" s="90">
        <f t="shared" si="270"/>
        <v>2217.6487269589197</v>
      </c>
      <c r="G1402" s="91">
        <v>0.19</v>
      </c>
      <c r="H1402" s="91" t="s">
        <v>228</v>
      </c>
      <c r="I1402" s="91"/>
      <c r="J1402" s="91" t="s">
        <v>228</v>
      </c>
      <c r="K1402" s="91"/>
      <c r="L1402" s="92" t="s">
        <v>2860</v>
      </c>
      <c r="M1402" s="91" t="str">
        <f t="shared" si="271"/>
        <v>VER ARCHIVO ANEXO</v>
      </c>
      <c r="N1402" s="93">
        <v>41608</v>
      </c>
      <c r="O1402" s="109"/>
      <c r="P1402" s="109"/>
      <c r="Q1402" s="94">
        <v>1253</v>
      </c>
      <c r="R1402" s="95">
        <f t="shared" si="262"/>
        <v>2217.6487269589197</v>
      </c>
      <c r="S1402" s="109">
        <v>1451.24</v>
      </c>
      <c r="T1402" s="94">
        <f t="shared" si="272"/>
        <v>1549.4889480000002</v>
      </c>
      <c r="U1402" s="94">
        <f t="shared" si="267"/>
        <v>1638.5845625100003</v>
      </c>
      <c r="V1402" s="94">
        <f t="shared" si="268"/>
        <v>1705.6026711166592</v>
      </c>
      <c r="W1402" s="97">
        <f t="shared" si="265"/>
        <v>1759.8408360581691</v>
      </c>
      <c r="X1402" s="97">
        <f t="shared" si="266"/>
        <v>1826.7147878283795</v>
      </c>
      <c r="Y1402" s="97">
        <f t="shared" si="273"/>
        <v>1856.1248959124164</v>
      </c>
      <c r="Z1402" s="97">
        <f t="shared" si="263"/>
        <v>1960.4391150626943</v>
      </c>
      <c r="AA1402" s="97">
        <f t="shared" si="264"/>
        <v>2217.6487269589197</v>
      </c>
    </row>
    <row r="1403" spans="1:27" x14ac:dyDescent="0.25">
      <c r="A1403" s="102" t="s">
        <v>3164</v>
      </c>
      <c r="B1403" s="87" t="s">
        <v>3165</v>
      </c>
      <c r="C1403" s="88" t="s">
        <v>226</v>
      </c>
      <c r="D1403" s="89" t="s">
        <v>262</v>
      </c>
      <c r="E1403" s="90">
        <f t="shared" si="269"/>
        <v>136031</v>
      </c>
      <c r="F1403" s="90">
        <f t="shared" si="270"/>
        <v>114311.8717007075</v>
      </c>
      <c r="G1403" s="91">
        <v>0.19</v>
      </c>
      <c r="H1403" s="91" t="s">
        <v>228</v>
      </c>
      <c r="I1403" s="91"/>
      <c r="J1403" s="91" t="s">
        <v>228</v>
      </c>
      <c r="K1403" s="91"/>
      <c r="L1403" s="92" t="s">
        <v>2860</v>
      </c>
      <c r="M1403" s="91" t="str">
        <f t="shared" si="271"/>
        <v>VER ARCHIVO ANEXO</v>
      </c>
      <c r="N1403" s="93">
        <v>41608</v>
      </c>
      <c r="O1403" s="109"/>
      <c r="P1403" s="109"/>
      <c r="Q1403" s="94">
        <v>1254</v>
      </c>
      <c r="R1403" s="95">
        <f t="shared" si="262"/>
        <v>114311.8717007075</v>
      </c>
      <c r="S1403" s="109">
        <v>74806.239000000001</v>
      </c>
      <c r="T1403" s="94">
        <f t="shared" si="272"/>
        <v>79870.621380300014</v>
      </c>
      <c r="U1403" s="94">
        <f t="shared" si="267"/>
        <v>84463.182109667279</v>
      </c>
      <c r="V1403" s="94">
        <f t="shared" si="268"/>
        <v>87917.726257952672</v>
      </c>
      <c r="W1403" s="97">
        <f t="shared" si="265"/>
        <v>90713.509952955574</v>
      </c>
      <c r="X1403" s="97">
        <f t="shared" si="266"/>
        <v>94160.623331167895</v>
      </c>
      <c r="Y1403" s="97">
        <f t="shared" si="273"/>
        <v>95676.609366799705</v>
      </c>
      <c r="Z1403" s="97">
        <f t="shared" si="263"/>
        <v>101053.63481321385</v>
      </c>
      <c r="AA1403" s="97">
        <f t="shared" si="264"/>
        <v>114311.8717007075</v>
      </c>
    </row>
    <row r="1404" spans="1:27" x14ac:dyDescent="0.25">
      <c r="A1404" s="102" t="s">
        <v>3166</v>
      </c>
      <c r="B1404" s="87" t="s">
        <v>3167</v>
      </c>
      <c r="C1404" s="88" t="s">
        <v>226</v>
      </c>
      <c r="D1404" s="89" t="s">
        <v>262</v>
      </c>
      <c r="E1404" s="90">
        <f t="shared" si="269"/>
        <v>17989</v>
      </c>
      <c r="F1404" s="90">
        <f t="shared" si="270"/>
        <v>15116.444143834979</v>
      </c>
      <c r="G1404" s="91">
        <v>0.19</v>
      </c>
      <c r="H1404" s="91" t="s">
        <v>228</v>
      </c>
      <c r="I1404" s="91"/>
      <c r="J1404" s="91" t="s">
        <v>228</v>
      </c>
      <c r="K1404" s="91"/>
      <c r="L1404" s="92" t="s">
        <v>2860</v>
      </c>
      <c r="M1404" s="91" t="str">
        <f t="shared" si="271"/>
        <v>VER ARCHIVO ANEXO</v>
      </c>
      <c r="N1404" s="93">
        <v>41608</v>
      </c>
      <c r="O1404" s="109"/>
      <c r="P1404" s="109"/>
      <c r="Q1404" s="94">
        <v>1255</v>
      </c>
      <c r="R1404" s="95">
        <f t="shared" si="262"/>
        <v>15116.444143834979</v>
      </c>
      <c r="S1404" s="109">
        <v>9892.273799999999</v>
      </c>
      <c r="T1404" s="94">
        <f t="shared" si="272"/>
        <v>10561.98073626</v>
      </c>
      <c r="U1404" s="94">
        <f t="shared" si="267"/>
        <v>11169.294628594951</v>
      </c>
      <c r="V1404" s="94">
        <f t="shared" si="268"/>
        <v>11626.118778904483</v>
      </c>
      <c r="W1404" s="97">
        <f t="shared" si="265"/>
        <v>11995.829356073647</v>
      </c>
      <c r="X1404" s="97">
        <f t="shared" si="266"/>
        <v>12451.670871604447</v>
      </c>
      <c r="Y1404" s="97">
        <f t="shared" si="273"/>
        <v>12652.142772637279</v>
      </c>
      <c r="Z1404" s="97">
        <f t="shared" si="263"/>
        <v>13363.193196459493</v>
      </c>
      <c r="AA1404" s="97">
        <f t="shared" si="264"/>
        <v>15116.444143834979</v>
      </c>
    </row>
    <row r="1405" spans="1:27" x14ac:dyDescent="0.25">
      <c r="A1405" s="102" t="s">
        <v>3168</v>
      </c>
      <c r="B1405" s="119" t="s">
        <v>3169</v>
      </c>
      <c r="C1405" s="107" t="s">
        <v>226</v>
      </c>
      <c r="D1405" s="89" t="s">
        <v>262</v>
      </c>
      <c r="E1405" s="90">
        <f t="shared" si="269"/>
        <v>4283</v>
      </c>
      <c r="F1405" s="90">
        <f t="shared" si="270"/>
        <v>3598.9270768933329</v>
      </c>
      <c r="G1405" s="91">
        <v>0.19</v>
      </c>
      <c r="H1405" s="91" t="s">
        <v>228</v>
      </c>
      <c r="I1405" s="91"/>
      <c r="J1405" s="91" t="s">
        <v>228</v>
      </c>
      <c r="K1405" s="91"/>
      <c r="L1405" s="92" t="s">
        <v>2860</v>
      </c>
      <c r="M1405" s="91" t="str">
        <f t="shared" si="271"/>
        <v>VER ARCHIVO ANEXO</v>
      </c>
      <c r="N1405" s="93">
        <v>41608</v>
      </c>
      <c r="O1405" s="109"/>
      <c r="P1405" s="109"/>
      <c r="Q1405" s="94">
        <v>1256</v>
      </c>
      <c r="R1405" s="95">
        <f t="shared" si="262"/>
        <v>3598.9270768933329</v>
      </c>
      <c r="S1405" s="109">
        <v>2355.1552000000001</v>
      </c>
      <c r="T1405" s="94">
        <f t="shared" si="272"/>
        <v>2514.5992070400002</v>
      </c>
      <c r="U1405" s="94">
        <f t="shared" si="267"/>
        <v>2659.1886614448003</v>
      </c>
      <c r="V1405" s="94">
        <f t="shared" si="268"/>
        <v>2767.9494776978927</v>
      </c>
      <c r="W1405" s="97">
        <f t="shared" si="265"/>
        <v>2855.9702710886859</v>
      </c>
      <c r="X1405" s="97">
        <f t="shared" si="266"/>
        <v>2964.4971413900562</v>
      </c>
      <c r="Y1405" s="97">
        <f t="shared" si="273"/>
        <v>3012.2255453664361</v>
      </c>
      <c r="Z1405" s="97">
        <f t="shared" si="263"/>
        <v>3181.5126210160297</v>
      </c>
      <c r="AA1405" s="97">
        <f t="shared" si="264"/>
        <v>3598.9270768933329</v>
      </c>
    </row>
    <row r="1406" spans="1:27" x14ac:dyDescent="0.25">
      <c r="A1406" s="102" t="s">
        <v>3170</v>
      </c>
      <c r="B1406" s="87" t="s">
        <v>3171</v>
      </c>
      <c r="C1406" s="88" t="s">
        <v>226</v>
      </c>
      <c r="D1406" s="89" t="s">
        <v>262</v>
      </c>
      <c r="E1406" s="90">
        <f t="shared" si="269"/>
        <v>6122</v>
      </c>
      <c r="F1406" s="90">
        <f t="shared" si="270"/>
        <v>5144.9450465446935</v>
      </c>
      <c r="G1406" s="91">
        <v>0.19</v>
      </c>
      <c r="H1406" s="91" t="s">
        <v>228</v>
      </c>
      <c r="I1406" s="91"/>
      <c r="J1406" s="91" t="s">
        <v>228</v>
      </c>
      <c r="K1406" s="91"/>
      <c r="L1406" s="92" t="s">
        <v>2860</v>
      </c>
      <c r="M1406" s="91" t="str">
        <f t="shared" si="271"/>
        <v>VER ARCHIVO ANEXO</v>
      </c>
      <c r="N1406" s="93">
        <v>41608</v>
      </c>
      <c r="O1406" s="109"/>
      <c r="P1406" s="109"/>
      <c r="Q1406" s="94">
        <v>1257</v>
      </c>
      <c r="R1406" s="95">
        <f t="shared" si="262"/>
        <v>5144.9450465446935</v>
      </c>
      <c r="S1406" s="109">
        <v>3366.8768</v>
      </c>
      <c r="T1406" s="94">
        <f t="shared" si="272"/>
        <v>3594.8143593600003</v>
      </c>
      <c r="U1406" s="94">
        <f t="shared" si="267"/>
        <v>3801.5161850232007</v>
      </c>
      <c r="V1406" s="94">
        <f t="shared" si="268"/>
        <v>3956.9981969906494</v>
      </c>
      <c r="W1406" s="97">
        <f t="shared" si="265"/>
        <v>4082.8307396549521</v>
      </c>
      <c r="X1406" s="97">
        <f t="shared" si="266"/>
        <v>4237.9783077618404</v>
      </c>
      <c r="Y1406" s="97">
        <f t="shared" si="273"/>
        <v>4306.2097585168058</v>
      </c>
      <c r="Z1406" s="97">
        <f t="shared" si="263"/>
        <v>4548.2187469454502</v>
      </c>
      <c r="AA1406" s="97">
        <f t="shared" si="264"/>
        <v>5144.9450465446935</v>
      </c>
    </row>
    <row r="1407" spans="1:27" x14ac:dyDescent="0.25">
      <c r="A1407" s="102" t="s">
        <v>3172</v>
      </c>
      <c r="B1407" s="87" t="s">
        <v>3173</v>
      </c>
      <c r="C1407" s="88" t="s">
        <v>226</v>
      </c>
      <c r="D1407" s="89" t="s">
        <v>262</v>
      </c>
      <c r="E1407" s="90">
        <f t="shared" si="269"/>
        <v>8677</v>
      </c>
      <c r="F1407" s="90">
        <f t="shared" si="270"/>
        <v>7291.312207279936</v>
      </c>
      <c r="G1407" s="91">
        <v>0.19</v>
      </c>
      <c r="H1407" s="91" t="s">
        <v>228</v>
      </c>
      <c r="I1407" s="91"/>
      <c r="J1407" s="91" t="s">
        <v>228</v>
      </c>
      <c r="K1407" s="91"/>
      <c r="L1407" s="92" t="s">
        <v>2860</v>
      </c>
      <c r="M1407" s="91" t="str">
        <f t="shared" si="271"/>
        <v>VER ARCHIVO ANEXO</v>
      </c>
      <c r="N1407" s="93">
        <v>41608</v>
      </c>
      <c r="O1407" s="109"/>
      <c r="P1407" s="109"/>
      <c r="Q1407" s="94">
        <v>1258</v>
      </c>
      <c r="R1407" s="95">
        <f t="shared" si="262"/>
        <v>7291.312207279936</v>
      </c>
      <c r="S1407" s="109">
        <v>4771.4697999999999</v>
      </c>
      <c r="T1407" s="94">
        <f t="shared" si="272"/>
        <v>5094.4983054600007</v>
      </c>
      <c r="U1407" s="94">
        <f t="shared" si="267"/>
        <v>5387.4319580239517</v>
      </c>
      <c r="V1407" s="94">
        <f t="shared" si="268"/>
        <v>5607.7779251071306</v>
      </c>
      <c r="W1407" s="97">
        <f t="shared" si="265"/>
        <v>5786.1052631255379</v>
      </c>
      <c r="X1407" s="97">
        <f t="shared" si="266"/>
        <v>6005.9772631243086</v>
      </c>
      <c r="Y1407" s="97">
        <f t="shared" si="273"/>
        <v>6102.6734970606103</v>
      </c>
      <c r="Z1407" s="97">
        <f t="shared" si="263"/>
        <v>6445.6437475954172</v>
      </c>
      <c r="AA1407" s="97">
        <f t="shared" si="264"/>
        <v>7291.312207279936</v>
      </c>
    </row>
    <row r="1408" spans="1:27" x14ac:dyDescent="0.25">
      <c r="A1408" s="102" t="s">
        <v>3174</v>
      </c>
      <c r="B1408" s="87" t="s">
        <v>3175</v>
      </c>
      <c r="C1408" s="88" t="s">
        <v>226</v>
      </c>
      <c r="D1408" s="89" t="s">
        <v>262</v>
      </c>
      <c r="E1408" s="90">
        <f t="shared" si="269"/>
        <v>9570</v>
      </c>
      <c r="F1408" s="90">
        <f t="shared" si="270"/>
        <v>8042.1447048360251</v>
      </c>
      <c r="G1408" s="91">
        <v>0.19</v>
      </c>
      <c r="H1408" s="91" t="s">
        <v>228</v>
      </c>
      <c r="I1408" s="91"/>
      <c r="J1408" s="91" t="s">
        <v>228</v>
      </c>
      <c r="K1408" s="91"/>
      <c r="L1408" s="92" t="s">
        <v>2860</v>
      </c>
      <c r="M1408" s="91" t="str">
        <f t="shared" si="271"/>
        <v>VER ARCHIVO ANEXO</v>
      </c>
      <c r="N1408" s="93">
        <v>41608</v>
      </c>
      <c r="O1408" s="109"/>
      <c r="P1408" s="109"/>
      <c r="Q1408" s="94">
        <v>1259</v>
      </c>
      <c r="R1408" s="95">
        <f t="shared" si="262"/>
        <v>8042.1447048360251</v>
      </c>
      <c r="S1408" s="109">
        <v>5262.8181999999997</v>
      </c>
      <c r="T1408" s="94">
        <f t="shared" si="272"/>
        <v>5619.1109921400002</v>
      </c>
      <c r="U1408" s="94">
        <f t="shared" si="267"/>
        <v>5942.2098741880509</v>
      </c>
      <c r="V1408" s="94">
        <f t="shared" si="268"/>
        <v>6185.2462580423417</v>
      </c>
      <c r="W1408" s="97">
        <f t="shared" si="265"/>
        <v>6381.9370890480886</v>
      </c>
      <c r="X1408" s="97">
        <f t="shared" si="266"/>
        <v>6624.450698431916</v>
      </c>
      <c r="Y1408" s="97">
        <f t="shared" si="273"/>
        <v>6731.1043546766696</v>
      </c>
      <c r="Z1408" s="97">
        <f t="shared" si="263"/>
        <v>7109.3924194094989</v>
      </c>
      <c r="AA1408" s="97">
        <f t="shared" si="264"/>
        <v>8042.1447048360251</v>
      </c>
    </row>
    <row r="1409" spans="1:27" x14ac:dyDescent="0.25">
      <c r="A1409" s="102" t="s">
        <v>3176</v>
      </c>
      <c r="B1409" s="87" t="s">
        <v>3177</v>
      </c>
      <c r="C1409" s="88" t="s">
        <v>226</v>
      </c>
      <c r="D1409" s="89" t="s">
        <v>262</v>
      </c>
      <c r="E1409" s="90">
        <f t="shared" si="269"/>
        <v>11429</v>
      </c>
      <c r="F1409" s="90">
        <f t="shared" si="270"/>
        <v>9604.003022537092</v>
      </c>
      <c r="G1409" s="91">
        <v>0.19</v>
      </c>
      <c r="H1409" s="91" t="s">
        <v>228</v>
      </c>
      <c r="I1409" s="91"/>
      <c r="J1409" s="91" t="s">
        <v>228</v>
      </c>
      <c r="K1409" s="91"/>
      <c r="L1409" s="92" t="s">
        <v>2860</v>
      </c>
      <c r="M1409" s="91" t="str">
        <f t="shared" si="271"/>
        <v>VER ARCHIVO ANEXO</v>
      </c>
      <c r="N1409" s="93">
        <v>41608</v>
      </c>
      <c r="O1409" s="109"/>
      <c r="P1409" s="109"/>
      <c r="Q1409" s="94">
        <v>1260</v>
      </c>
      <c r="R1409" s="95">
        <f t="shared" si="262"/>
        <v>9604.003022537092</v>
      </c>
      <c r="S1409" s="109">
        <v>6284.9057999999995</v>
      </c>
      <c r="T1409" s="94">
        <f t="shared" si="272"/>
        <v>6710.3939226600005</v>
      </c>
      <c r="U1409" s="94">
        <f t="shared" si="267"/>
        <v>7096.2415732129512</v>
      </c>
      <c r="V1409" s="94">
        <f t="shared" si="268"/>
        <v>7386.4778535573605</v>
      </c>
      <c r="W1409" s="97">
        <f t="shared" si="265"/>
        <v>7621.3678493004845</v>
      </c>
      <c r="X1409" s="97">
        <f t="shared" si="266"/>
        <v>7910.9798275739031</v>
      </c>
      <c r="Y1409" s="97">
        <f t="shared" si="273"/>
        <v>8038.3466027978429</v>
      </c>
      <c r="Z1409" s="97">
        <f t="shared" si="263"/>
        <v>8490.1016818750813</v>
      </c>
      <c r="AA1409" s="97">
        <f t="shared" si="264"/>
        <v>9604.003022537092</v>
      </c>
    </row>
    <row r="1410" spans="1:27" x14ac:dyDescent="0.25">
      <c r="A1410" s="102" t="s">
        <v>3178</v>
      </c>
      <c r="B1410" s="87" t="s">
        <v>3179</v>
      </c>
      <c r="C1410" s="88" t="s">
        <v>226</v>
      </c>
      <c r="D1410" s="89" t="s">
        <v>262</v>
      </c>
      <c r="E1410" s="90">
        <f t="shared" si="269"/>
        <v>6484</v>
      </c>
      <c r="F1410" s="90">
        <f t="shared" si="270"/>
        <v>5449.0797290990604</v>
      </c>
      <c r="G1410" s="91">
        <v>0.19</v>
      </c>
      <c r="H1410" s="91" t="s">
        <v>228</v>
      </c>
      <c r="I1410" s="91"/>
      <c r="J1410" s="91" t="s">
        <v>228</v>
      </c>
      <c r="K1410" s="91"/>
      <c r="L1410" s="92" t="s">
        <v>2860</v>
      </c>
      <c r="M1410" s="91" t="str">
        <f t="shared" si="271"/>
        <v>VER ARCHIVO ANEXO</v>
      </c>
      <c r="N1410" s="93">
        <v>41608</v>
      </c>
      <c r="O1410" s="109"/>
      <c r="P1410" s="109"/>
      <c r="Q1410" s="94">
        <v>1261</v>
      </c>
      <c r="R1410" s="95">
        <f t="shared" si="262"/>
        <v>5449.0797290990604</v>
      </c>
      <c r="S1410" s="109">
        <v>3565.904</v>
      </c>
      <c r="T1410" s="94">
        <f t="shared" si="272"/>
        <v>3807.3157008000003</v>
      </c>
      <c r="U1410" s="94">
        <f t="shared" si="267"/>
        <v>4026.2363535960008</v>
      </c>
      <c r="V1410" s="94">
        <f t="shared" si="268"/>
        <v>4190.909420458077</v>
      </c>
      <c r="W1410" s="97">
        <f t="shared" si="265"/>
        <v>4324.1803400286444</v>
      </c>
      <c r="X1410" s="97">
        <f t="shared" si="266"/>
        <v>4488.4991929497328</v>
      </c>
      <c r="Y1410" s="97">
        <f t="shared" si="273"/>
        <v>4560.7640299562236</v>
      </c>
      <c r="Z1410" s="97">
        <f t="shared" si="263"/>
        <v>4817.0789684397632</v>
      </c>
      <c r="AA1410" s="97">
        <f t="shared" si="264"/>
        <v>5449.0797290990604</v>
      </c>
    </row>
    <row r="1411" spans="1:27" x14ac:dyDescent="0.25">
      <c r="A1411" s="102" t="s">
        <v>3180</v>
      </c>
      <c r="B1411" s="87" t="s">
        <v>3181</v>
      </c>
      <c r="C1411" s="88" t="s">
        <v>226</v>
      </c>
      <c r="D1411" s="89" t="s">
        <v>262</v>
      </c>
      <c r="E1411" s="90">
        <f t="shared" si="269"/>
        <v>9442</v>
      </c>
      <c r="F1411" s="90">
        <f t="shared" si="270"/>
        <v>7934.4303380980191</v>
      </c>
      <c r="G1411" s="91">
        <v>0.19</v>
      </c>
      <c r="H1411" s="91" t="s">
        <v>228</v>
      </c>
      <c r="I1411" s="91"/>
      <c r="J1411" s="91" t="s">
        <v>228</v>
      </c>
      <c r="K1411" s="91"/>
      <c r="L1411" s="92" t="s">
        <v>2860</v>
      </c>
      <c r="M1411" s="91" t="str">
        <f t="shared" si="271"/>
        <v>VER ARCHIVO ANEXO</v>
      </c>
      <c r="N1411" s="93">
        <v>41608</v>
      </c>
      <c r="O1411" s="109"/>
      <c r="P1411" s="109"/>
      <c r="Q1411" s="94">
        <v>1262</v>
      </c>
      <c r="R1411" s="95">
        <f t="shared" si="262"/>
        <v>7934.4303380980191</v>
      </c>
      <c r="S1411" s="109">
        <v>5192.3293999999996</v>
      </c>
      <c r="T1411" s="94">
        <f t="shared" si="272"/>
        <v>5543.8501003800002</v>
      </c>
      <c r="U1411" s="94">
        <f t="shared" si="267"/>
        <v>5862.6214811518512</v>
      </c>
      <c r="V1411" s="94">
        <f t="shared" si="268"/>
        <v>6102.4026997309611</v>
      </c>
      <c r="W1411" s="97">
        <f t="shared" si="265"/>
        <v>6296.4591055824058</v>
      </c>
      <c r="X1411" s="97">
        <f t="shared" si="266"/>
        <v>6535.7245515945369</v>
      </c>
      <c r="Y1411" s="97">
        <f t="shared" si="273"/>
        <v>6640.9497168752087</v>
      </c>
      <c r="Z1411" s="97">
        <f t="shared" si="263"/>
        <v>7014.1710909635958</v>
      </c>
      <c r="AA1411" s="97">
        <f t="shared" si="264"/>
        <v>7934.4303380980191</v>
      </c>
    </row>
    <row r="1412" spans="1:27" x14ac:dyDescent="0.25">
      <c r="A1412" s="102" t="s">
        <v>3182</v>
      </c>
      <c r="B1412" s="87" t="s">
        <v>3183</v>
      </c>
      <c r="C1412" s="88" t="s">
        <v>226</v>
      </c>
      <c r="D1412" s="89" t="s">
        <v>262</v>
      </c>
      <c r="E1412" s="90">
        <f t="shared" si="269"/>
        <v>44284</v>
      </c>
      <c r="F1412" s="90">
        <f t="shared" si="270"/>
        <v>37213.729673175643</v>
      </c>
      <c r="G1412" s="91">
        <v>0.19</v>
      </c>
      <c r="H1412" s="91" t="s">
        <v>228</v>
      </c>
      <c r="I1412" s="91"/>
      <c r="J1412" s="91" t="s">
        <v>228</v>
      </c>
      <c r="K1412" s="91"/>
      <c r="L1412" s="92" t="s">
        <v>2860</v>
      </c>
      <c r="M1412" s="91" t="str">
        <f t="shared" si="271"/>
        <v>VER ARCHIVO ANEXO</v>
      </c>
      <c r="N1412" s="93">
        <v>41608</v>
      </c>
      <c r="O1412" s="109"/>
      <c r="P1412" s="109"/>
      <c r="Q1412" s="94">
        <v>1263</v>
      </c>
      <c r="R1412" s="95">
        <f t="shared" si="262"/>
        <v>37213.729673175643</v>
      </c>
      <c r="S1412" s="109">
        <v>24352.843799999999</v>
      </c>
      <c r="T1412" s="94">
        <f t="shared" si="272"/>
        <v>26001.531325260003</v>
      </c>
      <c r="U1412" s="94">
        <f t="shared" si="267"/>
        <v>27496.619376462455</v>
      </c>
      <c r="V1412" s="94">
        <f t="shared" si="268"/>
        <v>28621.231108959768</v>
      </c>
      <c r="W1412" s="97">
        <f t="shared" si="265"/>
        <v>29531.386258224691</v>
      </c>
      <c r="X1412" s="97">
        <f t="shared" si="266"/>
        <v>30653.578936037229</v>
      </c>
      <c r="Y1412" s="97">
        <f t="shared" si="273"/>
        <v>31147.10155690743</v>
      </c>
      <c r="Z1412" s="97">
        <f t="shared" si="263"/>
        <v>32897.568664405626</v>
      </c>
      <c r="AA1412" s="97">
        <f t="shared" si="264"/>
        <v>37213.729673175643</v>
      </c>
    </row>
    <row r="1413" spans="1:27" x14ac:dyDescent="0.25">
      <c r="A1413" s="102" t="s">
        <v>3184</v>
      </c>
      <c r="B1413" s="87" t="s">
        <v>3185</v>
      </c>
      <c r="C1413" s="88" t="s">
        <v>226</v>
      </c>
      <c r="D1413" s="89" t="s">
        <v>262</v>
      </c>
      <c r="E1413" s="90">
        <f t="shared" si="269"/>
        <v>43185</v>
      </c>
      <c r="F1413" s="90">
        <f t="shared" si="270"/>
        <v>36290.237381877741</v>
      </c>
      <c r="G1413" s="91">
        <v>0.19</v>
      </c>
      <c r="H1413" s="91" t="s">
        <v>228</v>
      </c>
      <c r="I1413" s="91"/>
      <c r="J1413" s="91" t="s">
        <v>228</v>
      </c>
      <c r="K1413" s="91"/>
      <c r="L1413" s="92" t="s">
        <v>2860</v>
      </c>
      <c r="M1413" s="91" t="str">
        <f t="shared" si="271"/>
        <v>VER ARCHIVO ANEXO</v>
      </c>
      <c r="N1413" s="93">
        <v>41608</v>
      </c>
      <c r="O1413" s="109"/>
      <c r="P1413" s="109"/>
      <c r="Q1413" s="94">
        <v>1264</v>
      </c>
      <c r="R1413" s="95">
        <f t="shared" si="262"/>
        <v>36290.237381877741</v>
      </c>
      <c r="S1413" s="109">
        <v>23748.505999999998</v>
      </c>
      <c r="T1413" s="94">
        <f t="shared" si="272"/>
        <v>25356.279856199999</v>
      </c>
      <c r="U1413" s="94">
        <f t="shared" si="267"/>
        <v>26814.265947931501</v>
      </c>
      <c r="V1413" s="94">
        <f t="shared" si="268"/>
        <v>27910.969425201896</v>
      </c>
      <c r="W1413" s="97">
        <f t="shared" si="265"/>
        <v>28798.538252923317</v>
      </c>
      <c r="X1413" s="97">
        <f t="shared" si="266"/>
        <v>29892.882706534405</v>
      </c>
      <c r="Y1413" s="97">
        <f t="shared" si="273"/>
        <v>30374.158118109608</v>
      </c>
      <c r="Z1413" s="97">
        <f t="shared" si="263"/>
        <v>32081.185804347369</v>
      </c>
      <c r="AA1413" s="97">
        <f t="shared" si="264"/>
        <v>36290.237381877741</v>
      </c>
    </row>
    <row r="1414" spans="1:27" x14ac:dyDescent="0.25">
      <c r="A1414" s="102" t="s">
        <v>3186</v>
      </c>
      <c r="B1414" s="87" t="s">
        <v>3187</v>
      </c>
      <c r="C1414" s="88" t="s">
        <v>226</v>
      </c>
      <c r="D1414" s="89" t="s">
        <v>262</v>
      </c>
      <c r="E1414" s="90">
        <f t="shared" si="269"/>
        <v>56554</v>
      </c>
      <c r="F1414" s="90">
        <f t="shared" si="270"/>
        <v>47524.212218729655</v>
      </c>
      <c r="G1414" s="91">
        <v>0.19</v>
      </c>
      <c r="H1414" s="91" t="s">
        <v>228</v>
      </c>
      <c r="I1414" s="91"/>
      <c r="J1414" s="91" t="s">
        <v>228</v>
      </c>
      <c r="K1414" s="91"/>
      <c r="L1414" s="92" t="s">
        <v>2860</v>
      </c>
      <c r="M1414" s="91" t="str">
        <f t="shared" si="271"/>
        <v>VER ARCHIVO ANEXO</v>
      </c>
      <c r="N1414" s="93">
        <v>41608</v>
      </c>
      <c r="O1414" s="109"/>
      <c r="P1414" s="109"/>
      <c r="Q1414" s="94">
        <v>1265</v>
      </c>
      <c r="R1414" s="95">
        <f t="shared" si="262"/>
        <v>47524.212218729655</v>
      </c>
      <c r="S1414" s="109">
        <v>31100.073199999999</v>
      </c>
      <c r="T1414" s="94">
        <f t="shared" si="272"/>
        <v>33205.548155640005</v>
      </c>
      <c r="U1414" s="94">
        <f t="shared" si="267"/>
        <v>35114.867174589308</v>
      </c>
      <c r="V1414" s="94">
        <f t="shared" si="268"/>
        <v>36551.06524203001</v>
      </c>
      <c r="W1414" s="97">
        <f t="shared" si="265"/>
        <v>37713.389116726568</v>
      </c>
      <c r="X1414" s="97">
        <f t="shared" si="266"/>
        <v>39146.497903162177</v>
      </c>
      <c r="Y1414" s="97">
        <f t="shared" si="273"/>
        <v>39776.75651940309</v>
      </c>
      <c r="Z1414" s="97">
        <f t="shared" si="263"/>
        <v>42012.210235793544</v>
      </c>
      <c r="AA1414" s="97">
        <f t="shared" si="264"/>
        <v>47524.212218729655</v>
      </c>
    </row>
    <row r="1415" spans="1:27" x14ac:dyDescent="0.25">
      <c r="A1415" s="102" t="s">
        <v>3188</v>
      </c>
      <c r="B1415" s="119" t="s">
        <v>3189</v>
      </c>
      <c r="C1415" s="107" t="s">
        <v>226</v>
      </c>
      <c r="D1415" s="124" t="s">
        <v>262</v>
      </c>
      <c r="E1415" s="90">
        <f t="shared" si="269"/>
        <v>28030</v>
      </c>
      <c r="F1415" s="90">
        <f t="shared" si="270"/>
        <v>23554.597549913673</v>
      </c>
      <c r="G1415" s="91">
        <v>0.19</v>
      </c>
      <c r="H1415" s="91" t="s">
        <v>228</v>
      </c>
      <c r="I1415" s="91"/>
      <c r="J1415" s="91" t="s">
        <v>228</v>
      </c>
      <c r="K1415" s="91"/>
      <c r="L1415" s="92" t="s">
        <v>2860</v>
      </c>
      <c r="M1415" s="91" t="str">
        <f t="shared" si="271"/>
        <v>VER ARCHIVO ANEXO</v>
      </c>
      <c r="N1415" s="93">
        <v>41608</v>
      </c>
      <c r="O1415" s="109"/>
      <c r="P1415" s="109"/>
      <c r="Q1415" s="94">
        <v>1266</v>
      </c>
      <c r="R1415" s="95">
        <f t="shared" ref="R1415:R1478" si="274">+AA1415</f>
        <v>23554.597549913673</v>
      </c>
      <c r="S1415" s="109">
        <v>15414.242</v>
      </c>
      <c r="T1415" s="94">
        <f t="shared" si="272"/>
        <v>16457.786183400003</v>
      </c>
      <c r="U1415" s="94">
        <f t="shared" si="267"/>
        <v>17404.108888945506</v>
      </c>
      <c r="V1415" s="94">
        <f t="shared" si="268"/>
        <v>18115.936942503376</v>
      </c>
      <c r="W1415" s="97">
        <f t="shared" si="265"/>
        <v>18692.023737274983</v>
      </c>
      <c r="X1415" s="97">
        <f t="shared" si="266"/>
        <v>19402.320639291433</v>
      </c>
      <c r="Y1415" s="97">
        <f t="shared" si="273"/>
        <v>19714.698001584024</v>
      </c>
      <c r="Z1415" s="97">
        <f t="shared" ref="Z1415:Z1478" si="275">+Y1415*(1+$Z$4)</f>
        <v>20822.664029273048</v>
      </c>
      <c r="AA1415" s="97">
        <f t="shared" ref="AA1415:AA1478" si="276">+Z1415*(1+$AA$4)</f>
        <v>23554.597549913673</v>
      </c>
    </row>
    <row r="1416" spans="1:27" x14ac:dyDescent="0.25">
      <c r="A1416" s="102" t="s">
        <v>3190</v>
      </c>
      <c r="B1416" s="119" t="s">
        <v>3191</v>
      </c>
      <c r="C1416" s="107" t="s">
        <v>226</v>
      </c>
      <c r="D1416" s="124" t="s">
        <v>262</v>
      </c>
      <c r="E1416" s="90">
        <f t="shared" si="269"/>
        <v>17138</v>
      </c>
      <c r="F1416" s="90">
        <f t="shared" si="270"/>
        <v>14402.044446793214</v>
      </c>
      <c r="G1416" s="91">
        <v>0.19</v>
      </c>
      <c r="H1416" s="91" t="s">
        <v>228</v>
      </c>
      <c r="I1416" s="91"/>
      <c r="J1416" s="91" t="s">
        <v>228</v>
      </c>
      <c r="K1416" s="91"/>
      <c r="L1416" s="92" t="s">
        <v>2860</v>
      </c>
      <c r="M1416" s="91" t="str">
        <f t="shared" si="271"/>
        <v>VER ARCHIVO ANEXO</v>
      </c>
      <c r="N1416" s="93">
        <v>41608</v>
      </c>
      <c r="O1416" s="109"/>
      <c r="P1416" s="109"/>
      <c r="Q1416" s="94">
        <v>1267</v>
      </c>
      <c r="R1416" s="95">
        <f t="shared" si="274"/>
        <v>14402.044446793214</v>
      </c>
      <c r="S1416" s="109">
        <v>9424.7672000000002</v>
      </c>
      <c r="T1416" s="94">
        <f t="shared" si="272"/>
        <v>10062.823939440001</v>
      </c>
      <c r="U1416" s="94">
        <f t="shared" si="267"/>
        <v>10641.436315957802</v>
      </c>
      <c r="V1416" s="94">
        <f t="shared" si="268"/>
        <v>11076.671061280476</v>
      </c>
      <c r="W1416" s="97">
        <f t="shared" ref="W1416:W1479" si="277">+V1416*(1+$W$4)</f>
        <v>11428.909201029195</v>
      </c>
      <c r="X1416" s="97">
        <f t="shared" ref="X1416:X1479" si="278">+W1416*(1+$X$4)</f>
        <v>11863.207750668305</v>
      </c>
      <c r="Y1416" s="97">
        <f t="shared" si="273"/>
        <v>12054.205395454064</v>
      </c>
      <c r="Z1416" s="97">
        <f t="shared" si="275"/>
        <v>12731.651738678584</v>
      </c>
      <c r="AA1416" s="97">
        <f t="shared" si="276"/>
        <v>14402.044446793214</v>
      </c>
    </row>
    <row r="1417" spans="1:27" x14ac:dyDescent="0.25">
      <c r="A1417" s="102" t="s">
        <v>3192</v>
      </c>
      <c r="B1417" s="87" t="s">
        <v>3193</v>
      </c>
      <c r="C1417" s="88" t="s">
        <v>226</v>
      </c>
      <c r="D1417" s="89" t="s">
        <v>262</v>
      </c>
      <c r="E1417" s="90">
        <f t="shared" si="269"/>
        <v>12573</v>
      </c>
      <c r="F1417" s="90">
        <f t="shared" si="270"/>
        <v>10565.51214915428</v>
      </c>
      <c r="G1417" s="91">
        <v>0.19</v>
      </c>
      <c r="H1417" s="91" t="s">
        <v>228</v>
      </c>
      <c r="I1417" s="91"/>
      <c r="J1417" s="91" t="s">
        <v>228</v>
      </c>
      <c r="K1417" s="91"/>
      <c r="L1417" s="92" t="s">
        <v>2860</v>
      </c>
      <c r="M1417" s="91" t="str">
        <f t="shared" si="271"/>
        <v>VER ARCHIVO ANEXO</v>
      </c>
      <c r="N1417" s="93">
        <v>41608</v>
      </c>
      <c r="O1417" s="109"/>
      <c r="P1417" s="109"/>
      <c r="Q1417" s="94">
        <v>1268</v>
      </c>
      <c r="R1417" s="95">
        <f t="shared" si="274"/>
        <v>10565.51214915428</v>
      </c>
      <c r="S1417" s="109">
        <v>6914.1219999999994</v>
      </c>
      <c r="T1417" s="94">
        <f t="shared" si="272"/>
        <v>7382.2080593999999</v>
      </c>
      <c r="U1417" s="94">
        <f t="shared" si="267"/>
        <v>7806.6850228155008</v>
      </c>
      <c r="V1417" s="94">
        <f t="shared" si="268"/>
        <v>8125.9784402486539</v>
      </c>
      <c r="W1417" s="97">
        <f t="shared" si="277"/>
        <v>8384.3845546485609</v>
      </c>
      <c r="X1417" s="97">
        <f t="shared" si="278"/>
        <v>8702.9911677252057</v>
      </c>
      <c r="Y1417" s="97">
        <f t="shared" si="273"/>
        <v>8843.1093255255819</v>
      </c>
      <c r="Z1417" s="97">
        <f t="shared" si="275"/>
        <v>9340.0920696201192</v>
      </c>
      <c r="AA1417" s="97">
        <f t="shared" si="276"/>
        <v>10565.51214915428</v>
      </c>
    </row>
    <row r="1418" spans="1:27" x14ac:dyDescent="0.25">
      <c r="A1418" s="102" t="s">
        <v>3194</v>
      </c>
      <c r="B1418" s="87" t="s">
        <v>3195</v>
      </c>
      <c r="C1418" s="88" t="s">
        <v>226</v>
      </c>
      <c r="D1418" s="89" t="s">
        <v>262</v>
      </c>
      <c r="E1418" s="90">
        <f t="shared" si="269"/>
        <v>40156</v>
      </c>
      <c r="F1418" s="90">
        <f t="shared" si="270"/>
        <v>33744.693450289902</v>
      </c>
      <c r="G1418" s="91">
        <v>0.19</v>
      </c>
      <c r="H1418" s="91" t="s">
        <v>228</v>
      </c>
      <c r="I1418" s="91"/>
      <c r="J1418" s="91" t="s">
        <v>228</v>
      </c>
      <c r="K1418" s="91"/>
      <c r="L1418" s="92" t="s">
        <v>2860</v>
      </c>
      <c r="M1418" s="91" t="str">
        <f t="shared" si="271"/>
        <v>VER ARCHIVO ANEXO</v>
      </c>
      <c r="N1418" s="93">
        <v>41608</v>
      </c>
      <c r="O1418" s="109"/>
      <c r="P1418" s="109"/>
      <c r="Q1418" s="94">
        <v>1269</v>
      </c>
      <c r="R1418" s="95">
        <f t="shared" si="274"/>
        <v>33744.693450289902</v>
      </c>
      <c r="S1418" s="109">
        <v>22082.6898</v>
      </c>
      <c r="T1418" s="94">
        <f t="shared" si="272"/>
        <v>23577.687899460001</v>
      </c>
      <c r="U1418" s="94">
        <f t="shared" si="267"/>
        <v>24933.404953678953</v>
      </c>
      <c r="V1418" s="94">
        <f t="shared" si="268"/>
        <v>25953.181216284422</v>
      </c>
      <c r="W1418" s="97">
        <f t="shared" si="277"/>
        <v>26778.492378962266</v>
      </c>
      <c r="X1418" s="97">
        <f t="shared" si="278"/>
        <v>27796.075089362832</v>
      </c>
      <c r="Y1418" s="97">
        <f t="shared" si="273"/>
        <v>28243.591898301573</v>
      </c>
      <c r="Z1418" s="97">
        <f t="shared" si="275"/>
        <v>29830.881762986122</v>
      </c>
      <c r="AA1418" s="97">
        <f t="shared" si="276"/>
        <v>33744.693450289902</v>
      </c>
    </row>
    <row r="1419" spans="1:27" x14ac:dyDescent="0.25">
      <c r="A1419" s="102" t="s">
        <v>3196</v>
      </c>
      <c r="B1419" s="87" t="s">
        <v>3197</v>
      </c>
      <c r="C1419" s="88" t="s">
        <v>226</v>
      </c>
      <c r="D1419" s="89" t="s">
        <v>262</v>
      </c>
      <c r="E1419" s="90">
        <f t="shared" si="269"/>
        <v>27419</v>
      </c>
      <c r="F1419" s="90">
        <f t="shared" si="270"/>
        <v>23041.370273103177</v>
      </c>
      <c r="G1419" s="91">
        <v>0.19</v>
      </c>
      <c r="H1419" s="91" t="s">
        <v>228</v>
      </c>
      <c r="I1419" s="91"/>
      <c r="J1419" s="91" t="s">
        <v>228</v>
      </c>
      <c r="K1419" s="91"/>
      <c r="L1419" s="92" t="s">
        <v>2860</v>
      </c>
      <c r="M1419" s="91" t="str">
        <f t="shared" si="271"/>
        <v>VER ARCHIVO ANEXO</v>
      </c>
      <c r="N1419" s="93">
        <v>41608</v>
      </c>
      <c r="O1419" s="109"/>
      <c r="P1419" s="109"/>
      <c r="Q1419" s="94">
        <v>1270</v>
      </c>
      <c r="R1419" s="95">
        <f t="shared" si="274"/>
        <v>23041.370273103177</v>
      </c>
      <c r="S1419" s="109">
        <v>15078.383599999999</v>
      </c>
      <c r="T1419" s="94">
        <f t="shared" si="272"/>
        <v>16099.190169720001</v>
      </c>
      <c r="U1419" s="94">
        <f t="shared" ref="U1419:U1482" si="279">+T1419*(1+$U$4)</f>
        <v>17024.893604478904</v>
      </c>
      <c r="V1419" s="94">
        <f t="shared" ref="V1419:V1482" si="280">+U1419*(1+$V$4)</f>
        <v>17721.211752902091</v>
      </c>
      <c r="W1419" s="97">
        <f t="shared" si="277"/>
        <v>18284.746286644378</v>
      </c>
      <c r="X1419" s="97">
        <f t="shared" si="278"/>
        <v>18979.566645536866</v>
      </c>
      <c r="Y1419" s="97">
        <f t="shared" si="273"/>
        <v>19285.137668530009</v>
      </c>
      <c r="Z1419" s="97">
        <f t="shared" si="275"/>
        <v>20368.962405501396</v>
      </c>
      <c r="AA1419" s="97">
        <f t="shared" si="276"/>
        <v>23041.370273103177</v>
      </c>
    </row>
    <row r="1420" spans="1:27" x14ac:dyDescent="0.25">
      <c r="A1420" s="102" t="s">
        <v>3198</v>
      </c>
      <c r="B1420" s="87" t="s">
        <v>3199</v>
      </c>
      <c r="C1420" s="88" t="s">
        <v>226</v>
      </c>
      <c r="D1420" s="89" t="s">
        <v>262</v>
      </c>
      <c r="E1420" s="90">
        <f t="shared" si="269"/>
        <v>2484</v>
      </c>
      <c r="F1420" s="90">
        <f t="shared" si="270"/>
        <v>2087.7578729513257</v>
      </c>
      <c r="G1420" s="91">
        <v>0.19</v>
      </c>
      <c r="H1420" s="91" t="s">
        <v>228</v>
      </c>
      <c r="I1420" s="91"/>
      <c r="J1420" s="91" t="s">
        <v>228</v>
      </c>
      <c r="K1420" s="91"/>
      <c r="L1420" s="92" t="s">
        <v>2860</v>
      </c>
      <c r="M1420" s="91" t="str">
        <f t="shared" si="271"/>
        <v>VER ARCHIVO ANEXO</v>
      </c>
      <c r="N1420" s="93">
        <v>41608</v>
      </c>
      <c r="O1420" s="109"/>
      <c r="P1420" s="109"/>
      <c r="Q1420" s="94">
        <v>1271</v>
      </c>
      <c r="R1420" s="95">
        <f t="shared" si="274"/>
        <v>2087.7578729513257</v>
      </c>
      <c r="S1420" s="109">
        <v>1366.2387999999999</v>
      </c>
      <c r="T1420" s="94">
        <f t="shared" si="272"/>
        <v>1458.7331667599999</v>
      </c>
      <c r="U1420" s="94">
        <f t="shared" si="279"/>
        <v>1542.6103238487001</v>
      </c>
      <c r="V1420" s="94">
        <f t="shared" si="280"/>
        <v>1605.7030860941118</v>
      </c>
      <c r="W1420" s="97">
        <f t="shared" si="277"/>
        <v>1656.7644442319047</v>
      </c>
      <c r="X1420" s="97">
        <f t="shared" si="278"/>
        <v>1719.7214931127171</v>
      </c>
      <c r="Y1420" s="97">
        <f t="shared" si="273"/>
        <v>1747.4090091518319</v>
      </c>
      <c r="Z1420" s="97">
        <f t="shared" si="275"/>
        <v>1845.613395466165</v>
      </c>
      <c r="AA1420" s="97">
        <f t="shared" si="276"/>
        <v>2087.7578729513257</v>
      </c>
    </row>
    <row r="1421" spans="1:27" x14ac:dyDescent="0.25">
      <c r="A1421" s="102" t="s">
        <v>3200</v>
      </c>
      <c r="B1421" s="87" t="s">
        <v>3201</v>
      </c>
      <c r="C1421" s="88" t="s">
        <v>226</v>
      </c>
      <c r="D1421" s="89" t="s">
        <v>262</v>
      </c>
      <c r="E1421" s="90">
        <f t="shared" ref="E1421:E1484" si="281">+ROUND(F1421*(1+G1421),0)</f>
        <v>999</v>
      </c>
      <c r="F1421" s="90">
        <f t="shared" si="270"/>
        <v>839.53844663444829</v>
      </c>
      <c r="G1421" s="91">
        <v>0.19</v>
      </c>
      <c r="H1421" s="91" t="s">
        <v>228</v>
      </c>
      <c r="I1421" s="91"/>
      <c r="J1421" s="91" t="s">
        <v>228</v>
      </c>
      <c r="K1421" s="91"/>
      <c r="L1421" s="92" t="s">
        <v>2860</v>
      </c>
      <c r="M1421" s="91" t="str">
        <f t="shared" si="271"/>
        <v>VER ARCHIVO ANEXO</v>
      </c>
      <c r="N1421" s="93">
        <v>41608</v>
      </c>
      <c r="O1421" s="109"/>
      <c r="P1421" s="109"/>
      <c r="Q1421" s="94">
        <v>1272</v>
      </c>
      <c r="R1421" s="95">
        <f t="shared" si="274"/>
        <v>839.53844663444829</v>
      </c>
      <c r="S1421" s="109">
        <v>549.39800000000002</v>
      </c>
      <c r="T1421" s="94">
        <f t="shared" si="272"/>
        <v>586.59224460000007</v>
      </c>
      <c r="U1421" s="94">
        <f t="shared" si="279"/>
        <v>620.32129866450009</v>
      </c>
      <c r="V1421" s="94">
        <f t="shared" si="280"/>
        <v>645.6924397798781</v>
      </c>
      <c r="W1421" s="97">
        <f t="shared" si="277"/>
        <v>666.22545936487825</v>
      </c>
      <c r="X1421" s="97">
        <f t="shared" si="278"/>
        <v>691.54202682074367</v>
      </c>
      <c r="Y1421" s="97">
        <f t="shared" si="273"/>
        <v>702.6758534525577</v>
      </c>
      <c r="Z1421" s="97">
        <f t="shared" si="275"/>
        <v>742.16623641659146</v>
      </c>
      <c r="AA1421" s="97">
        <f t="shared" si="276"/>
        <v>839.53844663444829</v>
      </c>
    </row>
    <row r="1422" spans="1:27" x14ac:dyDescent="0.25">
      <c r="A1422" s="102" t="s">
        <v>3202</v>
      </c>
      <c r="B1422" s="98" t="s">
        <v>3203</v>
      </c>
      <c r="C1422" s="99" t="s">
        <v>226</v>
      </c>
      <c r="D1422" s="100" t="s">
        <v>262</v>
      </c>
      <c r="E1422" s="101">
        <f t="shared" si="281"/>
        <v>1272</v>
      </c>
      <c r="F1422" s="90">
        <f t="shared" si="270"/>
        <v>1069.2234933551933</v>
      </c>
      <c r="G1422" s="91">
        <v>0.19</v>
      </c>
      <c r="H1422" s="91" t="s">
        <v>228</v>
      </c>
      <c r="I1422" s="91"/>
      <c r="J1422" s="91" t="s">
        <v>228</v>
      </c>
      <c r="K1422" s="91"/>
      <c r="L1422" s="92" t="s">
        <v>2860</v>
      </c>
      <c r="M1422" s="91" t="str">
        <f t="shared" si="271"/>
        <v>VER ARCHIVO ANEXO</v>
      </c>
      <c r="N1422" s="93">
        <v>41608</v>
      </c>
      <c r="O1422" s="109"/>
      <c r="P1422" s="109"/>
      <c r="Q1422" s="94">
        <v>1273</v>
      </c>
      <c r="R1422" s="95">
        <f t="shared" si="274"/>
        <v>1069.2234933551933</v>
      </c>
      <c r="S1422" s="109">
        <v>699.70499999999993</v>
      </c>
      <c r="T1422" s="94">
        <f t="shared" si="272"/>
        <v>747.07502850000003</v>
      </c>
      <c r="U1422" s="94">
        <f t="shared" si="279"/>
        <v>790.03184263875016</v>
      </c>
      <c r="V1422" s="94">
        <f t="shared" si="280"/>
        <v>822.34414500267496</v>
      </c>
      <c r="W1422" s="97">
        <f t="shared" si="277"/>
        <v>848.49468881376004</v>
      </c>
      <c r="X1422" s="97">
        <f t="shared" si="278"/>
        <v>880.73748698868292</v>
      </c>
      <c r="Y1422" s="97">
        <f t="shared" si="273"/>
        <v>894.91736052920066</v>
      </c>
      <c r="Z1422" s="97">
        <f t="shared" si="275"/>
        <v>945.21171619094173</v>
      </c>
      <c r="AA1422" s="97">
        <f t="shared" si="276"/>
        <v>1069.2234933551933</v>
      </c>
    </row>
    <row r="1423" spans="1:27" x14ac:dyDescent="0.25">
      <c r="A1423" s="102" t="s">
        <v>3204</v>
      </c>
      <c r="B1423" s="87" t="s">
        <v>3205</v>
      </c>
      <c r="C1423" s="88" t="s">
        <v>226</v>
      </c>
      <c r="D1423" s="89" t="s">
        <v>262</v>
      </c>
      <c r="E1423" s="90">
        <f t="shared" si="281"/>
        <v>52382</v>
      </c>
      <c r="F1423" s="90">
        <f t="shared" si="270"/>
        <v>44018.743195329589</v>
      </c>
      <c r="G1423" s="91">
        <v>0.19</v>
      </c>
      <c r="H1423" s="91" t="s">
        <v>228</v>
      </c>
      <c r="I1423" s="91"/>
      <c r="J1423" s="91" t="s">
        <v>228</v>
      </c>
      <c r="K1423" s="91"/>
      <c r="L1423" s="92" t="s">
        <v>2860</v>
      </c>
      <c r="M1423" s="91" t="str">
        <f t="shared" si="271"/>
        <v>VER ARCHIVO ANEXO</v>
      </c>
      <c r="N1423" s="93">
        <v>41608</v>
      </c>
      <c r="O1423" s="109"/>
      <c r="P1423" s="109"/>
      <c r="Q1423" s="94">
        <v>1274</v>
      </c>
      <c r="R1423" s="95">
        <f t="shared" si="274"/>
        <v>44018.743195329589</v>
      </c>
      <c r="S1423" s="109">
        <v>28806.077399999998</v>
      </c>
      <c r="T1423" s="94">
        <f t="shared" si="272"/>
        <v>30756.248839980002</v>
      </c>
      <c r="U1423" s="94">
        <f t="shared" si="279"/>
        <v>32524.733148278854</v>
      </c>
      <c r="V1423" s="94">
        <f t="shared" si="280"/>
        <v>33854.994734043459</v>
      </c>
      <c r="W1423" s="97">
        <f t="shared" si="277"/>
        <v>34931.583566586043</v>
      </c>
      <c r="X1423" s="97">
        <f t="shared" si="278"/>
        <v>36258.983742116317</v>
      </c>
      <c r="Y1423" s="97">
        <f t="shared" si="273"/>
        <v>36842.753380364389</v>
      </c>
      <c r="Z1423" s="97">
        <f t="shared" si="275"/>
        <v>38913.316120340867</v>
      </c>
      <c r="AA1423" s="97">
        <f t="shared" si="276"/>
        <v>44018.743195329589</v>
      </c>
    </row>
    <row r="1424" spans="1:27" x14ac:dyDescent="0.25">
      <c r="A1424" s="102" t="s">
        <v>3206</v>
      </c>
      <c r="B1424" s="87" t="s">
        <v>3207</v>
      </c>
      <c r="C1424" s="88" t="s">
        <v>226</v>
      </c>
      <c r="D1424" s="89" t="s">
        <v>262</v>
      </c>
      <c r="E1424" s="90">
        <f t="shared" si="281"/>
        <v>20908</v>
      </c>
      <c r="F1424" s="90">
        <f t="shared" si="270"/>
        <v>17570.114056734525</v>
      </c>
      <c r="G1424" s="91">
        <v>0.19</v>
      </c>
      <c r="H1424" s="91" t="s">
        <v>228</v>
      </c>
      <c r="I1424" s="91"/>
      <c r="J1424" s="91" t="s">
        <v>228</v>
      </c>
      <c r="K1424" s="91"/>
      <c r="L1424" s="92" t="s">
        <v>2860</v>
      </c>
      <c r="M1424" s="91" t="str">
        <f t="shared" si="271"/>
        <v>VER ARCHIVO ANEXO</v>
      </c>
      <c r="N1424" s="93">
        <v>41608</v>
      </c>
      <c r="O1424" s="109"/>
      <c r="P1424" s="109"/>
      <c r="Q1424" s="94">
        <v>1275</v>
      </c>
      <c r="R1424" s="95">
        <f t="shared" si="274"/>
        <v>17570.114056734525</v>
      </c>
      <c r="S1424" s="109">
        <v>11497.967199999999</v>
      </c>
      <c r="T1424" s="94">
        <f t="shared" si="272"/>
        <v>12276.379579439999</v>
      </c>
      <c r="U1424" s="94">
        <f t="shared" si="279"/>
        <v>12982.271405257801</v>
      </c>
      <c r="V1424" s="94">
        <f t="shared" si="280"/>
        <v>13513.246305732844</v>
      </c>
      <c r="W1424" s="97">
        <f t="shared" si="277"/>
        <v>13942.967538255149</v>
      </c>
      <c r="X1424" s="97">
        <f t="shared" si="278"/>
        <v>14472.800304708844</v>
      </c>
      <c r="Y1424" s="97">
        <f t="shared" si="273"/>
        <v>14705.812389614657</v>
      </c>
      <c r="Z1424" s="97">
        <f t="shared" si="275"/>
        <v>15532.279045911002</v>
      </c>
      <c r="AA1424" s="97">
        <f t="shared" si="276"/>
        <v>17570.114056734525</v>
      </c>
    </row>
    <row r="1425" spans="1:27" x14ac:dyDescent="0.25">
      <c r="A1425" s="102" t="s">
        <v>3208</v>
      </c>
      <c r="B1425" s="87" t="s">
        <v>3209</v>
      </c>
      <c r="C1425" s="88" t="s">
        <v>226</v>
      </c>
      <c r="D1425" s="89" t="s">
        <v>262</v>
      </c>
      <c r="E1425" s="90">
        <f t="shared" si="281"/>
        <v>20908</v>
      </c>
      <c r="F1425" s="90">
        <f t="shared" si="270"/>
        <v>17570.114056734525</v>
      </c>
      <c r="G1425" s="91">
        <v>0.19</v>
      </c>
      <c r="H1425" s="91" t="s">
        <v>228</v>
      </c>
      <c r="I1425" s="91"/>
      <c r="J1425" s="91" t="s">
        <v>228</v>
      </c>
      <c r="K1425" s="91"/>
      <c r="L1425" s="92" t="s">
        <v>2860</v>
      </c>
      <c r="M1425" s="91" t="str">
        <f t="shared" si="271"/>
        <v>VER ARCHIVO ANEXO</v>
      </c>
      <c r="N1425" s="93">
        <v>41608</v>
      </c>
      <c r="O1425" s="109"/>
      <c r="P1425" s="109"/>
      <c r="Q1425" s="94">
        <v>1276</v>
      </c>
      <c r="R1425" s="95">
        <f t="shared" si="274"/>
        <v>17570.114056734525</v>
      </c>
      <c r="S1425" s="109">
        <v>11497.967199999999</v>
      </c>
      <c r="T1425" s="94">
        <f t="shared" si="272"/>
        <v>12276.379579439999</v>
      </c>
      <c r="U1425" s="94">
        <f t="shared" si="279"/>
        <v>12982.271405257801</v>
      </c>
      <c r="V1425" s="94">
        <f t="shared" si="280"/>
        <v>13513.246305732844</v>
      </c>
      <c r="W1425" s="97">
        <f t="shared" si="277"/>
        <v>13942.967538255149</v>
      </c>
      <c r="X1425" s="97">
        <f t="shared" si="278"/>
        <v>14472.800304708844</v>
      </c>
      <c r="Y1425" s="97">
        <f t="shared" si="273"/>
        <v>14705.812389614657</v>
      </c>
      <c r="Z1425" s="97">
        <f t="shared" si="275"/>
        <v>15532.279045911002</v>
      </c>
      <c r="AA1425" s="97">
        <f t="shared" si="276"/>
        <v>17570.114056734525</v>
      </c>
    </row>
    <row r="1426" spans="1:27" x14ac:dyDescent="0.25">
      <c r="A1426" s="102" t="s">
        <v>3210</v>
      </c>
      <c r="B1426" s="87" t="s">
        <v>3211</v>
      </c>
      <c r="C1426" s="88" t="s">
        <v>226</v>
      </c>
      <c r="D1426" s="89" t="s">
        <v>262</v>
      </c>
      <c r="E1426" s="90">
        <f t="shared" si="281"/>
        <v>27329</v>
      </c>
      <c r="F1426" s="90">
        <f t="shared" si="270"/>
        <v>22965.33660246458</v>
      </c>
      <c r="G1426" s="91">
        <v>0.19</v>
      </c>
      <c r="H1426" s="91" t="s">
        <v>228</v>
      </c>
      <c r="I1426" s="91"/>
      <c r="J1426" s="91" t="s">
        <v>228</v>
      </c>
      <c r="K1426" s="91"/>
      <c r="L1426" s="92" t="s">
        <v>2860</v>
      </c>
      <c r="M1426" s="91" t="str">
        <f t="shared" si="271"/>
        <v>VER ARCHIVO ANEXO</v>
      </c>
      <c r="N1426" s="93">
        <v>41608</v>
      </c>
      <c r="O1426" s="109"/>
      <c r="P1426" s="109"/>
      <c r="Q1426" s="94">
        <v>1277</v>
      </c>
      <c r="R1426" s="95">
        <f t="shared" si="274"/>
        <v>22965.33660246458</v>
      </c>
      <c r="S1426" s="109">
        <v>15028.6268</v>
      </c>
      <c r="T1426" s="94">
        <f t="shared" si="272"/>
        <v>16046.064834360001</v>
      </c>
      <c r="U1426" s="94">
        <f t="shared" si="279"/>
        <v>16968.713562335703</v>
      </c>
      <c r="V1426" s="94">
        <f t="shared" si="280"/>
        <v>17662.733947035231</v>
      </c>
      <c r="W1426" s="97">
        <f t="shared" si="277"/>
        <v>18224.408886550951</v>
      </c>
      <c r="X1426" s="97">
        <f t="shared" si="278"/>
        <v>18916.936424239888</v>
      </c>
      <c r="Y1426" s="97">
        <f t="shared" si="273"/>
        <v>19221.499100670149</v>
      </c>
      <c r="Z1426" s="97">
        <f t="shared" si="275"/>
        <v>20301.747350127811</v>
      </c>
      <c r="AA1426" s="97">
        <f t="shared" si="276"/>
        <v>22965.33660246458</v>
      </c>
    </row>
    <row r="1427" spans="1:27" x14ac:dyDescent="0.25">
      <c r="A1427" s="102" t="s">
        <v>3212</v>
      </c>
      <c r="B1427" s="87" t="s">
        <v>3213</v>
      </c>
      <c r="C1427" s="88" t="s">
        <v>226</v>
      </c>
      <c r="D1427" s="89" t="s">
        <v>262</v>
      </c>
      <c r="E1427" s="90">
        <f t="shared" si="281"/>
        <v>27329</v>
      </c>
      <c r="F1427" s="90">
        <f t="shared" si="270"/>
        <v>22965.33660246458</v>
      </c>
      <c r="G1427" s="91">
        <v>0.19</v>
      </c>
      <c r="H1427" s="91" t="s">
        <v>228</v>
      </c>
      <c r="I1427" s="91"/>
      <c r="J1427" s="91" t="s">
        <v>228</v>
      </c>
      <c r="K1427" s="91"/>
      <c r="L1427" s="92" t="s">
        <v>2860</v>
      </c>
      <c r="M1427" s="91" t="str">
        <f t="shared" si="271"/>
        <v>VER ARCHIVO ANEXO</v>
      </c>
      <c r="N1427" s="93">
        <v>41608</v>
      </c>
      <c r="O1427" s="109"/>
      <c r="P1427" s="109"/>
      <c r="Q1427" s="94">
        <v>1278</v>
      </c>
      <c r="R1427" s="95">
        <f t="shared" si="274"/>
        <v>22965.33660246458</v>
      </c>
      <c r="S1427" s="109">
        <v>15028.6268</v>
      </c>
      <c r="T1427" s="94">
        <f t="shared" si="272"/>
        <v>16046.064834360001</v>
      </c>
      <c r="U1427" s="94">
        <f t="shared" si="279"/>
        <v>16968.713562335703</v>
      </c>
      <c r="V1427" s="94">
        <f t="shared" si="280"/>
        <v>17662.733947035231</v>
      </c>
      <c r="W1427" s="97">
        <f t="shared" si="277"/>
        <v>18224.408886550951</v>
      </c>
      <c r="X1427" s="97">
        <f t="shared" si="278"/>
        <v>18916.936424239888</v>
      </c>
      <c r="Y1427" s="97">
        <f t="shared" si="273"/>
        <v>19221.499100670149</v>
      </c>
      <c r="Z1427" s="97">
        <f t="shared" si="275"/>
        <v>20301.747350127811</v>
      </c>
      <c r="AA1427" s="97">
        <f t="shared" si="276"/>
        <v>22965.33660246458</v>
      </c>
    </row>
    <row r="1428" spans="1:27" x14ac:dyDescent="0.25">
      <c r="A1428" s="102" t="s">
        <v>3214</v>
      </c>
      <c r="B1428" s="87" t="s">
        <v>3215</v>
      </c>
      <c r="C1428" s="88" t="s">
        <v>226</v>
      </c>
      <c r="D1428" s="89" t="s">
        <v>262</v>
      </c>
      <c r="E1428" s="90">
        <f t="shared" si="281"/>
        <v>30026</v>
      </c>
      <c r="F1428" s="90">
        <f t="shared" si="270"/>
        <v>25232.090408377593</v>
      </c>
      <c r="G1428" s="91">
        <v>0.19</v>
      </c>
      <c r="H1428" s="91" t="s">
        <v>228</v>
      </c>
      <c r="I1428" s="91"/>
      <c r="J1428" s="91" t="s">
        <v>228</v>
      </c>
      <c r="K1428" s="91"/>
      <c r="L1428" s="92" t="s">
        <v>2860</v>
      </c>
      <c r="M1428" s="91" t="str">
        <f t="shared" si="271"/>
        <v>VER ARCHIVO ANEXO</v>
      </c>
      <c r="N1428" s="93">
        <v>41608</v>
      </c>
      <c r="O1428" s="109"/>
      <c r="P1428" s="109"/>
      <c r="Q1428" s="94">
        <v>1279</v>
      </c>
      <c r="R1428" s="95">
        <f t="shared" si="274"/>
        <v>25232.090408377593</v>
      </c>
      <c r="S1428" s="109">
        <v>16512.001400000001</v>
      </c>
      <c r="T1428" s="94">
        <f t="shared" si="272"/>
        <v>17629.863894780003</v>
      </c>
      <c r="U1428" s="94">
        <f t="shared" si="279"/>
        <v>18643.581068729854</v>
      </c>
      <c r="V1428" s="94">
        <f t="shared" si="280"/>
        <v>19406.103534440903</v>
      </c>
      <c r="W1428" s="97">
        <f t="shared" si="277"/>
        <v>20023.217626836125</v>
      </c>
      <c r="X1428" s="97">
        <f t="shared" si="278"/>
        <v>20784.099896655898</v>
      </c>
      <c r="Y1428" s="97">
        <f t="shared" si="273"/>
        <v>21118.723904992057</v>
      </c>
      <c r="Z1428" s="97">
        <f t="shared" si="275"/>
        <v>22305.596188452611</v>
      </c>
      <c r="AA1428" s="97">
        <f t="shared" si="276"/>
        <v>25232.090408377593</v>
      </c>
    </row>
    <row r="1429" spans="1:27" x14ac:dyDescent="0.25">
      <c r="A1429" s="102" t="s">
        <v>3216</v>
      </c>
      <c r="B1429" s="87" t="s">
        <v>3217</v>
      </c>
      <c r="C1429" s="88" t="s">
        <v>226</v>
      </c>
      <c r="D1429" s="89" t="s">
        <v>262</v>
      </c>
      <c r="E1429" s="90">
        <f t="shared" si="281"/>
        <v>49263</v>
      </c>
      <c r="F1429" s="90">
        <f t="shared" si="270"/>
        <v>41397.165593103149</v>
      </c>
      <c r="G1429" s="91">
        <v>0.19</v>
      </c>
      <c r="H1429" s="91" t="s">
        <v>228</v>
      </c>
      <c r="I1429" s="91"/>
      <c r="J1429" s="91" t="s">
        <v>228</v>
      </c>
      <c r="K1429" s="91"/>
      <c r="L1429" s="92" t="s">
        <v>2860</v>
      </c>
      <c r="M1429" s="91" t="str">
        <f t="shared" si="271"/>
        <v>VER ARCHIVO ANEXO</v>
      </c>
      <c r="N1429" s="93">
        <v>41608</v>
      </c>
      <c r="O1429" s="109"/>
      <c r="P1429" s="109"/>
      <c r="Q1429" s="94">
        <v>1280</v>
      </c>
      <c r="R1429" s="95">
        <f t="shared" si="274"/>
        <v>41397.165593103149</v>
      </c>
      <c r="S1429" s="109">
        <v>27090.504399999998</v>
      </c>
      <c r="T1429" s="94">
        <f t="shared" si="272"/>
        <v>28924.53154788</v>
      </c>
      <c r="U1429" s="94">
        <f t="shared" si="279"/>
        <v>30587.692111883105</v>
      </c>
      <c r="V1429" s="94">
        <f t="shared" si="280"/>
        <v>31838.728719259121</v>
      </c>
      <c r="W1429" s="97">
        <f t="shared" si="277"/>
        <v>32851.200292531561</v>
      </c>
      <c r="X1429" s="97">
        <f t="shared" si="278"/>
        <v>34099.545903647762</v>
      </c>
      <c r="Y1429" s="97">
        <f t="shared" si="273"/>
        <v>34648.54859269649</v>
      </c>
      <c r="Z1429" s="97">
        <f t="shared" si="275"/>
        <v>36595.797023606036</v>
      </c>
      <c r="AA1429" s="97">
        <f t="shared" si="276"/>
        <v>41397.165593103149</v>
      </c>
    </row>
    <row r="1430" spans="1:27" x14ac:dyDescent="0.25">
      <c r="A1430" s="102" t="s">
        <v>3218</v>
      </c>
      <c r="B1430" s="87" t="s">
        <v>3219</v>
      </c>
      <c r="C1430" s="88" t="s">
        <v>226</v>
      </c>
      <c r="D1430" s="89" t="s">
        <v>262</v>
      </c>
      <c r="E1430" s="90">
        <f t="shared" si="281"/>
        <v>49263</v>
      </c>
      <c r="F1430" s="90">
        <f t="shared" si="270"/>
        <v>41397.165593103149</v>
      </c>
      <c r="G1430" s="91">
        <v>0.19</v>
      </c>
      <c r="H1430" s="91" t="s">
        <v>228</v>
      </c>
      <c r="I1430" s="91"/>
      <c r="J1430" s="91" t="s">
        <v>228</v>
      </c>
      <c r="K1430" s="91"/>
      <c r="L1430" s="92" t="s">
        <v>2860</v>
      </c>
      <c r="M1430" s="91" t="str">
        <f t="shared" si="271"/>
        <v>VER ARCHIVO ANEXO</v>
      </c>
      <c r="N1430" s="93">
        <v>41608</v>
      </c>
      <c r="O1430" s="109"/>
      <c r="P1430" s="109"/>
      <c r="Q1430" s="94">
        <v>1281</v>
      </c>
      <c r="R1430" s="95">
        <f t="shared" si="274"/>
        <v>41397.165593103149</v>
      </c>
      <c r="S1430" s="109">
        <v>27090.504399999998</v>
      </c>
      <c r="T1430" s="94">
        <f t="shared" si="272"/>
        <v>28924.53154788</v>
      </c>
      <c r="U1430" s="94">
        <f t="shared" si="279"/>
        <v>30587.692111883105</v>
      </c>
      <c r="V1430" s="94">
        <f t="shared" si="280"/>
        <v>31838.728719259121</v>
      </c>
      <c r="W1430" s="97">
        <f t="shared" si="277"/>
        <v>32851.200292531561</v>
      </c>
      <c r="X1430" s="97">
        <f t="shared" si="278"/>
        <v>34099.545903647762</v>
      </c>
      <c r="Y1430" s="97">
        <f t="shared" si="273"/>
        <v>34648.54859269649</v>
      </c>
      <c r="Z1430" s="97">
        <f t="shared" si="275"/>
        <v>36595.797023606036</v>
      </c>
      <c r="AA1430" s="97">
        <f t="shared" si="276"/>
        <v>41397.165593103149</v>
      </c>
    </row>
    <row r="1431" spans="1:27" x14ac:dyDescent="0.25">
      <c r="A1431" s="102" t="s">
        <v>3220</v>
      </c>
      <c r="B1431" s="87" t="s">
        <v>3221</v>
      </c>
      <c r="C1431" s="88" t="s">
        <v>226</v>
      </c>
      <c r="D1431" s="89" t="s">
        <v>262</v>
      </c>
      <c r="E1431" s="90">
        <f t="shared" si="281"/>
        <v>60171</v>
      </c>
      <c r="F1431" s="90">
        <f t="shared" si="270"/>
        <v>50563.97500946834</v>
      </c>
      <c r="G1431" s="91">
        <v>0.19</v>
      </c>
      <c r="H1431" s="91" t="s">
        <v>228</v>
      </c>
      <c r="I1431" s="91"/>
      <c r="J1431" s="91" t="s">
        <v>228</v>
      </c>
      <c r="K1431" s="91"/>
      <c r="L1431" s="92" t="s">
        <v>2860</v>
      </c>
      <c r="M1431" s="91" t="str">
        <f t="shared" si="271"/>
        <v>VER ARCHIVO ANEXO</v>
      </c>
      <c r="N1431" s="93">
        <v>41608</v>
      </c>
      <c r="O1431" s="109"/>
      <c r="P1431" s="109"/>
      <c r="Q1431" s="94">
        <v>1282</v>
      </c>
      <c r="R1431" s="95">
        <f t="shared" si="274"/>
        <v>50563.97500946834</v>
      </c>
      <c r="S1431" s="109">
        <v>33089.308599999997</v>
      </c>
      <c r="T1431" s="94">
        <f t="shared" si="272"/>
        <v>35329.45479222</v>
      </c>
      <c r="U1431" s="94">
        <f t="shared" si="279"/>
        <v>37360.898442772654</v>
      </c>
      <c r="V1431" s="94">
        <f t="shared" si="280"/>
        <v>38888.959189082052</v>
      </c>
      <c r="W1431" s="97">
        <f t="shared" si="277"/>
        <v>40125.628091294864</v>
      </c>
      <c r="X1431" s="97">
        <f t="shared" si="278"/>
        <v>41650.401958764072</v>
      </c>
      <c r="Y1431" s="97">
        <f t="shared" si="273"/>
        <v>42320.973430300175</v>
      </c>
      <c r="Z1431" s="97">
        <f t="shared" si="275"/>
        <v>44699.412137083047</v>
      </c>
      <c r="AA1431" s="97">
        <f t="shared" si="276"/>
        <v>50563.97500946834</v>
      </c>
    </row>
    <row r="1432" spans="1:27" x14ac:dyDescent="0.25">
      <c r="A1432" s="102" t="s">
        <v>3222</v>
      </c>
      <c r="B1432" s="87" t="s">
        <v>3223</v>
      </c>
      <c r="C1432" s="88" t="s">
        <v>226</v>
      </c>
      <c r="D1432" s="89" t="s">
        <v>262</v>
      </c>
      <c r="E1432" s="90">
        <f t="shared" si="281"/>
        <v>62282</v>
      </c>
      <c r="F1432" s="90">
        <f t="shared" ref="F1432:F1495" si="282">R1432</f>
        <v>52338.093991035486</v>
      </c>
      <c r="G1432" s="91">
        <v>0.19</v>
      </c>
      <c r="H1432" s="91" t="s">
        <v>228</v>
      </c>
      <c r="I1432" s="91"/>
      <c r="J1432" s="91" t="s">
        <v>228</v>
      </c>
      <c r="K1432" s="91"/>
      <c r="L1432" s="92" t="s">
        <v>2860</v>
      </c>
      <c r="M1432" s="91" t="str">
        <f t="shared" si="271"/>
        <v>VER ARCHIVO ANEXO</v>
      </c>
      <c r="N1432" s="93">
        <v>41608</v>
      </c>
      <c r="O1432" s="109"/>
      <c r="P1432" s="109"/>
      <c r="Q1432" s="94">
        <v>1283</v>
      </c>
      <c r="R1432" s="95">
        <f t="shared" si="274"/>
        <v>52338.093991035486</v>
      </c>
      <c r="S1432" s="109">
        <v>34250.300600000002</v>
      </c>
      <c r="T1432" s="94">
        <f t="shared" si="272"/>
        <v>36569.045950620006</v>
      </c>
      <c r="U1432" s="94">
        <f t="shared" si="279"/>
        <v>38671.766092780657</v>
      </c>
      <c r="V1432" s="94">
        <f t="shared" si="280"/>
        <v>40253.441325975386</v>
      </c>
      <c r="W1432" s="97">
        <f t="shared" si="277"/>
        <v>41533.500760141404</v>
      </c>
      <c r="X1432" s="97">
        <f t="shared" si="278"/>
        <v>43111.773789026782</v>
      </c>
      <c r="Y1432" s="97">
        <f t="shared" si="273"/>
        <v>43805.873347030116</v>
      </c>
      <c r="Z1432" s="97">
        <f t="shared" si="275"/>
        <v>46267.763429133207</v>
      </c>
      <c r="AA1432" s="97">
        <f t="shared" si="276"/>
        <v>52338.093991035486</v>
      </c>
    </row>
    <row r="1433" spans="1:27" x14ac:dyDescent="0.25">
      <c r="A1433" s="102" t="s">
        <v>3224</v>
      </c>
      <c r="B1433" s="87" t="s">
        <v>3225</v>
      </c>
      <c r="C1433" s="88" t="s">
        <v>226</v>
      </c>
      <c r="D1433" s="89" t="s">
        <v>262</v>
      </c>
      <c r="E1433" s="90">
        <f t="shared" si="281"/>
        <v>68263</v>
      </c>
      <c r="F1433" s="90">
        <f t="shared" si="282"/>
        <v>57364.236427207376</v>
      </c>
      <c r="G1433" s="91">
        <v>0.19</v>
      </c>
      <c r="H1433" s="91" t="s">
        <v>228</v>
      </c>
      <c r="I1433" s="91"/>
      <c r="J1433" s="91" t="s">
        <v>228</v>
      </c>
      <c r="K1433" s="91"/>
      <c r="L1433" s="92" t="s">
        <v>2860</v>
      </c>
      <c r="M1433" s="91" t="str">
        <f t="shared" si="271"/>
        <v>VER ARCHIVO ANEXO</v>
      </c>
      <c r="N1433" s="93">
        <v>41608</v>
      </c>
      <c r="O1433" s="109"/>
      <c r="P1433" s="109"/>
      <c r="Q1433" s="94">
        <v>1284</v>
      </c>
      <c r="R1433" s="95">
        <f t="shared" si="274"/>
        <v>57364.236427207376</v>
      </c>
      <c r="S1433" s="109">
        <v>37539.432399999998</v>
      </c>
      <c r="T1433" s="94">
        <f t="shared" si="272"/>
        <v>40080.851973479999</v>
      </c>
      <c r="U1433" s="94">
        <f t="shared" si="279"/>
        <v>42385.500961955106</v>
      </c>
      <c r="V1433" s="94">
        <f t="shared" si="280"/>
        <v>44119.067951299068</v>
      </c>
      <c r="W1433" s="97">
        <f t="shared" si="277"/>
        <v>45522.05431215038</v>
      </c>
      <c r="X1433" s="97">
        <f t="shared" si="278"/>
        <v>47251.892376012096</v>
      </c>
      <c r="Y1433" s="97">
        <f t="shared" si="273"/>
        <v>48012.647843265891</v>
      </c>
      <c r="Z1433" s="97">
        <f t="shared" si="275"/>
        <v>50710.958652057438</v>
      </c>
      <c r="AA1433" s="97">
        <f t="shared" si="276"/>
        <v>57364.236427207376</v>
      </c>
    </row>
    <row r="1434" spans="1:27" x14ac:dyDescent="0.25">
      <c r="A1434" s="102" t="s">
        <v>3226</v>
      </c>
      <c r="B1434" s="87" t="s">
        <v>3227</v>
      </c>
      <c r="C1434" s="88" t="s">
        <v>226</v>
      </c>
      <c r="D1434" s="89" t="s">
        <v>262</v>
      </c>
      <c r="E1434" s="90">
        <f t="shared" si="281"/>
        <v>105914</v>
      </c>
      <c r="F1434" s="90">
        <f t="shared" si="282"/>
        <v>89003.747621691291</v>
      </c>
      <c r="G1434" s="91">
        <v>0.19</v>
      </c>
      <c r="H1434" s="91" t="s">
        <v>228</v>
      </c>
      <c r="I1434" s="91"/>
      <c r="J1434" s="91" t="s">
        <v>228</v>
      </c>
      <c r="K1434" s="91"/>
      <c r="L1434" s="92" t="s">
        <v>2860</v>
      </c>
      <c r="M1434" s="91" t="str">
        <f t="shared" si="271"/>
        <v>VER ARCHIVO ANEXO</v>
      </c>
      <c r="N1434" s="93">
        <v>41608</v>
      </c>
      <c r="O1434" s="109"/>
      <c r="P1434" s="109"/>
      <c r="Q1434" s="94">
        <v>1285</v>
      </c>
      <c r="R1434" s="95">
        <f t="shared" si="274"/>
        <v>89003.747621691291</v>
      </c>
      <c r="S1434" s="109">
        <v>58244.480799999998</v>
      </c>
      <c r="T1434" s="94">
        <f t="shared" si="272"/>
        <v>62187.632150160003</v>
      </c>
      <c r="U1434" s="94">
        <f t="shared" si="279"/>
        <v>65763.420998794216</v>
      </c>
      <c r="V1434" s="94">
        <f t="shared" si="280"/>
        <v>68453.144917644895</v>
      </c>
      <c r="W1434" s="97">
        <f t="shared" si="277"/>
        <v>70629.95492602601</v>
      </c>
      <c r="X1434" s="97">
        <f t="shared" si="278"/>
        <v>73313.893213215008</v>
      </c>
      <c r="Y1434" s="97">
        <f t="shared" si="273"/>
        <v>74494.246893947769</v>
      </c>
      <c r="Z1434" s="97">
        <f t="shared" si="275"/>
        <v>78680.823569387634</v>
      </c>
      <c r="AA1434" s="97">
        <f t="shared" si="276"/>
        <v>89003.747621691291</v>
      </c>
    </row>
    <row r="1435" spans="1:27" x14ac:dyDescent="0.25">
      <c r="A1435" s="102" t="s">
        <v>3228</v>
      </c>
      <c r="B1435" s="87" t="s">
        <v>3229</v>
      </c>
      <c r="C1435" s="88" t="s">
        <v>226</v>
      </c>
      <c r="D1435" s="89" t="s">
        <v>262</v>
      </c>
      <c r="E1435" s="90">
        <f t="shared" si="281"/>
        <v>70642</v>
      </c>
      <c r="F1435" s="90">
        <f t="shared" si="282"/>
        <v>59363.288351080329</v>
      </c>
      <c r="G1435" s="91">
        <v>0.19</v>
      </c>
      <c r="H1435" s="91" t="s">
        <v>228</v>
      </c>
      <c r="I1435" s="91"/>
      <c r="J1435" s="91" t="s">
        <v>228</v>
      </c>
      <c r="K1435" s="91"/>
      <c r="L1435" s="92" t="s">
        <v>2860</v>
      </c>
      <c r="M1435" s="91" t="str">
        <f t="shared" si="271"/>
        <v>VER ARCHIVO ANEXO</v>
      </c>
      <c r="N1435" s="93">
        <v>41608</v>
      </c>
      <c r="O1435" s="109"/>
      <c r="P1435" s="109"/>
      <c r="Q1435" s="94">
        <v>1286</v>
      </c>
      <c r="R1435" s="95">
        <f t="shared" si="274"/>
        <v>59363.288351080329</v>
      </c>
      <c r="S1435" s="109">
        <v>38847.621599999999</v>
      </c>
      <c r="T1435" s="94">
        <f t="shared" si="272"/>
        <v>41477.60558232</v>
      </c>
      <c r="U1435" s="94">
        <f t="shared" si="279"/>
        <v>43862.567903303403</v>
      </c>
      <c r="V1435" s="94">
        <f t="shared" si="280"/>
        <v>45656.546930548509</v>
      </c>
      <c r="W1435" s="97">
        <f t="shared" si="277"/>
        <v>47108.425122939952</v>
      </c>
      <c r="X1435" s="97">
        <f t="shared" si="278"/>
        <v>48898.545277611673</v>
      </c>
      <c r="Y1435" s="97">
        <f t="shared" si="273"/>
        <v>49685.811856581218</v>
      </c>
      <c r="Z1435" s="97">
        <f t="shared" si="275"/>
        <v>52478.154482921083</v>
      </c>
      <c r="AA1435" s="97">
        <f t="shared" si="276"/>
        <v>59363.288351080329</v>
      </c>
    </row>
    <row r="1436" spans="1:27" x14ac:dyDescent="0.25">
      <c r="A1436" s="102" t="s">
        <v>3230</v>
      </c>
      <c r="B1436" s="87" t="s">
        <v>3231</v>
      </c>
      <c r="C1436" s="88" t="s">
        <v>226</v>
      </c>
      <c r="D1436" s="89" t="s">
        <v>262</v>
      </c>
      <c r="E1436" s="90">
        <f t="shared" si="281"/>
        <v>70642</v>
      </c>
      <c r="F1436" s="90">
        <f t="shared" si="282"/>
        <v>59363.288351080329</v>
      </c>
      <c r="G1436" s="91">
        <v>0.19</v>
      </c>
      <c r="H1436" s="91" t="s">
        <v>228</v>
      </c>
      <c r="I1436" s="91"/>
      <c r="J1436" s="91" t="s">
        <v>228</v>
      </c>
      <c r="K1436" s="91"/>
      <c r="L1436" s="92" t="s">
        <v>2860</v>
      </c>
      <c r="M1436" s="91" t="str">
        <f t="shared" si="271"/>
        <v>VER ARCHIVO ANEXO</v>
      </c>
      <c r="N1436" s="93">
        <v>41608</v>
      </c>
      <c r="O1436" s="109"/>
      <c r="P1436" s="109"/>
      <c r="Q1436" s="94">
        <v>1287</v>
      </c>
      <c r="R1436" s="95">
        <f t="shared" si="274"/>
        <v>59363.288351080329</v>
      </c>
      <c r="S1436" s="109">
        <v>38847.621599999999</v>
      </c>
      <c r="T1436" s="94">
        <f t="shared" si="272"/>
        <v>41477.60558232</v>
      </c>
      <c r="U1436" s="94">
        <f t="shared" si="279"/>
        <v>43862.567903303403</v>
      </c>
      <c r="V1436" s="94">
        <f t="shared" si="280"/>
        <v>45656.546930548509</v>
      </c>
      <c r="W1436" s="97">
        <f t="shared" si="277"/>
        <v>47108.425122939952</v>
      </c>
      <c r="X1436" s="97">
        <f t="shared" si="278"/>
        <v>48898.545277611673</v>
      </c>
      <c r="Y1436" s="97">
        <f t="shared" si="273"/>
        <v>49685.811856581218</v>
      </c>
      <c r="Z1436" s="97">
        <f t="shared" si="275"/>
        <v>52478.154482921083</v>
      </c>
      <c r="AA1436" s="97">
        <f t="shared" si="276"/>
        <v>59363.288351080329</v>
      </c>
    </row>
    <row r="1437" spans="1:27" x14ac:dyDescent="0.25">
      <c r="A1437" s="102" t="s">
        <v>3232</v>
      </c>
      <c r="B1437" s="87" t="s">
        <v>3233</v>
      </c>
      <c r="C1437" s="88" t="s">
        <v>226</v>
      </c>
      <c r="D1437" s="89" t="s">
        <v>262</v>
      </c>
      <c r="E1437" s="90">
        <f t="shared" si="281"/>
        <v>68237</v>
      </c>
      <c r="F1437" s="90">
        <f t="shared" si="282"/>
        <v>57342.059939937782</v>
      </c>
      <c r="G1437" s="91">
        <v>0.19</v>
      </c>
      <c r="H1437" s="91" t="s">
        <v>228</v>
      </c>
      <c r="I1437" s="91"/>
      <c r="J1437" s="91" t="s">
        <v>228</v>
      </c>
      <c r="K1437" s="91"/>
      <c r="L1437" s="92" t="s">
        <v>2860</v>
      </c>
      <c r="M1437" s="91" t="str">
        <f t="shared" si="271"/>
        <v>VER ARCHIVO ANEXO</v>
      </c>
      <c r="N1437" s="93">
        <v>41608</v>
      </c>
      <c r="O1437" s="109"/>
      <c r="P1437" s="109"/>
      <c r="Q1437" s="94">
        <v>1288</v>
      </c>
      <c r="R1437" s="95">
        <f t="shared" si="274"/>
        <v>57342.059939937782</v>
      </c>
      <c r="S1437" s="109">
        <v>37524.92</v>
      </c>
      <c r="T1437" s="94">
        <f t="shared" si="272"/>
        <v>40065.357084000003</v>
      </c>
      <c r="U1437" s="94">
        <f t="shared" si="279"/>
        <v>42369.115116330009</v>
      </c>
      <c r="V1437" s="94">
        <f t="shared" si="280"/>
        <v>44102.011924587903</v>
      </c>
      <c r="W1437" s="97">
        <f t="shared" si="277"/>
        <v>45504.4559037898</v>
      </c>
      <c r="X1437" s="97">
        <f t="shared" si="278"/>
        <v>47233.625228133817</v>
      </c>
      <c r="Y1437" s="97">
        <f t="shared" si="273"/>
        <v>47994.086594306769</v>
      </c>
      <c r="Z1437" s="97">
        <f t="shared" si="275"/>
        <v>50691.35426090681</v>
      </c>
      <c r="AA1437" s="97">
        <f t="shared" si="276"/>
        <v>57342.059939937782</v>
      </c>
    </row>
    <row r="1438" spans="1:27" x14ac:dyDescent="0.25">
      <c r="A1438" s="102" t="s">
        <v>3234</v>
      </c>
      <c r="B1438" s="87" t="s">
        <v>3235</v>
      </c>
      <c r="C1438" s="88" t="s">
        <v>226</v>
      </c>
      <c r="D1438" s="89" t="s">
        <v>262</v>
      </c>
      <c r="E1438" s="90">
        <f t="shared" si="281"/>
        <v>68237</v>
      </c>
      <c r="F1438" s="90">
        <f t="shared" si="282"/>
        <v>57342.059939937782</v>
      </c>
      <c r="G1438" s="91">
        <v>0.19</v>
      </c>
      <c r="H1438" s="91" t="s">
        <v>228</v>
      </c>
      <c r="I1438" s="91"/>
      <c r="J1438" s="91" t="s">
        <v>228</v>
      </c>
      <c r="K1438" s="91"/>
      <c r="L1438" s="92" t="s">
        <v>2860</v>
      </c>
      <c r="M1438" s="91" t="str">
        <f t="shared" si="271"/>
        <v>VER ARCHIVO ANEXO</v>
      </c>
      <c r="N1438" s="93">
        <v>41608</v>
      </c>
      <c r="O1438" s="109"/>
      <c r="P1438" s="109"/>
      <c r="Q1438" s="94">
        <v>1289</v>
      </c>
      <c r="R1438" s="95">
        <f t="shared" si="274"/>
        <v>57342.059939937782</v>
      </c>
      <c r="S1438" s="109">
        <v>37524.92</v>
      </c>
      <c r="T1438" s="94">
        <f t="shared" si="272"/>
        <v>40065.357084000003</v>
      </c>
      <c r="U1438" s="94">
        <f t="shared" si="279"/>
        <v>42369.115116330009</v>
      </c>
      <c r="V1438" s="94">
        <f t="shared" si="280"/>
        <v>44102.011924587903</v>
      </c>
      <c r="W1438" s="97">
        <f t="shared" si="277"/>
        <v>45504.4559037898</v>
      </c>
      <c r="X1438" s="97">
        <f t="shared" si="278"/>
        <v>47233.625228133817</v>
      </c>
      <c r="Y1438" s="97">
        <f t="shared" si="273"/>
        <v>47994.086594306769</v>
      </c>
      <c r="Z1438" s="97">
        <f t="shared" si="275"/>
        <v>50691.35426090681</v>
      </c>
      <c r="AA1438" s="97">
        <f t="shared" si="276"/>
        <v>57342.059939937782</v>
      </c>
    </row>
    <row r="1439" spans="1:27" x14ac:dyDescent="0.25">
      <c r="A1439" s="102" t="s">
        <v>3236</v>
      </c>
      <c r="B1439" s="87" t="s">
        <v>3237</v>
      </c>
      <c r="C1439" s="88" t="s">
        <v>226</v>
      </c>
      <c r="D1439" s="89" t="s">
        <v>262</v>
      </c>
      <c r="E1439" s="90">
        <f t="shared" si="281"/>
        <v>6820</v>
      </c>
      <c r="F1439" s="90">
        <f t="shared" si="282"/>
        <v>5731.0379243838361</v>
      </c>
      <c r="G1439" s="91">
        <v>0.19</v>
      </c>
      <c r="H1439" s="91" t="s">
        <v>228</v>
      </c>
      <c r="I1439" s="91"/>
      <c r="J1439" s="91" t="s">
        <v>228</v>
      </c>
      <c r="K1439" s="91"/>
      <c r="L1439" s="92" t="s">
        <v>2860</v>
      </c>
      <c r="M1439" s="91" t="str">
        <f t="shared" si="271"/>
        <v>VER ARCHIVO ANEXO</v>
      </c>
      <c r="N1439" s="93">
        <v>41608</v>
      </c>
      <c r="O1439" s="109"/>
      <c r="P1439" s="109"/>
      <c r="Q1439" s="94">
        <v>1290</v>
      </c>
      <c r="R1439" s="95">
        <f t="shared" si="274"/>
        <v>5731.0379243838361</v>
      </c>
      <c r="S1439" s="109">
        <v>3750.4187999999999</v>
      </c>
      <c r="T1439" s="94">
        <f t="shared" si="272"/>
        <v>4004.3221527600003</v>
      </c>
      <c r="U1439" s="94">
        <f t="shared" si="279"/>
        <v>4234.5706765437008</v>
      </c>
      <c r="V1439" s="94">
        <f t="shared" si="280"/>
        <v>4407.7646172143377</v>
      </c>
      <c r="W1439" s="97">
        <f t="shared" si="277"/>
        <v>4547.9315320417536</v>
      </c>
      <c r="X1439" s="97">
        <f t="shared" si="278"/>
        <v>4720.7529302593402</v>
      </c>
      <c r="Y1439" s="97">
        <f t="shared" si="273"/>
        <v>4796.7570524365156</v>
      </c>
      <c r="Z1439" s="97">
        <f t="shared" si="275"/>
        <v>5066.3347987834477</v>
      </c>
      <c r="AA1439" s="97">
        <f t="shared" si="276"/>
        <v>5731.0379243838361</v>
      </c>
    </row>
    <row r="1440" spans="1:27" x14ac:dyDescent="0.25">
      <c r="A1440" s="102" t="s">
        <v>3238</v>
      </c>
      <c r="B1440" s="87" t="s">
        <v>3239</v>
      </c>
      <c r="C1440" s="88" t="s">
        <v>226</v>
      </c>
      <c r="D1440" s="89" t="s">
        <v>262</v>
      </c>
      <c r="E1440" s="90">
        <f t="shared" si="281"/>
        <v>7958</v>
      </c>
      <c r="F1440" s="90">
        <f t="shared" si="282"/>
        <v>6687.7949465861147</v>
      </c>
      <c r="G1440" s="91">
        <v>0.19</v>
      </c>
      <c r="H1440" s="91" t="s">
        <v>228</v>
      </c>
      <c r="I1440" s="91"/>
      <c r="J1440" s="91" t="s">
        <v>228</v>
      </c>
      <c r="K1440" s="91"/>
      <c r="L1440" s="92" t="s">
        <v>2860</v>
      </c>
      <c r="M1440" s="91" t="str">
        <f t="shared" si="271"/>
        <v>VER ARCHIVO ANEXO</v>
      </c>
      <c r="N1440" s="93">
        <v>41608</v>
      </c>
      <c r="O1440" s="109"/>
      <c r="P1440" s="109"/>
      <c r="Q1440" s="94">
        <v>1291</v>
      </c>
      <c r="R1440" s="95">
        <f t="shared" si="274"/>
        <v>6687.7949465861147</v>
      </c>
      <c r="S1440" s="109">
        <v>4376.5252</v>
      </c>
      <c r="T1440" s="94">
        <f t="shared" si="272"/>
        <v>4672.8159560400009</v>
      </c>
      <c r="U1440" s="94">
        <f t="shared" si="279"/>
        <v>4941.5028735123014</v>
      </c>
      <c r="V1440" s="94">
        <f t="shared" si="280"/>
        <v>5143.6103410389542</v>
      </c>
      <c r="W1440" s="97">
        <f t="shared" si="277"/>
        <v>5307.1771498839935</v>
      </c>
      <c r="X1440" s="97">
        <f t="shared" si="278"/>
        <v>5508.8498815795856</v>
      </c>
      <c r="Y1440" s="97">
        <f t="shared" si="273"/>
        <v>5597.5423646730169</v>
      </c>
      <c r="Z1440" s="97">
        <f t="shared" si="275"/>
        <v>5912.1242455676402</v>
      </c>
      <c r="AA1440" s="97">
        <f t="shared" si="276"/>
        <v>6687.7949465861147</v>
      </c>
    </row>
    <row r="1441" spans="1:27" x14ac:dyDescent="0.25">
      <c r="A1441" s="102" t="s">
        <v>3240</v>
      </c>
      <c r="B1441" s="87" t="s">
        <v>3241</v>
      </c>
      <c r="C1441" s="88" t="s">
        <v>226</v>
      </c>
      <c r="D1441" s="89" t="s">
        <v>262</v>
      </c>
      <c r="E1441" s="90">
        <f t="shared" si="281"/>
        <v>9363</v>
      </c>
      <c r="F1441" s="90">
        <f t="shared" si="282"/>
        <v>7867.9008762892536</v>
      </c>
      <c r="G1441" s="91">
        <v>0.19</v>
      </c>
      <c r="H1441" s="91" t="s">
        <v>228</v>
      </c>
      <c r="I1441" s="91"/>
      <c r="J1441" s="91" t="s">
        <v>228</v>
      </c>
      <c r="K1441" s="91"/>
      <c r="L1441" s="92" t="s">
        <v>2860</v>
      </c>
      <c r="M1441" s="91" t="str">
        <f t="shared" si="271"/>
        <v>VER ARCHIVO ANEXO</v>
      </c>
      <c r="N1441" s="93">
        <v>41608</v>
      </c>
      <c r="O1441" s="109"/>
      <c r="P1441" s="109"/>
      <c r="Q1441" s="94">
        <v>1292</v>
      </c>
      <c r="R1441" s="95">
        <f t="shared" si="274"/>
        <v>7867.9008762892536</v>
      </c>
      <c r="S1441" s="109">
        <v>5148.7921999999999</v>
      </c>
      <c r="T1441" s="94">
        <f t="shared" si="272"/>
        <v>5497.3654319400002</v>
      </c>
      <c r="U1441" s="94">
        <f t="shared" si="279"/>
        <v>5813.463944276551</v>
      </c>
      <c r="V1441" s="94">
        <f t="shared" si="280"/>
        <v>6051.2346195974615</v>
      </c>
      <c r="W1441" s="97">
        <f t="shared" si="277"/>
        <v>6243.6638805006614</v>
      </c>
      <c r="X1441" s="97">
        <f t="shared" si="278"/>
        <v>6480.9231079596866</v>
      </c>
      <c r="Y1441" s="97">
        <f t="shared" si="273"/>
        <v>6585.2659699978376</v>
      </c>
      <c r="Z1441" s="97">
        <f t="shared" si="275"/>
        <v>6955.3579175117166</v>
      </c>
      <c r="AA1441" s="97">
        <f t="shared" si="276"/>
        <v>7867.9008762892536</v>
      </c>
    </row>
    <row r="1442" spans="1:27" x14ac:dyDescent="0.25">
      <c r="A1442" s="102" t="s">
        <v>3242</v>
      </c>
      <c r="B1442" s="87" t="s">
        <v>3243</v>
      </c>
      <c r="C1442" s="88" t="s">
        <v>226</v>
      </c>
      <c r="D1442" s="89" t="s">
        <v>262</v>
      </c>
      <c r="E1442" s="90">
        <f t="shared" si="281"/>
        <v>9363</v>
      </c>
      <c r="F1442" s="90">
        <f t="shared" si="282"/>
        <v>7867.9008762892536</v>
      </c>
      <c r="G1442" s="91">
        <v>0.19</v>
      </c>
      <c r="H1442" s="91" t="s">
        <v>228</v>
      </c>
      <c r="I1442" s="91"/>
      <c r="J1442" s="91" t="s">
        <v>228</v>
      </c>
      <c r="K1442" s="91"/>
      <c r="L1442" s="92" t="s">
        <v>2860</v>
      </c>
      <c r="M1442" s="91" t="str">
        <f t="shared" ref="M1442:M1505" si="283">+IF(L1442="no aplica","no aplica","VER ARCHIVO ANEXO")</f>
        <v>VER ARCHIVO ANEXO</v>
      </c>
      <c r="N1442" s="93">
        <v>41608</v>
      </c>
      <c r="O1442" s="109"/>
      <c r="P1442" s="109"/>
      <c r="Q1442" s="94">
        <v>1293</v>
      </c>
      <c r="R1442" s="95">
        <f t="shared" si="274"/>
        <v>7867.9008762892536</v>
      </c>
      <c r="S1442" s="109">
        <v>5148.7921999999999</v>
      </c>
      <c r="T1442" s="94">
        <f t="shared" ref="T1442:T1505" si="284">+S1442*1.0677</f>
        <v>5497.3654319400002</v>
      </c>
      <c r="U1442" s="94">
        <f t="shared" si="279"/>
        <v>5813.463944276551</v>
      </c>
      <c r="V1442" s="94">
        <f t="shared" si="280"/>
        <v>6051.2346195974615</v>
      </c>
      <c r="W1442" s="97">
        <f t="shared" si="277"/>
        <v>6243.6638805006614</v>
      </c>
      <c r="X1442" s="97">
        <f t="shared" si="278"/>
        <v>6480.9231079596866</v>
      </c>
      <c r="Y1442" s="97">
        <f t="shared" si="273"/>
        <v>6585.2659699978376</v>
      </c>
      <c r="Z1442" s="97">
        <f t="shared" si="275"/>
        <v>6955.3579175117166</v>
      </c>
      <c r="AA1442" s="97">
        <f t="shared" si="276"/>
        <v>7867.9008762892536</v>
      </c>
    </row>
    <row r="1443" spans="1:27" x14ac:dyDescent="0.25">
      <c r="A1443" s="102" t="s">
        <v>3244</v>
      </c>
      <c r="B1443" s="87" t="s">
        <v>3245</v>
      </c>
      <c r="C1443" s="88" t="s">
        <v>226</v>
      </c>
      <c r="D1443" s="89" t="s">
        <v>262</v>
      </c>
      <c r="E1443" s="90">
        <f t="shared" si="281"/>
        <v>9363</v>
      </c>
      <c r="F1443" s="90">
        <f t="shared" si="282"/>
        <v>7867.9008762892536</v>
      </c>
      <c r="G1443" s="91">
        <v>0.19</v>
      </c>
      <c r="H1443" s="91" t="s">
        <v>228</v>
      </c>
      <c r="I1443" s="91"/>
      <c r="J1443" s="91" t="s">
        <v>228</v>
      </c>
      <c r="K1443" s="91"/>
      <c r="L1443" s="92" t="s">
        <v>2860</v>
      </c>
      <c r="M1443" s="91" t="str">
        <f t="shared" si="283"/>
        <v>VER ARCHIVO ANEXO</v>
      </c>
      <c r="N1443" s="93">
        <v>41608</v>
      </c>
      <c r="O1443" s="109"/>
      <c r="P1443" s="109"/>
      <c r="Q1443" s="94">
        <v>1294</v>
      </c>
      <c r="R1443" s="95">
        <f t="shared" si="274"/>
        <v>7867.9008762892536</v>
      </c>
      <c r="S1443" s="109">
        <v>5148.7921999999999</v>
      </c>
      <c r="T1443" s="94">
        <f t="shared" si="284"/>
        <v>5497.3654319400002</v>
      </c>
      <c r="U1443" s="94">
        <f t="shared" si="279"/>
        <v>5813.463944276551</v>
      </c>
      <c r="V1443" s="94">
        <f t="shared" si="280"/>
        <v>6051.2346195974615</v>
      </c>
      <c r="W1443" s="97">
        <f t="shared" si="277"/>
        <v>6243.6638805006614</v>
      </c>
      <c r="X1443" s="97">
        <f t="shared" si="278"/>
        <v>6480.9231079596866</v>
      </c>
      <c r="Y1443" s="97">
        <f t="shared" si="273"/>
        <v>6585.2659699978376</v>
      </c>
      <c r="Z1443" s="97">
        <f t="shared" si="275"/>
        <v>6955.3579175117166</v>
      </c>
      <c r="AA1443" s="97">
        <f t="shared" si="276"/>
        <v>7867.9008762892536</v>
      </c>
    </row>
    <row r="1444" spans="1:27" x14ac:dyDescent="0.25">
      <c r="A1444" s="102" t="s">
        <v>3246</v>
      </c>
      <c r="B1444" s="87" t="s">
        <v>3247</v>
      </c>
      <c r="C1444" s="88" t="s">
        <v>226</v>
      </c>
      <c r="D1444" s="89" t="s">
        <v>262</v>
      </c>
      <c r="E1444" s="90">
        <f t="shared" si="281"/>
        <v>9595</v>
      </c>
      <c r="F1444" s="90">
        <f t="shared" si="282"/>
        <v>8062.7371573006449</v>
      </c>
      <c r="G1444" s="91">
        <v>0.19</v>
      </c>
      <c r="H1444" s="91" t="s">
        <v>228</v>
      </c>
      <c r="I1444" s="91"/>
      <c r="J1444" s="91" t="s">
        <v>228</v>
      </c>
      <c r="K1444" s="91"/>
      <c r="L1444" s="92" t="s">
        <v>2860</v>
      </c>
      <c r="M1444" s="91" t="str">
        <f t="shared" si="283"/>
        <v>VER ARCHIVO ANEXO</v>
      </c>
      <c r="N1444" s="93">
        <v>41608</v>
      </c>
      <c r="O1444" s="109"/>
      <c r="P1444" s="109"/>
      <c r="Q1444" s="94">
        <v>1295</v>
      </c>
      <c r="R1444" s="95">
        <f t="shared" si="274"/>
        <v>8062.7371573006449</v>
      </c>
      <c r="S1444" s="109">
        <v>5276.2939999999999</v>
      </c>
      <c r="T1444" s="94">
        <f t="shared" si="284"/>
        <v>5633.4991038000007</v>
      </c>
      <c r="U1444" s="94">
        <f t="shared" si="279"/>
        <v>5957.4253022685016</v>
      </c>
      <c r="V1444" s="94">
        <f t="shared" si="280"/>
        <v>6201.0839971312826</v>
      </c>
      <c r="W1444" s="97">
        <f t="shared" si="277"/>
        <v>6398.2784682400579</v>
      </c>
      <c r="X1444" s="97">
        <f t="shared" si="278"/>
        <v>6641.4130500331803</v>
      </c>
      <c r="Y1444" s="97">
        <f t="shared" si="273"/>
        <v>6748.339800138715</v>
      </c>
      <c r="Z1444" s="97">
        <f t="shared" si="275"/>
        <v>7127.5964969065108</v>
      </c>
      <c r="AA1444" s="97">
        <f t="shared" si="276"/>
        <v>8062.7371573006449</v>
      </c>
    </row>
    <row r="1445" spans="1:27" x14ac:dyDescent="0.25">
      <c r="A1445" s="102" t="s">
        <v>3248</v>
      </c>
      <c r="B1445" s="87" t="s">
        <v>3249</v>
      </c>
      <c r="C1445" s="88" t="s">
        <v>226</v>
      </c>
      <c r="D1445" s="89" t="s">
        <v>262</v>
      </c>
      <c r="E1445" s="90">
        <f t="shared" si="281"/>
        <v>12622</v>
      </c>
      <c r="F1445" s="90">
        <f t="shared" si="282"/>
        <v>10606.697054083519</v>
      </c>
      <c r="G1445" s="91">
        <v>0.19</v>
      </c>
      <c r="H1445" s="91" t="s">
        <v>228</v>
      </c>
      <c r="I1445" s="91"/>
      <c r="J1445" s="91" t="s">
        <v>228</v>
      </c>
      <c r="K1445" s="91"/>
      <c r="L1445" s="92" t="s">
        <v>2860</v>
      </c>
      <c r="M1445" s="91" t="str">
        <f t="shared" si="283"/>
        <v>VER ARCHIVO ANEXO</v>
      </c>
      <c r="N1445" s="93">
        <v>41608</v>
      </c>
      <c r="O1445" s="109"/>
      <c r="P1445" s="109"/>
      <c r="Q1445" s="94">
        <v>1296</v>
      </c>
      <c r="R1445" s="95">
        <f t="shared" si="274"/>
        <v>10606.697054083519</v>
      </c>
      <c r="S1445" s="109">
        <v>6941.0735999999997</v>
      </c>
      <c r="T1445" s="94">
        <f t="shared" si="284"/>
        <v>7410.98428272</v>
      </c>
      <c r="U1445" s="94">
        <f t="shared" si="279"/>
        <v>7837.1158789764004</v>
      </c>
      <c r="V1445" s="94">
        <f t="shared" si="280"/>
        <v>8157.6539184265348</v>
      </c>
      <c r="W1445" s="97">
        <f t="shared" si="277"/>
        <v>8417.0673130324994</v>
      </c>
      <c r="X1445" s="97">
        <f t="shared" si="278"/>
        <v>8736.9158709277344</v>
      </c>
      <c r="Y1445" s="97">
        <f t="shared" si="273"/>
        <v>8877.5802164496708</v>
      </c>
      <c r="Z1445" s="97">
        <f t="shared" si="275"/>
        <v>9376.500224614143</v>
      </c>
      <c r="AA1445" s="97">
        <f t="shared" si="276"/>
        <v>10606.697054083519</v>
      </c>
    </row>
    <row r="1446" spans="1:27" x14ac:dyDescent="0.25">
      <c r="A1446" s="102" t="s">
        <v>3250</v>
      </c>
      <c r="B1446" s="87" t="s">
        <v>3251</v>
      </c>
      <c r="C1446" s="88" t="s">
        <v>226</v>
      </c>
      <c r="D1446" s="89" t="s">
        <v>262</v>
      </c>
      <c r="E1446" s="90">
        <f t="shared" si="281"/>
        <v>25153</v>
      </c>
      <c r="F1446" s="90">
        <f t="shared" si="282"/>
        <v>21137.360437528449</v>
      </c>
      <c r="G1446" s="91">
        <v>0.19</v>
      </c>
      <c r="H1446" s="91" t="s">
        <v>228</v>
      </c>
      <c r="I1446" s="91"/>
      <c r="J1446" s="91" t="s">
        <v>228</v>
      </c>
      <c r="K1446" s="91"/>
      <c r="L1446" s="92" t="s">
        <v>2860</v>
      </c>
      <c r="M1446" s="91" t="str">
        <f t="shared" si="283"/>
        <v>VER ARCHIVO ANEXO</v>
      </c>
      <c r="N1446" s="93">
        <v>41608</v>
      </c>
      <c r="O1446" s="109"/>
      <c r="P1446" s="109"/>
      <c r="Q1446" s="94">
        <v>1297</v>
      </c>
      <c r="R1446" s="95">
        <f t="shared" si="274"/>
        <v>21137.360437528449</v>
      </c>
      <c r="S1446" s="109">
        <v>13832.3904</v>
      </c>
      <c r="T1446" s="94">
        <f t="shared" si="284"/>
        <v>14768.843230080001</v>
      </c>
      <c r="U1446" s="94">
        <f t="shared" si="279"/>
        <v>15618.051715809603</v>
      </c>
      <c r="V1446" s="94">
        <f t="shared" si="280"/>
        <v>16256.830030986215</v>
      </c>
      <c r="W1446" s="97">
        <f t="shared" si="277"/>
        <v>16773.797225971579</v>
      </c>
      <c r="X1446" s="97">
        <f t="shared" si="278"/>
        <v>17411.201520558501</v>
      </c>
      <c r="Y1446" s="97">
        <f t="shared" si="273"/>
        <v>17691.521865039493</v>
      </c>
      <c r="Z1446" s="97">
        <f t="shared" si="275"/>
        <v>18685.785393854712</v>
      </c>
      <c r="AA1446" s="97">
        <f t="shared" si="276"/>
        <v>21137.360437528449</v>
      </c>
    </row>
    <row r="1447" spans="1:27" x14ac:dyDescent="0.25">
      <c r="A1447" s="102" t="s">
        <v>3252</v>
      </c>
      <c r="B1447" s="87" t="s">
        <v>3253</v>
      </c>
      <c r="C1447" s="88" t="s">
        <v>226</v>
      </c>
      <c r="D1447" s="89" t="s">
        <v>262</v>
      </c>
      <c r="E1447" s="90">
        <f t="shared" si="281"/>
        <v>25176</v>
      </c>
      <c r="F1447" s="90">
        <f t="shared" si="282"/>
        <v>21156.368855188095</v>
      </c>
      <c r="G1447" s="91">
        <v>0.19</v>
      </c>
      <c r="H1447" s="91" t="s">
        <v>228</v>
      </c>
      <c r="I1447" s="91"/>
      <c r="J1447" s="91" t="s">
        <v>228</v>
      </c>
      <c r="K1447" s="91"/>
      <c r="L1447" s="92" t="s">
        <v>2860</v>
      </c>
      <c r="M1447" s="91" t="str">
        <f t="shared" si="283"/>
        <v>VER ARCHIVO ANEXO</v>
      </c>
      <c r="N1447" s="93">
        <v>41608</v>
      </c>
      <c r="O1447" s="109"/>
      <c r="P1447" s="109"/>
      <c r="Q1447" s="94">
        <v>1298</v>
      </c>
      <c r="R1447" s="95">
        <f t="shared" si="274"/>
        <v>21156.368855188095</v>
      </c>
      <c r="S1447" s="109">
        <v>13844.829599999999</v>
      </c>
      <c r="T1447" s="94">
        <f t="shared" si="284"/>
        <v>14782.124563920001</v>
      </c>
      <c r="U1447" s="94">
        <f t="shared" si="279"/>
        <v>15632.096726345402</v>
      </c>
      <c r="V1447" s="94">
        <f t="shared" si="280"/>
        <v>16271.449482452928</v>
      </c>
      <c r="W1447" s="97">
        <f t="shared" si="277"/>
        <v>16788.881575994932</v>
      </c>
      <c r="X1447" s="97">
        <f t="shared" si="278"/>
        <v>17426.859075882741</v>
      </c>
      <c r="Y1447" s="97">
        <f t="shared" si="273"/>
        <v>17707.431507004454</v>
      </c>
      <c r="Z1447" s="97">
        <f t="shared" si="275"/>
        <v>18702.589157698105</v>
      </c>
      <c r="AA1447" s="97">
        <f t="shared" si="276"/>
        <v>21156.368855188095</v>
      </c>
    </row>
    <row r="1448" spans="1:27" x14ac:dyDescent="0.25">
      <c r="A1448" s="102" t="s">
        <v>3254</v>
      </c>
      <c r="B1448" s="87" t="s">
        <v>3255</v>
      </c>
      <c r="C1448" s="88" t="s">
        <v>226</v>
      </c>
      <c r="D1448" s="89" t="s">
        <v>262</v>
      </c>
      <c r="E1448" s="90">
        <f t="shared" si="281"/>
        <v>29693</v>
      </c>
      <c r="F1448" s="90">
        <f t="shared" si="282"/>
        <v>24951.716247897795</v>
      </c>
      <c r="G1448" s="91">
        <v>0.19</v>
      </c>
      <c r="H1448" s="91" t="s">
        <v>228</v>
      </c>
      <c r="I1448" s="91"/>
      <c r="J1448" s="91" t="s">
        <v>228</v>
      </c>
      <c r="K1448" s="91"/>
      <c r="L1448" s="92" t="s">
        <v>2860</v>
      </c>
      <c r="M1448" s="91" t="str">
        <f t="shared" si="283"/>
        <v>VER ARCHIVO ANEXO</v>
      </c>
      <c r="N1448" s="93">
        <v>41608</v>
      </c>
      <c r="O1448" s="109"/>
      <c r="P1448" s="109"/>
      <c r="Q1448" s="94">
        <v>1299</v>
      </c>
      <c r="R1448" s="95">
        <f t="shared" si="274"/>
        <v>24951.716247897795</v>
      </c>
      <c r="S1448" s="109">
        <v>16328.5232</v>
      </c>
      <c r="T1448" s="94">
        <f t="shared" si="284"/>
        <v>17433.964220640002</v>
      </c>
      <c r="U1448" s="94">
        <f t="shared" si="279"/>
        <v>18436.417163326805</v>
      </c>
      <c r="V1448" s="94">
        <f t="shared" si="280"/>
        <v>19190.466625306872</v>
      </c>
      <c r="W1448" s="97">
        <f t="shared" si="277"/>
        <v>19800.723463991631</v>
      </c>
      <c r="X1448" s="97">
        <f t="shared" si="278"/>
        <v>20553.150955623314</v>
      </c>
      <c r="Y1448" s="97">
        <f t="shared" si="273"/>
        <v>20884.056686008851</v>
      </c>
      <c r="Z1448" s="97">
        <f t="shared" si="275"/>
        <v>22057.740671762549</v>
      </c>
      <c r="AA1448" s="97">
        <f t="shared" si="276"/>
        <v>24951.716247897795</v>
      </c>
    </row>
    <row r="1449" spans="1:27" x14ac:dyDescent="0.25">
      <c r="A1449" s="102" t="s">
        <v>3256</v>
      </c>
      <c r="B1449" s="87" t="s">
        <v>3257</v>
      </c>
      <c r="C1449" s="88" t="s">
        <v>226</v>
      </c>
      <c r="D1449" s="89" t="s">
        <v>262</v>
      </c>
      <c r="E1449" s="90">
        <f t="shared" si="281"/>
        <v>29693</v>
      </c>
      <c r="F1449" s="90">
        <f t="shared" si="282"/>
        <v>24951.716247897795</v>
      </c>
      <c r="G1449" s="91">
        <v>0.19</v>
      </c>
      <c r="H1449" s="91" t="s">
        <v>228</v>
      </c>
      <c r="I1449" s="91"/>
      <c r="J1449" s="91" t="s">
        <v>228</v>
      </c>
      <c r="K1449" s="91"/>
      <c r="L1449" s="92" t="s">
        <v>2860</v>
      </c>
      <c r="M1449" s="91" t="str">
        <f t="shared" si="283"/>
        <v>VER ARCHIVO ANEXO</v>
      </c>
      <c r="N1449" s="93">
        <v>41608</v>
      </c>
      <c r="O1449" s="109"/>
      <c r="P1449" s="109"/>
      <c r="Q1449" s="94">
        <v>1300</v>
      </c>
      <c r="R1449" s="95">
        <f t="shared" si="274"/>
        <v>24951.716247897795</v>
      </c>
      <c r="S1449" s="109">
        <v>16328.5232</v>
      </c>
      <c r="T1449" s="94">
        <f t="shared" si="284"/>
        <v>17433.964220640002</v>
      </c>
      <c r="U1449" s="94">
        <f t="shared" si="279"/>
        <v>18436.417163326805</v>
      </c>
      <c r="V1449" s="94">
        <f t="shared" si="280"/>
        <v>19190.466625306872</v>
      </c>
      <c r="W1449" s="97">
        <f t="shared" si="277"/>
        <v>19800.723463991631</v>
      </c>
      <c r="X1449" s="97">
        <f t="shared" si="278"/>
        <v>20553.150955623314</v>
      </c>
      <c r="Y1449" s="97">
        <f t="shared" si="273"/>
        <v>20884.056686008851</v>
      </c>
      <c r="Z1449" s="97">
        <f t="shared" si="275"/>
        <v>22057.740671762549</v>
      </c>
      <c r="AA1449" s="97">
        <f t="shared" si="276"/>
        <v>24951.716247897795</v>
      </c>
    </row>
    <row r="1450" spans="1:27" x14ac:dyDescent="0.25">
      <c r="A1450" s="102" t="s">
        <v>3258</v>
      </c>
      <c r="B1450" s="87" t="s">
        <v>3259</v>
      </c>
      <c r="C1450" s="88" t="s">
        <v>226</v>
      </c>
      <c r="D1450" s="89" t="s">
        <v>262</v>
      </c>
      <c r="E1450" s="90">
        <f t="shared" si="281"/>
        <v>29693</v>
      </c>
      <c r="F1450" s="90">
        <f t="shared" si="282"/>
        <v>24951.716247897795</v>
      </c>
      <c r="G1450" s="91">
        <v>0.19</v>
      </c>
      <c r="H1450" s="91" t="s">
        <v>228</v>
      </c>
      <c r="I1450" s="91"/>
      <c r="J1450" s="91" t="s">
        <v>228</v>
      </c>
      <c r="K1450" s="91"/>
      <c r="L1450" s="92" t="s">
        <v>2860</v>
      </c>
      <c r="M1450" s="91" t="str">
        <f t="shared" si="283"/>
        <v>VER ARCHIVO ANEXO</v>
      </c>
      <c r="N1450" s="93">
        <v>41608</v>
      </c>
      <c r="O1450" s="109"/>
      <c r="P1450" s="109"/>
      <c r="Q1450" s="94">
        <v>1301</v>
      </c>
      <c r="R1450" s="95">
        <f t="shared" si="274"/>
        <v>24951.716247897795</v>
      </c>
      <c r="S1450" s="109">
        <v>16328.5232</v>
      </c>
      <c r="T1450" s="94">
        <f t="shared" si="284"/>
        <v>17433.964220640002</v>
      </c>
      <c r="U1450" s="94">
        <f t="shared" si="279"/>
        <v>18436.417163326805</v>
      </c>
      <c r="V1450" s="94">
        <f t="shared" si="280"/>
        <v>19190.466625306872</v>
      </c>
      <c r="W1450" s="97">
        <f t="shared" si="277"/>
        <v>19800.723463991631</v>
      </c>
      <c r="X1450" s="97">
        <f t="shared" si="278"/>
        <v>20553.150955623314</v>
      </c>
      <c r="Y1450" s="97">
        <f t="shared" si="273"/>
        <v>20884.056686008851</v>
      </c>
      <c r="Z1450" s="97">
        <f t="shared" si="275"/>
        <v>22057.740671762549</v>
      </c>
      <c r="AA1450" s="97">
        <f t="shared" si="276"/>
        <v>24951.716247897795</v>
      </c>
    </row>
    <row r="1451" spans="1:27" x14ac:dyDescent="0.25">
      <c r="A1451" s="102" t="s">
        <v>3260</v>
      </c>
      <c r="B1451" s="87" t="s">
        <v>3261</v>
      </c>
      <c r="C1451" s="88" t="s">
        <v>226</v>
      </c>
      <c r="D1451" s="89" t="s">
        <v>262</v>
      </c>
      <c r="E1451" s="90">
        <f t="shared" si="281"/>
        <v>64556</v>
      </c>
      <c r="F1451" s="90">
        <f t="shared" si="282"/>
        <v>54248.439965830083</v>
      </c>
      <c r="G1451" s="91">
        <v>0.19</v>
      </c>
      <c r="H1451" s="91" t="s">
        <v>228</v>
      </c>
      <c r="I1451" s="91"/>
      <c r="J1451" s="91" t="s">
        <v>228</v>
      </c>
      <c r="K1451" s="91"/>
      <c r="L1451" s="92" t="s">
        <v>2860</v>
      </c>
      <c r="M1451" s="91" t="str">
        <f t="shared" si="283"/>
        <v>VER ARCHIVO ANEXO</v>
      </c>
      <c r="N1451" s="93">
        <v>41608</v>
      </c>
      <c r="O1451" s="109"/>
      <c r="P1451" s="109"/>
      <c r="Q1451" s="94">
        <v>1302</v>
      </c>
      <c r="R1451" s="95">
        <f t="shared" si="274"/>
        <v>54248.439965830083</v>
      </c>
      <c r="S1451" s="109">
        <v>35500.440199999997</v>
      </c>
      <c r="T1451" s="94">
        <f t="shared" si="284"/>
        <v>37903.82000154</v>
      </c>
      <c r="U1451" s="94">
        <f t="shared" si="279"/>
        <v>40083.289651628555</v>
      </c>
      <c r="V1451" s="94">
        <f t="shared" si="280"/>
        <v>41722.696198380159</v>
      </c>
      <c r="W1451" s="97">
        <f t="shared" si="277"/>
        <v>43049.477937488649</v>
      </c>
      <c r="X1451" s="97">
        <f t="shared" si="278"/>
        <v>44685.358099113218</v>
      </c>
      <c r="Y1451" s="97">
        <f t="shared" si="273"/>
        <v>45404.792364508939</v>
      </c>
      <c r="Z1451" s="97">
        <f t="shared" si="275"/>
        <v>47956.541695394342</v>
      </c>
      <c r="AA1451" s="97">
        <f t="shared" si="276"/>
        <v>54248.439965830083</v>
      </c>
    </row>
    <row r="1452" spans="1:27" x14ac:dyDescent="0.25">
      <c r="A1452" s="102" t="s">
        <v>3262</v>
      </c>
      <c r="B1452" s="87" t="s">
        <v>3263</v>
      </c>
      <c r="C1452" s="88" t="s">
        <v>226</v>
      </c>
      <c r="D1452" s="89" t="s">
        <v>262</v>
      </c>
      <c r="E1452" s="90">
        <f t="shared" si="281"/>
        <v>64590</v>
      </c>
      <c r="F1452" s="90">
        <f t="shared" si="282"/>
        <v>54276.952592319576</v>
      </c>
      <c r="G1452" s="91">
        <v>0.19</v>
      </c>
      <c r="H1452" s="91" t="s">
        <v>228</v>
      </c>
      <c r="I1452" s="91"/>
      <c r="J1452" s="91" t="s">
        <v>228</v>
      </c>
      <c r="K1452" s="91"/>
      <c r="L1452" s="92" t="s">
        <v>2860</v>
      </c>
      <c r="M1452" s="91" t="str">
        <f t="shared" si="283"/>
        <v>VER ARCHIVO ANEXO</v>
      </c>
      <c r="N1452" s="93">
        <v>41608</v>
      </c>
      <c r="O1452" s="109"/>
      <c r="P1452" s="109"/>
      <c r="Q1452" s="94">
        <v>1303</v>
      </c>
      <c r="R1452" s="95">
        <f t="shared" si="274"/>
        <v>54276.952592319576</v>
      </c>
      <c r="S1452" s="109">
        <v>35519.099000000002</v>
      </c>
      <c r="T1452" s="94">
        <f t="shared" si="284"/>
        <v>37923.742002300009</v>
      </c>
      <c r="U1452" s="94">
        <f t="shared" si="279"/>
        <v>40104.357167432267</v>
      </c>
      <c r="V1452" s="94">
        <f t="shared" si="280"/>
        <v>41744.625375580246</v>
      </c>
      <c r="W1452" s="97">
        <f t="shared" si="277"/>
        <v>43072.104462523697</v>
      </c>
      <c r="X1452" s="97">
        <f t="shared" si="278"/>
        <v>44708.844432099599</v>
      </c>
      <c r="Y1452" s="97">
        <f t="shared" si="273"/>
        <v>45428.656827456405</v>
      </c>
      <c r="Z1452" s="97">
        <f t="shared" si="275"/>
        <v>47981.747341159455</v>
      </c>
      <c r="AA1452" s="97">
        <f t="shared" si="276"/>
        <v>54276.952592319576</v>
      </c>
    </row>
    <row r="1453" spans="1:27" x14ac:dyDescent="0.25">
      <c r="A1453" s="102" t="s">
        <v>3264</v>
      </c>
      <c r="B1453" s="87" t="s">
        <v>3265</v>
      </c>
      <c r="C1453" s="88" t="s">
        <v>226</v>
      </c>
      <c r="D1453" s="89" t="s">
        <v>262</v>
      </c>
      <c r="E1453" s="90">
        <f t="shared" si="281"/>
        <v>67472</v>
      </c>
      <c r="F1453" s="90">
        <f t="shared" si="282"/>
        <v>56698.9418091197</v>
      </c>
      <c r="G1453" s="91">
        <v>0.19</v>
      </c>
      <c r="H1453" s="91" t="s">
        <v>228</v>
      </c>
      <c r="I1453" s="91"/>
      <c r="J1453" s="91" t="s">
        <v>228</v>
      </c>
      <c r="K1453" s="91"/>
      <c r="L1453" s="92" t="s">
        <v>2860</v>
      </c>
      <c r="M1453" s="91" t="str">
        <f t="shared" si="283"/>
        <v>VER ARCHIVO ANEXO</v>
      </c>
      <c r="N1453" s="93">
        <v>41608</v>
      </c>
      <c r="O1453" s="109"/>
      <c r="P1453" s="109"/>
      <c r="Q1453" s="94">
        <v>1304</v>
      </c>
      <c r="R1453" s="95">
        <f t="shared" si="274"/>
        <v>56698.9418091197</v>
      </c>
      <c r="S1453" s="109">
        <v>37104.060400000002</v>
      </c>
      <c r="T1453" s="94">
        <f t="shared" si="284"/>
        <v>39616.005289080007</v>
      </c>
      <c r="U1453" s="94">
        <f t="shared" si="279"/>
        <v>41893.925593202111</v>
      </c>
      <c r="V1453" s="94">
        <f t="shared" si="280"/>
        <v>43607.387149964074</v>
      </c>
      <c r="W1453" s="97">
        <f t="shared" si="277"/>
        <v>44994.102061332931</v>
      </c>
      <c r="X1453" s="97">
        <f t="shared" si="278"/>
        <v>46703.877939663587</v>
      </c>
      <c r="Y1453" s="97">
        <f t="shared" si="273"/>
        <v>47455.810374492168</v>
      </c>
      <c r="Z1453" s="97">
        <f t="shared" si="275"/>
        <v>50122.82691753863</v>
      </c>
      <c r="AA1453" s="97">
        <f t="shared" si="276"/>
        <v>56698.9418091197</v>
      </c>
    </row>
    <row r="1454" spans="1:27" x14ac:dyDescent="0.25">
      <c r="A1454" s="102" t="s">
        <v>3266</v>
      </c>
      <c r="B1454" s="87" t="s">
        <v>3267</v>
      </c>
      <c r="C1454" s="88" t="s">
        <v>226</v>
      </c>
      <c r="D1454" s="89" t="s">
        <v>262</v>
      </c>
      <c r="E1454" s="90">
        <f t="shared" si="281"/>
        <v>67472</v>
      </c>
      <c r="F1454" s="90">
        <f t="shared" si="282"/>
        <v>56698.9418091197</v>
      </c>
      <c r="G1454" s="91">
        <v>0.19</v>
      </c>
      <c r="H1454" s="91" t="s">
        <v>228</v>
      </c>
      <c r="I1454" s="91"/>
      <c r="J1454" s="91" t="s">
        <v>228</v>
      </c>
      <c r="K1454" s="91"/>
      <c r="L1454" s="92" t="s">
        <v>2860</v>
      </c>
      <c r="M1454" s="91" t="str">
        <f t="shared" si="283"/>
        <v>VER ARCHIVO ANEXO</v>
      </c>
      <c r="N1454" s="93">
        <v>41608</v>
      </c>
      <c r="O1454" s="109"/>
      <c r="P1454" s="109"/>
      <c r="Q1454" s="94">
        <v>1305</v>
      </c>
      <c r="R1454" s="95">
        <f t="shared" si="274"/>
        <v>56698.9418091197</v>
      </c>
      <c r="S1454" s="109">
        <v>37104.060400000002</v>
      </c>
      <c r="T1454" s="94">
        <f t="shared" si="284"/>
        <v>39616.005289080007</v>
      </c>
      <c r="U1454" s="94">
        <f t="shared" si="279"/>
        <v>41893.925593202111</v>
      </c>
      <c r="V1454" s="94">
        <f t="shared" si="280"/>
        <v>43607.387149964074</v>
      </c>
      <c r="W1454" s="97">
        <f t="shared" si="277"/>
        <v>44994.102061332931</v>
      </c>
      <c r="X1454" s="97">
        <f t="shared" si="278"/>
        <v>46703.877939663587</v>
      </c>
      <c r="Y1454" s="97">
        <f t="shared" si="273"/>
        <v>47455.810374492168</v>
      </c>
      <c r="Z1454" s="97">
        <f t="shared" si="275"/>
        <v>50122.82691753863</v>
      </c>
      <c r="AA1454" s="97">
        <f t="shared" si="276"/>
        <v>56698.9418091197</v>
      </c>
    </row>
    <row r="1455" spans="1:27" x14ac:dyDescent="0.25">
      <c r="A1455" s="102" t="s">
        <v>3268</v>
      </c>
      <c r="B1455" s="87" t="s">
        <v>3269</v>
      </c>
      <c r="C1455" s="88" t="s">
        <v>226</v>
      </c>
      <c r="D1455" s="89" t="s">
        <v>262</v>
      </c>
      <c r="E1455" s="90">
        <f t="shared" si="281"/>
        <v>77532</v>
      </c>
      <c r="F1455" s="90">
        <f t="shared" si="282"/>
        <v>65152.93556324808</v>
      </c>
      <c r="G1455" s="91">
        <v>0.19</v>
      </c>
      <c r="H1455" s="91" t="s">
        <v>228</v>
      </c>
      <c r="I1455" s="91"/>
      <c r="J1455" s="91" t="s">
        <v>228</v>
      </c>
      <c r="K1455" s="91"/>
      <c r="L1455" s="92" t="s">
        <v>2860</v>
      </c>
      <c r="M1455" s="91" t="str">
        <f t="shared" si="283"/>
        <v>VER ARCHIVO ANEXO</v>
      </c>
      <c r="N1455" s="93">
        <v>41608</v>
      </c>
      <c r="O1455" s="109"/>
      <c r="P1455" s="109"/>
      <c r="Q1455" s="94">
        <v>1306</v>
      </c>
      <c r="R1455" s="95">
        <f t="shared" si="274"/>
        <v>65152.93556324808</v>
      </c>
      <c r="S1455" s="109">
        <v>42636.3946</v>
      </c>
      <c r="T1455" s="94">
        <f t="shared" si="284"/>
        <v>45522.878514420001</v>
      </c>
      <c r="U1455" s="94">
        <f t="shared" si="279"/>
        <v>48140.444028999154</v>
      </c>
      <c r="V1455" s="94">
        <f t="shared" si="280"/>
        <v>50109.388189785219</v>
      </c>
      <c r="W1455" s="97">
        <f t="shared" si="277"/>
        <v>51702.866734220392</v>
      </c>
      <c r="X1455" s="97">
        <f t="shared" si="278"/>
        <v>53667.575670120765</v>
      </c>
      <c r="Y1455" s="97">
        <f t="shared" si="273"/>
        <v>54531.623638409706</v>
      </c>
      <c r="Z1455" s="97">
        <f t="shared" si="275"/>
        <v>57596.300886888333</v>
      </c>
      <c r="AA1455" s="97">
        <f t="shared" si="276"/>
        <v>65152.93556324808</v>
      </c>
    </row>
    <row r="1456" spans="1:27" x14ac:dyDescent="0.25">
      <c r="A1456" s="102" t="s">
        <v>3270</v>
      </c>
      <c r="B1456" s="87" t="s">
        <v>3271</v>
      </c>
      <c r="C1456" s="88" t="s">
        <v>226</v>
      </c>
      <c r="D1456" s="89" t="s">
        <v>262</v>
      </c>
      <c r="E1456" s="90">
        <f t="shared" si="281"/>
        <v>344233</v>
      </c>
      <c r="F1456" s="90">
        <f t="shared" si="282"/>
        <v>289271.68397932639</v>
      </c>
      <c r="G1456" s="91">
        <v>0.19</v>
      </c>
      <c r="H1456" s="91" t="s">
        <v>228</v>
      </c>
      <c r="I1456" s="91"/>
      <c r="J1456" s="91" t="s">
        <v>228</v>
      </c>
      <c r="K1456" s="91"/>
      <c r="L1456" s="92" t="s">
        <v>2860</v>
      </c>
      <c r="M1456" s="91" t="str">
        <f t="shared" si="283"/>
        <v>VER ARCHIVO ANEXO</v>
      </c>
      <c r="N1456" s="93">
        <v>41608</v>
      </c>
      <c r="O1456" s="109"/>
      <c r="P1456" s="109"/>
      <c r="Q1456" s="94">
        <v>1307</v>
      </c>
      <c r="R1456" s="95">
        <f t="shared" si="274"/>
        <v>289271.68397932639</v>
      </c>
      <c r="S1456" s="109">
        <v>189300.78219999999</v>
      </c>
      <c r="T1456" s="94">
        <f t="shared" si="284"/>
        <v>202116.44515494001</v>
      </c>
      <c r="U1456" s="94">
        <f t="shared" si="279"/>
        <v>213738.14075134907</v>
      </c>
      <c r="V1456" s="94">
        <f t="shared" si="280"/>
        <v>222480.03070807923</v>
      </c>
      <c r="W1456" s="97">
        <f t="shared" si="277"/>
        <v>229554.89568459615</v>
      </c>
      <c r="X1456" s="97">
        <f t="shared" si="278"/>
        <v>238277.98172061081</v>
      </c>
      <c r="Y1456" s="97">
        <f t="shared" si="273"/>
        <v>242114.25722631265</v>
      </c>
      <c r="Z1456" s="97">
        <f t="shared" si="275"/>
        <v>255721.07848243142</v>
      </c>
      <c r="AA1456" s="97">
        <f t="shared" si="276"/>
        <v>289271.68397932639</v>
      </c>
    </row>
    <row r="1457" spans="1:27" x14ac:dyDescent="0.25">
      <c r="A1457" s="102" t="s">
        <v>3272</v>
      </c>
      <c r="B1457" s="87" t="s">
        <v>3273</v>
      </c>
      <c r="C1457" s="88" t="s">
        <v>226</v>
      </c>
      <c r="D1457" s="89" t="s">
        <v>262</v>
      </c>
      <c r="E1457" s="90">
        <f t="shared" si="281"/>
        <v>429335</v>
      </c>
      <c r="F1457" s="90">
        <f t="shared" si="282"/>
        <v>360786.10331933672</v>
      </c>
      <c r="G1457" s="91">
        <v>0.19</v>
      </c>
      <c r="H1457" s="91" t="s">
        <v>228</v>
      </c>
      <c r="I1457" s="91"/>
      <c r="J1457" s="91" t="s">
        <v>228</v>
      </c>
      <c r="K1457" s="91"/>
      <c r="L1457" s="92" t="s">
        <v>2860</v>
      </c>
      <c r="M1457" s="91" t="str">
        <f t="shared" si="283"/>
        <v>VER ARCHIVO ANEXO</v>
      </c>
      <c r="N1457" s="93">
        <v>41608</v>
      </c>
      <c r="O1457" s="109"/>
      <c r="P1457" s="109"/>
      <c r="Q1457" s="94">
        <v>1308</v>
      </c>
      <c r="R1457" s="95">
        <f t="shared" si="274"/>
        <v>360786.10331933672</v>
      </c>
      <c r="S1457" s="109">
        <v>236100.1624</v>
      </c>
      <c r="T1457" s="94">
        <f t="shared" si="284"/>
        <v>252084.14339448002</v>
      </c>
      <c r="U1457" s="94">
        <f t="shared" si="279"/>
        <v>266578.98163966264</v>
      </c>
      <c r="V1457" s="94">
        <f t="shared" si="280"/>
        <v>277482.0619887248</v>
      </c>
      <c r="W1457" s="97">
        <f t="shared" si="277"/>
        <v>286305.99155996629</v>
      </c>
      <c r="X1457" s="97">
        <f t="shared" si="278"/>
        <v>297185.61923924502</v>
      </c>
      <c r="Y1457" s="97">
        <f t="shared" si="273"/>
        <v>301970.30770899687</v>
      </c>
      <c r="Z1457" s="97">
        <f t="shared" si="275"/>
        <v>318941.0390022425</v>
      </c>
      <c r="AA1457" s="97">
        <f t="shared" si="276"/>
        <v>360786.10331933672</v>
      </c>
    </row>
    <row r="1458" spans="1:27" x14ac:dyDescent="0.25">
      <c r="A1458" s="102" t="s">
        <v>3274</v>
      </c>
      <c r="B1458" s="87" t="s">
        <v>3275</v>
      </c>
      <c r="C1458" s="88" t="s">
        <v>226</v>
      </c>
      <c r="D1458" s="89" t="s">
        <v>262</v>
      </c>
      <c r="E1458" s="90">
        <f t="shared" si="281"/>
        <v>516027</v>
      </c>
      <c r="F1458" s="90">
        <f t="shared" si="282"/>
        <v>433635.86399993725</v>
      </c>
      <c r="G1458" s="91">
        <v>0.19</v>
      </c>
      <c r="H1458" s="91" t="s">
        <v>228</v>
      </c>
      <c r="I1458" s="91"/>
      <c r="J1458" s="91" t="s">
        <v>228</v>
      </c>
      <c r="K1458" s="91"/>
      <c r="L1458" s="92" t="s">
        <v>2860</v>
      </c>
      <c r="M1458" s="91" t="str">
        <f t="shared" si="283"/>
        <v>VER ARCHIVO ANEXO</v>
      </c>
      <c r="N1458" s="93">
        <v>41608</v>
      </c>
      <c r="O1458" s="109"/>
      <c r="P1458" s="109"/>
      <c r="Q1458" s="94">
        <v>1309</v>
      </c>
      <c r="R1458" s="95">
        <f t="shared" si="274"/>
        <v>433635.86399993725</v>
      </c>
      <c r="S1458" s="109">
        <v>283773.39639999997</v>
      </c>
      <c r="T1458" s="94">
        <f t="shared" si="284"/>
        <v>302984.85533628002</v>
      </c>
      <c r="U1458" s="94">
        <f t="shared" si="279"/>
        <v>320406.48451811617</v>
      </c>
      <c r="V1458" s="94">
        <f t="shared" si="280"/>
        <v>333511.10973490711</v>
      </c>
      <c r="W1458" s="97">
        <f t="shared" si="277"/>
        <v>344116.76302447717</v>
      </c>
      <c r="X1458" s="97">
        <f t="shared" si="278"/>
        <v>357193.20001940732</v>
      </c>
      <c r="Y1458" s="97">
        <f t="shared" si="273"/>
        <v>362944.01053971978</v>
      </c>
      <c r="Z1458" s="97">
        <f t="shared" si="275"/>
        <v>383341.46393205202</v>
      </c>
      <c r="AA1458" s="97">
        <f t="shared" si="276"/>
        <v>433635.86399993725</v>
      </c>
    </row>
    <row r="1459" spans="1:27" x14ac:dyDescent="0.25">
      <c r="A1459" s="102" t="s">
        <v>3276</v>
      </c>
      <c r="B1459" s="87" t="s">
        <v>3277</v>
      </c>
      <c r="C1459" s="88" t="s">
        <v>226</v>
      </c>
      <c r="D1459" s="89" t="s">
        <v>262</v>
      </c>
      <c r="E1459" s="90">
        <f t="shared" si="281"/>
        <v>617246</v>
      </c>
      <c r="F1459" s="90">
        <f t="shared" si="282"/>
        <v>518693.78092244657</v>
      </c>
      <c r="G1459" s="91">
        <v>0.19</v>
      </c>
      <c r="H1459" s="91" t="s">
        <v>228</v>
      </c>
      <c r="I1459" s="91"/>
      <c r="J1459" s="91" t="s">
        <v>228</v>
      </c>
      <c r="K1459" s="91"/>
      <c r="L1459" s="92" t="s">
        <v>2860</v>
      </c>
      <c r="M1459" s="91" t="str">
        <f t="shared" si="283"/>
        <v>VER ARCHIVO ANEXO</v>
      </c>
      <c r="N1459" s="93">
        <v>41608</v>
      </c>
      <c r="O1459" s="109"/>
      <c r="P1459" s="109"/>
      <c r="Q1459" s="94">
        <v>1310</v>
      </c>
      <c r="R1459" s="95">
        <f t="shared" si="274"/>
        <v>518693.78092244657</v>
      </c>
      <c r="S1459" s="109">
        <v>339435.70659999998</v>
      </c>
      <c r="T1459" s="94">
        <f t="shared" si="284"/>
        <v>362415.50393682002</v>
      </c>
      <c r="U1459" s="94">
        <f t="shared" si="279"/>
        <v>383254.39541318722</v>
      </c>
      <c r="V1459" s="94">
        <f t="shared" si="280"/>
        <v>398929.50018558657</v>
      </c>
      <c r="W1459" s="97">
        <f t="shared" si="277"/>
        <v>411615.45829148823</v>
      </c>
      <c r="X1459" s="97">
        <f t="shared" si="278"/>
        <v>427256.84570656478</v>
      </c>
      <c r="Y1459" s="97">
        <f t="shared" si="273"/>
        <v>434135.68092244049</v>
      </c>
      <c r="Z1459" s="97">
        <f t="shared" si="275"/>
        <v>458534.10619028163</v>
      </c>
      <c r="AA1459" s="97">
        <f t="shared" si="276"/>
        <v>518693.78092244657</v>
      </c>
    </row>
    <row r="1460" spans="1:27" x14ac:dyDescent="0.25">
      <c r="A1460" s="102" t="s">
        <v>3278</v>
      </c>
      <c r="B1460" s="87" t="s">
        <v>3279</v>
      </c>
      <c r="C1460" s="88" t="s">
        <v>226</v>
      </c>
      <c r="D1460" s="89" t="s">
        <v>262</v>
      </c>
      <c r="E1460" s="90">
        <f t="shared" si="281"/>
        <v>176059</v>
      </c>
      <c r="F1460" s="90">
        <f t="shared" si="282"/>
        <v>147948.85078425935</v>
      </c>
      <c r="G1460" s="91">
        <v>0.19</v>
      </c>
      <c r="H1460" s="91" t="s">
        <v>228</v>
      </c>
      <c r="I1460" s="91"/>
      <c r="J1460" s="91" t="s">
        <v>228</v>
      </c>
      <c r="K1460" s="91"/>
      <c r="L1460" s="92" t="s">
        <v>2860</v>
      </c>
      <c r="M1460" s="91" t="str">
        <f t="shared" si="283"/>
        <v>VER ARCHIVO ANEXO</v>
      </c>
      <c r="N1460" s="93">
        <v>41608</v>
      </c>
      <c r="O1460" s="109"/>
      <c r="P1460" s="109"/>
      <c r="Q1460" s="94">
        <v>1311</v>
      </c>
      <c r="R1460" s="95">
        <f t="shared" si="274"/>
        <v>147948.85078425935</v>
      </c>
      <c r="S1460" s="109">
        <v>96818.44</v>
      </c>
      <c r="T1460" s="94">
        <f t="shared" si="284"/>
        <v>103373.04838800001</v>
      </c>
      <c r="U1460" s="94">
        <f t="shared" si="279"/>
        <v>109316.99867031001</v>
      </c>
      <c r="V1460" s="94">
        <f t="shared" si="280"/>
        <v>113788.06391592568</v>
      </c>
      <c r="W1460" s="97">
        <f t="shared" si="277"/>
        <v>117406.52434845212</v>
      </c>
      <c r="X1460" s="97">
        <f t="shared" si="278"/>
        <v>121867.9722736933</v>
      </c>
      <c r="Y1460" s="97">
        <f t="shared" si="273"/>
        <v>123830.04662729977</v>
      </c>
      <c r="Z1460" s="97">
        <f t="shared" si="275"/>
        <v>130789.29524775402</v>
      </c>
      <c r="AA1460" s="97">
        <f t="shared" si="276"/>
        <v>147948.85078425935</v>
      </c>
    </row>
    <row r="1461" spans="1:27" x14ac:dyDescent="0.25">
      <c r="A1461" s="102" t="s">
        <v>3280</v>
      </c>
      <c r="B1461" s="87" t="s">
        <v>3281</v>
      </c>
      <c r="C1461" s="88" t="s">
        <v>226</v>
      </c>
      <c r="D1461" s="89" t="s">
        <v>262</v>
      </c>
      <c r="E1461" s="90">
        <f t="shared" si="281"/>
        <v>173880</v>
      </c>
      <c r="F1461" s="90">
        <f t="shared" si="282"/>
        <v>146117.70654971327</v>
      </c>
      <c r="G1461" s="91">
        <v>0.19</v>
      </c>
      <c r="H1461" s="91" t="s">
        <v>228</v>
      </c>
      <c r="I1461" s="91"/>
      <c r="J1461" s="91" t="s">
        <v>228</v>
      </c>
      <c r="K1461" s="91"/>
      <c r="L1461" s="92" t="s">
        <v>2860</v>
      </c>
      <c r="M1461" s="91" t="str">
        <f t="shared" si="283"/>
        <v>VER ARCHIVO ANEXO</v>
      </c>
      <c r="N1461" s="93">
        <v>41608</v>
      </c>
      <c r="O1461" s="109"/>
      <c r="P1461" s="109"/>
      <c r="Q1461" s="94">
        <v>1312</v>
      </c>
      <c r="R1461" s="95">
        <f t="shared" si="274"/>
        <v>146117.70654971327</v>
      </c>
      <c r="S1461" s="109">
        <v>95620.130399999995</v>
      </c>
      <c r="T1461" s="94">
        <f t="shared" si="284"/>
        <v>102093.61322808001</v>
      </c>
      <c r="U1461" s="94">
        <f t="shared" si="279"/>
        <v>107963.99598869462</v>
      </c>
      <c r="V1461" s="94">
        <f t="shared" si="280"/>
        <v>112379.72342463222</v>
      </c>
      <c r="W1461" s="97">
        <f t="shared" si="277"/>
        <v>115953.39862953553</v>
      </c>
      <c r="X1461" s="97">
        <f t="shared" si="278"/>
        <v>120359.62777745788</v>
      </c>
      <c r="Y1461" s="97">
        <f t="shared" si="273"/>
        <v>122297.41778467495</v>
      </c>
      <c r="Z1461" s="97">
        <f t="shared" si="275"/>
        <v>129170.53266417369</v>
      </c>
      <c r="AA1461" s="97">
        <f t="shared" si="276"/>
        <v>146117.70654971327</v>
      </c>
    </row>
    <row r="1462" spans="1:27" x14ac:dyDescent="0.25">
      <c r="A1462" s="102" t="s">
        <v>3282</v>
      </c>
      <c r="B1462" s="87" t="s">
        <v>3283</v>
      </c>
      <c r="C1462" s="88" t="s">
        <v>226</v>
      </c>
      <c r="D1462" s="89" t="s">
        <v>262</v>
      </c>
      <c r="E1462" s="90">
        <f t="shared" si="281"/>
        <v>173880</v>
      </c>
      <c r="F1462" s="90">
        <f t="shared" si="282"/>
        <v>146117.70654971327</v>
      </c>
      <c r="G1462" s="91">
        <v>0.19</v>
      </c>
      <c r="H1462" s="91" t="s">
        <v>228</v>
      </c>
      <c r="I1462" s="91"/>
      <c r="J1462" s="91" t="s">
        <v>228</v>
      </c>
      <c r="K1462" s="91"/>
      <c r="L1462" s="92" t="s">
        <v>2860</v>
      </c>
      <c r="M1462" s="91" t="str">
        <f t="shared" si="283"/>
        <v>VER ARCHIVO ANEXO</v>
      </c>
      <c r="N1462" s="93">
        <v>41608</v>
      </c>
      <c r="O1462" s="109"/>
      <c r="P1462" s="109"/>
      <c r="Q1462" s="94">
        <v>1313</v>
      </c>
      <c r="R1462" s="95">
        <f t="shared" si="274"/>
        <v>146117.70654971327</v>
      </c>
      <c r="S1462" s="109">
        <v>95620.130399999995</v>
      </c>
      <c r="T1462" s="94">
        <f t="shared" si="284"/>
        <v>102093.61322808001</v>
      </c>
      <c r="U1462" s="94">
        <f t="shared" si="279"/>
        <v>107963.99598869462</v>
      </c>
      <c r="V1462" s="94">
        <f t="shared" si="280"/>
        <v>112379.72342463222</v>
      </c>
      <c r="W1462" s="97">
        <f t="shared" si="277"/>
        <v>115953.39862953553</v>
      </c>
      <c r="X1462" s="97">
        <f t="shared" si="278"/>
        <v>120359.62777745788</v>
      </c>
      <c r="Y1462" s="97">
        <f t="shared" si="273"/>
        <v>122297.41778467495</v>
      </c>
      <c r="Z1462" s="97">
        <f t="shared" si="275"/>
        <v>129170.53266417369</v>
      </c>
      <c r="AA1462" s="97">
        <f t="shared" si="276"/>
        <v>146117.70654971327</v>
      </c>
    </row>
    <row r="1463" spans="1:27" x14ac:dyDescent="0.25">
      <c r="A1463" s="102" t="s">
        <v>3284</v>
      </c>
      <c r="B1463" s="87" t="s">
        <v>3285</v>
      </c>
      <c r="C1463" s="88" t="s">
        <v>226</v>
      </c>
      <c r="D1463" s="89" t="s">
        <v>262</v>
      </c>
      <c r="E1463" s="90">
        <f t="shared" si="281"/>
        <v>173880</v>
      </c>
      <c r="F1463" s="90">
        <f t="shared" si="282"/>
        <v>146117.70654971327</v>
      </c>
      <c r="G1463" s="91">
        <v>0.19</v>
      </c>
      <c r="H1463" s="91" t="s">
        <v>228</v>
      </c>
      <c r="I1463" s="91"/>
      <c r="J1463" s="91" t="s">
        <v>228</v>
      </c>
      <c r="K1463" s="91"/>
      <c r="L1463" s="92" t="s">
        <v>2860</v>
      </c>
      <c r="M1463" s="91" t="str">
        <f t="shared" si="283"/>
        <v>VER ARCHIVO ANEXO</v>
      </c>
      <c r="N1463" s="93">
        <v>41608</v>
      </c>
      <c r="O1463" s="109"/>
      <c r="P1463" s="109"/>
      <c r="Q1463" s="94">
        <v>1314</v>
      </c>
      <c r="R1463" s="95">
        <f t="shared" si="274"/>
        <v>146117.70654971327</v>
      </c>
      <c r="S1463" s="109">
        <v>95620.130399999995</v>
      </c>
      <c r="T1463" s="94">
        <f t="shared" si="284"/>
        <v>102093.61322808001</v>
      </c>
      <c r="U1463" s="94">
        <f t="shared" si="279"/>
        <v>107963.99598869462</v>
      </c>
      <c r="V1463" s="94">
        <f t="shared" si="280"/>
        <v>112379.72342463222</v>
      </c>
      <c r="W1463" s="97">
        <f t="shared" si="277"/>
        <v>115953.39862953553</v>
      </c>
      <c r="X1463" s="97">
        <f t="shared" si="278"/>
        <v>120359.62777745788</v>
      </c>
      <c r="Y1463" s="97">
        <f t="shared" si="273"/>
        <v>122297.41778467495</v>
      </c>
      <c r="Z1463" s="97">
        <f t="shared" si="275"/>
        <v>129170.53266417369</v>
      </c>
      <c r="AA1463" s="97">
        <f t="shared" si="276"/>
        <v>146117.70654971327</v>
      </c>
    </row>
    <row r="1464" spans="1:27" x14ac:dyDescent="0.25">
      <c r="A1464" s="102" t="s">
        <v>3286</v>
      </c>
      <c r="B1464" s="87" t="s">
        <v>3287</v>
      </c>
      <c r="C1464" s="88" t="s">
        <v>226</v>
      </c>
      <c r="D1464" s="89" t="s">
        <v>262</v>
      </c>
      <c r="E1464" s="90">
        <f t="shared" si="281"/>
        <v>173880</v>
      </c>
      <c r="F1464" s="90">
        <f t="shared" si="282"/>
        <v>146117.70654971327</v>
      </c>
      <c r="G1464" s="91">
        <v>0.19</v>
      </c>
      <c r="H1464" s="91" t="s">
        <v>228</v>
      </c>
      <c r="I1464" s="91"/>
      <c r="J1464" s="91" t="s">
        <v>228</v>
      </c>
      <c r="K1464" s="91"/>
      <c r="L1464" s="92" t="s">
        <v>2860</v>
      </c>
      <c r="M1464" s="91" t="str">
        <f t="shared" si="283"/>
        <v>VER ARCHIVO ANEXO</v>
      </c>
      <c r="N1464" s="93">
        <v>41608</v>
      </c>
      <c r="O1464" s="109"/>
      <c r="P1464" s="109"/>
      <c r="Q1464" s="94">
        <v>1315</v>
      </c>
      <c r="R1464" s="95">
        <f t="shared" si="274"/>
        <v>146117.70654971327</v>
      </c>
      <c r="S1464" s="109">
        <v>95620.130399999995</v>
      </c>
      <c r="T1464" s="94">
        <f t="shared" si="284"/>
        <v>102093.61322808001</v>
      </c>
      <c r="U1464" s="94">
        <f t="shared" si="279"/>
        <v>107963.99598869462</v>
      </c>
      <c r="V1464" s="94">
        <f t="shared" si="280"/>
        <v>112379.72342463222</v>
      </c>
      <c r="W1464" s="97">
        <f t="shared" si="277"/>
        <v>115953.39862953553</v>
      </c>
      <c r="X1464" s="97">
        <f t="shared" si="278"/>
        <v>120359.62777745788</v>
      </c>
      <c r="Y1464" s="97">
        <f t="shared" si="273"/>
        <v>122297.41778467495</v>
      </c>
      <c r="Z1464" s="97">
        <f t="shared" si="275"/>
        <v>129170.53266417369</v>
      </c>
      <c r="AA1464" s="97">
        <f t="shared" si="276"/>
        <v>146117.70654971327</v>
      </c>
    </row>
    <row r="1465" spans="1:27" x14ac:dyDescent="0.25">
      <c r="A1465" s="102" t="s">
        <v>3288</v>
      </c>
      <c r="B1465" s="87" t="s">
        <v>3289</v>
      </c>
      <c r="C1465" s="88" t="s">
        <v>226</v>
      </c>
      <c r="D1465" s="89" t="s">
        <v>262</v>
      </c>
      <c r="E1465" s="90">
        <f t="shared" si="281"/>
        <v>528579</v>
      </c>
      <c r="F1465" s="90">
        <f t="shared" si="282"/>
        <v>444183.95176623674</v>
      </c>
      <c r="G1465" s="91">
        <v>0.19</v>
      </c>
      <c r="H1465" s="91" t="s">
        <v>228</v>
      </c>
      <c r="I1465" s="91"/>
      <c r="J1465" s="91" t="s">
        <v>228</v>
      </c>
      <c r="K1465" s="91"/>
      <c r="L1465" s="92" t="s">
        <v>2860</v>
      </c>
      <c r="M1465" s="91" t="str">
        <f t="shared" si="283"/>
        <v>VER ARCHIVO ANEXO</v>
      </c>
      <c r="N1465" s="93">
        <v>41608</v>
      </c>
      <c r="O1465" s="109"/>
      <c r="P1465" s="109"/>
      <c r="Q1465" s="94">
        <v>1316</v>
      </c>
      <c r="R1465" s="95">
        <f t="shared" si="274"/>
        <v>444183.95176623674</v>
      </c>
      <c r="S1465" s="109">
        <v>290676.11579999997</v>
      </c>
      <c r="T1465" s="94">
        <f t="shared" si="284"/>
        <v>310354.88883965998</v>
      </c>
      <c r="U1465" s="94">
        <f t="shared" si="279"/>
        <v>328200.29494794045</v>
      </c>
      <c r="V1465" s="94">
        <f t="shared" si="280"/>
        <v>341623.68701131118</v>
      </c>
      <c r="W1465" s="97">
        <f t="shared" si="277"/>
        <v>352487.32025827089</v>
      </c>
      <c r="X1465" s="97">
        <f t="shared" si="278"/>
        <v>365881.8384280852</v>
      </c>
      <c r="Y1465" s="97">
        <f t="shared" ref="Y1465:Y1528" si="285">+X1465*(1+$Y$4)</f>
        <v>371772.53602677735</v>
      </c>
      <c r="Z1465" s="97">
        <f t="shared" si="275"/>
        <v>392666.15255148226</v>
      </c>
      <c r="AA1465" s="97">
        <f t="shared" si="276"/>
        <v>444183.95176623674</v>
      </c>
    </row>
    <row r="1466" spans="1:27" x14ac:dyDescent="0.25">
      <c r="A1466" s="102" t="s">
        <v>3290</v>
      </c>
      <c r="B1466" s="87" t="s">
        <v>3291</v>
      </c>
      <c r="C1466" s="88" t="s">
        <v>226</v>
      </c>
      <c r="D1466" s="89" t="s">
        <v>262</v>
      </c>
      <c r="E1466" s="90">
        <f t="shared" si="281"/>
        <v>792036</v>
      </c>
      <c r="F1466" s="90">
        <f t="shared" si="282"/>
        <v>665576.57628296071</v>
      </c>
      <c r="G1466" s="91">
        <v>0.19</v>
      </c>
      <c r="H1466" s="91" t="s">
        <v>228</v>
      </c>
      <c r="I1466" s="91"/>
      <c r="J1466" s="91" t="s">
        <v>228</v>
      </c>
      <c r="K1466" s="91"/>
      <c r="L1466" s="92" t="s">
        <v>2860</v>
      </c>
      <c r="M1466" s="91" t="str">
        <f t="shared" si="283"/>
        <v>VER ARCHIVO ANEXO</v>
      </c>
      <c r="N1466" s="93">
        <v>41608</v>
      </c>
      <c r="O1466" s="109"/>
      <c r="P1466" s="109"/>
      <c r="Q1466" s="94">
        <v>1317</v>
      </c>
      <c r="R1466" s="95">
        <f t="shared" si="274"/>
        <v>665576.57628296071</v>
      </c>
      <c r="S1466" s="109">
        <v>435556.5148</v>
      </c>
      <c r="T1466" s="94">
        <f t="shared" si="284"/>
        <v>465043.69085196004</v>
      </c>
      <c r="U1466" s="94">
        <f t="shared" si="279"/>
        <v>491783.70307594776</v>
      </c>
      <c r="V1466" s="94">
        <f t="shared" si="280"/>
        <v>511897.65653175401</v>
      </c>
      <c r="W1466" s="97">
        <f t="shared" si="277"/>
        <v>528176.00200946385</v>
      </c>
      <c r="X1466" s="97">
        <f t="shared" si="278"/>
        <v>548246.69008582353</v>
      </c>
      <c r="Y1466" s="97">
        <f t="shared" si="285"/>
        <v>557073.46179620526</v>
      </c>
      <c r="Z1466" s="97">
        <f t="shared" si="275"/>
        <v>588380.99034915201</v>
      </c>
      <c r="AA1466" s="97">
        <f t="shared" si="276"/>
        <v>665576.57628296071</v>
      </c>
    </row>
    <row r="1467" spans="1:27" x14ac:dyDescent="0.25">
      <c r="A1467" s="102" t="s">
        <v>3292</v>
      </c>
      <c r="B1467" s="87" t="s">
        <v>3293</v>
      </c>
      <c r="C1467" s="88" t="s">
        <v>226</v>
      </c>
      <c r="D1467" s="89" t="s">
        <v>262</v>
      </c>
      <c r="E1467" s="90">
        <f t="shared" si="281"/>
        <v>1564900</v>
      </c>
      <c r="F1467" s="90">
        <f t="shared" si="282"/>
        <v>1315041.9345645651</v>
      </c>
      <c r="G1467" s="91">
        <v>0.19</v>
      </c>
      <c r="H1467" s="91" t="s">
        <v>228</v>
      </c>
      <c r="I1467" s="91"/>
      <c r="J1467" s="91" t="s">
        <v>228</v>
      </c>
      <c r="K1467" s="91"/>
      <c r="L1467" s="92" t="s">
        <v>2860</v>
      </c>
      <c r="M1467" s="91" t="str">
        <f t="shared" si="283"/>
        <v>VER ARCHIVO ANEXO</v>
      </c>
      <c r="N1467" s="93">
        <v>41608</v>
      </c>
      <c r="O1467" s="109"/>
      <c r="P1467" s="109"/>
      <c r="Q1467" s="94">
        <v>1318</v>
      </c>
      <c r="R1467" s="95">
        <f t="shared" si="274"/>
        <v>1315041.9345645651</v>
      </c>
      <c r="S1467" s="109">
        <v>860569.77099999995</v>
      </c>
      <c r="T1467" s="94">
        <f t="shared" si="284"/>
        <v>918830.34449669998</v>
      </c>
      <c r="U1467" s="94">
        <f t="shared" si="279"/>
        <v>971663.08930526034</v>
      </c>
      <c r="V1467" s="94">
        <f t="shared" si="280"/>
        <v>1011404.1096578455</v>
      </c>
      <c r="W1467" s="97">
        <f t="shared" si="277"/>
        <v>1043566.760344965</v>
      </c>
      <c r="X1467" s="97">
        <f t="shared" si="278"/>
        <v>1083222.2972380738</v>
      </c>
      <c r="Y1467" s="97">
        <f t="shared" si="285"/>
        <v>1100662.1762236068</v>
      </c>
      <c r="Z1467" s="97">
        <f t="shared" si="275"/>
        <v>1162519.3905273736</v>
      </c>
      <c r="AA1467" s="97">
        <f t="shared" si="276"/>
        <v>1315041.9345645651</v>
      </c>
    </row>
    <row r="1468" spans="1:27" x14ac:dyDescent="0.25">
      <c r="A1468" s="102" t="s">
        <v>3294</v>
      </c>
      <c r="B1468" s="87" t="s">
        <v>3295</v>
      </c>
      <c r="C1468" s="88" t="s">
        <v>226</v>
      </c>
      <c r="D1468" s="89" t="s">
        <v>262</v>
      </c>
      <c r="E1468" s="90">
        <f t="shared" si="281"/>
        <v>1102172</v>
      </c>
      <c r="F1468" s="90">
        <f t="shared" si="282"/>
        <v>926194.65467517299</v>
      </c>
      <c r="G1468" s="91">
        <v>0.19</v>
      </c>
      <c r="H1468" s="91" t="s">
        <v>228</v>
      </c>
      <c r="I1468" s="91"/>
      <c r="J1468" s="91" t="s">
        <v>228</v>
      </c>
      <c r="K1468" s="91"/>
      <c r="L1468" s="92" t="s">
        <v>2860</v>
      </c>
      <c r="M1468" s="91" t="str">
        <f t="shared" si="283"/>
        <v>VER ARCHIVO ANEXO</v>
      </c>
      <c r="N1468" s="93">
        <v>41608</v>
      </c>
      <c r="O1468" s="109"/>
      <c r="P1468" s="109"/>
      <c r="Q1468" s="94">
        <v>1319</v>
      </c>
      <c r="R1468" s="95">
        <f t="shared" si="274"/>
        <v>926194.65467517299</v>
      </c>
      <c r="S1468" s="109">
        <v>606106.23959999997</v>
      </c>
      <c r="T1468" s="94">
        <f t="shared" si="284"/>
        <v>647139.63202092005</v>
      </c>
      <c r="U1468" s="94">
        <f t="shared" si="279"/>
        <v>684350.16086212301</v>
      </c>
      <c r="V1468" s="94">
        <f t="shared" si="280"/>
        <v>712340.08244138386</v>
      </c>
      <c r="W1468" s="97">
        <f t="shared" si="277"/>
        <v>734992.49706301989</v>
      </c>
      <c r="X1468" s="97">
        <f t="shared" si="278"/>
        <v>762922.21195141471</v>
      </c>
      <c r="Y1468" s="97">
        <f t="shared" si="285"/>
        <v>775205.25956383243</v>
      </c>
      <c r="Z1468" s="97">
        <f t="shared" si="275"/>
        <v>818771.79515131982</v>
      </c>
      <c r="AA1468" s="97">
        <f t="shared" si="276"/>
        <v>926194.65467517299</v>
      </c>
    </row>
    <row r="1469" spans="1:27" x14ac:dyDescent="0.25">
      <c r="A1469" s="102" t="s">
        <v>3296</v>
      </c>
      <c r="B1469" s="87" t="s">
        <v>3297</v>
      </c>
      <c r="C1469" s="88" t="s">
        <v>226</v>
      </c>
      <c r="D1469" s="89" t="s">
        <v>262</v>
      </c>
      <c r="E1469" s="90">
        <f t="shared" si="281"/>
        <v>1006174</v>
      </c>
      <c r="F1469" s="90">
        <f t="shared" si="282"/>
        <v>845524.51416243229</v>
      </c>
      <c r="G1469" s="91">
        <v>0.19</v>
      </c>
      <c r="H1469" s="91" t="s">
        <v>228</v>
      </c>
      <c r="I1469" s="91"/>
      <c r="J1469" s="91" t="s">
        <v>228</v>
      </c>
      <c r="K1469" s="91"/>
      <c r="L1469" s="92" t="s">
        <v>2860</v>
      </c>
      <c r="M1469" s="91" t="str">
        <f t="shared" si="283"/>
        <v>VER ARCHIVO ANEXO</v>
      </c>
      <c r="N1469" s="93">
        <v>41608</v>
      </c>
      <c r="O1469" s="109"/>
      <c r="P1469" s="109"/>
      <c r="Q1469" s="94">
        <v>1320</v>
      </c>
      <c r="R1469" s="95">
        <f t="shared" si="274"/>
        <v>845524.51416243229</v>
      </c>
      <c r="S1469" s="109">
        <v>553315.31140000001</v>
      </c>
      <c r="T1469" s="94">
        <f t="shared" si="284"/>
        <v>590774.7579817801</v>
      </c>
      <c r="U1469" s="94">
        <f t="shared" si="279"/>
        <v>624744.30656573246</v>
      </c>
      <c r="V1469" s="94">
        <f t="shared" si="280"/>
        <v>650296.3487042709</v>
      </c>
      <c r="W1469" s="97">
        <f t="shared" si="277"/>
        <v>670975.77259306679</v>
      </c>
      <c r="X1469" s="97">
        <f t="shared" si="278"/>
        <v>696472.85195160331</v>
      </c>
      <c r="Y1469" s="97">
        <f t="shared" si="285"/>
        <v>707686.06486802408</v>
      </c>
      <c r="Z1469" s="97">
        <f t="shared" si="275"/>
        <v>747458.02171360701</v>
      </c>
      <c r="AA1469" s="97">
        <f t="shared" si="276"/>
        <v>845524.51416243229</v>
      </c>
    </row>
    <row r="1470" spans="1:27" x14ac:dyDescent="0.25">
      <c r="A1470" s="102" t="s">
        <v>3298</v>
      </c>
      <c r="B1470" s="87" t="s">
        <v>3299</v>
      </c>
      <c r="C1470" s="88" t="s">
        <v>226</v>
      </c>
      <c r="D1470" s="89" t="s">
        <v>262</v>
      </c>
      <c r="E1470" s="90">
        <f t="shared" si="281"/>
        <v>173880</v>
      </c>
      <c r="F1470" s="90">
        <f t="shared" si="282"/>
        <v>146117.70654971327</v>
      </c>
      <c r="G1470" s="91">
        <v>0.19</v>
      </c>
      <c r="H1470" s="91" t="s">
        <v>228</v>
      </c>
      <c r="I1470" s="91"/>
      <c r="J1470" s="91" t="s">
        <v>228</v>
      </c>
      <c r="K1470" s="91"/>
      <c r="L1470" s="92" t="s">
        <v>2860</v>
      </c>
      <c r="M1470" s="91" t="str">
        <f t="shared" si="283"/>
        <v>VER ARCHIVO ANEXO</v>
      </c>
      <c r="N1470" s="93">
        <v>41608</v>
      </c>
      <c r="O1470" s="109"/>
      <c r="P1470" s="109"/>
      <c r="Q1470" s="94">
        <v>1321</v>
      </c>
      <c r="R1470" s="95">
        <f t="shared" si="274"/>
        <v>146117.70654971327</v>
      </c>
      <c r="S1470" s="109">
        <v>95620.130399999995</v>
      </c>
      <c r="T1470" s="94">
        <f t="shared" si="284"/>
        <v>102093.61322808001</v>
      </c>
      <c r="U1470" s="94">
        <f t="shared" si="279"/>
        <v>107963.99598869462</v>
      </c>
      <c r="V1470" s="94">
        <f t="shared" si="280"/>
        <v>112379.72342463222</v>
      </c>
      <c r="W1470" s="97">
        <f t="shared" si="277"/>
        <v>115953.39862953553</v>
      </c>
      <c r="X1470" s="97">
        <f t="shared" si="278"/>
        <v>120359.62777745788</v>
      </c>
      <c r="Y1470" s="97">
        <f t="shared" si="285"/>
        <v>122297.41778467495</v>
      </c>
      <c r="Z1470" s="97">
        <f t="shared" si="275"/>
        <v>129170.53266417369</v>
      </c>
      <c r="AA1470" s="97">
        <f t="shared" si="276"/>
        <v>146117.70654971327</v>
      </c>
    </row>
    <row r="1471" spans="1:27" x14ac:dyDescent="0.25">
      <c r="A1471" s="102" t="s">
        <v>3300</v>
      </c>
      <c r="B1471" s="87" t="s">
        <v>3301</v>
      </c>
      <c r="C1471" s="88" t="s">
        <v>226</v>
      </c>
      <c r="D1471" s="89" t="s">
        <v>262</v>
      </c>
      <c r="E1471" s="90">
        <f t="shared" si="281"/>
        <v>1367339</v>
      </c>
      <c r="F1471" s="90">
        <f t="shared" si="282"/>
        <v>1149023.9987600052</v>
      </c>
      <c r="G1471" s="91">
        <v>0.19</v>
      </c>
      <c r="H1471" s="91" t="s">
        <v>228</v>
      </c>
      <c r="I1471" s="91"/>
      <c r="J1471" s="91" t="s">
        <v>228</v>
      </c>
      <c r="K1471" s="91"/>
      <c r="L1471" s="92" t="s">
        <v>2860</v>
      </c>
      <c r="M1471" s="91" t="str">
        <f t="shared" si="283"/>
        <v>VER ARCHIVO ANEXO</v>
      </c>
      <c r="N1471" s="93">
        <v>41608</v>
      </c>
      <c r="O1471" s="109"/>
      <c r="P1471" s="109"/>
      <c r="Q1471" s="94">
        <v>1322</v>
      </c>
      <c r="R1471" s="95">
        <f t="shared" si="274"/>
        <v>1149023.9987600052</v>
      </c>
      <c r="S1471" s="109">
        <v>751926.83479999995</v>
      </c>
      <c r="T1471" s="94">
        <f t="shared" si="284"/>
        <v>802832.28151596</v>
      </c>
      <c r="U1471" s="94">
        <f t="shared" si="279"/>
        <v>848995.13770312781</v>
      </c>
      <c r="V1471" s="94">
        <f t="shared" si="280"/>
        <v>883719.0388351857</v>
      </c>
      <c r="W1471" s="97">
        <f t="shared" si="277"/>
        <v>911821.30427014467</v>
      </c>
      <c r="X1471" s="97">
        <f t="shared" si="278"/>
        <v>946470.51383241022</v>
      </c>
      <c r="Y1471" s="97">
        <f t="shared" si="285"/>
        <v>961708.68910511199</v>
      </c>
      <c r="Z1471" s="97">
        <f t="shared" si="275"/>
        <v>1015756.7174328193</v>
      </c>
      <c r="AA1471" s="97">
        <f t="shared" si="276"/>
        <v>1149023.9987600052</v>
      </c>
    </row>
    <row r="1472" spans="1:27" x14ac:dyDescent="0.25">
      <c r="A1472" s="102" t="s">
        <v>3302</v>
      </c>
      <c r="B1472" s="87" t="s">
        <v>3303</v>
      </c>
      <c r="C1472" s="88" t="s">
        <v>226</v>
      </c>
      <c r="D1472" s="89" t="s">
        <v>262</v>
      </c>
      <c r="E1472" s="90">
        <f t="shared" si="281"/>
        <v>305153</v>
      </c>
      <c r="F1472" s="90">
        <f t="shared" si="282"/>
        <v>256431.47440267479</v>
      </c>
      <c r="G1472" s="91">
        <v>0.19</v>
      </c>
      <c r="H1472" s="91" t="s">
        <v>228</v>
      </c>
      <c r="I1472" s="91"/>
      <c r="J1472" s="91" t="s">
        <v>228</v>
      </c>
      <c r="K1472" s="91"/>
      <c r="L1472" s="92" t="s">
        <v>2860</v>
      </c>
      <c r="M1472" s="91" t="str">
        <f t="shared" si="283"/>
        <v>VER ARCHIVO ANEXO</v>
      </c>
      <c r="N1472" s="93">
        <v>41608</v>
      </c>
      <c r="O1472" s="109"/>
      <c r="P1472" s="109"/>
      <c r="Q1472" s="94">
        <v>1323</v>
      </c>
      <c r="R1472" s="95">
        <f t="shared" si="274"/>
        <v>256431.47440267479</v>
      </c>
      <c r="S1472" s="109">
        <v>167809.99099999998</v>
      </c>
      <c r="T1472" s="94">
        <f t="shared" si="284"/>
        <v>179170.72739069999</v>
      </c>
      <c r="U1472" s="94">
        <f t="shared" si="279"/>
        <v>189473.04421566526</v>
      </c>
      <c r="V1472" s="94">
        <f t="shared" si="280"/>
        <v>197222.49172408596</v>
      </c>
      <c r="W1472" s="97">
        <f t="shared" si="277"/>
        <v>203494.16696091191</v>
      </c>
      <c r="X1472" s="97">
        <f t="shared" si="278"/>
        <v>211226.94530542658</v>
      </c>
      <c r="Y1472" s="97">
        <f t="shared" si="285"/>
        <v>214627.69912484396</v>
      </c>
      <c r="Z1472" s="97">
        <f t="shared" si="275"/>
        <v>226689.77581566019</v>
      </c>
      <c r="AA1472" s="97">
        <f t="shared" si="276"/>
        <v>256431.47440267479</v>
      </c>
    </row>
    <row r="1473" spans="1:27" x14ac:dyDescent="0.25">
      <c r="A1473" s="102" t="s">
        <v>3304</v>
      </c>
      <c r="B1473" s="87" t="s">
        <v>3305</v>
      </c>
      <c r="C1473" s="88" t="s">
        <v>226</v>
      </c>
      <c r="D1473" s="89" t="s">
        <v>262</v>
      </c>
      <c r="E1473" s="90">
        <f t="shared" si="281"/>
        <v>2587781</v>
      </c>
      <c r="F1473" s="90">
        <f t="shared" si="282"/>
        <v>2174605.7492034519</v>
      </c>
      <c r="G1473" s="91">
        <v>0.19</v>
      </c>
      <c r="H1473" s="91" t="s">
        <v>228</v>
      </c>
      <c r="I1473" s="91"/>
      <c r="J1473" s="91" t="s">
        <v>228</v>
      </c>
      <c r="K1473" s="91"/>
      <c r="L1473" s="92" t="s">
        <v>2860</v>
      </c>
      <c r="M1473" s="91" t="str">
        <f t="shared" si="283"/>
        <v>VER ARCHIVO ANEXO</v>
      </c>
      <c r="N1473" s="93">
        <v>41608</v>
      </c>
      <c r="O1473" s="109"/>
      <c r="P1473" s="109"/>
      <c r="Q1473" s="94">
        <v>1324</v>
      </c>
      <c r="R1473" s="95">
        <f t="shared" si="274"/>
        <v>2174605.7492034519</v>
      </c>
      <c r="S1473" s="109">
        <v>1423072.4682</v>
      </c>
      <c r="T1473" s="94">
        <f t="shared" si="284"/>
        <v>1519414.47429714</v>
      </c>
      <c r="U1473" s="94">
        <f t="shared" si="279"/>
        <v>1606780.8065692259</v>
      </c>
      <c r="V1473" s="94">
        <f t="shared" si="280"/>
        <v>1672498.141557907</v>
      </c>
      <c r="W1473" s="97">
        <f t="shared" si="277"/>
        <v>1725683.5824594486</v>
      </c>
      <c r="X1473" s="97">
        <f t="shared" si="278"/>
        <v>1791259.5585929076</v>
      </c>
      <c r="Y1473" s="97">
        <f t="shared" si="285"/>
        <v>1820098.8374862534</v>
      </c>
      <c r="Z1473" s="97">
        <f t="shared" si="275"/>
        <v>1922388.3921529809</v>
      </c>
      <c r="AA1473" s="97">
        <f t="shared" si="276"/>
        <v>2174605.7492034519</v>
      </c>
    </row>
    <row r="1474" spans="1:27" x14ac:dyDescent="0.25">
      <c r="A1474" s="102" t="s">
        <v>3306</v>
      </c>
      <c r="B1474" s="87" t="s">
        <v>3307</v>
      </c>
      <c r="C1474" s="88" t="s">
        <v>226</v>
      </c>
      <c r="D1474" s="89" t="s">
        <v>262</v>
      </c>
      <c r="E1474" s="90">
        <f t="shared" si="281"/>
        <v>305153</v>
      </c>
      <c r="F1474" s="90">
        <f t="shared" si="282"/>
        <v>256431.47440267479</v>
      </c>
      <c r="G1474" s="91">
        <v>0.19</v>
      </c>
      <c r="H1474" s="91" t="s">
        <v>228</v>
      </c>
      <c r="I1474" s="91"/>
      <c r="J1474" s="91" t="s">
        <v>228</v>
      </c>
      <c r="K1474" s="91"/>
      <c r="L1474" s="92" t="s">
        <v>2860</v>
      </c>
      <c r="M1474" s="91" t="str">
        <f t="shared" si="283"/>
        <v>VER ARCHIVO ANEXO</v>
      </c>
      <c r="N1474" s="93">
        <v>41608</v>
      </c>
      <c r="O1474" s="109"/>
      <c r="P1474" s="109"/>
      <c r="Q1474" s="94">
        <v>1325</v>
      </c>
      <c r="R1474" s="95">
        <f t="shared" si="274"/>
        <v>256431.47440267479</v>
      </c>
      <c r="S1474" s="109">
        <v>167809.99099999998</v>
      </c>
      <c r="T1474" s="94">
        <f t="shared" si="284"/>
        <v>179170.72739069999</v>
      </c>
      <c r="U1474" s="94">
        <f t="shared" si="279"/>
        <v>189473.04421566526</v>
      </c>
      <c r="V1474" s="94">
        <f t="shared" si="280"/>
        <v>197222.49172408596</v>
      </c>
      <c r="W1474" s="97">
        <f t="shared" si="277"/>
        <v>203494.16696091191</v>
      </c>
      <c r="X1474" s="97">
        <f t="shared" si="278"/>
        <v>211226.94530542658</v>
      </c>
      <c r="Y1474" s="97">
        <f t="shared" si="285"/>
        <v>214627.69912484396</v>
      </c>
      <c r="Z1474" s="97">
        <f t="shared" si="275"/>
        <v>226689.77581566019</v>
      </c>
      <c r="AA1474" s="97">
        <f t="shared" si="276"/>
        <v>256431.47440267479</v>
      </c>
    </row>
    <row r="1475" spans="1:27" x14ac:dyDescent="0.25">
      <c r="A1475" s="102" t="s">
        <v>3308</v>
      </c>
      <c r="B1475" s="87" t="s">
        <v>3309</v>
      </c>
      <c r="C1475" s="88" t="s">
        <v>226</v>
      </c>
      <c r="D1475" s="89" t="s">
        <v>262</v>
      </c>
      <c r="E1475" s="90">
        <f t="shared" si="281"/>
        <v>4466307</v>
      </c>
      <c r="F1475" s="90">
        <f t="shared" si="282"/>
        <v>3753199.3946190355</v>
      </c>
      <c r="G1475" s="91">
        <v>0.19</v>
      </c>
      <c r="H1475" s="91" t="s">
        <v>228</v>
      </c>
      <c r="I1475" s="91"/>
      <c r="J1475" s="91" t="s">
        <v>228</v>
      </c>
      <c r="K1475" s="91"/>
      <c r="L1475" s="92" t="s">
        <v>2860</v>
      </c>
      <c r="M1475" s="91" t="str">
        <f t="shared" si="283"/>
        <v>VER ARCHIVO ANEXO</v>
      </c>
      <c r="N1475" s="93">
        <v>41608</v>
      </c>
      <c r="O1475" s="109"/>
      <c r="P1475" s="109"/>
      <c r="Q1475" s="94">
        <v>1326</v>
      </c>
      <c r="R1475" s="95">
        <f t="shared" si="274"/>
        <v>3753199.3946190355</v>
      </c>
      <c r="S1475" s="109">
        <v>2456111.7472000001</v>
      </c>
      <c r="T1475" s="94">
        <f t="shared" si="284"/>
        <v>2622390.5124854404</v>
      </c>
      <c r="U1475" s="94">
        <f t="shared" si="279"/>
        <v>2773177.9669533535</v>
      </c>
      <c r="V1475" s="94">
        <f t="shared" si="280"/>
        <v>2886600.9458017456</v>
      </c>
      <c r="W1475" s="97">
        <f t="shared" si="277"/>
        <v>2978394.8558782414</v>
      </c>
      <c r="X1475" s="97">
        <f t="shared" si="278"/>
        <v>3091573.8604016146</v>
      </c>
      <c r="Y1475" s="97">
        <f t="shared" si="285"/>
        <v>3141348.1995540806</v>
      </c>
      <c r="Z1475" s="97">
        <f t="shared" si="275"/>
        <v>3317891.9683690201</v>
      </c>
      <c r="AA1475" s="97">
        <f t="shared" si="276"/>
        <v>3753199.3946190355</v>
      </c>
    </row>
    <row r="1476" spans="1:27" x14ac:dyDescent="0.25">
      <c r="A1476" s="102" t="s">
        <v>3310</v>
      </c>
      <c r="B1476" s="87" t="s">
        <v>3311</v>
      </c>
      <c r="C1476" s="88" t="s">
        <v>226</v>
      </c>
      <c r="D1476" s="89" t="s">
        <v>262</v>
      </c>
      <c r="E1476" s="90">
        <f t="shared" si="281"/>
        <v>337898</v>
      </c>
      <c r="F1476" s="90">
        <f t="shared" si="282"/>
        <v>283947.7429998201</v>
      </c>
      <c r="G1476" s="91">
        <v>0.19</v>
      </c>
      <c r="H1476" s="91" t="s">
        <v>228</v>
      </c>
      <c r="I1476" s="91"/>
      <c r="J1476" s="91" t="s">
        <v>228</v>
      </c>
      <c r="K1476" s="91"/>
      <c r="L1476" s="92" t="s">
        <v>2860</v>
      </c>
      <c r="M1476" s="91" t="str">
        <f t="shared" si="283"/>
        <v>VER ARCHIVO ANEXO</v>
      </c>
      <c r="N1476" s="93">
        <v>41608</v>
      </c>
      <c r="O1476" s="109"/>
      <c r="P1476" s="109"/>
      <c r="Q1476" s="94">
        <v>1327</v>
      </c>
      <c r="R1476" s="95">
        <f t="shared" si="274"/>
        <v>283947.7429998201</v>
      </c>
      <c r="S1476" s="109">
        <v>185816.7696</v>
      </c>
      <c r="T1476" s="94">
        <f t="shared" si="284"/>
        <v>198396.56490192001</v>
      </c>
      <c r="U1476" s="94">
        <f t="shared" si="279"/>
        <v>209804.36738378042</v>
      </c>
      <c r="V1476" s="94">
        <f t="shared" si="280"/>
        <v>218385.36600977703</v>
      </c>
      <c r="W1476" s="97">
        <f t="shared" si="277"/>
        <v>225330.02064888796</v>
      </c>
      <c r="X1476" s="97">
        <f t="shared" si="278"/>
        <v>233892.56143354572</v>
      </c>
      <c r="Y1476" s="97">
        <f t="shared" si="285"/>
        <v>237658.23167262581</v>
      </c>
      <c r="Z1476" s="97">
        <f t="shared" si="275"/>
        <v>251014.62429262738</v>
      </c>
      <c r="AA1476" s="97">
        <f t="shared" si="276"/>
        <v>283947.7429998201</v>
      </c>
    </row>
    <row r="1477" spans="1:27" x14ac:dyDescent="0.25">
      <c r="A1477" s="102" t="s">
        <v>3312</v>
      </c>
      <c r="B1477" s="87" t="s">
        <v>3313</v>
      </c>
      <c r="C1477" s="88" t="s">
        <v>226</v>
      </c>
      <c r="D1477" s="89" t="s">
        <v>262</v>
      </c>
      <c r="E1477" s="90">
        <f t="shared" si="281"/>
        <v>755774</v>
      </c>
      <c r="F1477" s="90">
        <f t="shared" si="282"/>
        <v>635104.49873974023</v>
      </c>
      <c r="G1477" s="91">
        <v>0.19</v>
      </c>
      <c r="H1477" s="91" t="s">
        <v>228</v>
      </c>
      <c r="I1477" s="91"/>
      <c r="J1477" s="91" t="s">
        <v>228</v>
      </c>
      <c r="K1477" s="91"/>
      <c r="L1477" s="92" t="s">
        <v>2860</v>
      </c>
      <c r="M1477" s="91" t="str">
        <f t="shared" si="283"/>
        <v>VER ARCHIVO ANEXO</v>
      </c>
      <c r="N1477" s="93">
        <v>41608</v>
      </c>
      <c r="O1477" s="109"/>
      <c r="P1477" s="109"/>
      <c r="Q1477" s="94">
        <v>1328</v>
      </c>
      <c r="R1477" s="95">
        <f t="shared" si="274"/>
        <v>635104.49873974023</v>
      </c>
      <c r="S1477" s="109">
        <v>415615.44059999997</v>
      </c>
      <c r="T1477" s="94">
        <f t="shared" si="284"/>
        <v>443752.60592862003</v>
      </c>
      <c r="U1477" s="94">
        <f t="shared" si="279"/>
        <v>469268.38076951576</v>
      </c>
      <c r="V1477" s="94">
        <f t="shared" si="280"/>
        <v>488461.45754298894</v>
      </c>
      <c r="W1477" s="97">
        <f t="shared" si="277"/>
        <v>503994.531892856</v>
      </c>
      <c r="X1477" s="97">
        <f t="shared" si="278"/>
        <v>523146.32410478452</v>
      </c>
      <c r="Y1477" s="97">
        <f t="shared" si="285"/>
        <v>531568.97992287157</v>
      </c>
      <c r="Z1477" s="97">
        <f t="shared" si="275"/>
        <v>561443.15659453697</v>
      </c>
      <c r="AA1477" s="97">
        <f t="shared" si="276"/>
        <v>635104.49873974023</v>
      </c>
    </row>
    <row r="1478" spans="1:27" x14ac:dyDescent="0.25">
      <c r="A1478" s="102" t="s">
        <v>3314</v>
      </c>
      <c r="B1478" s="87" t="s">
        <v>3315</v>
      </c>
      <c r="C1478" s="88" t="s">
        <v>226</v>
      </c>
      <c r="D1478" s="89" t="s">
        <v>262</v>
      </c>
      <c r="E1478" s="90">
        <f t="shared" si="281"/>
        <v>26630358</v>
      </c>
      <c r="F1478" s="90">
        <f t="shared" si="282"/>
        <v>22378451.707222957</v>
      </c>
      <c r="G1478" s="91">
        <v>0.19</v>
      </c>
      <c r="H1478" s="91" t="s">
        <v>228</v>
      </c>
      <c r="I1478" s="91"/>
      <c r="J1478" s="91" t="s">
        <v>228</v>
      </c>
      <c r="K1478" s="91"/>
      <c r="L1478" s="92" t="s">
        <v>2860</v>
      </c>
      <c r="M1478" s="91" t="str">
        <f t="shared" si="283"/>
        <v>VER ARCHIVO ANEXO</v>
      </c>
      <c r="N1478" s="93">
        <v>41608</v>
      </c>
      <c r="O1478" s="109"/>
      <c r="P1478" s="109"/>
      <c r="Q1478" s="94">
        <v>1329</v>
      </c>
      <c r="R1478" s="95">
        <f t="shared" si="274"/>
        <v>22378451.707222957</v>
      </c>
      <c r="S1478" s="109">
        <v>14644566.5</v>
      </c>
      <c r="T1478" s="94">
        <f t="shared" si="284"/>
        <v>15636003.652050002</v>
      </c>
      <c r="U1478" s="94">
        <f t="shared" si="279"/>
        <v>16535073.862042878</v>
      </c>
      <c r="V1478" s="94">
        <f t="shared" si="280"/>
        <v>17211358.38300043</v>
      </c>
      <c r="W1478" s="97">
        <f t="shared" si="277"/>
        <v>17758679.579579845</v>
      </c>
      <c r="X1478" s="97">
        <f t="shared" si="278"/>
        <v>18433509.403603882</v>
      </c>
      <c r="Y1478" s="97">
        <f t="shared" si="285"/>
        <v>18730288.905001905</v>
      </c>
      <c r="Z1478" s="97">
        <f t="shared" si="275"/>
        <v>19782931.141463012</v>
      </c>
      <c r="AA1478" s="97">
        <f t="shared" si="276"/>
        <v>22378451.707222957</v>
      </c>
    </row>
    <row r="1479" spans="1:27" x14ac:dyDescent="0.25">
      <c r="A1479" s="102" t="s">
        <v>3316</v>
      </c>
      <c r="B1479" s="87" t="s">
        <v>3317</v>
      </c>
      <c r="C1479" s="88" t="s">
        <v>226</v>
      </c>
      <c r="D1479" s="89" t="s">
        <v>262</v>
      </c>
      <c r="E1479" s="90">
        <f t="shared" si="281"/>
        <v>78836390</v>
      </c>
      <c r="F1479" s="90">
        <f t="shared" si="282"/>
        <v>66249067.055835314</v>
      </c>
      <c r="G1479" s="91">
        <v>0.19</v>
      </c>
      <c r="H1479" s="91" t="s">
        <v>228</v>
      </c>
      <c r="I1479" s="91"/>
      <c r="J1479" s="91" t="s">
        <v>228</v>
      </c>
      <c r="K1479" s="91"/>
      <c r="L1479" s="92" t="s">
        <v>2860</v>
      </c>
      <c r="M1479" s="91" t="str">
        <f t="shared" si="283"/>
        <v>VER ARCHIVO ANEXO</v>
      </c>
      <c r="N1479" s="93">
        <v>41608</v>
      </c>
      <c r="O1479" s="109"/>
      <c r="P1479" s="109"/>
      <c r="Q1479" s="94">
        <v>1330</v>
      </c>
      <c r="R1479" s="95">
        <f t="shared" ref="R1479:R1542" si="286">+AA1479</f>
        <v>66249067.055835314</v>
      </c>
      <c r="S1479" s="109">
        <v>43353708.324199997</v>
      </c>
      <c r="T1479" s="94">
        <f t="shared" si="284"/>
        <v>46288754.37774834</v>
      </c>
      <c r="U1479" s="94">
        <f t="shared" si="279"/>
        <v>48950357.754468873</v>
      </c>
      <c r="V1479" s="94">
        <f t="shared" si="280"/>
        <v>50952427.386626646</v>
      </c>
      <c r="W1479" s="97">
        <f t="shared" si="277"/>
        <v>52572714.577521376</v>
      </c>
      <c r="X1479" s="97">
        <f t="shared" si="278"/>
        <v>54570477.731467187</v>
      </c>
      <c r="Y1479" s="97">
        <f t="shared" si="285"/>
        <v>55449062.422943808</v>
      </c>
      <c r="Z1479" s="97">
        <f t="shared" ref="Z1479:Z1542" si="287">+Y1479*(1+$Z$4)</f>
        <v>58565299.731113255</v>
      </c>
      <c r="AA1479" s="97">
        <f t="shared" ref="AA1479:AA1542" si="288">+Z1479*(1+$AA$4)</f>
        <v>66249067.055835314</v>
      </c>
    </row>
    <row r="1480" spans="1:27" x14ac:dyDescent="0.25">
      <c r="A1480" s="102" t="s">
        <v>3318</v>
      </c>
      <c r="B1480" s="87" t="s">
        <v>3319</v>
      </c>
      <c r="C1480" s="88" t="s">
        <v>226</v>
      </c>
      <c r="D1480" s="89" t="s">
        <v>262</v>
      </c>
      <c r="E1480" s="90">
        <f t="shared" si="281"/>
        <v>16522671</v>
      </c>
      <c r="F1480" s="90">
        <f t="shared" si="282"/>
        <v>13884597.301262278</v>
      </c>
      <c r="G1480" s="91">
        <v>0.19</v>
      </c>
      <c r="H1480" s="91" t="s">
        <v>228</v>
      </c>
      <c r="I1480" s="91"/>
      <c r="J1480" s="91" t="s">
        <v>228</v>
      </c>
      <c r="K1480" s="91"/>
      <c r="L1480" s="92" t="s">
        <v>2860</v>
      </c>
      <c r="M1480" s="91" t="str">
        <f t="shared" si="283"/>
        <v>VER ARCHIVO ANEXO</v>
      </c>
      <c r="N1480" s="93">
        <v>41608</v>
      </c>
      <c r="O1480" s="109"/>
      <c r="P1480" s="109"/>
      <c r="Q1480" s="94">
        <v>1331</v>
      </c>
      <c r="R1480" s="95">
        <f t="shared" si="286"/>
        <v>13884597.301262278</v>
      </c>
      <c r="S1480" s="109">
        <v>9086147.2975999992</v>
      </c>
      <c r="T1480" s="94">
        <f t="shared" si="284"/>
        <v>9701279.4696475193</v>
      </c>
      <c r="U1480" s="94">
        <f t="shared" si="279"/>
        <v>10259103.039152253</v>
      </c>
      <c r="V1480" s="94">
        <f t="shared" si="280"/>
        <v>10678700.35345358</v>
      </c>
      <c r="W1480" s="97">
        <f t="shared" ref="W1480:W1543" si="289">+V1480*(1+$W$4)</f>
        <v>11018283.024693405</v>
      </c>
      <c r="X1480" s="97">
        <f t="shared" ref="X1480:X1543" si="290">+W1480*(1+$X$4)</f>
        <v>11436977.779631754</v>
      </c>
      <c r="Y1480" s="97">
        <f t="shared" si="285"/>
        <v>11621113.121883826</v>
      </c>
      <c r="Z1480" s="97">
        <f t="shared" si="287"/>
        <v>12274219.679333698</v>
      </c>
      <c r="AA1480" s="97">
        <f t="shared" si="288"/>
        <v>13884597.301262278</v>
      </c>
    </row>
    <row r="1481" spans="1:27" x14ac:dyDescent="0.25">
      <c r="A1481" s="102" t="s">
        <v>3320</v>
      </c>
      <c r="B1481" s="87" t="s">
        <v>3321</v>
      </c>
      <c r="C1481" s="88" t="s">
        <v>226</v>
      </c>
      <c r="D1481" s="89" t="s">
        <v>262</v>
      </c>
      <c r="E1481" s="90">
        <f t="shared" si="281"/>
        <v>49701203</v>
      </c>
      <c r="F1481" s="90">
        <f t="shared" si="282"/>
        <v>41765716.635036446</v>
      </c>
      <c r="G1481" s="91">
        <v>0.19</v>
      </c>
      <c r="H1481" s="91" t="s">
        <v>228</v>
      </c>
      <c r="I1481" s="91"/>
      <c r="J1481" s="91" t="s">
        <v>228</v>
      </c>
      <c r="K1481" s="91"/>
      <c r="L1481" s="92" t="s">
        <v>2860</v>
      </c>
      <c r="M1481" s="91" t="str">
        <f t="shared" si="283"/>
        <v>VER ARCHIVO ANEXO</v>
      </c>
      <c r="N1481" s="93">
        <v>41608</v>
      </c>
      <c r="O1481" s="109"/>
      <c r="P1481" s="109"/>
      <c r="Q1481" s="94">
        <v>1332</v>
      </c>
      <c r="R1481" s="95">
        <f t="shared" si="286"/>
        <v>41765716.635036446</v>
      </c>
      <c r="S1481" s="109">
        <v>27331685.9756</v>
      </c>
      <c r="T1481" s="94">
        <f t="shared" si="284"/>
        <v>29182041.116148122</v>
      </c>
      <c r="U1481" s="94">
        <f t="shared" si="279"/>
        <v>30860008.480326641</v>
      </c>
      <c r="V1481" s="94">
        <f t="shared" si="280"/>
        <v>32122182.827172</v>
      </c>
      <c r="W1481" s="97">
        <f t="shared" si="289"/>
        <v>33143668.241076071</v>
      </c>
      <c r="X1481" s="97">
        <f t="shared" si="290"/>
        <v>34403127.634236962</v>
      </c>
      <c r="Y1481" s="97">
        <f t="shared" si="285"/>
        <v>34957017.989148177</v>
      </c>
      <c r="Z1481" s="97">
        <f t="shared" si="287"/>
        <v>36921602.400138304</v>
      </c>
      <c r="AA1481" s="97">
        <f t="shared" si="288"/>
        <v>41765716.635036446</v>
      </c>
    </row>
    <row r="1482" spans="1:27" x14ac:dyDescent="0.25">
      <c r="A1482" s="102" t="s">
        <v>3322</v>
      </c>
      <c r="B1482" s="98" t="s">
        <v>3323</v>
      </c>
      <c r="C1482" s="99" t="s">
        <v>226</v>
      </c>
      <c r="D1482" s="100" t="s">
        <v>89</v>
      </c>
      <c r="E1482" s="101">
        <f t="shared" si="281"/>
        <v>4858</v>
      </c>
      <c r="F1482" s="90">
        <f t="shared" si="282"/>
        <v>4082.057692409383</v>
      </c>
      <c r="G1482" s="91">
        <v>0.19</v>
      </c>
      <c r="H1482" s="91" t="s">
        <v>228</v>
      </c>
      <c r="I1482" s="91"/>
      <c r="J1482" s="91" t="s">
        <v>228</v>
      </c>
      <c r="K1482" s="91"/>
      <c r="L1482" s="92" t="s">
        <v>2860</v>
      </c>
      <c r="M1482" s="91" t="str">
        <f t="shared" si="283"/>
        <v>VER ARCHIVO ANEXO</v>
      </c>
      <c r="N1482" s="93">
        <v>41608</v>
      </c>
      <c r="O1482" s="109"/>
      <c r="P1482" s="109"/>
      <c r="Q1482" s="94">
        <v>1333</v>
      </c>
      <c r="R1482" s="95">
        <f t="shared" si="286"/>
        <v>4082.057692409383</v>
      </c>
      <c r="S1482" s="109">
        <v>2671.3181999999997</v>
      </c>
      <c r="T1482" s="94">
        <f t="shared" si="284"/>
        <v>2852.1664421400001</v>
      </c>
      <c r="U1482" s="94">
        <f t="shared" si="279"/>
        <v>3016.1660125630506</v>
      </c>
      <c r="V1482" s="94">
        <f t="shared" si="280"/>
        <v>3139.5272024768792</v>
      </c>
      <c r="W1482" s="97">
        <f t="shared" si="289"/>
        <v>3239.3641675156441</v>
      </c>
      <c r="X1482" s="97">
        <f t="shared" si="290"/>
        <v>3362.4600058812389</v>
      </c>
      <c r="Y1482" s="97">
        <f t="shared" si="285"/>
        <v>3416.5956119759267</v>
      </c>
      <c r="Z1482" s="97">
        <f t="shared" si="287"/>
        <v>3608.6082853689736</v>
      </c>
      <c r="AA1482" s="97">
        <f t="shared" si="288"/>
        <v>4082.057692409383</v>
      </c>
    </row>
    <row r="1483" spans="1:27" x14ac:dyDescent="0.25">
      <c r="A1483" s="102" t="s">
        <v>3324</v>
      </c>
      <c r="B1483" s="98" t="s">
        <v>3325</v>
      </c>
      <c r="C1483" s="99" t="s">
        <v>226</v>
      </c>
      <c r="D1483" s="100" t="s">
        <v>262</v>
      </c>
      <c r="E1483" s="101">
        <f t="shared" si="281"/>
        <v>5478</v>
      </c>
      <c r="F1483" s="90">
        <f t="shared" si="282"/>
        <v>4603.2051432447297</v>
      </c>
      <c r="G1483" s="91">
        <v>0.19</v>
      </c>
      <c r="H1483" s="91" t="s">
        <v>228</v>
      </c>
      <c r="I1483" s="91"/>
      <c r="J1483" s="91" t="s">
        <v>228</v>
      </c>
      <c r="K1483" s="91"/>
      <c r="L1483" s="92" t="s">
        <v>2860</v>
      </c>
      <c r="M1483" s="91" t="str">
        <f t="shared" si="283"/>
        <v>VER ARCHIVO ANEXO</v>
      </c>
      <c r="N1483" s="93">
        <v>41608</v>
      </c>
      <c r="O1483" s="109"/>
      <c r="P1483" s="109"/>
      <c r="Q1483" s="94">
        <v>1334</v>
      </c>
      <c r="R1483" s="95">
        <f t="shared" si="286"/>
        <v>4603.2051432447297</v>
      </c>
      <c r="S1483" s="109">
        <v>3012.3595999999998</v>
      </c>
      <c r="T1483" s="94">
        <f t="shared" si="284"/>
        <v>3216.2963449200001</v>
      </c>
      <c r="U1483" s="94">
        <f t="shared" ref="U1483:U1546" si="291">+T1483*(1+$U$4)</f>
        <v>3401.2333847529003</v>
      </c>
      <c r="V1483" s="94">
        <f t="shared" ref="V1483:V1546" si="292">+U1483*(1+$V$4)</f>
        <v>3540.3438301892938</v>
      </c>
      <c r="W1483" s="97">
        <f t="shared" si="289"/>
        <v>3652.9267639893137</v>
      </c>
      <c r="X1483" s="97">
        <f t="shared" si="290"/>
        <v>3791.7379810209077</v>
      </c>
      <c r="Y1483" s="97">
        <f t="shared" si="285"/>
        <v>3852.7849625153444</v>
      </c>
      <c r="Z1483" s="97">
        <f t="shared" si="287"/>
        <v>4069.3114774087071</v>
      </c>
      <c r="AA1483" s="97">
        <f t="shared" si="288"/>
        <v>4603.2051432447297</v>
      </c>
    </row>
    <row r="1484" spans="1:27" x14ac:dyDescent="0.25">
      <c r="A1484" s="102" t="s">
        <v>3326</v>
      </c>
      <c r="B1484" s="87" t="s">
        <v>3327</v>
      </c>
      <c r="C1484" s="88" t="s">
        <v>226</v>
      </c>
      <c r="D1484" s="89" t="s">
        <v>262</v>
      </c>
      <c r="E1484" s="90">
        <f t="shared" si="281"/>
        <v>9614</v>
      </c>
      <c r="F1484" s="90">
        <f t="shared" si="282"/>
        <v>8078.5775053503512</v>
      </c>
      <c r="G1484" s="91">
        <v>0.19</v>
      </c>
      <c r="H1484" s="91" t="s">
        <v>228</v>
      </c>
      <c r="I1484" s="91"/>
      <c r="J1484" s="91" t="s">
        <v>228</v>
      </c>
      <c r="K1484" s="91"/>
      <c r="L1484" s="92" t="s">
        <v>2860</v>
      </c>
      <c r="M1484" s="91" t="str">
        <f t="shared" si="283"/>
        <v>VER ARCHIVO ANEXO</v>
      </c>
      <c r="N1484" s="93">
        <v>41608</v>
      </c>
      <c r="O1484" s="109"/>
      <c r="P1484" s="109"/>
      <c r="Q1484" s="94">
        <v>1335</v>
      </c>
      <c r="R1484" s="95">
        <f t="shared" si="286"/>
        <v>8078.5775053503512</v>
      </c>
      <c r="S1484" s="109">
        <v>5286.66</v>
      </c>
      <c r="T1484" s="94">
        <f t="shared" si="284"/>
        <v>5644.5668820000001</v>
      </c>
      <c r="U1484" s="94">
        <f t="shared" si="291"/>
        <v>5969.1294777150006</v>
      </c>
      <c r="V1484" s="94">
        <f t="shared" si="292"/>
        <v>6213.2668733535438</v>
      </c>
      <c r="W1484" s="97">
        <f t="shared" si="289"/>
        <v>6410.8487599261871</v>
      </c>
      <c r="X1484" s="97">
        <f t="shared" si="290"/>
        <v>6654.4610128033828</v>
      </c>
      <c r="Y1484" s="97">
        <f t="shared" si="285"/>
        <v>6761.5978351095173</v>
      </c>
      <c r="Z1484" s="97">
        <f t="shared" si="287"/>
        <v>7141.5996334426727</v>
      </c>
      <c r="AA1484" s="97">
        <f t="shared" si="288"/>
        <v>8078.5775053503512</v>
      </c>
    </row>
    <row r="1485" spans="1:27" x14ac:dyDescent="0.25">
      <c r="A1485" s="102" t="s">
        <v>3328</v>
      </c>
      <c r="B1485" s="87" t="s">
        <v>3329</v>
      </c>
      <c r="C1485" s="88" t="s">
        <v>226</v>
      </c>
      <c r="D1485" s="89" t="s">
        <v>4</v>
      </c>
      <c r="E1485" s="90">
        <f t="shared" ref="E1485:E1548" si="293">+ROUND(F1485*(1+G1485),0)</f>
        <v>10750</v>
      </c>
      <c r="F1485" s="90">
        <f t="shared" si="282"/>
        <v>9033.7504927476566</v>
      </c>
      <c r="G1485" s="91">
        <v>0.19</v>
      </c>
      <c r="H1485" s="91" t="s">
        <v>228</v>
      </c>
      <c r="I1485" s="91"/>
      <c r="J1485" s="91" t="s">
        <v>228</v>
      </c>
      <c r="K1485" s="91"/>
      <c r="L1485" s="92" t="s">
        <v>2860</v>
      </c>
      <c r="M1485" s="91" t="str">
        <f t="shared" si="283"/>
        <v>VER ARCHIVO ANEXO</v>
      </c>
      <c r="N1485" s="93">
        <v>41608</v>
      </c>
      <c r="O1485" s="109"/>
      <c r="P1485" s="109"/>
      <c r="Q1485" s="94">
        <v>1336</v>
      </c>
      <c r="R1485" s="95">
        <f t="shared" si="286"/>
        <v>9033.7504927476566</v>
      </c>
      <c r="S1485" s="109">
        <v>5911.7298000000001</v>
      </c>
      <c r="T1485" s="94">
        <f t="shared" si="284"/>
        <v>6311.9539074600007</v>
      </c>
      <c r="U1485" s="94">
        <f t="shared" si="291"/>
        <v>6674.891257138951</v>
      </c>
      <c r="V1485" s="94">
        <f t="shared" si="292"/>
        <v>6947.8943095559334</v>
      </c>
      <c r="W1485" s="97">
        <f t="shared" si="289"/>
        <v>7168.8373485998127</v>
      </c>
      <c r="X1485" s="97">
        <f t="shared" si="290"/>
        <v>7441.2531678466057</v>
      </c>
      <c r="Y1485" s="97">
        <f t="shared" si="285"/>
        <v>7561.0573438489364</v>
      </c>
      <c r="Z1485" s="97">
        <f t="shared" si="287"/>
        <v>7985.9887665732467</v>
      </c>
      <c r="AA1485" s="97">
        <f t="shared" si="288"/>
        <v>9033.7504927476566</v>
      </c>
    </row>
    <row r="1486" spans="1:27" x14ac:dyDescent="0.25">
      <c r="A1486" s="102" t="s">
        <v>3330</v>
      </c>
      <c r="B1486" s="119" t="s">
        <v>3331</v>
      </c>
      <c r="C1486" s="107" t="s">
        <v>226</v>
      </c>
      <c r="D1486" s="124" t="s">
        <v>262</v>
      </c>
      <c r="E1486" s="90">
        <f t="shared" si="293"/>
        <v>188864</v>
      </c>
      <c r="F1486" s="90">
        <f t="shared" si="282"/>
        <v>158709.19921442505</v>
      </c>
      <c r="G1486" s="91">
        <v>0.19</v>
      </c>
      <c r="H1486" s="91" t="s">
        <v>228</v>
      </c>
      <c r="I1486" s="91"/>
      <c r="J1486" s="91" t="s">
        <v>228</v>
      </c>
      <c r="K1486" s="91"/>
      <c r="L1486" s="92" t="s">
        <v>1262</v>
      </c>
      <c r="M1486" s="91" t="str">
        <f t="shared" si="283"/>
        <v>VER ARCHIVO ANEXO</v>
      </c>
      <c r="N1486" s="93">
        <v>41608</v>
      </c>
      <c r="O1486" s="109"/>
      <c r="P1486" s="109"/>
      <c r="Q1486" s="94">
        <v>1337</v>
      </c>
      <c r="R1486" s="95">
        <f t="shared" si="286"/>
        <v>158709.19921442505</v>
      </c>
      <c r="S1486" s="109">
        <v>103860.0638</v>
      </c>
      <c r="T1486" s="94">
        <f t="shared" si="284"/>
        <v>110891.39011926002</v>
      </c>
      <c r="U1486" s="94">
        <f t="shared" si="291"/>
        <v>117267.64505111748</v>
      </c>
      <c r="V1486" s="94">
        <f t="shared" si="292"/>
        <v>122063.89173370818</v>
      </c>
      <c r="W1486" s="97">
        <f t="shared" si="289"/>
        <v>125945.5234908401</v>
      </c>
      <c r="X1486" s="97">
        <f t="shared" si="290"/>
        <v>130731.45338349203</v>
      </c>
      <c r="Y1486" s="97">
        <f t="shared" si="285"/>
        <v>132836.22978296626</v>
      </c>
      <c r="Z1486" s="97">
        <f t="shared" si="287"/>
        <v>140301.62589676896</v>
      </c>
      <c r="AA1486" s="97">
        <f t="shared" si="288"/>
        <v>158709.19921442505</v>
      </c>
    </row>
    <row r="1487" spans="1:27" x14ac:dyDescent="0.25">
      <c r="A1487" s="102" t="s">
        <v>3332</v>
      </c>
      <c r="B1487" s="119" t="s">
        <v>3333</v>
      </c>
      <c r="C1487" s="107" t="s">
        <v>226</v>
      </c>
      <c r="D1487" s="124" t="s">
        <v>262</v>
      </c>
      <c r="E1487" s="90">
        <f t="shared" si="293"/>
        <v>201786</v>
      </c>
      <c r="F1487" s="90">
        <f t="shared" si="282"/>
        <v>169567.75780249891</v>
      </c>
      <c r="G1487" s="91">
        <v>0.19</v>
      </c>
      <c r="H1487" s="91" t="s">
        <v>228</v>
      </c>
      <c r="I1487" s="91"/>
      <c r="J1487" s="91" t="s">
        <v>228</v>
      </c>
      <c r="K1487" s="91"/>
      <c r="L1487" s="92" t="s">
        <v>1262</v>
      </c>
      <c r="M1487" s="91" t="str">
        <f t="shared" si="283"/>
        <v>VER ARCHIVO ANEXO</v>
      </c>
      <c r="N1487" s="93">
        <v>41608</v>
      </c>
      <c r="O1487" s="109"/>
      <c r="P1487" s="109"/>
      <c r="Q1487" s="94">
        <v>1338</v>
      </c>
      <c r="R1487" s="95">
        <f t="shared" si="286"/>
        <v>169567.75780249891</v>
      </c>
      <c r="S1487" s="109">
        <v>110965.9568</v>
      </c>
      <c r="T1487" s="94">
        <f t="shared" si="284"/>
        <v>118478.35207536002</v>
      </c>
      <c r="U1487" s="94">
        <f t="shared" si="291"/>
        <v>125290.85731969323</v>
      </c>
      <c r="V1487" s="94">
        <f t="shared" si="292"/>
        <v>130415.25338406867</v>
      </c>
      <c r="W1487" s="97">
        <f t="shared" si="289"/>
        <v>134562.45844168204</v>
      </c>
      <c r="X1487" s="97">
        <f t="shared" si="290"/>
        <v>139675.83186246597</v>
      </c>
      <c r="Y1487" s="97">
        <f t="shared" si="285"/>
        <v>141924.61275545167</v>
      </c>
      <c r="Z1487" s="97">
        <f t="shared" si="287"/>
        <v>149900.77599230807</v>
      </c>
      <c r="AA1487" s="97">
        <f t="shared" si="288"/>
        <v>169567.75780249891</v>
      </c>
    </row>
    <row r="1488" spans="1:27" x14ac:dyDescent="0.25">
      <c r="A1488" s="102" t="s">
        <v>3334</v>
      </c>
      <c r="B1488" s="119" t="s">
        <v>3335</v>
      </c>
      <c r="C1488" s="107" t="s">
        <v>226</v>
      </c>
      <c r="D1488" s="124" t="s">
        <v>262</v>
      </c>
      <c r="E1488" s="90">
        <f t="shared" si="293"/>
        <v>238564</v>
      </c>
      <c r="F1488" s="90">
        <f t="shared" si="282"/>
        <v>200473.86088228138</v>
      </c>
      <c r="G1488" s="91">
        <v>0.19</v>
      </c>
      <c r="H1488" s="91" t="s">
        <v>228</v>
      </c>
      <c r="I1488" s="91"/>
      <c r="J1488" s="91" t="s">
        <v>228</v>
      </c>
      <c r="K1488" s="91"/>
      <c r="L1488" s="92" t="s">
        <v>1262</v>
      </c>
      <c r="M1488" s="91" t="str">
        <f t="shared" si="283"/>
        <v>VER ARCHIVO ANEXO</v>
      </c>
      <c r="N1488" s="93">
        <v>41608</v>
      </c>
      <c r="O1488" s="109"/>
      <c r="P1488" s="109"/>
      <c r="Q1488" s="94">
        <v>1339</v>
      </c>
      <c r="R1488" s="95">
        <f t="shared" si="286"/>
        <v>200473.86088228138</v>
      </c>
      <c r="S1488" s="109">
        <v>131191.0594</v>
      </c>
      <c r="T1488" s="94">
        <f t="shared" si="284"/>
        <v>140072.69412138002</v>
      </c>
      <c r="U1488" s="94">
        <f t="shared" si="291"/>
        <v>148126.87403335937</v>
      </c>
      <c r="V1488" s="94">
        <f t="shared" si="292"/>
        <v>154185.26318132377</v>
      </c>
      <c r="W1488" s="97">
        <f t="shared" si="289"/>
        <v>159088.35455048986</v>
      </c>
      <c r="X1488" s="97">
        <f t="shared" si="290"/>
        <v>165133.71202340847</v>
      </c>
      <c r="Y1488" s="97">
        <f t="shared" si="285"/>
        <v>167792.36478698536</v>
      </c>
      <c r="Z1488" s="97">
        <f t="shared" si="287"/>
        <v>177222.29568801395</v>
      </c>
      <c r="AA1488" s="97">
        <f t="shared" si="288"/>
        <v>200473.86088228138</v>
      </c>
    </row>
    <row r="1489" spans="1:27" x14ac:dyDescent="0.25">
      <c r="A1489" s="102" t="s">
        <v>3336</v>
      </c>
      <c r="B1489" s="119" t="s">
        <v>3337</v>
      </c>
      <c r="C1489" s="107" t="s">
        <v>226</v>
      </c>
      <c r="D1489" s="124" t="s">
        <v>262</v>
      </c>
      <c r="E1489" s="90">
        <f t="shared" si="293"/>
        <v>428457</v>
      </c>
      <c r="F1489" s="90">
        <f t="shared" si="282"/>
        <v>360047.94310022041</v>
      </c>
      <c r="G1489" s="91">
        <v>0.19</v>
      </c>
      <c r="H1489" s="91" t="s">
        <v>228</v>
      </c>
      <c r="I1489" s="91"/>
      <c r="J1489" s="91" t="s">
        <v>228</v>
      </c>
      <c r="K1489" s="91"/>
      <c r="L1489" s="92" t="s">
        <v>1262</v>
      </c>
      <c r="M1489" s="91" t="str">
        <f t="shared" si="283"/>
        <v>VER ARCHIVO ANEXO</v>
      </c>
      <c r="N1489" s="93">
        <v>41608</v>
      </c>
      <c r="O1489" s="109"/>
      <c r="P1489" s="109"/>
      <c r="Q1489" s="94">
        <v>1340</v>
      </c>
      <c r="R1489" s="95">
        <f t="shared" si="286"/>
        <v>360047.94310022041</v>
      </c>
      <c r="S1489" s="109">
        <v>235617.10679999998</v>
      </c>
      <c r="T1489" s="94">
        <f t="shared" si="284"/>
        <v>251568.38493036001</v>
      </c>
      <c r="U1489" s="94">
        <f t="shared" si="291"/>
        <v>266033.56706385576</v>
      </c>
      <c r="V1489" s="94">
        <f t="shared" si="292"/>
        <v>276914.33995676745</v>
      </c>
      <c r="W1489" s="97">
        <f t="shared" si="289"/>
        <v>285720.21596739267</v>
      </c>
      <c r="X1489" s="97">
        <f t="shared" si="290"/>
        <v>296577.58417415357</v>
      </c>
      <c r="Y1489" s="97">
        <f t="shared" si="285"/>
        <v>301352.48327935743</v>
      </c>
      <c r="Z1489" s="97">
        <f t="shared" si="287"/>
        <v>318288.49283965735</v>
      </c>
      <c r="AA1489" s="97">
        <f t="shared" si="288"/>
        <v>360047.94310022041</v>
      </c>
    </row>
    <row r="1490" spans="1:27" x14ac:dyDescent="0.25">
      <c r="A1490" s="102" t="s">
        <v>3338</v>
      </c>
      <c r="B1490" s="119" t="s">
        <v>3339</v>
      </c>
      <c r="C1490" s="107" t="s">
        <v>226</v>
      </c>
      <c r="D1490" s="124" t="s">
        <v>262</v>
      </c>
      <c r="E1490" s="90">
        <f t="shared" si="293"/>
        <v>588190</v>
      </c>
      <c r="F1490" s="90">
        <f t="shared" si="282"/>
        <v>494277.468438629</v>
      </c>
      <c r="G1490" s="91">
        <v>0.19</v>
      </c>
      <c r="H1490" s="91" t="s">
        <v>228</v>
      </c>
      <c r="I1490" s="91"/>
      <c r="J1490" s="91" t="s">
        <v>228</v>
      </c>
      <c r="K1490" s="91"/>
      <c r="L1490" s="92" t="s">
        <v>1262</v>
      </c>
      <c r="M1490" s="91" t="str">
        <f t="shared" si="283"/>
        <v>VER ARCHIVO ANEXO</v>
      </c>
      <c r="N1490" s="93">
        <v>41608</v>
      </c>
      <c r="O1490" s="109"/>
      <c r="P1490" s="109"/>
      <c r="Q1490" s="94">
        <v>1341</v>
      </c>
      <c r="R1490" s="95">
        <f t="shared" si="286"/>
        <v>494277.468438629</v>
      </c>
      <c r="S1490" s="109">
        <v>323457.55420000001</v>
      </c>
      <c r="T1490" s="94">
        <f t="shared" si="284"/>
        <v>345355.63061934005</v>
      </c>
      <c r="U1490" s="94">
        <f t="shared" si="291"/>
        <v>365213.57937995216</v>
      </c>
      <c r="V1490" s="94">
        <f t="shared" si="292"/>
        <v>380150.81477659219</v>
      </c>
      <c r="W1490" s="97">
        <f t="shared" si="289"/>
        <v>392239.61068648787</v>
      </c>
      <c r="X1490" s="97">
        <f t="shared" si="290"/>
        <v>407144.7158925744</v>
      </c>
      <c r="Y1490" s="97">
        <f t="shared" si="285"/>
        <v>413699.74581844488</v>
      </c>
      <c r="Z1490" s="97">
        <f t="shared" si="287"/>
        <v>436949.67153344146</v>
      </c>
      <c r="AA1490" s="97">
        <f t="shared" si="288"/>
        <v>494277.468438629</v>
      </c>
    </row>
    <row r="1491" spans="1:27" x14ac:dyDescent="0.25">
      <c r="A1491" s="102" t="s">
        <v>3340</v>
      </c>
      <c r="B1491" s="119" t="s">
        <v>3341</v>
      </c>
      <c r="C1491" s="107" t="s">
        <v>226</v>
      </c>
      <c r="D1491" s="124" t="s">
        <v>262</v>
      </c>
      <c r="E1491" s="90">
        <f t="shared" si="293"/>
        <v>241405</v>
      </c>
      <c r="F1491" s="90">
        <f t="shared" si="282"/>
        <v>202861.00133337214</v>
      </c>
      <c r="G1491" s="91">
        <v>0.19</v>
      </c>
      <c r="H1491" s="91" t="s">
        <v>228</v>
      </c>
      <c r="I1491" s="91"/>
      <c r="J1491" s="91" t="s">
        <v>228</v>
      </c>
      <c r="K1491" s="91"/>
      <c r="L1491" s="92" t="s">
        <v>1262</v>
      </c>
      <c r="M1491" s="91" t="str">
        <f t="shared" si="283"/>
        <v>VER ARCHIVO ANEXO</v>
      </c>
      <c r="N1491" s="93">
        <v>41608</v>
      </c>
      <c r="O1491" s="109"/>
      <c r="P1491" s="109"/>
      <c r="Q1491" s="94">
        <v>1342</v>
      </c>
      <c r="R1491" s="95">
        <f t="shared" si="286"/>
        <v>202861.00133337214</v>
      </c>
      <c r="S1491" s="109">
        <v>132753.2156</v>
      </c>
      <c r="T1491" s="94">
        <f t="shared" si="284"/>
        <v>141740.60829612002</v>
      </c>
      <c r="U1491" s="94">
        <f t="shared" si="291"/>
        <v>149890.69327314693</v>
      </c>
      <c r="V1491" s="94">
        <f t="shared" si="292"/>
        <v>156021.22262801862</v>
      </c>
      <c r="W1491" s="97">
        <f t="shared" si="289"/>
        <v>160982.69750758962</v>
      </c>
      <c r="X1491" s="97">
        <f t="shared" si="290"/>
        <v>167100.04001287802</v>
      </c>
      <c r="Y1491" s="97">
        <f t="shared" si="285"/>
        <v>169790.35065708536</v>
      </c>
      <c r="Z1491" s="97">
        <f t="shared" si="287"/>
        <v>179332.56836401357</v>
      </c>
      <c r="AA1491" s="97">
        <f t="shared" si="288"/>
        <v>202861.00133337214</v>
      </c>
    </row>
    <row r="1492" spans="1:27" x14ac:dyDescent="0.25">
      <c r="A1492" s="102" t="s">
        <v>3342</v>
      </c>
      <c r="B1492" s="119" t="s">
        <v>3343</v>
      </c>
      <c r="C1492" s="107" t="s">
        <v>226</v>
      </c>
      <c r="D1492" s="124" t="s">
        <v>262</v>
      </c>
      <c r="E1492" s="90">
        <f t="shared" si="293"/>
        <v>910821</v>
      </c>
      <c r="F1492" s="90">
        <f t="shared" si="282"/>
        <v>765396.11355299153</v>
      </c>
      <c r="G1492" s="91">
        <v>0.19</v>
      </c>
      <c r="H1492" s="91" t="s">
        <v>228</v>
      </c>
      <c r="I1492" s="91"/>
      <c r="J1492" s="91" t="s">
        <v>228</v>
      </c>
      <c r="K1492" s="91"/>
      <c r="L1492" s="92" t="s">
        <v>1262</v>
      </c>
      <c r="M1492" s="91" t="str">
        <f t="shared" si="283"/>
        <v>VER ARCHIVO ANEXO</v>
      </c>
      <c r="N1492" s="93">
        <v>41608</v>
      </c>
      <c r="O1492" s="109"/>
      <c r="P1492" s="109"/>
      <c r="Q1492" s="94">
        <v>1343</v>
      </c>
      <c r="R1492" s="95">
        <f t="shared" si="286"/>
        <v>765396.11355299153</v>
      </c>
      <c r="S1492" s="109">
        <v>500878.90039999998</v>
      </c>
      <c r="T1492" s="94">
        <f t="shared" si="284"/>
        <v>534788.40195708</v>
      </c>
      <c r="U1492" s="94">
        <f t="shared" si="291"/>
        <v>565538.73506961216</v>
      </c>
      <c r="V1492" s="94">
        <f t="shared" si="292"/>
        <v>588669.26933395921</v>
      </c>
      <c r="W1492" s="97">
        <f t="shared" si="289"/>
        <v>607388.95209877915</v>
      </c>
      <c r="X1492" s="97">
        <f t="shared" si="290"/>
        <v>630469.73227853281</v>
      </c>
      <c r="Y1492" s="97">
        <f t="shared" si="285"/>
        <v>640620.29496821715</v>
      </c>
      <c r="Z1492" s="97">
        <f t="shared" si="287"/>
        <v>676623.15554543096</v>
      </c>
      <c r="AA1492" s="97">
        <f t="shared" si="288"/>
        <v>765396.11355299153</v>
      </c>
    </row>
    <row r="1493" spans="1:27" x14ac:dyDescent="0.25">
      <c r="A1493" s="102" t="s">
        <v>3344</v>
      </c>
      <c r="B1493" s="119" t="s">
        <v>3345</v>
      </c>
      <c r="C1493" s="107" t="s">
        <v>226</v>
      </c>
      <c r="D1493" s="124" t="s">
        <v>262</v>
      </c>
      <c r="E1493" s="90">
        <f t="shared" si="293"/>
        <v>631451</v>
      </c>
      <c r="F1493" s="90">
        <f t="shared" si="282"/>
        <v>530631.0672127055</v>
      </c>
      <c r="G1493" s="91">
        <v>0.19</v>
      </c>
      <c r="H1493" s="91" t="s">
        <v>228</v>
      </c>
      <c r="I1493" s="91"/>
      <c r="J1493" s="91" t="s">
        <v>228</v>
      </c>
      <c r="K1493" s="91"/>
      <c r="L1493" s="92" t="s">
        <v>1262</v>
      </c>
      <c r="M1493" s="91" t="str">
        <f t="shared" si="283"/>
        <v>VER ARCHIVO ANEXO</v>
      </c>
      <c r="N1493" s="93">
        <v>41608</v>
      </c>
      <c r="O1493" s="109"/>
      <c r="P1493" s="109"/>
      <c r="Q1493" s="94">
        <v>1344</v>
      </c>
      <c r="R1493" s="95">
        <f t="shared" si="286"/>
        <v>530631.0672127055</v>
      </c>
      <c r="S1493" s="109">
        <v>347247.52419999999</v>
      </c>
      <c r="T1493" s="94">
        <f t="shared" si="284"/>
        <v>370756.18158834003</v>
      </c>
      <c r="U1493" s="94">
        <f t="shared" si="291"/>
        <v>392074.66202966962</v>
      </c>
      <c r="V1493" s="94">
        <f t="shared" si="292"/>
        <v>408110.5157066831</v>
      </c>
      <c r="W1493" s="97">
        <f t="shared" si="289"/>
        <v>421088.43010615563</v>
      </c>
      <c r="X1493" s="97">
        <f t="shared" si="290"/>
        <v>437089.79045018955</v>
      </c>
      <c r="Y1493" s="97">
        <f t="shared" si="285"/>
        <v>444126.93607643759</v>
      </c>
      <c r="Z1493" s="97">
        <f t="shared" si="287"/>
        <v>469086.8698839334</v>
      </c>
      <c r="AA1493" s="97">
        <f t="shared" si="288"/>
        <v>530631.0672127055</v>
      </c>
    </row>
    <row r="1494" spans="1:27" x14ac:dyDescent="0.25">
      <c r="A1494" s="102" t="s">
        <v>3346</v>
      </c>
      <c r="B1494" s="119" t="s">
        <v>3347</v>
      </c>
      <c r="C1494" s="107" t="s">
        <v>226</v>
      </c>
      <c r="D1494" s="124" t="s">
        <v>262</v>
      </c>
      <c r="E1494" s="90">
        <f t="shared" si="293"/>
        <v>2458081</v>
      </c>
      <c r="F1494" s="90">
        <f t="shared" si="282"/>
        <v>2065614.6504126417</v>
      </c>
      <c r="G1494" s="91">
        <v>0.19</v>
      </c>
      <c r="H1494" s="91" t="s">
        <v>228</v>
      </c>
      <c r="I1494" s="91"/>
      <c r="J1494" s="91" t="s">
        <v>228</v>
      </c>
      <c r="K1494" s="91"/>
      <c r="L1494" s="92" t="s">
        <v>1262</v>
      </c>
      <c r="M1494" s="91" t="str">
        <f t="shared" si="283"/>
        <v>VER ARCHIVO ANEXO</v>
      </c>
      <c r="N1494" s="93">
        <v>41608</v>
      </c>
      <c r="O1494" s="109"/>
      <c r="P1494" s="109"/>
      <c r="Q1494" s="94">
        <v>1345</v>
      </c>
      <c r="R1494" s="95">
        <f t="shared" si="286"/>
        <v>2065614.6504126417</v>
      </c>
      <c r="S1494" s="109">
        <v>1351748.1686</v>
      </c>
      <c r="T1494" s="94">
        <f t="shared" si="284"/>
        <v>1443261.5196142201</v>
      </c>
      <c r="U1494" s="94">
        <f t="shared" si="291"/>
        <v>1526249.0569920379</v>
      </c>
      <c r="V1494" s="94">
        <f t="shared" si="292"/>
        <v>1588672.6434230122</v>
      </c>
      <c r="W1494" s="97">
        <f t="shared" si="289"/>
        <v>1639192.4334838642</v>
      </c>
      <c r="X1494" s="97">
        <f t="shared" si="290"/>
        <v>1701481.7459562512</v>
      </c>
      <c r="Y1494" s="97">
        <f t="shared" si="285"/>
        <v>1728875.6020661469</v>
      </c>
      <c r="Z1494" s="97">
        <f t="shared" si="287"/>
        <v>1826038.4109022645</v>
      </c>
      <c r="AA1494" s="97">
        <f t="shared" si="288"/>
        <v>2065614.6504126417</v>
      </c>
    </row>
    <row r="1495" spans="1:27" x14ac:dyDescent="0.25">
      <c r="A1495" s="102" t="s">
        <v>3348</v>
      </c>
      <c r="B1495" s="87" t="s">
        <v>3349</v>
      </c>
      <c r="C1495" s="88" t="s">
        <v>226</v>
      </c>
      <c r="D1495" s="89" t="s">
        <v>262</v>
      </c>
      <c r="E1495" s="90">
        <f t="shared" si="293"/>
        <v>18009</v>
      </c>
      <c r="F1495" s="90">
        <f t="shared" si="282"/>
        <v>15133.868526689661</v>
      </c>
      <c r="G1495" s="91">
        <v>0.19</v>
      </c>
      <c r="H1495" s="91" t="s">
        <v>228</v>
      </c>
      <c r="I1495" s="91"/>
      <c r="J1495" s="91" t="s">
        <v>228</v>
      </c>
      <c r="K1495" s="91"/>
      <c r="L1495" s="92" t="s">
        <v>1262</v>
      </c>
      <c r="M1495" s="91" t="str">
        <f t="shared" si="283"/>
        <v>VER ARCHIVO ANEXO</v>
      </c>
      <c r="N1495" s="93">
        <v>41608</v>
      </c>
      <c r="O1495" s="109"/>
      <c r="P1495" s="109"/>
      <c r="Q1495" s="94">
        <v>1346</v>
      </c>
      <c r="R1495" s="95">
        <f t="shared" si="286"/>
        <v>15133.868526689661</v>
      </c>
      <c r="S1495" s="109">
        <v>9903.6764000000003</v>
      </c>
      <c r="T1495" s="94">
        <f t="shared" si="284"/>
        <v>10574.155292280002</v>
      </c>
      <c r="U1495" s="94">
        <f t="shared" si="291"/>
        <v>11182.169221586104</v>
      </c>
      <c r="V1495" s="94">
        <f t="shared" si="292"/>
        <v>11639.519942748975</v>
      </c>
      <c r="W1495" s="97">
        <f t="shared" si="289"/>
        <v>12009.656676928393</v>
      </c>
      <c r="X1495" s="97">
        <f t="shared" si="290"/>
        <v>12466.023630651673</v>
      </c>
      <c r="Y1495" s="97">
        <f t="shared" si="285"/>
        <v>12666.726611105165</v>
      </c>
      <c r="Z1495" s="97">
        <f t="shared" si="287"/>
        <v>13378.596646649275</v>
      </c>
      <c r="AA1495" s="97">
        <f t="shared" si="288"/>
        <v>15133.868526689661</v>
      </c>
    </row>
    <row r="1496" spans="1:27" x14ac:dyDescent="0.25">
      <c r="A1496" s="102" t="s">
        <v>3350</v>
      </c>
      <c r="B1496" s="87" t="s">
        <v>3351</v>
      </c>
      <c r="C1496" s="88" t="s">
        <v>226</v>
      </c>
      <c r="D1496" s="89" t="s">
        <v>262</v>
      </c>
      <c r="E1496" s="90">
        <f t="shared" si="293"/>
        <v>22558</v>
      </c>
      <c r="F1496" s="90">
        <f t="shared" ref="F1496:F1559" si="294">R1496</f>
        <v>18956.14451108385</v>
      </c>
      <c r="G1496" s="91">
        <v>0.19</v>
      </c>
      <c r="H1496" s="91" t="s">
        <v>228</v>
      </c>
      <c r="I1496" s="91"/>
      <c r="J1496" s="91" t="s">
        <v>228</v>
      </c>
      <c r="K1496" s="91"/>
      <c r="L1496" s="92" t="s">
        <v>1262</v>
      </c>
      <c r="M1496" s="91" t="str">
        <f t="shared" si="283"/>
        <v>VER ARCHIVO ANEXO</v>
      </c>
      <c r="N1496" s="93">
        <v>41608</v>
      </c>
      <c r="O1496" s="109"/>
      <c r="P1496" s="109"/>
      <c r="Q1496" s="94">
        <v>1347</v>
      </c>
      <c r="R1496" s="95">
        <f t="shared" si="286"/>
        <v>18956.14451108385</v>
      </c>
      <c r="S1496" s="109">
        <v>12404.992199999999</v>
      </c>
      <c r="T1496" s="94">
        <f t="shared" si="284"/>
        <v>13244.81017194</v>
      </c>
      <c r="U1496" s="94">
        <f t="shared" si="291"/>
        <v>14006.386756826552</v>
      </c>
      <c r="V1496" s="94">
        <f t="shared" si="292"/>
        <v>14579.247975180757</v>
      </c>
      <c r="W1496" s="97">
        <f t="shared" si="289"/>
        <v>15042.868060791505</v>
      </c>
      <c r="X1496" s="97">
        <f t="shared" si="290"/>
        <v>15614.497047101582</v>
      </c>
      <c r="Y1496" s="97">
        <f t="shared" si="285"/>
        <v>15865.890449559918</v>
      </c>
      <c r="Z1496" s="97">
        <f t="shared" si="287"/>
        <v>16757.553492825187</v>
      </c>
      <c r="AA1496" s="97">
        <f t="shared" si="288"/>
        <v>18956.14451108385</v>
      </c>
    </row>
    <row r="1497" spans="1:27" x14ac:dyDescent="0.25">
      <c r="A1497" s="102" t="s">
        <v>3352</v>
      </c>
      <c r="B1497" s="87" t="s">
        <v>3353</v>
      </c>
      <c r="C1497" s="88" t="s">
        <v>226</v>
      </c>
      <c r="D1497" s="89" t="s">
        <v>262</v>
      </c>
      <c r="E1497" s="90">
        <f t="shared" si="293"/>
        <v>27003</v>
      </c>
      <c r="F1497" s="90">
        <f t="shared" si="294"/>
        <v>22691.298581204665</v>
      </c>
      <c r="G1497" s="91">
        <v>0.19</v>
      </c>
      <c r="H1497" s="91" t="s">
        <v>228</v>
      </c>
      <c r="I1497" s="91"/>
      <c r="J1497" s="91" t="s">
        <v>228</v>
      </c>
      <c r="K1497" s="91"/>
      <c r="L1497" s="92" t="s">
        <v>1262</v>
      </c>
      <c r="M1497" s="91" t="str">
        <f t="shared" si="283"/>
        <v>VER ARCHIVO ANEXO</v>
      </c>
      <c r="N1497" s="93">
        <v>41608</v>
      </c>
      <c r="O1497" s="109"/>
      <c r="P1497" s="109"/>
      <c r="Q1497" s="94">
        <v>1348</v>
      </c>
      <c r="R1497" s="95">
        <f t="shared" si="286"/>
        <v>22691.298581204665</v>
      </c>
      <c r="S1497" s="109">
        <v>14849.295</v>
      </c>
      <c r="T1497" s="94">
        <f t="shared" si="284"/>
        <v>15854.592271500002</v>
      </c>
      <c r="U1497" s="94">
        <f t="shared" si="291"/>
        <v>16766.231327111254</v>
      </c>
      <c r="V1497" s="94">
        <f t="shared" si="292"/>
        <v>17451.970188390103</v>
      </c>
      <c r="W1497" s="97">
        <f t="shared" si="289"/>
        <v>18006.942840380911</v>
      </c>
      <c r="X1497" s="97">
        <f t="shared" si="290"/>
        <v>18691.206668315386</v>
      </c>
      <c r="Y1497" s="97">
        <f t="shared" si="285"/>
        <v>18992.135095675265</v>
      </c>
      <c r="Z1497" s="97">
        <f t="shared" si="287"/>
        <v>20059.493088052215</v>
      </c>
      <c r="AA1497" s="97">
        <f t="shared" si="288"/>
        <v>22691.298581204665</v>
      </c>
    </row>
    <row r="1498" spans="1:27" x14ac:dyDescent="0.25">
      <c r="A1498" s="102" t="s">
        <v>3354</v>
      </c>
      <c r="B1498" s="87" t="s">
        <v>3355</v>
      </c>
      <c r="C1498" s="88" t="s">
        <v>226</v>
      </c>
      <c r="D1498" s="89" t="s">
        <v>262</v>
      </c>
      <c r="E1498" s="90">
        <f t="shared" si="293"/>
        <v>31670</v>
      </c>
      <c r="F1498" s="90">
        <f t="shared" si="294"/>
        <v>26613.368758312008</v>
      </c>
      <c r="G1498" s="91">
        <v>0.19</v>
      </c>
      <c r="H1498" s="91" t="s">
        <v>228</v>
      </c>
      <c r="I1498" s="91"/>
      <c r="J1498" s="91" t="s">
        <v>228</v>
      </c>
      <c r="K1498" s="91"/>
      <c r="L1498" s="92" t="s">
        <v>1262</v>
      </c>
      <c r="M1498" s="91" t="str">
        <f t="shared" si="283"/>
        <v>VER ARCHIVO ANEXO</v>
      </c>
      <c r="N1498" s="93">
        <v>41608</v>
      </c>
      <c r="O1498" s="109"/>
      <c r="P1498" s="109"/>
      <c r="Q1498" s="94">
        <v>1349</v>
      </c>
      <c r="R1498" s="95">
        <f t="shared" si="286"/>
        <v>26613.368758312008</v>
      </c>
      <c r="S1498" s="109">
        <v>17415.9166</v>
      </c>
      <c r="T1498" s="94">
        <f t="shared" si="284"/>
        <v>18594.974153820003</v>
      </c>
      <c r="U1498" s="94">
        <f t="shared" si="291"/>
        <v>19664.185167664655</v>
      </c>
      <c r="V1498" s="94">
        <f t="shared" si="292"/>
        <v>20468.450341022137</v>
      </c>
      <c r="W1498" s="97">
        <f t="shared" si="289"/>
        <v>21119.347061866643</v>
      </c>
      <c r="X1498" s="97">
        <f t="shared" si="290"/>
        <v>21921.882250217575</v>
      </c>
      <c r="Y1498" s="97">
        <f t="shared" si="285"/>
        <v>22274.824554446077</v>
      </c>
      <c r="Z1498" s="97">
        <f t="shared" si="287"/>
        <v>23526.669694405948</v>
      </c>
      <c r="AA1498" s="97">
        <f t="shared" si="288"/>
        <v>26613.368758312008</v>
      </c>
    </row>
    <row r="1499" spans="1:27" x14ac:dyDescent="0.25">
      <c r="A1499" s="102" t="s">
        <v>3356</v>
      </c>
      <c r="B1499" s="87" t="s">
        <v>3357</v>
      </c>
      <c r="C1499" s="88" t="s">
        <v>226</v>
      </c>
      <c r="D1499" s="89" t="s">
        <v>262</v>
      </c>
      <c r="E1499" s="90">
        <f t="shared" si="293"/>
        <v>36390</v>
      </c>
      <c r="F1499" s="90">
        <f t="shared" si="294"/>
        <v>30579.791909958534</v>
      </c>
      <c r="G1499" s="91">
        <v>0.19</v>
      </c>
      <c r="H1499" s="91" t="s">
        <v>228</v>
      </c>
      <c r="I1499" s="91"/>
      <c r="J1499" s="91" t="s">
        <v>228</v>
      </c>
      <c r="K1499" s="91"/>
      <c r="L1499" s="92" t="s">
        <v>1262</v>
      </c>
      <c r="M1499" s="91" t="str">
        <f t="shared" si="283"/>
        <v>VER ARCHIVO ANEXO</v>
      </c>
      <c r="N1499" s="93">
        <v>41608</v>
      </c>
      <c r="O1499" s="109"/>
      <c r="P1499" s="109"/>
      <c r="Q1499" s="94">
        <v>1350</v>
      </c>
      <c r="R1499" s="95">
        <f t="shared" si="286"/>
        <v>30579.791909958534</v>
      </c>
      <c r="S1499" s="109">
        <v>20011.562999999998</v>
      </c>
      <c r="T1499" s="94">
        <f t="shared" si="284"/>
        <v>21366.345815100001</v>
      </c>
      <c r="U1499" s="94">
        <f t="shared" si="291"/>
        <v>22594.910699468255</v>
      </c>
      <c r="V1499" s="94">
        <f t="shared" si="292"/>
        <v>23519.042547076504</v>
      </c>
      <c r="W1499" s="97">
        <f t="shared" si="289"/>
        <v>24266.94810007354</v>
      </c>
      <c r="X1499" s="97">
        <f t="shared" si="290"/>
        <v>25189.092127876334</v>
      </c>
      <c r="Y1499" s="97">
        <f t="shared" si="285"/>
        <v>25594.636511135144</v>
      </c>
      <c r="Z1499" s="97">
        <f t="shared" si="287"/>
        <v>27033.055083060939</v>
      </c>
      <c r="AA1499" s="97">
        <f t="shared" si="288"/>
        <v>30579.791909958534</v>
      </c>
    </row>
    <row r="1500" spans="1:27" x14ac:dyDescent="0.25">
      <c r="A1500" s="102" t="s">
        <v>3358</v>
      </c>
      <c r="B1500" s="87" t="s">
        <v>3359</v>
      </c>
      <c r="C1500" s="88" t="s">
        <v>226</v>
      </c>
      <c r="D1500" s="89" t="s">
        <v>262</v>
      </c>
      <c r="E1500" s="90">
        <f t="shared" si="293"/>
        <v>40963</v>
      </c>
      <c r="F1500" s="90">
        <f t="shared" si="294"/>
        <v>34422.660346817342</v>
      </c>
      <c r="G1500" s="91">
        <v>0.19</v>
      </c>
      <c r="H1500" s="91" t="s">
        <v>228</v>
      </c>
      <c r="I1500" s="91"/>
      <c r="J1500" s="91" t="s">
        <v>228</v>
      </c>
      <c r="K1500" s="91"/>
      <c r="L1500" s="92" t="s">
        <v>1262</v>
      </c>
      <c r="M1500" s="91" t="str">
        <f t="shared" si="283"/>
        <v>VER ARCHIVO ANEXO</v>
      </c>
      <c r="N1500" s="93">
        <v>41608</v>
      </c>
      <c r="O1500" s="109"/>
      <c r="P1500" s="109"/>
      <c r="Q1500" s="94">
        <v>1351</v>
      </c>
      <c r="R1500" s="95">
        <f t="shared" si="286"/>
        <v>34422.660346817342</v>
      </c>
      <c r="S1500" s="109">
        <v>22526.354599999999</v>
      </c>
      <c r="T1500" s="94">
        <f t="shared" si="284"/>
        <v>24051.38880642</v>
      </c>
      <c r="U1500" s="94">
        <f t="shared" si="291"/>
        <v>25434.343662789153</v>
      </c>
      <c r="V1500" s="94">
        <f t="shared" si="292"/>
        <v>26474.608318597227</v>
      </c>
      <c r="W1500" s="97">
        <f t="shared" si="289"/>
        <v>27316.500863128622</v>
      </c>
      <c r="X1500" s="97">
        <f t="shared" si="290"/>
        <v>28354.527895927509</v>
      </c>
      <c r="Y1500" s="97">
        <f t="shared" si="285"/>
        <v>28811.035795051943</v>
      </c>
      <c r="Z1500" s="97">
        <f t="shared" si="287"/>
        <v>30430.216006733863</v>
      </c>
      <c r="AA1500" s="97">
        <f t="shared" si="288"/>
        <v>34422.660346817342</v>
      </c>
    </row>
    <row r="1501" spans="1:27" x14ac:dyDescent="0.25">
      <c r="A1501" s="102" t="s">
        <v>3360</v>
      </c>
      <c r="B1501" s="98" t="s">
        <v>3361</v>
      </c>
      <c r="C1501" s="99" t="s">
        <v>226</v>
      </c>
      <c r="D1501" s="100" t="s">
        <v>262</v>
      </c>
      <c r="E1501" s="101">
        <f t="shared" si="293"/>
        <v>12322</v>
      </c>
      <c r="F1501" s="90">
        <f t="shared" si="294"/>
        <v>10354.835520093184</v>
      </c>
      <c r="G1501" s="91">
        <v>0.19</v>
      </c>
      <c r="H1501" s="91" t="s">
        <v>228</v>
      </c>
      <c r="I1501" s="91"/>
      <c r="J1501" s="91" t="s">
        <v>228</v>
      </c>
      <c r="K1501" s="91"/>
      <c r="L1501" s="92" t="s">
        <v>1262</v>
      </c>
      <c r="M1501" s="91" t="str">
        <f t="shared" si="283"/>
        <v>VER ARCHIVO ANEXO</v>
      </c>
      <c r="N1501" s="93">
        <v>41608</v>
      </c>
      <c r="O1501" s="109"/>
      <c r="P1501" s="109"/>
      <c r="Q1501" s="94">
        <v>1352</v>
      </c>
      <c r="R1501" s="95">
        <f t="shared" si="286"/>
        <v>10354.835520093184</v>
      </c>
      <c r="S1501" s="109">
        <v>6776.2541999999994</v>
      </c>
      <c r="T1501" s="94">
        <f t="shared" si="284"/>
        <v>7235.0066093400001</v>
      </c>
      <c r="U1501" s="94">
        <f t="shared" si="291"/>
        <v>7651.0194893770513</v>
      </c>
      <c r="V1501" s="94">
        <f t="shared" si="292"/>
        <v>7963.9461864925725</v>
      </c>
      <c r="W1501" s="97">
        <f t="shared" si="289"/>
        <v>8217.199675223037</v>
      </c>
      <c r="X1501" s="97">
        <f t="shared" si="290"/>
        <v>8529.4532628815123</v>
      </c>
      <c r="Y1501" s="97">
        <f t="shared" si="285"/>
        <v>8666.7774604139049</v>
      </c>
      <c r="Z1501" s="97">
        <f t="shared" si="287"/>
        <v>9153.8503536891658</v>
      </c>
      <c r="AA1501" s="97">
        <f t="shared" si="288"/>
        <v>10354.835520093184</v>
      </c>
    </row>
    <row r="1502" spans="1:27" x14ac:dyDescent="0.25">
      <c r="A1502" s="102" t="s">
        <v>3362</v>
      </c>
      <c r="B1502" s="87" t="s">
        <v>3363</v>
      </c>
      <c r="C1502" s="88" t="s">
        <v>226</v>
      </c>
      <c r="D1502" s="89" t="s">
        <v>255</v>
      </c>
      <c r="E1502" s="90">
        <f t="shared" si="293"/>
        <v>46839</v>
      </c>
      <c r="F1502" s="90">
        <f t="shared" si="294"/>
        <v>39360.09683391088</v>
      </c>
      <c r="G1502" s="91">
        <v>0.19</v>
      </c>
      <c r="H1502" s="91" t="s">
        <v>228</v>
      </c>
      <c r="I1502" s="91"/>
      <c r="J1502" s="91" t="s">
        <v>228</v>
      </c>
      <c r="K1502" s="91"/>
      <c r="L1502" s="92" t="s">
        <v>1262</v>
      </c>
      <c r="M1502" s="91" t="str">
        <f t="shared" si="283"/>
        <v>VER ARCHIVO ANEXO</v>
      </c>
      <c r="N1502" s="93">
        <v>41608</v>
      </c>
      <c r="O1502" s="109"/>
      <c r="P1502" s="109"/>
      <c r="Q1502" s="94">
        <v>1353</v>
      </c>
      <c r="R1502" s="95">
        <f t="shared" si="286"/>
        <v>39360.09683391088</v>
      </c>
      <c r="S1502" s="109">
        <v>25757.436799999999</v>
      </c>
      <c r="T1502" s="94">
        <f t="shared" si="284"/>
        <v>27501.215271360001</v>
      </c>
      <c r="U1502" s="94">
        <f t="shared" si="291"/>
        <v>29082.535149463205</v>
      </c>
      <c r="V1502" s="94">
        <f t="shared" si="292"/>
        <v>30272.01083707625</v>
      </c>
      <c r="W1502" s="97">
        <f t="shared" si="289"/>
        <v>31234.660781695275</v>
      </c>
      <c r="X1502" s="97">
        <f t="shared" si="290"/>
        <v>32421.577891399695</v>
      </c>
      <c r="Y1502" s="97">
        <f t="shared" si="285"/>
        <v>32943.565295451233</v>
      </c>
      <c r="Z1502" s="97">
        <f t="shared" si="287"/>
        <v>34794.99366505559</v>
      </c>
      <c r="AA1502" s="97">
        <f t="shared" si="288"/>
        <v>39360.09683391088</v>
      </c>
    </row>
    <row r="1503" spans="1:27" x14ac:dyDescent="0.25">
      <c r="A1503" s="102" t="s">
        <v>3364</v>
      </c>
      <c r="B1503" s="87" t="s">
        <v>3365</v>
      </c>
      <c r="C1503" s="88" t="s">
        <v>226</v>
      </c>
      <c r="D1503" s="89" t="s">
        <v>262</v>
      </c>
      <c r="E1503" s="90">
        <f t="shared" si="293"/>
        <v>7876</v>
      </c>
      <c r="F1503" s="90">
        <f t="shared" si="294"/>
        <v>6618.0974151674045</v>
      </c>
      <c r="G1503" s="91">
        <v>0.19</v>
      </c>
      <c r="H1503" s="91" t="s">
        <v>228</v>
      </c>
      <c r="I1503" s="91"/>
      <c r="J1503" s="91" t="s">
        <v>228</v>
      </c>
      <c r="K1503" s="91"/>
      <c r="L1503" s="92" t="s">
        <v>1262</v>
      </c>
      <c r="M1503" s="91" t="str">
        <f t="shared" si="283"/>
        <v>VER ARCHIVO ANEXO</v>
      </c>
      <c r="N1503" s="93">
        <v>41608</v>
      </c>
      <c r="O1503" s="109"/>
      <c r="P1503" s="109"/>
      <c r="Q1503" s="94">
        <v>1354</v>
      </c>
      <c r="R1503" s="95">
        <f t="shared" si="286"/>
        <v>6618.0974151674045</v>
      </c>
      <c r="S1503" s="109">
        <v>4330.9147999999996</v>
      </c>
      <c r="T1503" s="94">
        <f t="shared" si="284"/>
        <v>4624.1177319600001</v>
      </c>
      <c r="U1503" s="94">
        <f t="shared" si="291"/>
        <v>4890.0045015477008</v>
      </c>
      <c r="V1503" s="94">
        <f t="shared" si="292"/>
        <v>5090.0056856610017</v>
      </c>
      <c r="W1503" s="97">
        <f t="shared" si="289"/>
        <v>5251.8678664650215</v>
      </c>
      <c r="X1503" s="97">
        <f t="shared" si="290"/>
        <v>5451.4388453906922</v>
      </c>
      <c r="Y1503" s="97">
        <f t="shared" si="285"/>
        <v>5539.2070108014823</v>
      </c>
      <c r="Z1503" s="97">
        <f t="shared" si="287"/>
        <v>5850.5104448085258</v>
      </c>
      <c r="AA1503" s="97">
        <f t="shared" si="288"/>
        <v>6618.0974151674045</v>
      </c>
    </row>
    <row r="1504" spans="1:27" x14ac:dyDescent="0.25">
      <c r="A1504" s="102" t="s">
        <v>3366</v>
      </c>
      <c r="B1504" s="87" t="s">
        <v>3367</v>
      </c>
      <c r="C1504" s="88" t="s">
        <v>226</v>
      </c>
      <c r="D1504" s="89" t="s">
        <v>262</v>
      </c>
      <c r="E1504" s="90">
        <f t="shared" si="293"/>
        <v>9630</v>
      </c>
      <c r="F1504" s="90">
        <f t="shared" si="294"/>
        <v>8092.8338185950843</v>
      </c>
      <c r="G1504" s="91">
        <v>0.19</v>
      </c>
      <c r="H1504" s="91" t="s">
        <v>228</v>
      </c>
      <c r="I1504" s="91"/>
      <c r="J1504" s="91" t="s">
        <v>228</v>
      </c>
      <c r="K1504" s="91"/>
      <c r="L1504" s="92" t="s">
        <v>1262</v>
      </c>
      <c r="M1504" s="91" t="str">
        <f t="shared" si="283"/>
        <v>VER ARCHIVO ANEXO</v>
      </c>
      <c r="N1504" s="93">
        <v>41608</v>
      </c>
      <c r="O1504" s="109"/>
      <c r="P1504" s="109"/>
      <c r="Q1504" s="94">
        <v>1355</v>
      </c>
      <c r="R1504" s="95">
        <f t="shared" si="286"/>
        <v>8092.8338185950843</v>
      </c>
      <c r="S1504" s="109">
        <v>5295.9893999999995</v>
      </c>
      <c r="T1504" s="94">
        <f t="shared" si="284"/>
        <v>5654.5278823799999</v>
      </c>
      <c r="U1504" s="94">
        <f t="shared" si="291"/>
        <v>5979.6632356168502</v>
      </c>
      <c r="V1504" s="94">
        <f t="shared" si="292"/>
        <v>6224.2314619535791</v>
      </c>
      <c r="W1504" s="97">
        <f t="shared" si="289"/>
        <v>6422.1620224437029</v>
      </c>
      <c r="X1504" s="97">
        <f t="shared" si="290"/>
        <v>6666.2041792965638</v>
      </c>
      <c r="Y1504" s="97">
        <f t="shared" si="285"/>
        <v>6773.5300665832383</v>
      </c>
      <c r="Z1504" s="97">
        <f t="shared" si="287"/>
        <v>7154.2024563252162</v>
      </c>
      <c r="AA1504" s="97">
        <f t="shared" si="288"/>
        <v>8092.8338185950843</v>
      </c>
    </row>
    <row r="1505" spans="1:27" x14ac:dyDescent="0.25">
      <c r="A1505" s="102" t="s">
        <v>3368</v>
      </c>
      <c r="B1505" s="87" t="s">
        <v>3369</v>
      </c>
      <c r="C1505" s="88" t="s">
        <v>226</v>
      </c>
      <c r="D1505" s="89" t="s">
        <v>262</v>
      </c>
      <c r="E1505" s="90">
        <f t="shared" si="293"/>
        <v>9142</v>
      </c>
      <c r="F1505" s="90">
        <f t="shared" si="294"/>
        <v>7682.5688041076874</v>
      </c>
      <c r="G1505" s="91">
        <v>0.19</v>
      </c>
      <c r="H1505" s="91" t="s">
        <v>228</v>
      </c>
      <c r="I1505" s="91"/>
      <c r="J1505" s="91" t="s">
        <v>228</v>
      </c>
      <c r="K1505" s="91"/>
      <c r="L1505" s="92" t="s">
        <v>1262</v>
      </c>
      <c r="M1505" s="91" t="str">
        <f t="shared" si="283"/>
        <v>VER ARCHIVO ANEXO</v>
      </c>
      <c r="N1505" s="93">
        <v>41608</v>
      </c>
      <c r="O1505" s="109"/>
      <c r="P1505" s="109"/>
      <c r="Q1505" s="94">
        <v>1356</v>
      </c>
      <c r="R1505" s="95">
        <f t="shared" si="286"/>
        <v>7682.5688041076874</v>
      </c>
      <c r="S1505" s="109">
        <v>5027.51</v>
      </c>
      <c r="T1505" s="94">
        <f t="shared" si="284"/>
        <v>5367.8724270000012</v>
      </c>
      <c r="U1505" s="94">
        <f t="shared" si="291"/>
        <v>5676.5250915525021</v>
      </c>
      <c r="V1505" s="94">
        <f t="shared" si="292"/>
        <v>5908.6949677969988</v>
      </c>
      <c r="W1505" s="97">
        <f t="shared" si="289"/>
        <v>6096.5914677729434</v>
      </c>
      <c r="X1505" s="97">
        <f t="shared" si="290"/>
        <v>6328.2619435483157</v>
      </c>
      <c r="Y1505" s="97">
        <f t="shared" si="285"/>
        <v>6430.1469608394436</v>
      </c>
      <c r="Z1505" s="97">
        <f t="shared" si="287"/>
        <v>6791.5212200386204</v>
      </c>
      <c r="AA1505" s="97">
        <f t="shared" si="288"/>
        <v>7682.5688041076874</v>
      </c>
    </row>
    <row r="1506" spans="1:27" x14ac:dyDescent="0.25">
      <c r="A1506" s="102" t="s">
        <v>3370</v>
      </c>
      <c r="B1506" s="87" t="s">
        <v>3371</v>
      </c>
      <c r="C1506" s="88" t="s">
        <v>226</v>
      </c>
      <c r="D1506" s="89" t="s">
        <v>262</v>
      </c>
      <c r="E1506" s="90">
        <f t="shared" si="293"/>
        <v>8690</v>
      </c>
      <c r="F1506" s="90">
        <f t="shared" si="294"/>
        <v>7302.4004509147262</v>
      </c>
      <c r="G1506" s="91">
        <v>0.19</v>
      </c>
      <c r="H1506" s="91" t="s">
        <v>228</v>
      </c>
      <c r="I1506" s="91"/>
      <c r="J1506" s="91" t="s">
        <v>228</v>
      </c>
      <c r="K1506" s="91"/>
      <c r="L1506" s="92" t="s">
        <v>1262</v>
      </c>
      <c r="M1506" s="91" t="str">
        <f t="shared" ref="M1506:M1569" si="295">+IF(L1506="no aplica","no aplica","VER ARCHIVO ANEXO")</f>
        <v>VER ARCHIVO ANEXO</v>
      </c>
      <c r="N1506" s="93">
        <v>41608</v>
      </c>
      <c r="O1506" s="109"/>
      <c r="P1506" s="109"/>
      <c r="Q1506" s="94">
        <v>1357</v>
      </c>
      <c r="R1506" s="95">
        <f t="shared" si="286"/>
        <v>7302.4004509147262</v>
      </c>
      <c r="S1506" s="109">
        <v>4778.7259999999997</v>
      </c>
      <c r="T1506" s="94">
        <f t="shared" ref="T1506:T1569" si="296">+S1506*1.0677</f>
        <v>5102.2457501999997</v>
      </c>
      <c r="U1506" s="94">
        <f t="shared" si="291"/>
        <v>5395.6248808364999</v>
      </c>
      <c r="V1506" s="94">
        <f t="shared" si="292"/>
        <v>5616.3059384627122</v>
      </c>
      <c r="W1506" s="97">
        <f t="shared" si="289"/>
        <v>5794.904467305827</v>
      </c>
      <c r="X1506" s="97">
        <f t="shared" si="290"/>
        <v>6015.1108370634483</v>
      </c>
      <c r="Y1506" s="97">
        <f t="shared" si="285"/>
        <v>6111.9541215401696</v>
      </c>
      <c r="Z1506" s="97">
        <f t="shared" si="287"/>
        <v>6455.4459431707273</v>
      </c>
      <c r="AA1506" s="97">
        <f t="shared" si="288"/>
        <v>7302.4004509147262</v>
      </c>
    </row>
    <row r="1507" spans="1:27" x14ac:dyDescent="0.25">
      <c r="A1507" s="102" t="s">
        <v>3372</v>
      </c>
      <c r="B1507" s="87" t="s">
        <v>3373</v>
      </c>
      <c r="C1507" s="88" t="s">
        <v>226</v>
      </c>
      <c r="D1507" s="89" t="s">
        <v>262</v>
      </c>
      <c r="E1507" s="90">
        <f t="shared" si="293"/>
        <v>7621</v>
      </c>
      <c r="F1507" s="90">
        <f t="shared" si="294"/>
        <v>6404.2527164963676</v>
      </c>
      <c r="G1507" s="91">
        <v>0.19</v>
      </c>
      <c r="H1507" s="91" t="s">
        <v>228</v>
      </c>
      <c r="I1507" s="91"/>
      <c r="J1507" s="91" t="s">
        <v>228</v>
      </c>
      <c r="K1507" s="91"/>
      <c r="L1507" s="92" t="s">
        <v>1262</v>
      </c>
      <c r="M1507" s="91" t="str">
        <f t="shared" si="295"/>
        <v>VER ARCHIVO ANEXO</v>
      </c>
      <c r="N1507" s="93">
        <v>41608</v>
      </c>
      <c r="O1507" s="109"/>
      <c r="P1507" s="109"/>
      <c r="Q1507" s="94">
        <v>1358</v>
      </c>
      <c r="R1507" s="95">
        <f t="shared" si="286"/>
        <v>6404.2527164963676</v>
      </c>
      <c r="S1507" s="109">
        <v>4190.9737999999998</v>
      </c>
      <c r="T1507" s="94">
        <f t="shared" si="296"/>
        <v>4474.7027262600004</v>
      </c>
      <c r="U1507" s="94">
        <f t="shared" si="291"/>
        <v>4731.9981330199507</v>
      </c>
      <c r="V1507" s="94">
        <f t="shared" si="292"/>
        <v>4925.5368566604666</v>
      </c>
      <c r="W1507" s="97">
        <f t="shared" si="289"/>
        <v>5082.16892870227</v>
      </c>
      <c r="X1507" s="97">
        <f t="shared" si="290"/>
        <v>5275.2913479929566</v>
      </c>
      <c r="Y1507" s="97">
        <f t="shared" si="285"/>
        <v>5360.2235386956436</v>
      </c>
      <c r="Z1507" s="97">
        <f t="shared" si="287"/>
        <v>5661.4681015703391</v>
      </c>
      <c r="AA1507" s="97">
        <f t="shared" si="288"/>
        <v>6404.2527164963676</v>
      </c>
    </row>
    <row r="1508" spans="1:27" x14ac:dyDescent="0.25">
      <c r="A1508" s="102" t="s">
        <v>3374</v>
      </c>
      <c r="B1508" s="87" t="s">
        <v>3375</v>
      </c>
      <c r="C1508" s="88" t="s">
        <v>226</v>
      </c>
      <c r="D1508" s="89" t="s">
        <v>262</v>
      </c>
      <c r="E1508" s="90">
        <f t="shared" si="293"/>
        <v>3776</v>
      </c>
      <c r="F1508" s="90">
        <f t="shared" si="294"/>
        <v>3172.8217143562256</v>
      </c>
      <c r="G1508" s="91">
        <v>0.19</v>
      </c>
      <c r="H1508" s="91" t="s">
        <v>228</v>
      </c>
      <c r="I1508" s="91"/>
      <c r="J1508" s="91" t="s">
        <v>228</v>
      </c>
      <c r="K1508" s="91"/>
      <c r="L1508" s="92" t="s">
        <v>1262</v>
      </c>
      <c r="M1508" s="91" t="str">
        <f t="shared" si="295"/>
        <v>VER ARCHIVO ANEXO</v>
      </c>
      <c r="N1508" s="93">
        <v>41608</v>
      </c>
      <c r="O1508" s="109"/>
      <c r="P1508" s="109"/>
      <c r="Q1508" s="94">
        <v>1359</v>
      </c>
      <c r="R1508" s="95">
        <f t="shared" si="286"/>
        <v>3172.8217143562256</v>
      </c>
      <c r="S1508" s="109">
        <v>2076.3098</v>
      </c>
      <c r="T1508" s="94">
        <f t="shared" si="296"/>
        <v>2216.8759734600003</v>
      </c>
      <c r="U1508" s="94">
        <f t="shared" si="291"/>
        <v>2344.3463419339505</v>
      </c>
      <c r="V1508" s="94">
        <f t="shared" si="292"/>
        <v>2440.2301073190488</v>
      </c>
      <c r="W1508" s="97">
        <f t="shared" si="289"/>
        <v>2517.8294247317945</v>
      </c>
      <c r="X1508" s="97">
        <f t="shared" si="290"/>
        <v>2613.5069428716029</v>
      </c>
      <c r="Y1508" s="97">
        <f t="shared" si="285"/>
        <v>2655.5844046518355</v>
      </c>
      <c r="Z1508" s="97">
        <f t="shared" si="287"/>
        <v>2804.8282481932688</v>
      </c>
      <c r="AA1508" s="97">
        <f t="shared" si="288"/>
        <v>3172.8217143562256</v>
      </c>
    </row>
    <row r="1509" spans="1:27" x14ac:dyDescent="0.25">
      <c r="A1509" s="102" t="s">
        <v>3376</v>
      </c>
      <c r="B1509" s="87" t="s">
        <v>3377</v>
      </c>
      <c r="C1509" s="88" t="s">
        <v>226</v>
      </c>
      <c r="D1509" s="89" t="s">
        <v>262</v>
      </c>
      <c r="E1509" s="90">
        <f t="shared" si="293"/>
        <v>7602</v>
      </c>
      <c r="F1509" s="90">
        <f t="shared" si="294"/>
        <v>6388.4123684466585</v>
      </c>
      <c r="G1509" s="91">
        <v>0.19</v>
      </c>
      <c r="H1509" s="91" t="s">
        <v>228</v>
      </c>
      <c r="I1509" s="91"/>
      <c r="J1509" s="91" t="s">
        <v>228</v>
      </c>
      <c r="K1509" s="91"/>
      <c r="L1509" s="92" t="s">
        <v>1262</v>
      </c>
      <c r="M1509" s="91" t="str">
        <f t="shared" si="295"/>
        <v>VER ARCHIVO ANEXO</v>
      </c>
      <c r="N1509" s="93">
        <v>41608</v>
      </c>
      <c r="O1509" s="109"/>
      <c r="P1509" s="109"/>
      <c r="Q1509" s="94">
        <v>1360</v>
      </c>
      <c r="R1509" s="95">
        <f t="shared" si="286"/>
        <v>6388.4123684466585</v>
      </c>
      <c r="S1509" s="109">
        <v>4180.6077999999998</v>
      </c>
      <c r="T1509" s="94">
        <f t="shared" si="296"/>
        <v>4463.6349480600002</v>
      </c>
      <c r="U1509" s="94">
        <f t="shared" si="291"/>
        <v>4720.2939575734508</v>
      </c>
      <c r="V1509" s="94">
        <f t="shared" si="292"/>
        <v>4913.3539804382044</v>
      </c>
      <c r="W1509" s="97">
        <f t="shared" si="289"/>
        <v>5069.5986370161399</v>
      </c>
      <c r="X1509" s="97">
        <f t="shared" si="290"/>
        <v>5262.2433852227532</v>
      </c>
      <c r="Y1509" s="97">
        <f t="shared" si="285"/>
        <v>5346.9655037248394</v>
      </c>
      <c r="Z1509" s="97">
        <f t="shared" si="287"/>
        <v>5647.4649650341753</v>
      </c>
      <c r="AA1509" s="97">
        <f t="shared" si="288"/>
        <v>6388.4123684466585</v>
      </c>
    </row>
    <row r="1510" spans="1:27" x14ac:dyDescent="0.25">
      <c r="A1510" s="102" t="s">
        <v>3378</v>
      </c>
      <c r="B1510" s="87" t="s">
        <v>3379</v>
      </c>
      <c r="C1510" s="88" t="s">
        <v>226</v>
      </c>
      <c r="D1510" s="89" t="s">
        <v>262</v>
      </c>
      <c r="E1510" s="90">
        <f t="shared" si="293"/>
        <v>1815</v>
      </c>
      <c r="F1510" s="90">
        <f t="shared" si="294"/>
        <v>1525.4255171867424</v>
      </c>
      <c r="G1510" s="91">
        <v>0.19</v>
      </c>
      <c r="H1510" s="91" t="s">
        <v>228</v>
      </c>
      <c r="I1510" s="91"/>
      <c r="J1510" s="91" t="s">
        <v>228</v>
      </c>
      <c r="K1510" s="91"/>
      <c r="L1510" s="92" t="s">
        <v>1262</v>
      </c>
      <c r="M1510" s="91" t="str">
        <f t="shared" si="295"/>
        <v>VER ARCHIVO ANEXO</v>
      </c>
      <c r="N1510" s="93">
        <v>41608</v>
      </c>
      <c r="O1510" s="109"/>
      <c r="P1510" s="109"/>
      <c r="Q1510" s="94">
        <v>1361</v>
      </c>
      <c r="R1510" s="95">
        <f t="shared" si="286"/>
        <v>1525.4255171867424</v>
      </c>
      <c r="S1510" s="109">
        <v>998.24579999999992</v>
      </c>
      <c r="T1510" s="94">
        <f t="shared" si="296"/>
        <v>1065.82704066</v>
      </c>
      <c r="U1510" s="94">
        <f t="shared" si="291"/>
        <v>1127.1120954979501</v>
      </c>
      <c r="V1510" s="94">
        <f t="shared" si="292"/>
        <v>1173.2109802038162</v>
      </c>
      <c r="W1510" s="97">
        <f t="shared" si="289"/>
        <v>1210.5190893742977</v>
      </c>
      <c r="X1510" s="97">
        <f t="shared" si="290"/>
        <v>1256.518814770521</v>
      </c>
      <c r="Y1510" s="97">
        <f t="shared" si="285"/>
        <v>1276.7487676883263</v>
      </c>
      <c r="Z1510" s="97">
        <f t="shared" si="287"/>
        <v>1348.5020484324102</v>
      </c>
      <c r="AA1510" s="97">
        <f t="shared" si="288"/>
        <v>1525.4255171867424</v>
      </c>
    </row>
    <row r="1511" spans="1:27" x14ac:dyDescent="0.25">
      <c r="A1511" s="102" t="s">
        <v>3380</v>
      </c>
      <c r="B1511" s="87" t="s">
        <v>3381</v>
      </c>
      <c r="C1511" s="88" t="s">
        <v>226</v>
      </c>
      <c r="D1511" s="89" t="s">
        <v>262</v>
      </c>
      <c r="E1511" s="90">
        <f t="shared" si="293"/>
        <v>1088</v>
      </c>
      <c r="F1511" s="90">
        <f t="shared" si="294"/>
        <v>913.98808246806925</v>
      </c>
      <c r="G1511" s="91">
        <v>0.19</v>
      </c>
      <c r="H1511" s="91" t="s">
        <v>228</v>
      </c>
      <c r="I1511" s="91"/>
      <c r="J1511" s="91" t="s">
        <v>228</v>
      </c>
      <c r="K1511" s="91"/>
      <c r="L1511" s="92" t="s">
        <v>1262</v>
      </c>
      <c r="M1511" s="91" t="str">
        <f t="shared" si="295"/>
        <v>VER ARCHIVO ANEXO</v>
      </c>
      <c r="N1511" s="93">
        <v>41608</v>
      </c>
      <c r="O1511" s="109"/>
      <c r="P1511" s="109"/>
      <c r="Q1511" s="94">
        <v>1362</v>
      </c>
      <c r="R1511" s="95">
        <f t="shared" si="286"/>
        <v>913.98808246806925</v>
      </c>
      <c r="S1511" s="109">
        <v>598.1182</v>
      </c>
      <c r="T1511" s="94">
        <f t="shared" si="296"/>
        <v>638.61080214000003</v>
      </c>
      <c r="U1511" s="94">
        <f t="shared" si="291"/>
        <v>675.33092326305007</v>
      </c>
      <c r="V1511" s="94">
        <f t="shared" si="292"/>
        <v>702.95195802450883</v>
      </c>
      <c r="W1511" s="97">
        <f t="shared" si="289"/>
        <v>725.30583028968829</v>
      </c>
      <c r="X1511" s="97">
        <f t="shared" si="290"/>
        <v>752.8674518406965</v>
      </c>
      <c r="Y1511" s="97">
        <f t="shared" si="285"/>
        <v>764.98861781533174</v>
      </c>
      <c r="Z1511" s="97">
        <f t="shared" si="287"/>
        <v>807.9809781365534</v>
      </c>
      <c r="AA1511" s="97">
        <f t="shared" si="288"/>
        <v>913.98808246806925</v>
      </c>
    </row>
    <row r="1512" spans="1:27" x14ac:dyDescent="0.25">
      <c r="A1512" s="102" t="s">
        <v>3382</v>
      </c>
      <c r="B1512" s="87" t="s">
        <v>3383</v>
      </c>
      <c r="C1512" s="88" t="s">
        <v>226</v>
      </c>
      <c r="D1512" s="89" t="s">
        <v>262</v>
      </c>
      <c r="E1512" s="90">
        <f t="shared" si="293"/>
        <v>4458</v>
      </c>
      <c r="F1512" s="90">
        <f t="shared" si="294"/>
        <v>3746.2423137556038</v>
      </c>
      <c r="G1512" s="91">
        <v>0.19</v>
      </c>
      <c r="H1512" s="91" t="s">
        <v>228</v>
      </c>
      <c r="I1512" s="91"/>
      <c r="J1512" s="91" t="s">
        <v>228</v>
      </c>
      <c r="K1512" s="91"/>
      <c r="L1512" s="92" t="s">
        <v>1262</v>
      </c>
      <c r="M1512" s="91" t="str">
        <f t="shared" si="295"/>
        <v>VER ARCHIVO ANEXO</v>
      </c>
      <c r="N1512" s="93">
        <v>41608</v>
      </c>
      <c r="O1512" s="109"/>
      <c r="P1512" s="109"/>
      <c r="Q1512" s="94">
        <v>1363</v>
      </c>
      <c r="R1512" s="95">
        <f t="shared" si="286"/>
        <v>3746.2423137556038</v>
      </c>
      <c r="S1512" s="109">
        <v>2451.5589999999997</v>
      </c>
      <c r="T1512" s="94">
        <f t="shared" si="296"/>
        <v>2617.5295443</v>
      </c>
      <c r="U1512" s="94">
        <f t="shared" si="291"/>
        <v>2768.0374930972503</v>
      </c>
      <c r="V1512" s="94">
        <f t="shared" si="292"/>
        <v>2881.2502265649277</v>
      </c>
      <c r="W1512" s="97">
        <f t="shared" si="289"/>
        <v>2972.8739837696926</v>
      </c>
      <c r="X1512" s="97">
        <f t="shared" si="290"/>
        <v>3085.843195152941</v>
      </c>
      <c r="Y1512" s="97">
        <f t="shared" si="285"/>
        <v>3135.5252705949033</v>
      </c>
      <c r="Z1512" s="97">
        <f t="shared" si="287"/>
        <v>3311.7417908023372</v>
      </c>
      <c r="AA1512" s="97">
        <f t="shared" si="288"/>
        <v>3746.2423137556038</v>
      </c>
    </row>
    <row r="1513" spans="1:27" x14ac:dyDescent="0.25">
      <c r="A1513" s="102" t="s">
        <v>3384</v>
      </c>
      <c r="B1513" s="119" t="s">
        <v>3385</v>
      </c>
      <c r="C1513" s="107" t="s">
        <v>226</v>
      </c>
      <c r="D1513" s="124" t="s">
        <v>262</v>
      </c>
      <c r="E1513" s="90">
        <f t="shared" si="293"/>
        <v>2215</v>
      </c>
      <c r="F1513" s="90">
        <f t="shared" si="294"/>
        <v>1861.2408958405217</v>
      </c>
      <c r="G1513" s="91">
        <v>0.19</v>
      </c>
      <c r="H1513" s="91" t="s">
        <v>228</v>
      </c>
      <c r="I1513" s="91"/>
      <c r="J1513" s="91" t="s">
        <v>228</v>
      </c>
      <c r="K1513" s="91"/>
      <c r="L1513" s="92" t="s">
        <v>1262</v>
      </c>
      <c r="M1513" s="91" t="str">
        <f t="shared" si="295"/>
        <v>VER ARCHIVO ANEXO</v>
      </c>
      <c r="N1513" s="93">
        <v>41608</v>
      </c>
      <c r="O1513" s="109"/>
      <c r="P1513" s="109"/>
      <c r="Q1513" s="94">
        <v>1364</v>
      </c>
      <c r="R1513" s="95">
        <f t="shared" si="286"/>
        <v>1861.2408958405217</v>
      </c>
      <c r="S1513" s="109">
        <v>1218.0049999999999</v>
      </c>
      <c r="T1513" s="94">
        <f t="shared" si="296"/>
        <v>1300.4639385</v>
      </c>
      <c r="U1513" s="94">
        <f t="shared" si="291"/>
        <v>1375.2406149637502</v>
      </c>
      <c r="V1513" s="94">
        <f t="shared" si="292"/>
        <v>1431.4879561157675</v>
      </c>
      <c r="W1513" s="97">
        <f t="shared" si="289"/>
        <v>1477.009273120249</v>
      </c>
      <c r="X1513" s="97">
        <f t="shared" si="290"/>
        <v>1533.1356254988184</v>
      </c>
      <c r="Y1513" s="97">
        <f t="shared" si="285"/>
        <v>1557.8191090693495</v>
      </c>
      <c r="Z1513" s="97">
        <f t="shared" si="287"/>
        <v>1645.3685429990469</v>
      </c>
      <c r="AA1513" s="97">
        <f t="shared" si="288"/>
        <v>1861.2408958405217</v>
      </c>
    </row>
    <row r="1514" spans="1:27" x14ac:dyDescent="0.25">
      <c r="A1514" s="102" t="s">
        <v>3386</v>
      </c>
      <c r="B1514" s="87" t="s">
        <v>3387</v>
      </c>
      <c r="C1514" s="88" t="s">
        <v>226</v>
      </c>
      <c r="D1514" s="89" t="s">
        <v>262</v>
      </c>
      <c r="E1514" s="90">
        <f t="shared" si="293"/>
        <v>0</v>
      </c>
      <c r="F1514" s="90">
        <f t="shared" si="294"/>
        <v>0</v>
      </c>
      <c r="G1514" s="91">
        <v>0.19</v>
      </c>
      <c r="H1514" s="91" t="s">
        <v>228</v>
      </c>
      <c r="I1514" s="91"/>
      <c r="J1514" s="91" t="s">
        <v>228</v>
      </c>
      <c r="K1514" s="91"/>
      <c r="L1514" s="92" t="s">
        <v>1262</v>
      </c>
      <c r="M1514" s="91" t="str">
        <f t="shared" si="295"/>
        <v>VER ARCHIVO ANEXO</v>
      </c>
      <c r="N1514" s="93">
        <v>41608</v>
      </c>
      <c r="O1514" s="109"/>
      <c r="P1514" s="109"/>
      <c r="Q1514" s="94">
        <v>1365</v>
      </c>
      <c r="R1514" s="95">
        <f t="shared" si="286"/>
        <v>0</v>
      </c>
      <c r="S1514" s="109">
        <v>0</v>
      </c>
      <c r="T1514" s="94">
        <f t="shared" si="296"/>
        <v>0</v>
      </c>
      <c r="U1514" s="94">
        <f t="shared" si="291"/>
        <v>0</v>
      </c>
      <c r="V1514" s="94">
        <f t="shared" si="292"/>
        <v>0</v>
      </c>
      <c r="W1514" s="97">
        <f t="shared" si="289"/>
        <v>0</v>
      </c>
      <c r="X1514" s="97">
        <f t="shared" si="290"/>
        <v>0</v>
      </c>
      <c r="Y1514" s="97">
        <f t="shared" si="285"/>
        <v>0</v>
      </c>
      <c r="Z1514" s="97">
        <f t="shared" si="287"/>
        <v>0</v>
      </c>
      <c r="AA1514" s="97">
        <f t="shared" si="288"/>
        <v>0</v>
      </c>
    </row>
    <row r="1515" spans="1:27" x14ac:dyDescent="0.25">
      <c r="A1515" s="102" t="s">
        <v>3388</v>
      </c>
      <c r="B1515" s="87" t="s">
        <v>3389</v>
      </c>
      <c r="C1515" s="88" t="s">
        <v>226</v>
      </c>
      <c r="D1515" s="89" t="s">
        <v>262</v>
      </c>
      <c r="E1515" s="90">
        <f t="shared" si="293"/>
        <v>583719</v>
      </c>
      <c r="F1515" s="90">
        <f t="shared" si="294"/>
        <v>490520.13788123848</v>
      </c>
      <c r="G1515" s="91">
        <v>0.19</v>
      </c>
      <c r="H1515" s="91" t="s">
        <v>228</v>
      </c>
      <c r="I1515" s="91"/>
      <c r="J1515" s="91" t="s">
        <v>228</v>
      </c>
      <c r="K1515" s="91"/>
      <c r="L1515" s="92" t="s">
        <v>1262</v>
      </c>
      <c r="M1515" s="91" t="str">
        <f t="shared" si="295"/>
        <v>VER ARCHIVO ANEXO</v>
      </c>
      <c r="N1515" s="93">
        <v>41608</v>
      </c>
      <c r="O1515" s="109"/>
      <c r="P1515" s="109"/>
      <c r="Q1515" s="94">
        <v>1366</v>
      </c>
      <c r="R1515" s="95">
        <f t="shared" si="286"/>
        <v>490520.13788123848</v>
      </c>
      <c r="S1515" s="109">
        <v>320998.739</v>
      </c>
      <c r="T1515" s="94">
        <f t="shared" si="296"/>
        <v>342730.35363030003</v>
      </c>
      <c r="U1515" s="94">
        <f t="shared" si="291"/>
        <v>362437.34896404232</v>
      </c>
      <c r="V1515" s="94">
        <f t="shared" si="292"/>
        <v>377261.03653667163</v>
      </c>
      <c r="W1515" s="97">
        <f t="shared" si="289"/>
        <v>389257.93749853782</v>
      </c>
      <c r="X1515" s="97">
        <f t="shared" si="290"/>
        <v>404049.73912348226</v>
      </c>
      <c r="Y1515" s="97">
        <f t="shared" si="285"/>
        <v>410554.93992337032</v>
      </c>
      <c r="Z1515" s="97">
        <f t="shared" si="287"/>
        <v>433628.12754706375</v>
      </c>
      <c r="AA1515" s="97">
        <f t="shared" si="288"/>
        <v>490520.13788123848</v>
      </c>
    </row>
    <row r="1516" spans="1:27" x14ac:dyDescent="0.25">
      <c r="A1516" s="102" t="s">
        <v>3390</v>
      </c>
      <c r="B1516" s="87" t="s">
        <v>3391</v>
      </c>
      <c r="C1516" s="88" t="s">
        <v>226</v>
      </c>
      <c r="D1516" s="89" t="s">
        <v>262</v>
      </c>
      <c r="E1516" s="90">
        <f t="shared" si="293"/>
        <v>799619</v>
      </c>
      <c r="F1516" s="90">
        <f t="shared" si="294"/>
        <v>671949.14830335765</v>
      </c>
      <c r="G1516" s="91">
        <v>0.19</v>
      </c>
      <c r="H1516" s="91" t="s">
        <v>228</v>
      </c>
      <c r="I1516" s="91"/>
      <c r="J1516" s="91" t="s">
        <v>228</v>
      </c>
      <c r="K1516" s="91"/>
      <c r="L1516" s="92" t="s">
        <v>1262</v>
      </c>
      <c r="M1516" s="91" t="str">
        <f t="shared" si="295"/>
        <v>VER ARCHIVO ANEXO</v>
      </c>
      <c r="N1516" s="93">
        <v>41608</v>
      </c>
      <c r="O1516" s="109"/>
      <c r="P1516" s="109"/>
      <c r="Q1516" s="94">
        <v>1367</v>
      </c>
      <c r="R1516" s="95">
        <f t="shared" si="286"/>
        <v>671949.14830335765</v>
      </c>
      <c r="S1516" s="109">
        <v>439726.75659999996</v>
      </c>
      <c r="T1516" s="94">
        <f t="shared" si="296"/>
        <v>469496.25802181999</v>
      </c>
      <c r="U1516" s="94">
        <f t="shared" si="291"/>
        <v>496492.29285807471</v>
      </c>
      <c r="V1516" s="94">
        <f t="shared" si="292"/>
        <v>516798.82763596991</v>
      </c>
      <c r="W1516" s="97">
        <f t="shared" si="289"/>
        <v>533233.03035479377</v>
      </c>
      <c r="X1516" s="97">
        <f t="shared" si="290"/>
        <v>553495.88550827594</v>
      </c>
      <c r="Y1516" s="97">
        <f t="shared" si="285"/>
        <v>562407.16926495917</v>
      </c>
      <c r="Z1516" s="97">
        <f t="shared" si="287"/>
        <v>594014.45217764995</v>
      </c>
      <c r="AA1516" s="97">
        <f t="shared" si="288"/>
        <v>671949.14830335765</v>
      </c>
    </row>
    <row r="1517" spans="1:27" x14ac:dyDescent="0.25">
      <c r="A1517" s="102" t="s">
        <v>3392</v>
      </c>
      <c r="B1517" s="87" t="s">
        <v>3393</v>
      </c>
      <c r="C1517" s="88" t="s">
        <v>226</v>
      </c>
      <c r="D1517" s="89" t="s">
        <v>262</v>
      </c>
      <c r="E1517" s="90">
        <f t="shared" si="293"/>
        <v>697107</v>
      </c>
      <c r="F1517" s="90">
        <f t="shared" si="294"/>
        <v>585804.5835046384</v>
      </c>
      <c r="G1517" s="91">
        <v>0.19</v>
      </c>
      <c r="H1517" s="91" t="s">
        <v>228</v>
      </c>
      <c r="I1517" s="91"/>
      <c r="J1517" s="91" t="s">
        <v>228</v>
      </c>
      <c r="K1517" s="91"/>
      <c r="L1517" s="92" t="s">
        <v>1262</v>
      </c>
      <c r="M1517" s="91" t="str">
        <f t="shared" si="295"/>
        <v>VER ARCHIVO ANEXO</v>
      </c>
      <c r="N1517" s="93">
        <v>41608</v>
      </c>
      <c r="O1517" s="109"/>
      <c r="P1517" s="109"/>
      <c r="Q1517" s="94">
        <v>1368</v>
      </c>
      <c r="R1517" s="95">
        <f t="shared" si="286"/>
        <v>585804.5835046384</v>
      </c>
      <c r="S1517" s="109">
        <v>383353.33879999997</v>
      </c>
      <c r="T1517" s="94">
        <f t="shared" si="296"/>
        <v>409306.35983675998</v>
      </c>
      <c r="U1517" s="94">
        <f t="shared" si="291"/>
        <v>432841.47552737372</v>
      </c>
      <c r="V1517" s="94">
        <f t="shared" si="292"/>
        <v>450544.69187644328</v>
      </c>
      <c r="W1517" s="97">
        <f t="shared" si="289"/>
        <v>464872.01307811419</v>
      </c>
      <c r="X1517" s="97">
        <f t="shared" si="290"/>
        <v>482537.14957508253</v>
      </c>
      <c r="Y1517" s="97">
        <f t="shared" si="285"/>
        <v>490305.99768324138</v>
      </c>
      <c r="Z1517" s="97">
        <f t="shared" si="287"/>
        <v>517861.19475303957</v>
      </c>
      <c r="AA1517" s="97">
        <f t="shared" si="288"/>
        <v>585804.5835046384</v>
      </c>
    </row>
    <row r="1518" spans="1:27" x14ac:dyDescent="0.25">
      <c r="A1518" s="102" t="s">
        <v>3394</v>
      </c>
      <c r="B1518" s="87" t="s">
        <v>3395</v>
      </c>
      <c r="C1518" s="88" t="s">
        <v>226</v>
      </c>
      <c r="D1518" s="89" t="s">
        <v>262</v>
      </c>
      <c r="E1518" s="90">
        <f t="shared" si="293"/>
        <v>1199487</v>
      </c>
      <c r="F1518" s="90">
        <f t="shared" si="294"/>
        <v>1007972.0355165881</v>
      </c>
      <c r="G1518" s="91">
        <v>0.19</v>
      </c>
      <c r="H1518" s="91" t="s">
        <v>228</v>
      </c>
      <c r="I1518" s="91"/>
      <c r="J1518" s="91" t="s">
        <v>228</v>
      </c>
      <c r="K1518" s="91"/>
      <c r="L1518" s="92" t="s">
        <v>1262</v>
      </c>
      <c r="M1518" s="91" t="str">
        <f t="shared" si="295"/>
        <v>VER ARCHIVO ANEXO</v>
      </c>
      <c r="N1518" s="93">
        <v>41608</v>
      </c>
      <c r="O1518" s="109"/>
      <c r="P1518" s="109"/>
      <c r="Q1518" s="94">
        <v>1369</v>
      </c>
      <c r="R1518" s="95">
        <f t="shared" si="286"/>
        <v>1007972.0355165881</v>
      </c>
      <c r="S1518" s="109">
        <v>659621.75119999994</v>
      </c>
      <c r="T1518" s="94">
        <f t="shared" si="296"/>
        <v>704278.14375624002</v>
      </c>
      <c r="U1518" s="94">
        <f t="shared" si="291"/>
        <v>744774.13702222391</v>
      </c>
      <c r="V1518" s="94">
        <f t="shared" si="292"/>
        <v>775235.39922643278</v>
      </c>
      <c r="W1518" s="97">
        <f t="shared" si="289"/>
        <v>799887.88492183341</v>
      </c>
      <c r="X1518" s="97">
        <f t="shared" si="290"/>
        <v>830283.62454886315</v>
      </c>
      <c r="Y1518" s="97">
        <f t="shared" si="285"/>
        <v>843651.19090409984</v>
      </c>
      <c r="Z1518" s="97">
        <f t="shared" si="287"/>
        <v>891064.38783291029</v>
      </c>
      <c r="AA1518" s="97">
        <f t="shared" si="288"/>
        <v>1007972.0355165881</v>
      </c>
    </row>
    <row r="1519" spans="1:27" x14ac:dyDescent="0.25">
      <c r="A1519" s="102" t="s">
        <v>3396</v>
      </c>
      <c r="B1519" s="87" t="s">
        <v>3397</v>
      </c>
      <c r="C1519" s="88" t="s">
        <v>226</v>
      </c>
      <c r="D1519" s="89" t="s">
        <v>262</v>
      </c>
      <c r="E1519" s="90">
        <f t="shared" si="293"/>
        <v>799619</v>
      </c>
      <c r="F1519" s="90">
        <f t="shared" si="294"/>
        <v>671949.14830335765</v>
      </c>
      <c r="G1519" s="91">
        <v>0.19</v>
      </c>
      <c r="H1519" s="91" t="s">
        <v>228</v>
      </c>
      <c r="I1519" s="91"/>
      <c r="J1519" s="91" t="s">
        <v>228</v>
      </c>
      <c r="K1519" s="91"/>
      <c r="L1519" s="92" t="s">
        <v>1262</v>
      </c>
      <c r="M1519" s="91" t="str">
        <f t="shared" si="295"/>
        <v>VER ARCHIVO ANEXO</v>
      </c>
      <c r="N1519" s="93">
        <v>41608</v>
      </c>
      <c r="O1519" s="109"/>
      <c r="P1519" s="109"/>
      <c r="Q1519" s="94">
        <v>1370</v>
      </c>
      <c r="R1519" s="95">
        <f t="shared" si="286"/>
        <v>671949.14830335765</v>
      </c>
      <c r="S1519" s="109">
        <v>439726.75659999996</v>
      </c>
      <c r="T1519" s="94">
        <f t="shared" si="296"/>
        <v>469496.25802181999</v>
      </c>
      <c r="U1519" s="94">
        <f t="shared" si="291"/>
        <v>496492.29285807471</v>
      </c>
      <c r="V1519" s="94">
        <f t="shared" si="292"/>
        <v>516798.82763596991</v>
      </c>
      <c r="W1519" s="97">
        <f t="shared" si="289"/>
        <v>533233.03035479377</v>
      </c>
      <c r="X1519" s="97">
        <f t="shared" si="290"/>
        <v>553495.88550827594</v>
      </c>
      <c r="Y1519" s="97">
        <f t="shared" si="285"/>
        <v>562407.16926495917</v>
      </c>
      <c r="Z1519" s="97">
        <f t="shared" si="287"/>
        <v>594014.45217764995</v>
      </c>
      <c r="AA1519" s="97">
        <f t="shared" si="288"/>
        <v>671949.14830335765</v>
      </c>
    </row>
    <row r="1520" spans="1:27" x14ac:dyDescent="0.25">
      <c r="A1520" s="102" t="s">
        <v>3398</v>
      </c>
      <c r="B1520" s="87" t="s">
        <v>3399</v>
      </c>
      <c r="C1520" s="88" t="s">
        <v>226</v>
      </c>
      <c r="D1520" s="89" t="s">
        <v>262</v>
      </c>
      <c r="E1520" s="90">
        <f t="shared" si="293"/>
        <v>912412</v>
      </c>
      <c r="F1520" s="90">
        <f t="shared" si="294"/>
        <v>766733.03892838676</v>
      </c>
      <c r="G1520" s="91">
        <v>0.19</v>
      </c>
      <c r="H1520" s="91" t="s">
        <v>228</v>
      </c>
      <c r="I1520" s="91"/>
      <c r="J1520" s="91" t="s">
        <v>228</v>
      </c>
      <c r="K1520" s="91"/>
      <c r="L1520" s="92" t="s">
        <v>1262</v>
      </c>
      <c r="M1520" s="91" t="str">
        <f t="shared" si="295"/>
        <v>VER ARCHIVO ANEXO</v>
      </c>
      <c r="N1520" s="93">
        <v>41608</v>
      </c>
      <c r="O1520" s="109"/>
      <c r="P1520" s="109"/>
      <c r="Q1520" s="94">
        <v>1371</v>
      </c>
      <c r="R1520" s="95">
        <f t="shared" si="286"/>
        <v>766733.03892838676</v>
      </c>
      <c r="S1520" s="109">
        <v>501753.79079999996</v>
      </c>
      <c r="T1520" s="94">
        <f t="shared" si="296"/>
        <v>535722.52243716002</v>
      </c>
      <c r="U1520" s="94">
        <f t="shared" si="291"/>
        <v>566526.56747729681</v>
      </c>
      <c r="V1520" s="94">
        <f t="shared" si="292"/>
        <v>589697.5040871182</v>
      </c>
      <c r="W1520" s="97">
        <f t="shared" si="289"/>
        <v>608449.88471708854</v>
      </c>
      <c r="X1520" s="97">
        <f t="shared" si="290"/>
        <v>631570.98033633793</v>
      </c>
      <c r="Y1520" s="97">
        <f t="shared" si="285"/>
        <v>641739.27311975299</v>
      </c>
      <c r="Z1520" s="97">
        <f t="shared" si="287"/>
        <v>677805.02026908309</v>
      </c>
      <c r="AA1520" s="97">
        <f t="shared" si="288"/>
        <v>766733.03892838676</v>
      </c>
    </row>
    <row r="1521" spans="1:27" x14ac:dyDescent="0.25">
      <c r="A1521" s="102" t="s">
        <v>3400</v>
      </c>
      <c r="B1521" s="87" t="s">
        <v>3401</v>
      </c>
      <c r="C1521" s="88" t="s">
        <v>226</v>
      </c>
      <c r="D1521" s="89" t="s">
        <v>262</v>
      </c>
      <c r="E1521" s="90">
        <f t="shared" si="293"/>
        <v>383592</v>
      </c>
      <c r="F1521" s="90">
        <f t="shared" si="294"/>
        <v>322346.33070711372</v>
      </c>
      <c r="G1521" s="91">
        <v>0.19</v>
      </c>
      <c r="H1521" s="91" t="s">
        <v>228</v>
      </c>
      <c r="I1521" s="91"/>
      <c r="J1521" s="91" t="s">
        <v>228</v>
      </c>
      <c r="K1521" s="91"/>
      <c r="L1521" s="92" t="s">
        <v>1262</v>
      </c>
      <c r="M1521" s="91" t="str">
        <f t="shared" si="295"/>
        <v>VER ARCHIVO ANEXO</v>
      </c>
      <c r="N1521" s="93">
        <v>41608</v>
      </c>
      <c r="O1521" s="109"/>
      <c r="P1521" s="109"/>
      <c r="Q1521" s="94">
        <v>1372</v>
      </c>
      <c r="R1521" s="95">
        <f t="shared" si="286"/>
        <v>322346.33070711372</v>
      </c>
      <c r="S1521" s="109">
        <v>210944.9902</v>
      </c>
      <c r="T1521" s="94">
        <f t="shared" si="296"/>
        <v>225225.96603654002</v>
      </c>
      <c r="U1521" s="94">
        <f t="shared" si="291"/>
        <v>238176.45908364109</v>
      </c>
      <c r="V1521" s="94">
        <f t="shared" si="292"/>
        <v>247917.87626016201</v>
      </c>
      <c r="W1521" s="97">
        <f t="shared" si="289"/>
        <v>255801.66472523517</v>
      </c>
      <c r="X1521" s="97">
        <f t="shared" si="290"/>
        <v>265522.12798479409</v>
      </c>
      <c r="Y1521" s="97">
        <f t="shared" si="285"/>
        <v>269797.03424534929</v>
      </c>
      <c r="Z1521" s="97">
        <f t="shared" si="287"/>
        <v>284959.6275699379</v>
      </c>
      <c r="AA1521" s="97">
        <f t="shared" si="288"/>
        <v>322346.33070711372</v>
      </c>
    </row>
    <row r="1522" spans="1:27" x14ac:dyDescent="0.25">
      <c r="A1522" s="102" t="s">
        <v>3402</v>
      </c>
      <c r="B1522" s="87" t="s">
        <v>3403</v>
      </c>
      <c r="C1522" s="88" t="s">
        <v>226</v>
      </c>
      <c r="D1522" s="89" t="s">
        <v>262</v>
      </c>
      <c r="E1522" s="90">
        <f t="shared" si="293"/>
        <v>559734</v>
      </c>
      <c r="F1522" s="90">
        <f t="shared" si="294"/>
        <v>470364.87902279187</v>
      </c>
      <c r="G1522" s="91">
        <v>0.19</v>
      </c>
      <c r="H1522" s="91" t="s">
        <v>228</v>
      </c>
      <c r="I1522" s="91"/>
      <c r="J1522" s="91" t="s">
        <v>228</v>
      </c>
      <c r="K1522" s="91"/>
      <c r="L1522" s="92" t="s">
        <v>1262</v>
      </c>
      <c r="M1522" s="91" t="str">
        <f t="shared" si="295"/>
        <v>VER ARCHIVO ANEXO</v>
      </c>
      <c r="N1522" s="93">
        <v>41608</v>
      </c>
      <c r="O1522" s="109"/>
      <c r="P1522" s="109"/>
      <c r="Q1522" s="94">
        <v>1373</v>
      </c>
      <c r="R1522" s="95">
        <f t="shared" si="286"/>
        <v>470364.87902279187</v>
      </c>
      <c r="S1522" s="109">
        <v>307809.04060000001</v>
      </c>
      <c r="T1522" s="94">
        <f t="shared" si="296"/>
        <v>328647.71264862001</v>
      </c>
      <c r="U1522" s="94">
        <f t="shared" si="291"/>
        <v>347544.95612591569</v>
      </c>
      <c r="V1522" s="94">
        <f t="shared" si="292"/>
        <v>361759.54483146564</v>
      </c>
      <c r="W1522" s="97">
        <f t="shared" si="289"/>
        <v>373263.49835710629</v>
      </c>
      <c r="X1522" s="97">
        <f t="shared" si="290"/>
        <v>387447.51129467634</v>
      </c>
      <c r="Y1522" s="97">
        <f t="shared" si="285"/>
        <v>393685.41622652061</v>
      </c>
      <c r="Z1522" s="97">
        <f t="shared" si="287"/>
        <v>415810.53661845106</v>
      </c>
      <c r="AA1522" s="97">
        <f t="shared" si="288"/>
        <v>470364.87902279187</v>
      </c>
    </row>
    <row r="1523" spans="1:27" x14ac:dyDescent="0.25">
      <c r="A1523" s="102" t="s">
        <v>3404</v>
      </c>
      <c r="B1523" s="87" t="s">
        <v>3405</v>
      </c>
      <c r="C1523" s="88" t="s">
        <v>226</v>
      </c>
      <c r="D1523" s="89" t="s">
        <v>262</v>
      </c>
      <c r="E1523" s="90">
        <f t="shared" si="293"/>
        <v>635596</v>
      </c>
      <c r="F1523" s="90">
        <f t="shared" si="294"/>
        <v>534114.35974883591</v>
      </c>
      <c r="G1523" s="91">
        <v>0.19</v>
      </c>
      <c r="H1523" s="91" t="s">
        <v>228</v>
      </c>
      <c r="I1523" s="91"/>
      <c r="J1523" s="91" t="s">
        <v>228</v>
      </c>
      <c r="K1523" s="91"/>
      <c r="L1523" s="92" t="s">
        <v>1262</v>
      </c>
      <c r="M1523" s="91" t="str">
        <f t="shared" si="295"/>
        <v>VER ARCHIVO ANEXO</v>
      </c>
      <c r="N1523" s="93">
        <v>41608</v>
      </c>
      <c r="O1523" s="109"/>
      <c r="P1523" s="109"/>
      <c r="Q1523" s="94">
        <v>1374</v>
      </c>
      <c r="R1523" s="95">
        <f t="shared" si="286"/>
        <v>534114.35974883591</v>
      </c>
      <c r="S1523" s="109">
        <v>349527.00760000001</v>
      </c>
      <c r="T1523" s="94">
        <f t="shared" si="296"/>
        <v>373189.98601452005</v>
      </c>
      <c r="U1523" s="94">
        <f t="shared" si="291"/>
        <v>394648.41021035501</v>
      </c>
      <c r="V1523" s="94">
        <f t="shared" si="292"/>
        <v>410789.5301879585</v>
      </c>
      <c r="W1523" s="97">
        <f t="shared" si="289"/>
        <v>423852.63724793558</v>
      </c>
      <c r="X1523" s="97">
        <f t="shared" si="290"/>
        <v>439959.03746335715</v>
      </c>
      <c r="Y1523" s="97">
        <f t="shared" si="285"/>
        <v>447042.37796651718</v>
      </c>
      <c r="Z1523" s="97">
        <f t="shared" si="287"/>
        <v>472166.15960823547</v>
      </c>
      <c r="AA1523" s="97">
        <f t="shared" si="288"/>
        <v>534114.35974883591</v>
      </c>
    </row>
    <row r="1524" spans="1:27" x14ac:dyDescent="0.25">
      <c r="A1524" s="102" t="s">
        <v>3406</v>
      </c>
      <c r="B1524" s="98" t="s">
        <v>3407</v>
      </c>
      <c r="C1524" s="99" t="s">
        <v>226</v>
      </c>
      <c r="D1524" s="100" t="s">
        <v>262</v>
      </c>
      <c r="E1524" s="101">
        <f t="shared" si="293"/>
        <v>7712</v>
      </c>
      <c r="F1524" s="90">
        <f t="shared" si="294"/>
        <v>6480.2863871349573</v>
      </c>
      <c r="G1524" s="91">
        <v>0.19</v>
      </c>
      <c r="H1524" s="91" t="s">
        <v>228</v>
      </c>
      <c r="I1524" s="91"/>
      <c r="J1524" s="91" t="s">
        <v>228</v>
      </c>
      <c r="K1524" s="91"/>
      <c r="L1524" s="92" t="s">
        <v>1262</v>
      </c>
      <c r="M1524" s="91" t="str">
        <f t="shared" si="295"/>
        <v>VER ARCHIVO ANEXO</v>
      </c>
      <c r="N1524" s="93">
        <v>41608</v>
      </c>
      <c r="O1524" s="109"/>
      <c r="P1524" s="109"/>
      <c r="Q1524" s="94">
        <v>1375</v>
      </c>
      <c r="R1524" s="95">
        <f t="shared" si="286"/>
        <v>6480.2863871349573</v>
      </c>
      <c r="S1524" s="109">
        <v>4240.7305999999999</v>
      </c>
      <c r="T1524" s="94">
        <f t="shared" si="296"/>
        <v>4527.82806162</v>
      </c>
      <c r="U1524" s="94">
        <f t="shared" si="291"/>
        <v>4788.1781751631506</v>
      </c>
      <c r="V1524" s="94">
        <f t="shared" si="292"/>
        <v>4984.0146625273228</v>
      </c>
      <c r="W1524" s="97">
        <f t="shared" si="289"/>
        <v>5142.5063287956918</v>
      </c>
      <c r="X1524" s="97">
        <f t="shared" si="290"/>
        <v>5337.9215692899279</v>
      </c>
      <c r="Y1524" s="97">
        <f t="shared" si="285"/>
        <v>5423.8621065554962</v>
      </c>
      <c r="Z1524" s="97">
        <f t="shared" si="287"/>
        <v>5728.6831569439155</v>
      </c>
      <c r="AA1524" s="97">
        <f t="shared" si="288"/>
        <v>6480.2863871349573</v>
      </c>
    </row>
    <row r="1525" spans="1:27" x14ac:dyDescent="0.25">
      <c r="A1525" s="102" t="s">
        <v>3408</v>
      </c>
      <c r="B1525" s="119" t="s">
        <v>3409</v>
      </c>
      <c r="C1525" s="107" t="s">
        <v>226</v>
      </c>
      <c r="D1525" s="124" t="s">
        <v>262</v>
      </c>
      <c r="E1525" s="90">
        <f t="shared" si="293"/>
        <v>89119399</v>
      </c>
      <c r="F1525" s="90">
        <f t="shared" si="294"/>
        <v>74890250.954971507</v>
      </c>
      <c r="G1525" s="91">
        <v>0.19</v>
      </c>
      <c r="H1525" s="91" t="s">
        <v>228</v>
      </c>
      <c r="I1525" s="91"/>
      <c r="J1525" s="91" t="s">
        <v>228</v>
      </c>
      <c r="K1525" s="91"/>
      <c r="L1525" s="92" t="s">
        <v>1262</v>
      </c>
      <c r="M1525" s="91" t="str">
        <f t="shared" si="295"/>
        <v>VER ARCHIVO ANEXO</v>
      </c>
      <c r="N1525" s="93">
        <v>41608</v>
      </c>
      <c r="O1525" s="109"/>
      <c r="P1525" s="109"/>
      <c r="Q1525" s="94">
        <v>1376</v>
      </c>
      <c r="R1525" s="95">
        <f t="shared" si="286"/>
        <v>74890250.954971507</v>
      </c>
      <c r="S1525" s="109">
        <v>49008540.655999996</v>
      </c>
      <c r="T1525" s="94">
        <f t="shared" si="296"/>
        <v>52326418.8584112</v>
      </c>
      <c r="U1525" s="94">
        <f t="shared" si="291"/>
        <v>55335187.942769848</v>
      </c>
      <c r="V1525" s="94">
        <f t="shared" si="292"/>
        <v>57598397.129629128</v>
      </c>
      <c r="W1525" s="97">
        <f t="shared" si="289"/>
        <v>59430026.158351339</v>
      </c>
      <c r="X1525" s="97">
        <f t="shared" si="290"/>
        <v>61688367.152368695</v>
      </c>
      <c r="Y1525" s="97">
        <f t="shared" si="285"/>
        <v>62681549.863521829</v>
      </c>
      <c r="Z1525" s="97">
        <f t="shared" si="287"/>
        <v>66204252.965851761</v>
      </c>
      <c r="AA1525" s="97">
        <f t="shared" si="288"/>
        <v>74890250.954971507</v>
      </c>
    </row>
    <row r="1526" spans="1:27" x14ac:dyDescent="0.25">
      <c r="A1526" s="102" t="s">
        <v>3410</v>
      </c>
      <c r="B1526" s="119" t="s">
        <v>3411</v>
      </c>
      <c r="C1526" s="107" t="s">
        <v>226</v>
      </c>
      <c r="D1526" s="124" t="s">
        <v>262</v>
      </c>
      <c r="E1526" s="90">
        <f t="shared" si="293"/>
        <v>1576521</v>
      </c>
      <c r="F1526" s="90">
        <f t="shared" si="294"/>
        <v>1324807.5091372088</v>
      </c>
      <c r="G1526" s="91">
        <v>0.19</v>
      </c>
      <c r="H1526" s="91" t="s">
        <v>228</v>
      </c>
      <c r="I1526" s="91"/>
      <c r="J1526" s="91" t="s">
        <v>228</v>
      </c>
      <c r="K1526" s="91"/>
      <c r="L1526" s="92" t="s">
        <v>1262</v>
      </c>
      <c r="M1526" s="91" t="str">
        <f t="shared" si="295"/>
        <v>VER ARCHIVO ANEXO</v>
      </c>
      <c r="N1526" s="93">
        <v>41608</v>
      </c>
      <c r="O1526" s="109"/>
      <c r="P1526" s="109"/>
      <c r="Q1526" s="94">
        <v>1377</v>
      </c>
      <c r="R1526" s="95">
        <f t="shared" si="286"/>
        <v>1324807.5091372088</v>
      </c>
      <c r="S1526" s="109">
        <v>866960.40999999992</v>
      </c>
      <c r="T1526" s="94">
        <f t="shared" si="296"/>
        <v>925653.62975700002</v>
      </c>
      <c r="U1526" s="94">
        <f t="shared" si="291"/>
        <v>978878.71346802765</v>
      </c>
      <c r="V1526" s="94">
        <f t="shared" si="292"/>
        <v>1018914.8528488699</v>
      </c>
      <c r="W1526" s="97">
        <f t="shared" si="289"/>
        <v>1051316.3451694639</v>
      </c>
      <c r="X1526" s="97">
        <f t="shared" si="290"/>
        <v>1091266.3662859036</v>
      </c>
      <c r="Y1526" s="97">
        <f t="shared" si="285"/>
        <v>1108835.7547831067</v>
      </c>
      <c r="Z1526" s="97">
        <f t="shared" si="287"/>
        <v>1171152.3242019173</v>
      </c>
      <c r="AA1526" s="97">
        <f t="shared" si="288"/>
        <v>1324807.5091372088</v>
      </c>
    </row>
    <row r="1527" spans="1:27" x14ac:dyDescent="0.25">
      <c r="A1527" s="102" t="s">
        <v>3412</v>
      </c>
      <c r="B1527" s="119" t="s">
        <v>3413</v>
      </c>
      <c r="C1527" s="107" t="s">
        <v>226</v>
      </c>
      <c r="D1527" s="124" t="s">
        <v>262</v>
      </c>
      <c r="E1527" s="90">
        <f t="shared" si="293"/>
        <v>588569</v>
      </c>
      <c r="F1527" s="90">
        <f t="shared" si="294"/>
        <v>494595.8594344281</v>
      </c>
      <c r="G1527" s="91">
        <v>0.19</v>
      </c>
      <c r="H1527" s="91" t="s">
        <v>228</v>
      </c>
      <c r="I1527" s="91"/>
      <c r="J1527" s="91" t="s">
        <v>228</v>
      </c>
      <c r="K1527" s="91"/>
      <c r="L1527" s="92" t="s">
        <v>1262</v>
      </c>
      <c r="M1527" s="91" t="str">
        <f t="shared" si="295"/>
        <v>VER ARCHIVO ANEXO</v>
      </c>
      <c r="N1527" s="93">
        <v>41608</v>
      </c>
      <c r="O1527" s="109"/>
      <c r="P1527" s="109"/>
      <c r="Q1527" s="94">
        <v>1378</v>
      </c>
      <c r="R1527" s="95">
        <f t="shared" si="286"/>
        <v>494595.8594344281</v>
      </c>
      <c r="S1527" s="109">
        <v>323665.91080000001</v>
      </c>
      <c r="T1527" s="94">
        <f t="shared" si="296"/>
        <v>345578.09296116006</v>
      </c>
      <c r="U1527" s="94">
        <f t="shared" si="291"/>
        <v>365448.83330642682</v>
      </c>
      <c r="V1527" s="94">
        <f t="shared" si="292"/>
        <v>380395.69058865967</v>
      </c>
      <c r="W1527" s="97">
        <f t="shared" si="289"/>
        <v>392492.27354937908</v>
      </c>
      <c r="X1527" s="97">
        <f t="shared" si="290"/>
        <v>407406.97994425549</v>
      </c>
      <c r="Y1527" s="97">
        <f t="shared" si="285"/>
        <v>413966.23232135799</v>
      </c>
      <c r="Z1527" s="97">
        <f t="shared" si="287"/>
        <v>437231.13457781833</v>
      </c>
      <c r="AA1527" s="97">
        <f t="shared" si="288"/>
        <v>494595.8594344281</v>
      </c>
    </row>
    <row r="1528" spans="1:27" x14ac:dyDescent="0.25">
      <c r="A1528" s="102" t="s">
        <v>3414</v>
      </c>
      <c r="B1528" s="119" t="s">
        <v>3415</v>
      </c>
      <c r="C1528" s="107" t="s">
        <v>226</v>
      </c>
      <c r="D1528" s="124" t="s">
        <v>262</v>
      </c>
      <c r="E1528" s="90">
        <f t="shared" si="293"/>
        <v>656829</v>
      </c>
      <c r="F1528" s="90">
        <f t="shared" si="294"/>
        <v>551956.9277920255</v>
      </c>
      <c r="G1528" s="91">
        <v>0.19</v>
      </c>
      <c r="H1528" s="91" t="s">
        <v>228</v>
      </c>
      <c r="I1528" s="91"/>
      <c r="J1528" s="91" t="s">
        <v>228</v>
      </c>
      <c r="K1528" s="91"/>
      <c r="L1528" s="92" t="s">
        <v>1262</v>
      </c>
      <c r="M1528" s="91" t="str">
        <f t="shared" si="295"/>
        <v>VER ARCHIVO ANEXO</v>
      </c>
      <c r="N1528" s="93">
        <v>41608</v>
      </c>
      <c r="O1528" s="109"/>
      <c r="P1528" s="109"/>
      <c r="Q1528" s="94">
        <v>1379</v>
      </c>
      <c r="R1528" s="95">
        <f t="shared" si="286"/>
        <v>551956.9277920255</v>
      </c>
      <c r="S1528" s="109">
        <v>361203.26999999996</v>
      </c>
      <c r="T1528" s="94">
        <f t="shared" si="296"/>
        <v>385656.731379</v>
      </c>
      <c r="U1528" s="94">
        <f t="shared" si="291"/>
        <v>407831.99343329255</v>
      </c>
      <c r="V1528" s="94">
        <f t="shared" si="292"/>
        <v>424512.32196471421</v>
      </c>
      <c r="W1528" s="97">
        <f t="shared" si="289"/>
        <v>438011.81380319217</v>
      </c>
      <c r="X1528" s="97">
        <f t="shared" si="290"/>
        <v>454656.2627277135</v>
      </c>
      <c r="Y1528" s="97">
        <f t="shared" si="285"/>
        <v>461976.22855762969</v>
      </c>
      <c r="Z1528" s="97">
        <f t="shared" si="287"/>
        <v>487939.29260256852</v>
      </c>
      <c r="AA1528" s="97">
        <f t="shared" si="288"/>
        <v>551956.9277920255</v>
      </c>
    </row>
    <row r="1529" spans="1:27" x14ac:dyDescent="0.25">
      <c r="A1529" s="102" t="s">
        <v>3416</v>
      </c>
      <c r="B1529" s="87" t="s">
        <v>3417</v>
      </c>
      <c r="C1529" s="88" t="s">
        <v>226</v>
      </c>
      <c r="D1529" s="89" t="s">
        <v>262</v>
      </c>
      <c r="E1529" s="90">
        <f t="shared" si="293"/>
        <v>359905</v>
      </c>
      <c r="F1529" s="90">
        <f t="shared" si="294"/>
        <v>302441.34934785252</v>
      </c>
      <c r="G1529" s="91">
        <v>0.19</v>
      </c>
      <c r="H1529" s="91" t="s">
        <v>228</v>
      </c>
      <c r="I1529" s="91"/>
      <c r="J1529" s="91" t="s">
        <v>228</v>
      </c>
      <c r="K1529" s="91"/>
      <c r="L1529" s="92" t="s">
        <v>1262</v>
      </c>
      <c r="M1529" s="91" t="str">
        <f t="shared" si="295"/>
        <v>VER ARCHIVO ANEXO</v>
      </c>
      <c r="N1529" s="93">
        <v>41608</v>
      </c>
      <c r="O1529" s="109"/>
      <c r="P1529" s="109"/>
      <c r="Q1529" s="94">
        <v>1380</v>
      </c>
      <c r="R1529" s="95">
        <f t="shared" si="286"/>
        <v>302441.34934785252</v>
      </c>
      <c r="S1529" s="109">
        <v>197919.07459999999</v>
      </c>
      <c r="T1529" s="94">
        <f t="shared" si="296"/>
        <v>211318.19595042002</v>
      </c>
      <c r="U1529" s="94">
        <f t="shared" si="291"/>
        <v>223468.9922175692</v>
      </c>
      <c r="V1529" s="94">
        <f t="shared" si="292"/>
        <v>232608.87399926776</v>
      </c>
      <c r="W1529" s="97">
        <f t="shared" si="289"/>
        <v>240005.83619244449</v>
      </c>
      <c r="X1529" s="97">
        <f t="shared" si="290"/>
        <v>249126.0579677574</v>
      </c>
      <c r="Y1529" s="97">
        <f t="shared" ref="Y1529:Y1592" si="297">+X1529*(1+$Y$4)</f>
        <v>253136.9875010383</v>
      </c>
      <c r="Z1529" s="97">
        <f t="shared" si="287"/>
        <v>267363.28619859664</v>
      </c>
      <c r="AA1529" s="97">
        <f t="shared" si="288"/>
        <v>302441.34934785252</v>
      </c>
    </row>
    <row r="1530" spans="1:27" x14ac:dyDescent="0.25">
      <c r="A1530" s="102" t="s">
        <v>3418</v>
      </c>
      <c r="B1530" s="98" t="s">
        <v>3419</v>
      </c>
      <c r="C1530" s="99" t="s">
        <v>226</v>
      </c>
      <c r="D1530" s="100" t="s">
        <v>262</v>
      </c>
      <c r="E1530" s="101">
        <f t="shared" si="293"/>
        <v>20177</v>
      </c>
      <c r="F1530" s="90">
        <f t="shared" si="294"/>
        <v>16955.508552405914</v>
      </c>
      <c r="G1530" s="91">
        <v>0.19</v>
      </c>
      <c r="H1530" s="91" t="s">
        <v>228</v>
      </c>
      <c r="I1530" s="91"/>
      <c r="J1530" s="91" t="s">
        <v>228</v>
      </c>
      <c r="K1530" s="91"/>
      <c r="L1530" s="92" t="s">
        <v>1262</v>
      </c>
      <c r="M1530" s="91" t="str">
        <f t="shared" si="295"/>
        <v>VER ARCHIVO ANEXO</v>
      </c>
      <c r="N1530" s="93">
        <v>41608</v>
      </c>
      <c r="O1530" s="109"/>
      <c r="P1530" s="109"/>
      <c r="Q1530" s="94">
        <v>1381</v>
      </c>
      <c r="R1530" s="95">
        <f t="shared" si="286"/>
        <v>16955.508552405914</v>
      </c>
      <c r="S1530" s="109">
        <v>11095.7664</v>
      </c>
      <c r="T1530" s="94">
        <f t="shared" si="296"/>
        <v>11846.949785280001</v>
      </c>
      <c r="U1530" s="94">
        <f t="shared" si="291"/>
        <v>12528.149397933603</v>
      </c>
      <c r="V1530" s="94">
        <f t="shared" si="292"/>
        <v>13040.550708309087</v>
      </c>
      <c r="W1530" s="97">
        <f t="shared" si="289"/>
        <v>13455.240220833317</v>
      </c>
      <c r="X1530" s="97">
        <f t="shared" si="290"/>
        <v>13966.539349224984</v>
      </c>
      <c r="Y1530" s="97">
        <f t="shared" si="297"/>
        <v>14191.400632747507</v>
      </c>
      <c r="Z1530" s="97">
        <f t="shared" si="287"/>
        <v>14988.957348307917</v>
      </c>
      <c r="AA1530" s="97">
        <f t="shared" si="288"/>
        <v>16955.508552405914</v>
      </c>
    </row>
    <row r="1531" spans="1:27" x14ac:dyDescent="0.25">
      <c r="A1531" s="102" t="s">
        <v>3420</v>
      </c>
      <c r="B1531" s="87" t="s">
        <v>3421</v>
      </c>
      <c r="C1531" s="88" t="s">
        <v>226</v>
      </c>
      <c r="D1531" s="89" t="s">
        <v>227</v>
      </c>
      <c r="E1531" s="90">
        <f t="shared" si="293"/>
        <v>9940</v>
      </c>
      <c r="F1531" s="90">
        <f t="shared" si="294"/>
        <v>8352.6155266102742</v>
      </c>
      <c r="G1531" s="91">
        <v>0.19</v>
      </c>
      <c r="H1531" s="91" t="s">
        <v>228</v>
      </c>
      <c r="I1531" s="91"/>
      <c r="J1531" s="91" t="s">
        <v>228</v>
      </c>
      <c r="K1531" s="91"/>
      <c r="L1531" s="92" t="s">
        <v>1262</v>
      </c>
      <c r="M1531" s="91" t="str">
        <f t="shared" si="295"/>
        <v>VER ARCHIVO ANEXO</v>
      </c>
      <c r="N1531" s="93">
        <v>41608</v>
      </c>
      <c r="O1531" s="109"/>
      <c r="P1531" s="109"/>
      <c r="Q1531" s="94">
        <v>1382</v>
      </c>
      <c r="R1531" s="95">
        <f t="shared" si="286"/>
        <v>8352.6155266102742</v>
      </c>
      <c r="S1531" s="109">
        <v>5465.9917999999998</v>
      </c>
      <c r="T1531" s="94">
        <f t="shared" si="296"/>
        <v>5836.03944486</v>
      </c>
      <c r="U1531" s="94">
        <f t="shared" si="291"/>
        <v>6171.6117129394506</v>
      </c>
      <c r="V1531" s="94">
        <f t="shared" si="292"/>
        <v>6424.0306319986739</v>
      </c>
      <c r="W1531" s="97">
        <f t="shared" si="289"/>
        <v>6628.3148060962321</v>
      </c>
      <c r="X1531" s="97">
        <f t="shared" si="290"/>
        <v>6880.190768727889</v>
      </c>
      <c r="Y1531" s="97">
        <f t="shared" si="297"/>
        <v>6990.9618401044081</v>
      </c>
      <c r="Z1531" s="97">
        <f t="shared" si="287"/>
        <v>7383.8538955182757</v>
      </c>
      <c r="AA1531" s="97">
        <f t="shared" si="288"/>
        <v>8352.6155266102742</v>
      </c>
    </row>
    <row r="1532" spans="1:27" x14ac:dyDescent="0.25">
      <c r="A1532" s="102" t="s">
        <v>3422</v>
      </c>
      <c r="B1532" s="87" t="s">
        <v>3423</v>
      </c>
      <c r="C1532" s="88" t="s">
        <v>226</v>
      </c>
      <c r="D1532" s="89" t="s">
        <v>262</v>
      </c>
      <c r="E1532" s="90">
        <f t="shared" si="293"/>
        <v>1321</v>
      </c>
      <c r="F1532" s="90">
        <f t="shared" si="294"/>
        <v>1110.4083982844306</v>
      </c>
      <c r="G1532" s="91">
        <v>0.19</v>
      </c>
      <c r="H1532" s="91" t="s">
        <v>228</v>
      </c>
      <c r="I1532" s="91"/>
      <c r="J1532" s="91" t="s">
        <v>228</v>
      </c>
      <c r="K1532" s="91"/>
      <c r="L1532" s="92" t="s">
        <v>1262</v>
      </c>
      <c r="M1532" s="91" t="str">
        <f t="shared" si="295"/>
        <v>VER ARCHIVO ANEXO</v>
      </c>
      <c r="N1532" s="93">
        <v>41608</v>
      </c>
      <c r="O1532" s="109"/>
      <c r="P1532" s="109"/>
      <c r="Q1532" s="94">
        <v>1383</v>
      </c>
      <c r="R1532" s="95">
        <f t="shared" si="286"/>
        <v>1110.4083982844306</v>
      </c>
      <c r="S1532" s="109">
        <v>726.65660000000003</v>
      </c>
      <c r="T1532" s="94">
        <f t="shared" si="296"/>
        <v>775.85125182000013</v>
      </c>
      <c r="U1532" s="94">
        <f t="shared" si="291"/>
        <v>820.46269879965018</v>
      </c>
      <c r="V1532" s="94">
        <f t="shared" si="292"/>
        <v>854.01962318055587</v>
      </c>
      <c r="W1532" s="97">
        <f t="shared" si="289"/>
        <v>881.17744719769757</v>
      </c>
      <c r="X1532" s="97">
        <f t="shared" si="290"/>
        <v>914.66219019121013</v>
      </c>
      <c r="Y1532" s="97">
        <f t="shared" si="297"/>
        <v>929.3882514532886</v>
      </c>
      <c r="Z1532" s="97">
        <f t="shared" si="287"/>
        <v>981.61987118496347</v>
      </c>
      <c r="AA1532" s="97">
        <f t="shared" si="288"/>
        <v>1110.4083982844306</v>
      </c>
    </row>
    <row r="1533" spans="1:27" x14ac:dyDescent="0.25">
      <c r="A1533" s="102" t="s">
        <v>3424</v>
      </c>
      <c r="B1533" s="119" t="s">
        <v>3425</v>
      </c>
      <c r="C1533" s="107" t="s">
        <v>226</v>
      </c>
      <c r="D1533" s="124" t="s">
        <v>262</v>
      </c>
      <c r="E1533" s="90">
        <f t="shared" si="293"/>
        <v>5141503</v>
      </c>
      <c r="F1533" s="90">
        <f t="shared" si="294"/>
        <v>4320591.1575506935</v>
      </c>
      <c r="G1533" s="91">
        <v>0.19</v>
      </c>
      <c r="H1533" s="91" t="s">
        <v>228</v>
      </c>
      <c r="I1533" s="91"/>
      <c r="J1533" s="91" t="s">
        <v>228</v>
      </c>
      <c r="K1533" s="91"/>
      <c r="L1533" s="92" t="s">
        <v>1262</v>
      </c>
      <c r="M1533" s="91" t="str">
        <f t="shared" si="295"/>
        <v>VER ARCHIVO ANEXO</v>
      </c>
      <c r="N1533" s="93">
        <v>41608</v>
      </c>
      <c r="O1533" s="109"/>
      <c r="P1533" s="109"/>
      <c r="Q1533" s="94">
        <v>1384</v>
      </c>
      <c r="R1533" s="95">
        <f t="shared" si="286"/>
        <v>4320591.1575506935</v>
      </c>
      <c r="S1533" s="109">
        <v>2827415.6475999998</v>
      </c>
      <c r="T1533" s="94">
        <f t="shared" si="296"/>
        <v>3018831.6869425201</v>
      </c>
      <c r="U1533" s="94">
        <f t="shared" si="291"/>
        <v>3192414.5089417151</v>
      </c>
      <c r="V1533" s="94">
        <f t="shared" si="292"/>
        <v>3322984.262357431</v>
      </c>
      <c r="W1533" s="97">
        <f t="shared" si="289"/>
        <v>3428655.1619003974</v>
      </c>
      <c r="X1533" s="97">
        <f t="shared" si="290"/>
        <v>3558944.0580526125</v>
      </c>
      <c r="Y1533" s="97">
        <f t="shared" si="297"/>
        <v>3616243.0573872593</v>
      </c>
      <c r="Z1533" s="97">
        <f t="shared" si="287"/>
        <v>3819475.9172124234</v>
      </c>
      <c r="AA1533" s="97">
        <f t="shared" si="288"/>
        <v>4320591.1575506935</v>
      </c>
    </row>
    <row r="1534" spans="1:27" x14ac:dyDescent="0.25">
      <c r="A1534" s="102" t="s">
        <v>3426</v>
      </c>
      <c r="B1534" s="119" t="s">
        <v>3427</v>
      </c>
      <c r="C1534" s="107" t="s">
        <v>226</v>
      </c>
      <c r="D1534" s="124" t="s">
        <v>262</v>
      </c>
      <c r="E1534" s="90">
        <f t="shared" si="293"/>
        <v>29306571</v>
      </c>
      <c r="F1534" s="90">
        <f t="shared" si="294"/>
        <v>24627370.865266804</v>
      </c>
      <c r="G1534" s="91">
        <v>0.19</v>
      </c>
      <c r="H1534" s="91" t="s">
        <v>228</v>
      </c>
      <c r="I1534" s="91"/>
      <c r="J1534" s="91" t="s">
        <v>228</v>
      </c>
      <c r="K1534" s="91"/>
      <c r="L1534" s="92" t="s">
        <v>1262</v>
      </c>
      <c r="M1534" s="91" t="str">
        <f t="shared" si="295"/>
        <v>VER ARCHIVO ANEXO</v>
      </c>
      <c r="N1534" s="93">
        <v>41608</v>
      </c>
      <c r="O1534" s="109"/>
      <c r="P1534" s="109"/>
      <c r="Q1534" s="94">
        <v>1385</v>
      </c>
      <c r="R1534" s="95">
        <f t="shared" si="286"/>
        <v>24627370.865266804</v>
      </c>
      <c r="S1534" s="109">
        <v>16116270.0206</v>
      </c>
      <c r="T1534" s="94">
        <f t="shared" si="296"/>
        <v>17207341.500994623</v>
      </c>
      <c r="U1534" s="94">
        <f t="shared" si="291"/>
        <v>18196763.637301814</v>
      </c>
      <c r="V1534" s="94">
        <f t="shared" si="292"/>
        <v>18941011.270067457</v>
      </c>
      <c r="W1534" s="97">
        <f t="shared" si="289"/>
        <v>19543335.428455602</v>
      </c>
      <c r="X1534" s="97">
        <f t="shared" si="290"/>
        <v>20285982.174736917</v>
      </c>
      <c r="Y1534" s="97">
        <f t="shared" si="297"/>
        <v>20612586.48775018</v>
      </c>
      <c r="Z1534" s="97">
        <f t="shared" si="287"/>
        <v>21771013.848361742</v>
      </c>
      <c r="AA1534" s="97">
        <f t="shared" si="288"/>
        <v>24627370.865266804</v>
      </c>
    </row>
    <row r="1535" spans="1:27" x14ac:dyDescent="0.25">
      <c r="A1535" s="102" t="s">
        <v>3428</v>
      </c>
      <c r="B1535" s="119" t="s">
        <v>3429</v>
      </c>
      <c r="C1535" s="107" t="s">
        <v>226</v>
      </c>
      <c r="D1535" s="124" t="s">
        <v>262</v>
      </c>
      <c r="E1535" s="90">
        <f t="shared" si="293"/>
        <v>12853759</v>
      </c>
      <c r="F1535" s="90">
        <f t="shared" si="294"/>
        <v>10801477.893876737</v>
      </c>
      <c r="G1535" s="91">
        <v>0.19</v>
      </c>
      <c r="H1535" s="91" t="s">
        <v>228</v>
      </c>
      <c r="I1535" s="91"/>
      <c r="J1535" s="91" t="s">
        <v>228</v>
      </c>
      <c r="K1535" s="91"/>
      <c r="L1535" s="92" t="s">
        <v>1262</v>
      </c>
      <c r="M1535" s="91" t="str">
        <f t="shared" si="295"/>
        <v>VER ARCHIVO ANEXO</v>
      </c>
      <c r="N1535" s="93">
        <v>41608</v>
      </c>
      <c r="O1535" s="109"/>
      <c r="P1535" s="109"/>
      <c r="Q1535" s="94">
        <v>1386</v>
      </c>
      <c r="R1535" s="95">
        <f t="shared" si="286"/>
        <v>10801477.893876737</v>
      </c>
      <c r="S1535" s="109">
        <v>7068539.1189999999</v>
      </c>
      <c r="T1535" s="94">
        <f t="shared" si="296"/>
        <v>7547079.2173563009</v>
      </c>
      <c r="U1535" s="94">
        <f t="shared" si="291"/>
        <v>7981036.272354289</v>
      </c>
      <c r="V1535" s="94">
        <f t="shared" si="292"/>
        <v>8307460.6558935791</v>
      </c>
      <c r="W1535" s="97">
        <f t="shared" si="289"/>
        <v>8571637.9047509953</v>
      </c>
      <c r="X1535" s="97">
        <f t="shared" si="290"/>
        <v>8897360.145131534</v>
      </c>
      <c r="Y1535" s="97">
        <f t="shared" si="297"/>
        <v>9040607.6434681509</v>
      </c>
      <c r="Z1535" s="97">
        <f t="shared" si="287"/>
        <v>9548689.7930310611</v>
      </c>
      <c r="AA1535" s="97">
        <f t="shared" si="288"/>
        <v>10801477.893876737</v>
      </c>
    </row>
    <row r="1536" spans="1:27" x14ac:dyDescent="0.25">
      <c r="A1536" s="102" t="s">
        <v>3430</v>
      </c>
      <c r="B1536" s="119" t="s">
        <v>3431</v>
      </c>
      <c r="C1536" s="107" t="s">
        <v>226</v>
      </c>
      <c r="D1536" s="124" t="s">
        <v>262</v>
      </c>
      <c r="E1536" s="90">
        <f t="shared" si="293"/>
        <v>9426089</v>
      </c>
      <c r="F1536" s="90">
        <f t="shared" si="294"/>
        <v>7921083.2608313393</v>
      </c>
      <c r="G1536" s="91">
        <v>0.19</v>
      </c>
      <c r="H1536" s="91" t="s">
        <v>228</v>
      </c>
      <c r="I1536" s="91"/>
      <c r="J1536" s="91" t="s">
        <v>228</v>
      </c>
      <c r="K1536" s="91"/>
      <c r="L1536" s="92" t="s">
        <v>1262</v>
      </c>
      <c r="M1536" s="91" t="str">
        <f t="shared" si="295"/>
        <v>VER ARCHIVO ANEXO</v>
      </c>
      <c r="N1536" s="93">
        <v>41608</v>
      </c>
      <c r="O1536" s="109"/>
      <c r="P1536" s="109"/>
      <c r="Q1536" s="94">
        <v>1387</v>
      </c>
      <c r="R1536" s="95">
        <f t="shared" si="286"/>
        <v>7921083.2608313393</v>
      </c>
      <c r="S1536" s="109">
        <v>5183595.0083999997</v>
      </c>
      <c r="T1536" s="94">
        <f t="shared" si="296"/>
        <v>5534524.3904686803</v>
      </c>
      <c r="U1536" s="94">
        <f t="shared" si="291"/>
        <v>5852759.5429206304</v>
      </c>
      <c r="V1536" s="94">
        <f t="shared" si="292"/>
        <v>6092137.408226084</v>
      </c>
      <c r="W1536" s="97">
        <f t="shared" si="289"/>
        <v>6285867.377807674</v>
      </c>
      <c r="X1536" s="97">
        <f t="shared" si="290"/>
        <v>6524730.3381643659</v>
      </c>
      <c r="Y1536" s="97">
        <f t="shared" si="297"/>
        <v>6629778.4966088124</v>
      </c>
      <c r="Z1536" s="97">
        <f t="shared" si="287"/>
        <v>7002372.0481182281</v>
      </c>
      <c r="AA1536" s="97">
        <f t="shared" si="288"/>
        <v>7921083.2608313393</v>
      </c>
    </row>
    <row r="1537" spans="1:27" x14ac:dyDescent="0.25">
      <c r="A1537" s="102" t="s">
        <v>3432</v>
      </c>
      <c r="B1537" s="87" t="s">
        <v>3433</v>
      </c>
      <c r="C1537" s="88" t="s">
        <v>226</v>
      </c>
      <c r="D1537" s="89" t="s">
        <v>262</v>
      </c>
      <c r="E1537" s="90">
        <f t="shared" si="293"/>
        <v>91847</v>
      </c>
      <c r="F1537" s="90">
        <f t="shared" si="294"/>
        <v>77182.095872195263</v>
      </c>
      <c r="G1537" s="91">
        <v>0.19</v>
      </c>
      <c r="H1537" s="91" t="s">
        <v>228</v>
      </c>
      <c r="I1537" s="91"/>
      <c r="J1537" s="91" t="s">
        <v>228</v>
      </c>
      <c r="K1537" s="91"/>
      <c r="L1537" s="92" t="s">
        <v>1262</v>
      </c>
      <c r="M1537" s="91" t="str">
        <f t="shared" si="295"/>
        <v>VER ARCHIVO ANEXO</v>
      </c>
      <c r="N1537" s="93">
        <v>41608</v>
      </c>
      <c r="O1537" s="109"/>
      <c r="P1537" s="109"/>
      <c r="Q1537" s="94">
        <v>1388</v>
      </c>
      <c r="R1537" s="95">
        <f t="shared" si="286"/>
        <v>77182.095872195263</v>
      </c>
      <c r="S1537" s="109">
        <v>50508.334999999999</v>
      </c>
      <c r="T1537" s="94">
        <f t="shared" si="296"/>
        <v>53927.749279500007</v>
      </c>
      <c r="U1537" s="94">
        <f t="shared" si="291"/>
        <v>57028.594863071266</v>
      </c>
      <c r="V1537" s="94">
        <f t="shared" si="292"/>
        <v>59361.064392970875</v>
      </c>
      <c r="W1537" s="97">
        <f t="shared" si="289"/>
        <v>61248.746240667351</v>
      </c>
      <c r="X1537" s="97">
        <f t="shared" si="290"/>
        <v>63576.198597812712</v>
      </c>
      <c r="Y1537" s="97">
        <f t="shared" si="297"/>
        <v>64599.775395237499</v>
      </c>
      <c r="Z1537" s="97">
        <f t="shared" si="287"/>
        <v>68230.282772449849</v>
      </c>
      <c r="AA1537" s="97">
        <f t="shared" si="288"/>
        <v>77182.095872195263</v>
      </c>
    </row>
    <row r="1538" spans="1:27" x14ac:dyDescent="0.25">
      <c r="A1538" s="102" t="s">
        <v>3434</v>
      </c>
      <c r="B1538" s="87" t="s">
        <v>3435</v>
      </c>
      <c r="C1538" s="88" t="s">
        <v>226</v>
      </c>
      <c r="D1538" s="89" t="s">
        <v>262</v>
      </c>
      <c r="E1538" s="90">
        <f t="shared" si="293"/>
        <v>192342</v>
      </c>
      <c r="F1538" s="90">
        <f t="shared" si="294"/>
        <v>161631.74342959592</v>
      </c>
      <c r="G1538" s="91">
        <v>0.19</v>
      </c>
      <c r="H1538" s="91" t="s">
        <v>228</v>
      </c>
      <c r="I1538" s="91"/>
      <c r="J1538" s="91" t="s">
        <v>228</v>
      </c>
      <c r="K1538" s="91"/>
      <c r="L1538" s="92" t="s">
        <v>1262</v>
      </c>
      <c r="M1538" s="91" t="str">
        <f t="shared" si="295"/>
        <v>VER ARCHIVO ANEXO</v>
      </c>
      <c r="N1538" s="93">
        <v>41608</v>
      </c>
      <c r="O1538" s="109"/>
      <c r="P1538" s="109"/>
      <c r="Q1538" s="94">
        <v>1389</v>
      </c>
      <c r="R1538" s="95">
        <f t="shared" si="286"/>
        <v>161631.74342959592</v>
      </c>
      <c r="S1538" s="109">
        <v>105772.59079999999</v>
      </c>
      <c r="T1538" s="94">
        <f t="shared" si="296"/>
        <v>112933.39519716</v>
      </c>
      <c r="U1538" s="94">
        <f t="shared" si="291"/>
        <v>119427.06542099672</v>
      </c>
      <c r="V1538" s="94">
        <f t="shared" si="292"/>
        <v>124311.63239671547</v>
      </c>
      <c r="W1538" s="97">
        <f t="shared" si="289"/>
        <v>128264.74230693103</v>
      </c>
      <c r="X1538" s="97">
        <f t="shared" si="290"/>
        <v>133138.80251459443</v>
      </c>
      <c r="Y1538" s="97">
        <f t="shared" si="297"/>
        <v>135282.33723507941</v>
      </c>
      <c r="Z1538" s="97">
        <f t="shared" si="287"/>
        <v>142885.20458769088</v>
      </c>
      <c r="AA1538" s="97">
        <f t="shared" si="288"/>
        <v>161631.74342959592</v>
      </c>
    </row>
    <row r="1539" spans="1:27" x14ac:dyDescent="0.25">
      <c r="A1539" s="102" t="s">
        <v>3436</v>
      </c>
      <c r="B1539" s="87" t="s">
        <v>3437</v>
      </c>
      <c r="C1539" s="88" t="s">
        <v>226</v>
      </c>
      <c r="D1539" s="89" t="s">
        <v>262</v>
      </c>
      <c r="E1539" s="90">
        <f t="shared" si="293"/>
        <v>411000</v>
      </c>
      <c r="F1539" s="90">
        <f t="shared" si="294"/>
        <v>345378.19677138713</v>
      </c>
      <c r="G1539" s="91">
        <v>0.19</v>
      </c>
      <c r="H1539" s="91" t="s">
        <v>228</v>
      </c>
      <c r="I1539" s="91"/>
      <c r="J1539" s="91" t="s">
        <v>228</v>
      </c>
      <c r="K1539" s="91"/>
      <c r="L1539" s="92" t="s">
        <v>1262</v>
      </c>
      <c r="M1539" s="91" t="str">
        <f t="shared" si="295"/>
        <v>VER ARCHIVO ANEXO</v>
      </c>
      <c r="N1539" s="93">
        <v>41608</v>
      </c>
      <c r="O1539" s="109"/>
      <c r="P1539" s="109"/>
      <c r="Q1539" s="94">
        <v>1390</v>
      </c>
      <c r="R1539" s="95">
        <f t="shared" si="286"/>
        <v>345378.19677138713</v>
      </c>
      <c r="S1539" s="109">
        <v>226017.15419999999</v>
      </c>
      <c r="T1539" s="94">
        <f t="shared" si="296"/>
        <v>241318.51553934001</v>
      </c>
      <c r="U1539" s="94">
        <f t="shared" si="291"/>
        <v>255194.33018285208</v>
      </c>
      <c r="V1539" s="94">
        <f t="shared" si="292"/>
        <v>265631.7782873307</v>
      </c>
      <c r="W1539" s="97">
        <f t="shared" si="289"/>
        <v>274078.86883686786</v>
      </c>
      <c r="X1539" s="97">
        <f t="shared" si="290"/>
        <v>284493.86585266882</v>
      </c>
      <c r="Y1539" s="97">
        <f t="shared" si="297"/>
        <v>289074.21709289681</v>
      </c>
      <c r="Z1539" s="97">
        <f t="shared" si="287"/>
        <v>305320.18809351762</v>
      </c>
      <c r="AA1539" s="97">
        <f t="shared" si="288"/>
        <v>345378.19677138713</v>
      </c>
    </row>
    <row r="1540" spans="1:27" x14ac:dyDescent="0.25">
      <c r="A1540" s="102" t="s">
        <v>3438</v>
      </c>
      <c r="B1540" s="87" t="s">
        <v>3439</v>
      </c>
      <c r="C1540" s="88" t="s">
        <v>226</v>
      </c>
      <c r="D1540" s="89" t="s">
        <v>262</v>
      </c>
      <c r="E1540" s="90">
        <f t="shared" si="293"/>
        <v>192342</v>
      </c>
      <c r="F1540" s="90">
        <f t="shared" si="294"/>
        <v>161631.74342959592</v>
      </c>
      <c r="G1540" s="91">
        <v>0.19</v>
      </c>
      <c r="H1540" s="91" t="s">
        <v>228</v>
      </c>
      <c r="I1540" s="91"/>
      <c r="J1540" s="91" t="s">
        <v>228</v>
      </c>
      <c r="K1540" s="91"/>
      <c r="L1540" s="92" t="s">
        <v>1262</v>
      </c>
      <c r="M1540" s="91" t="str">
        <f t="shared" si="295"/>
        <v>VER ARCHIVO ANEXO</v>
      </c>
      <c r="N1540" s="93">
        <v>41608</v>
      </c>
      <c r="O1540" s="109"/>
      <c r="P1540" s="109"/>
      <c r="Q1540" s="94">
        <v>1391</v>
      </c>
      <c r="R1540" s="95">
        <f t="shared" si="286"/>
        <v>161631.74342959592</v>
      </c>
      <c r="S1540" s="109">
        <v>105772.59079999999</v>
      </c>
      <c r="T1540" s="94">
        <f t="shared" si="296"/>
        <v>112933.39519716</v>
      </c>
      <c r="U1540" s="94">
        <f t="shared" si="291"/>
        <v>119427.06542099672</v>
      </c>
      <c r="V1540" s="94">
        <f t="shared" si="292"/>
        <v>124311.63239671547</v>
      </c>
      <c r="W1540" s="97">
        <f t="shared" si="289"/>
        <v>128264.74230693103</v>
      </c>
      <c r="X1540" s="97">
        <f t="shared" si="290"/>
        <v>133138.80251459443</v>
      </c>
      <c r="Y1540" s="97">
        <f t="shared" si="297"/>
        <v>135282.33723507941</v>
      </c>
      <c r="Z1540" s="97">
        <f t="shared" si="287"/>
        <v>142885.20458769088</v>
      </c>
      <c r="AA1540" s="97">
        <f t="shared" si="288"/>
        <v>161631.74342959592</v>
      </c>
    </row>
    <row r="1541" spans="1:27" x14ac:dyDescent="0.25">
      <c r="A1541" s="102" t="s">
        <v>3440</v>
      </c>
      <c r="B1541" s="87" t="s">
        <v>3441</v>
      </c>
      <c r="C1541" s="88" t="s">
        <v>226</v>
      </c>
      <c r="D1541" s="89" t="s">
        <v>262</v>
      </c>
      <c r="E1541" s="90">
        <f t="shared" si="293"/>
        <v>236933</v>
      </c>
      <c r="F1541" s="90">
        <f t="shared" si="294"/>
        <v>199103.67077598177</v>
      </c>
      <c r="G1541" s="91">
        <v>0.19</v>
      </c>
      <c r="H1541" s="91" t="s">
        <v>228</v>
      </c>
      <c r="I1541" s="91"/>
      <c r="J1541" s="91" t="s">
        <v>228</v>
      </c>
      <c r="K1541" s="91"/>
      <c r="L1541" s="92" t="s">
        <v>1262</v>
      </c>
      <c r="M1541" s="91" t="str">
        <f t="shared" si="295"/>
        <v>VER ARCHIVO ANEXO</v>
      </c>
      <c r="N1541" s="93">
        <v>41608</v>
      </c>
      <c r="O1541" s="109"/>
      <c r="P1541" s="109"/>
      <c r="Q1541" s="94">
        <v>1392</v>
      </c>
      <c r="R1541" s="95">
        <f t="shared" si="286"/>
        <v>199103.67077598177</v>
      </c>
      <c r="S1541" s="109">
        <v>130294.4004</v>
      </c>
      <c r="T1541" s="94">
        <f t="shared" si="296"/>
        <v>139115.33130708002</v>
      </c>
      <c r="U1541" s="94">
        <f t="shared" si="291"/>
        <v>147114.46285723714</v>
      </c>
      <c r="V1541" s="94">
        <f t="shared" si="292"/>
        <v>153131.44438809814</v>
      </c>
      <c r="W1541" s="97">
        <f t="shared" si="289"/>
        <v>158001.02431963966</v>
      </c>
      <c r="X1541" s="97">
        <f t="shared" si="290"/>
        <v>164005.06324378596</v>
      </c>
      <c r="Y1541" s="97">
        <f t="shared" si="297"/>
        <v>166645.54476201092</v>
      </c>
      <c r="Z1541" s="97">
        <f t="shared" si="287"/>
        <v>176011.02437763594</v>
      </c>
      <c r="AA1541" s="97">
        <f t="shared" si="288"/>
        <v>199103.67077598177</v>
      </c>
    </row>
    <row r="1542" spans="1:27" x14ac:dyDescent="0.25">
      <c r="A1542" s="102" t="s">
        <v>3442</v>
      </c>
      <c r="B1542" s="87" t="s">
        <v>3443</v>
      </c>
      <c r="C1542" s="88" t="s">
        <v>226</v>
      </c>
      <c r="D1542" s="89" t="s">
        <v>262</v>
      </c>
      <c r="E1542" s="90">
        <f t="shared" si="293"/>
        <v>296637</v>
      </c>
      <c r="F1542" s="90">
        <f t="shared" si="294"/>
        <v>249274.80515381735</v>
      </c>
      <c r="G1542" s="91">
        <v>0.19</v>
      </c>
      <c r="H1542" s="91" t="s">
        <v>228</v>
      </c>
      <c r="I1542" s="91"/>
      <c r="J1542" s="91" t="s">
        <v>228</v>
      </c>
      <c r="K1542" s="91"/>
      <c r="L1542" s="92" t="s">
        <v>1262</v>
      </c>
      <c r="M1542" s="91" t="str">
        <f t="shared" si="295"/>
        <v>VER ARCHIVO ANEXO</v>
      </c>
      <c r="N1542" s="93">
        <v>41608</v>
      </c>
      <c r="O1542" s="109"/>
      <c r="P1542" s="109"/>
      <c r="Q1542" s="94">
        <v>1393</v>
      </c>
      <c r="R1542" s="95">
        <f t="shared" si="286"/>
        <v>249274.80515381735</v>
      </c>
      <c r="S1542" s="109">
        <v>163126.63219999999</v>
      </c>
      <c r="T1542" s="94">
        <f t="shared" si="296"/>
        <v>174170.30519994002</v>
      </c>
      <c r="U1542" s="94">
        <f t="shared" si="291"/>
        <v>184185.09774893659</v>
      </c>
      <c r="V1542" s="94">
        <f t="shared" si="292"/>
        <v>191718.26824686807</v>
      </c>
      <c r="W1542" s="97">
        <f t="shared" si="289"/>
        <v>197814.90917711848</v>
      </c>
      <c r="X1542" s="97">
        <f t="shared" si="290"/>
        <v>205331.87572584898</v>
      </c>
      <c r="Y1542" s="97">
        <f t="shared" si="297"/>
        <v>208637.71892503515</v>
      </c>
      <c r="Z1542" s="97">
        <f t="shared" si="287"/>
        <v>220363.15872862213</v>
      </c>
      <c r="AA1542" s="97">
        <f t="shared" si="288"/>
        <v>249274.80515381735</v>
      </c>
    </row>
    <row r="1543" spans="1:27" x14ac:dyDescent="0.25">
      <c r="A1543" s="102" t="s">
        <v>3444</v>
      </c>
      <c r="B1543" s="87" t="s">
        <v>3445</v>
      </c>
      <c r="C1543" s="88" t="s">
        <v>226</v>
      </c>
      <c r="D1543" s="89" t="s">
        <v>262</v>
      </c>
      <c r="E1543" s="90">
        <f t="shared" si="293"/>
        <v>520436</v>
      </c>
      <c r="F1543" s="90">
        <f t="shared" si="294"/>
        <v>437340.92140876356</v>
      </c>
      <c r="G1543" s="91">
        <v>0.19</v>
      </c>
      <c r="H1543" s="91" t="s">
        <v>228</v>
      </c>
      <c r="I1543" s="91"/>
      <c r="J1543" s="91" t="s">
        <v>228</v>
      </c>
      <c r="K1543" s="91"/>
      <c r="L1543" s="92" t="s">
        <v>1262</v>
      </c>
      <c r="M1543" s="91" t="str">
        <f t="shared" si="295"/>
        <v>VER ARCHIVO ANEXO</v>
      </c>
      <c r="N1543" s="93">
        <v>41608</v>
      </c>
      <c r="O1543" s="109"/>
      <c r="P1543" s="109"/>
      <c r="Q1543" s="94">
        <v>1394</v>
      </c>
      <c r="R1543" s="95">
        <f t="shared" ref="R1543:R1606" si="298">+AA1543</f>
        <v>437340.92140876356</v>
      </c>
      <c r="S1543" s="109">
        <v>286198.00380000001</v>
      </c>
      <c r="T1543" s="94">
        <f t="shared" si="296"/>
        <v>305573.60865726002</v>
      </c>
      <c r="U1543" s="94">
        <f t="shared" si="291"/>
        <v>323144.09115505248</v>
      </c>
      <c r="V1543" s="94">
        <f t="shared" si="292"/>
        <v>336360.68448329408</v>
      </c>
      <c r="W1543" s="97">
        <f t="shared" si="289"/>
        <v>347056.95424986287</v>
      </c>
      <c r="X1543" s="97">
        <f t="shared" si="290"/>
        <v>360245.11851135769</v>
      </c>
      <c r="Y1543" s="97">
        <f t="shared" si="297"/>
        <v>366045.06491939054</v>
      </c>
      <c r="Z1543" s="97">
        <f t="shared" ref="Z1543:Z1606" si="299">+Y1543*(1+$Z$4)</f>
        <v>386616.79756786028</v>
      </c>
      <c r="AA1543" s="97">
        <f t="shared" ref="AA1543:AA1606" si="300">+Z1543*(1+$AA$4)</f>
        <v>437340.92140876356</v>
      </c>
    </row>
    <row r="1544" spans="1:27" x14ac:dyDescent="0.25">
      <c r="A1544" s="102" t="s">
        <v>3446</v>
      </c>
      <c r="B1544" s="87" t="s">
        <v>3447</v>
      </c>
      <c r="C1544" s="88" t="s">
        <v>226</v>
      </c>
      <c r="D1544" s="89" t="s">
        <v>262</v>
      </c>
      <c r="E1544" s="90">
        <f t="shared" si="293"/>
        <v>566884</v>
      </c>
      <c r="F1544" s="90">
        <f t="shared" si="294"/>
        <v>476373.12303804542</v>
      </c>
      <c r="G1544" s="91">
        <v>0.19</v>
      </c>
      <c r="H1544" s="91" t="s">
        <v>228</v>
      </c>
      <c r="I1544" s="91"/>
      <c r="J1544" s="91" t="s">
        <v>228</v>
      </c>
      <c r="K1544" s="91"/>
      <c r="L1544" s="92" t="s">
        <v>1262</v>
      </c>
      <c r="M1544" s="91" t="str">
        <f t="shared" si="295"/>
        <v>VER ARCHIVO ANEXO</v>
      </c>
      <c r="N1544" s="93">
        <v>41608</v>
      </c>
      <c r="O1544" s="109"/>
      <c r="P1544" s="109"/>
      <c r="Q1544" s="94">
        <v>1395</v>
      </c>
      <c r="R1544" s="95">
        <f t="shared" si="298"/>
        <v>476373.12303804542</v>
      </c>
      <c r="S1544" s="109">
        <v>311740.86439999996</v>
      </c>
      <c r="T1544" s="94">
        <f t="shared" si="296"/>
        <v>332845.72091987997</v>
      </c>
      <c r="U1544" s="94">
        <f t="shared" si="291"/>
        <v>351984.34987277311</v>
      </c>
      <c r="V1544" s="94">
        <f t="shared" si="292"/>
        <v>366380.50978256948</v>
      </c>
      <c r="W1544" s="97">
        <f t="shared" ref="W1544:W1607" si="301">+V1544*(1+$W$4)</f>
        <v>378031.40999365522</v>
      </c>
      <c r="X1544" s="97">
        <f t="shared" ref="X1544:X1607" si="302">+W1544*(1+$X$4)</f>
        <v>392396.60357341415</v>
      </c>
      <c r="Y1544" s="97">
        <f t="shared" si="297"/>
        <v>398714.1888909461</v>
      </c>
      <c r="Z1544" s="97">
        <f t="shared" si="299"/>
        <v>421121.92630661727</v>
      </c>
      <c r="AA1544" s="97">
        <f t="shared" si="300"/>
        <v>476373.12303804542</v>
      </c>
    </row>
    <row r="1545" spans="1:27" x14ac:dyDescent="0.25">
      <c r="A1545" s="102" t="s">
        <v>3448</v>
      </c>
      <c r="B1545" s="87" t="s">
        <v>3449</v>
      </c>
      <c r="C1545" s="88" t="s">
        <v>226</v>
      </c>
      <c r="D1545" s="89" t="s">
        <v>262</v>
      </c>
      <c r="E1545" s="90">
        <f t="shared" si="293"/>
        <v>351061</v>
      </c>
      <c r="F1545" s="90">
        <f t="shared" si="294"/>
        <v>295009.05804293015</v>
      </c>
      <c r="G1545" s="91">
        <v>0.19</v>
      </c>
      <c r="H1545" s="91" t="s">
        <v>228</v>
      </c>
      <c r="I1545" s="91"/>
      <c r="J1545" s="91" t="s">
        <v>228</v>
      </c>
      <c r="K1545" s="91"/>
      <c r="L1545" s="92" t="s">
        <v>1262</v>
      </c>
      <c r="M1545" s="91" t="str">
        <f t="shared" si="295"/>
        <v>VER ARCHIVO ANEXO</v>
      </c>
      <c r="N1545" s="93">
        <v>41608</v>
      </c>
      <c r="O1545" s="109"/>
      <c r="P1545" s="109"/>
      <c r="Q1545" s="94">
        <v>1396</v>
      </c>
      <c r="R1545" s="95">
        <f t="shared" si="298"/>
        <v>295009.05804293015</v>
      </c>
      <c r="S1545" s="109">
        <v>193055.3474</v>
      </c>
      <c r="T1545" s="94">
        <f t="shared" si="296"/>
        <v>206125.19441898001</v>
      </c>
      <c r="U1545" s="94">
        <f t="shared" si="291"/>
        <v>217977.39309807139</v>
      </c>
      <c r="V1545" s="94">
        <f t="shared" si="292"/>
        <v>226892.6684757825</v>
      </c>
      <c r="W1545" s="97">
        <f t="shared" si="301"/>
        <v>234107.85533331239</v>
      </c>
      <c r="X1545" s="97">
        <f t="shared" si="302"/>
        <v>243003.95383597826</v>
      </c>
      <c r="Y1545" s="97">
        <f t="shared" si="297"/>
        <v>246916.31749273752</v>
      </c>
      <c r="Z1545" s="97">
        <f t="shared" si="299"/>
        <v>260793.01453582937</v>
      </c>
      <c r="AA1545" s="97">
        <f t="shared" si="300"/>
        <v>295009.05804293015</v>
      </c>
    </row>
    <row r="1546" spans="1:27" x14ac:dyDescent="0.25">
      <c r="A1546" s="102" t="s">
        <v>3450</v>
      </c>
      <c r="B1546" s="87" t="s">
        <v>3451</v>
      </c>
      <c r="C1546" s="88" t="s">
        <v>226</v>
      </c>
      <c r="D1546" s="89" t="s">
        <v>262</v>
      </c>
      <c r="E1546" s="90">
        <f t="shared" si="293"/>
        <v>679253</v>
      </c>
      <c r="F1546" s="90">
        <f t="shared" si="294"/>
        <v>570800.60583195637</v>
      </c>
      <c r="G1546" s="91">
        <v>0.19</v>
      </c>
      <c r="H1546" s="91" t="s">
        <v>228</v>
      </c>
      <c r="I1546" s="91"/>
      <c r="J1546" s="91" t="s">
        <v>228</v>
      </c>
      <c r="K1546" s="91"/>
      <c r="L1546" s="92" t="s">
        <v>1262</v>
      </c>
      <c r="M1546" s="91" t="str">
        <f t="shared" si="295"/>
        <v>VER ARCHIVO ANEXO</v>
      </c>
      <c r="N1546" s="93">
        <v>41608</v>
      </c>
      <c r="O1546" s="109"/>
      <c r="P1546" s="109"/>
      <c r="Q1546" s="94">
        <v>1397</v>
      </c>
      <c r="R1546" s="95">
        <f t="shared" si="298"/>
        <v>570800.60583195637</v>
      </c>
      <c r="S1546" s="109">
        <v>373534.66359999997</v>
      </c>
      <c r="T1546" s="94">
        <f t="shared" si="296"/>
        <v>398822.96032572002</v>
      </c>
      <c r="U1546" s="94">
        <f t="shared" si="291"/>
        <v>421755.28054444899</v>
      </c>
      <c r="V1546" s="94">
        <f t="shared" si="292"/>
        <v>439005.07151871693</v>
      </c>
      <c r="W1546" s="97">
        <f t="shared" si="301"/>
        <v>452965.43279301212</v>
      </c>
      <c r="X1546" s="97">
        <f t="shared" si="302"/>
        <v>470178.11923914659</v>
      </c>
      <c r="Y1546" s="97">
        <f t="shared" si="297"/>
        <v>477747.98695889686</v>
      </c>
      <c r="Z1546" s="97">
        <f t="shared" si="299"/>
        <v>504597.42382598686</v>
      </c>
      <c r="AA1546" s="97">
        <f t="shared" si="300"/>
        <v>570800.60583195637</v>
      </c>
    </row>
    <row r="1547" spans="1:27" x14ac:dyDescent="0.25">
      <c r="A1547" s="102" t="s">
        <v>3452</v>
      </c>
      <c r="B1547" s="87" t="s">
        <v>3453</v>
      </c>
      <c r="C1547" s="88" t="s">
        <v>226</v>
      </c>
      <c r="D1547" s="89" t="s">
        <v>262</v>
      </c>
      <c r="E1547" s="90">
        <f t="shared" si="293"/>
        <v>468474</v>
      </c>
      <c r="F1547" s="90">
        <f t="shared" si="294"/>
        <v>393675.41797494248</v>
      </c>
      <c r="G1547" s="91">
        <v>0.19</v>
      </c>
      <c r="H1547" s="91" t="s">
        <v>228</v>
      </c>
      <c r="I1547" s="91"/>
      <c r="J1547" s="91" t="s">
        <v>228</v>
      </c>
      <c r="K1547" s="91"/>
      <c r="L1547" s="92" t="s">
        <v>1262</v>
      </c>
      <c r="M1547" s="91" t="str">
        <f t="shared" si="295"/>
        <v>VER ARCHIVO ANEXO</v>
      </c>
      <c r="N1547" s="93">
        <v>41608</v>
      </c>
      <c r="O1547" s="109"/>
      <c r="P1547" s="109"/>
      <c r="Q1547" s="94">
        <v>1398</v>
      </c>
      <c r="R1547" s="95">
        <f t="shared" si="298"/>
        <v>393675.41797494248</v>
      </c>
      <c r="S1547" s="109">
        <v>257623.0882</v>
      </c>
      <c r="T1547" s="94">
        <f t="shared" si="296"/>
        <v>275064.17127114005</v>
      </c>
      <c r="U1547" s="94">
        <f t="shared" ref="U1547:U1610" si="303">+T1547*(1+$U$4)</f>
        <v>290880.36111923063</v>
      </c>
      <c r="V1547" s="94">
        <f t="shared" ref="V1547:V1610" si="304">+U1547*(1+$V$4)</f>
        <v>302777.36788900715</v>
      </c>
      <c r="W1547" s="97">
        <f t="shared" si="301"/>
        <v>312405.68818787759</v>
      </c>
      <c r="X1547" s="97">
        <f t="shared" si="302"/>
        <v>324277.10433901695</v>
      </c>
      <c r="Y1547" s="97">
        <f t="shared" si="297"/>
        <v>329497.96571887512</v>
      </c>
      <c r="Z1547" s="97">
        <f t="shared" si="299"/>
        <v>348015.75139227591</v>
      </c>
      <c r="AA1547" s="97">
        <f t="shared" si="300"/>
        <v>393675.41797494248</v>
      </c>
    </row>
    <row r="1548" spans="1:27" x14ac:dyDescent="0.25">
      <c r="A1548" s="102" t="s">
        <v>3454</v>
      </c>
      <c r="B1548" s="87" t="s">
        <v>3455</v>
      </c>
      <c r="C1548" s="88" t="s">
        <v>226</v>
      </c>
      <c r="D1548" s="89" t="s">
        <v>262</v>
      </c>
      <c r="E1548" s="90">
        <f t="shared" si="293"/>
        <v>703415</v>
      </c>
      <c r="F1548" s="90">
        <f t="shared" si="294"/>
        <v>591104.76396207022</v>
      </c>
      <c r="G1548" s="91">
        <v>0.19</v>
      </c>
      <c r="H1548" s="91" t="s">
        <v>228</v>
      </c>
      <c r="I1548" s="91"/>
      <c r="J1548" s="91" t="s">
        <v>228</v>
      </c>
      <c r="K1548" s="91"/>
      <c r="L1548" s="92" t="s">
        <v>1262</v>
      </c>
      <c r="M1548" s="91" t="str">
        <f t="shared" si="295"/>
        <v>VER ARCHIVO ANEXO</v>
      </c>
      <c r="N1548" s="93">
        <v>41608</v>
      </c>
      <c r="O1548" s="109"/>
      <c r="P1548" s="109"/>
      <c r="Q1548" s="94">
        <v>1399</v>
      </c>
      <c r="R1548" s="95">
        <f t="shared" si="298"/>
        <v>591104.76396207022</v>
      </c>
      <c r="S1548" s="109">
        <v>386821.80239999999</v>
      </c>
      <c r="T1548" s="94">
        <f t="shared" si="296"/>
        <v>413009.63842248003</v>
      </c>
      <c r="U1548" s="94">
        <f t="shared" si="303"/>
        <v>436757.69263177266</v>
      </c>
      <c r="V1548" s="94">
        <f t="shared" si="304"/>
        <v>454621.08226041216</v>
      </c>
      <c r="W1548" s="97">
        <f t="shared" si="301"/>
        <v>469078.03267629328</v>
      </c>
      <c r="X1548" s="97">
        <f t="shared" si="302"/>
        <v>486902.99791799247</v>
      </c>
      <c r="Y1548" s="97">
        <f t="shared" si="297"/>
        <v>494742.13618447213</v>
      </c>
      <c r="Z1548" s="97">
        <f t="shared" si="299"/>
        <v>522546.64423803944</v>
      </c>
      <c r="AA1548" s="97">
        <f t="shared" si="300"/>
        <v>591104.76396207022</v>
      </c>
    </row>
    <row r="1549" spans="1:27" x14ac:dyDescent="0.25">
      <c r="A1549" s="102" t="s">
        <v>3456</v>
      </c>
      <c r="B1549" s="87" t="s">
        <v>3457</v>
      </c>
      <c r="C1549" s="88" t="s">
        <v>226</v>
      </c>
      <c r="D1549" s="89" t="s">
        <v>262</v>
      </c>
      <c r="E1549" s="90">
        <f t="shared" ref="E1549:E1612" si="305">+ROUND(F1549*(1+G1549),0)</f>
        <v>494163</v>
      </c>
      <c r="F1549" s="90">
        <f t="shared" si="294"/>
        <v>415262.64429708268</v>
      </c>
      <c r="G1549" s="91">
        <v>0.19</v>
      </c>
      <c r="H1549" s="91" t="s">
        <v>228</v>
      </c>
      <c r="I1549" s="91"/>
      <c r="J1549" s="91" t="s">
        <v>228</v>
      </c>
      <c r="K1549" s="91"/>
      <c r="L1549" s="92" t="s">
        <v>1262</v>
      </c>
      <c r="M1549" s="91" t="str">
        <f t="shared" si="295"/>
        <v>VER ARCHIVO ANEXO</v>
      </c>
      <c r="N1549" s="93">
        <v>41608</v>
      </c>
      <c r="O1549" s="109"/>
      <c r="P1549" s="109"/>
      <c r="Q1549" s="94">
        <v>1400</v>
      </c>
      <c r="R1549" s="95">
        <f t="shared" si="298"/>
        <v>415262.64429708268</v>
      </c>
      <c r="S1549" s="109">
        <v>271749.87299999996</v>
      </c>
      <c r="T1549" s="94">
        <f t="shared" si="296"/>
        <v>290147.33940210001</v>
      </c>
      <c r="U1549" s="94">
        <f t="shared" si="303"/>
        <v>306830.8114177208</v>
      </c>
      <c r="V1549" s="94">
        <f t="shared" si="304"/>
        <v>319380.19160470559</v>
      </c>
      <c r="W1549" s="97">
        <f t="shared" si="301"/>
        <v>329536.48169773526</v>
      </c>
      <c r="X1549" s="97">
        <f t="shared" si="302"/>
        <v>342058.86800224922</v>
      </c>
      <c r="Y1549" s="97">
        <f t="shared" si="297"/>
        <v>347566.01577708544</v>
      </c>
      <c r="Z1549" s="97">
        <f t="shared" si="299"/>
        <v>367099.22586375766</v>
      </c>
      <c r="AA1549" s="97">
        <f t="shared" si="300"/>
        <v>415262.64429708268</v>
      </c>
    </row>
    <row r="1550" spans="1:27" x14ac:dyDescent="0.25">
      <c r="A1550" s="102" t="s">
        <v>3458</v>
      </c>
      <c r="B1550" s="87" t="s">
        <v>3459</v>
      </c>
      <c r="C1550" s="88" t="s">
        <v>226</v>
      </c>
      <c r="D1550" s="89" t="s">
        <v>262</v>
      </c>
      <c r="E1550" s="90">
        <f t="shared" si="305"/>
        <v>765816</v>
      </c>
      <c r="F1550" s="90">
        <f t="shared" si="294"/>
        <v>643542.65214581892</v>
      </c>
      <c r="G1550" s="91">
        <v>0.19</v>
      </c>
      <c r="H1550" s="91" t="s">
        <v>228</v>
      </c>
      <c r="I1550" s="91"/>
      <c r="J1550" s="91" t="s">
        <v>228</v>
      </c>
      <c r="K1550" s="91"/>
      <c r="L1550" s="92" t="s">
        <v>1262</v>
      </c>
      <c r="M1550" s="91" t="str">
        <f t="shared" si="295"/>
        <v>VER ARCHIVO ANEXO</v>
      </c>
      <c r="N1550" s="93">
        <v>41608</v>
      </c>
      <c r="O1550" s="109"/>
      <c r="P1550" s="109"/>
      <c r="Q1550" s="94">
        <v>1401</v>
      </c>
      <c r="R1550" s="95">
        <f t="shared" si="298"/>
        <v>643542.65214581892</v>
      </c>
      <c r="S1550" s="109">
        <v>421137.40879999998</v>
      </c>
      <c r="T1550" s="94">
        <f t="shared" si="296"/>
        <v>449648.41137575998</v>
      </c>
      <c r="U1550" s="94">
        <f t="shared" si="303"/>
        <v>475503.19502986624</v>
      </c>
      <c r="V1550" s="94">
        <f t="shared" si="304"/>
        <v>494951.27570658777</v>
      </c>
      <c r="W1550" s="97">
        <f t="shared" si="301"/>
        <v>510690.72627405729</v>
      </c>
      <c r="X1550" s="97">
        <f t="shared" si="302"/>
        <v>530096.97387247148</v>
      </c>
      <c r="Y1550" s="97">
        <f t="shared" si="297"/>
        <v>538631.5351518183</v>
      </c>
      <c r="Z1550" s="97">
        <f t="shared" si="299"/>
        <v>568902.6274273505</v>
      </c>
      <c r="AA1550" s="97">
        <f t="shared" si="300"/>
        <v>643542.65214581892</v>
      </c>
    </row>
    <row r="1551" spans="1:27" x14ac:dyDescent="0.25">
      <c r="A1551" s="102" t="s">
        <v>3460</v>
      </c>
      <c r="B1551" s="87" t="s">
        <v>3461</v>
      </c>
      <c r="C1551" s="88" t="s">
        <v>226</v>
      </c>
      <c r="D1551" s="89" t="s">
        <v>262</v>
      </c>
      <c r="E1551" s="90">
        <f t="shared" si="305"/>
        <v>570520</v>
      </c>
      <c r="F1551" s="90">
        <f t="shared" si="294"/>
        <v>479428.72617683397</v>
      </c>
      <c r="G1551" s="91">
        <v>0.19</v>
      </c>
      <c r="H1551" s="91" t="s">
        <v>228</v>
      </c>
      <c r="I1551" s="91"/>
      <c r="J1551" s="91" t="s">
        <v>228</v>
      </c>
      <c r="K1551" s="91"/>
      <c r="L1551" s="92" t="s">
        <v>1262</v>
      </c>
      <c r="M1551" s="91" t="str">
        <f t="shared" si="295"/>
        <v>VER ARCHIVO ANEXO</v>
      </c>
      <c r="N1551" s="93">
        <v>41608</v>
      </c>
      <c r="O1551" s="109"/>
      <c r="P1551" s="109"/>
      <c r="Q1551" s="94">
        <v>1402</v>
      </c>
      <c r="R1551" s="95">
        <f t="shared" si="298"/>
        <v>479428.72617683397</v>
      </c>
      <c r="S1551" s="109">
        <v>313740.46580000001</v>
      </c>
      <c r="T1551" s="94">
        <f t="shared" si="296"/>
        <v>334980.69533466006</v>
      </c>
      <c r="U1551" s="94">
        <f t="shared" si="303"/>
        <v>354242.08531640307</v>
      </c>
      <c r="V1551" s="94">
        <f t="shared" si="304"/>
        <v>368730.58660584391</v>
      </c>
      <c r="W1551" s="97">
        <f t="shared" si="301"/>
        <v>380456.21925990976</v>
      </c>
      <c r="X1551" s="97">
        <f t="shared" si="302"/>
        <v>394913.55559178634</v>
      </c>
      <c r="Y1551" s="97">
        <f t="shared" si="297"/>
        <v>401271.66383681411</v>
      </c>
      <c r="Z1551" s="97">
        <f t="shared" si="299"/>
        <v>423823.13134444307</v>
      </c>
      <c r="AA1551" s="97">
        <f t="shared" si="300"/>
        <v>479428.72617683397</v>
      </c>
    </row>
    <row r="1552" spans="1:27" x14ac:dyDescent="0.25">
      <c r="A1552" s="102" t="s">
        <v>3462</v>
      </c>
      <c r="B1552" s="87" t="s">
        <v>3463</v>
      </c>
      <c r="C1552" s="88" t="s">
        <v>226</v>
      </c>
      <c r="D1552" s="89" t="s">
        <v>262</v>
      </c>
      <c r="E1552" s="90">
        <f t="shared" si="305"/>
        <v>55664</v>
      </c>
      <c r="F1552" s="90">
        <f t="shared" si="294"/>
        <v>46776.547790783501</v>
      </c>
      <c r="G1552" s="91">
        <v>0.19</v>
      </c>
      <c r="H1552" s="91" t="s">
        <v>228</v>
      </c>
      <c r="I1552" s="91"/>
      <c r="J1552" s="91" t="s">
        <v>228</v>
      </c>
      <c r="K1552" s="91"/>
      <c r="L1552" s="92" t="s">
        <v>1262</v>
      </c>
      <c r="M1552" s="91" t="str">
        <f t="shared" si="295"/>
        <v>VER ARCHIVO ANEXO</v>
      </c>
      <c r="N1552" s="93">
        <v>41608</v>
      </c>
      <c r="O1552" s="109"/>
      <c r="P1552" s="109"/>
      <c r="Q1552" s="94">
        <v>1403</v>
      </c>
      <c r="R1552" s="95">
        <f t="shared" si="298"/>
        <v>46776.547790783501</v>
      </c>
      <c r="S1552" s="109">
        <v>30610.797999999999</v>
      </c>
      <c r="T1552" s="94">
        <f t="shared" si="296"/>
        <v>32683.149024600003</v>
      </c>
      <c r="U1552" s="94">
        <f t="shared" si="303"/>
        <v>34562.430093514507</v>
      </c>
      <c r="V1552" s="94">
        <f t="shared" si="304"/>
        <v>35976.033484339248</v>
      </c>
      <c r="W1552" s="97">
        <f t="shared" si="301"/>
        <v>37120.071349141239</v>
      </c>
      <c r="X1552" s="97">
        <f t="shared" si="302"/>
        <v>38530.634060408607</v>
      </c>
      <c r="Y1552" s="97">
        <f t="shared" si="297"/>
        <v>39150.977268781186</v>
      </c>
      <c r="Z1552" s="97">
        <f t="shared" si="299"/>
        <v>41351.262191286689</v>
      </c>
      <c r="AA1552" s="97">
        <f t="shared" si="300"/>
        <v>46776.547790783501</v>
      </c>
    </row>
    <row r="1553" spans="1:27" x14ac:dyDescent="0.25">
      <c r="A1553" s="102" t="s">
        <v>3464</v>
      </c>
      <c r="B1553" s="87" t="s">
        <v>3465</v>
      </c>
      <c r="C1553" s="88" t="s">
        <v>226</v>
      </c>
      <c r="D1553" s="89" t="s">
        <v>262</v>
      </c>
      <c r="E1553" s="90">
        <f t="shared" si="305"/>
        <v>72363</v>
      </c>
      <c r="F1553" s="90">
        <f t="shared" si="294"/>
        <v>60809.512128018549</v>
      </c>
      <c r="G1553" s="91">
        <v>0.19</v>
      </c>
      <c r="H1553" s="91" t="s">
        <v>228</v>
      </c>
      <c r="I1553" s="91"/>
      <c r="J1553" s="91" t="s">
        <v>228</v>
      </c>
      <c r="K1553" s="91"/>
      <c r="L1553" s="92" t="s">
        <v>1262</v>
      </c>
      <c r="M1553" s="91" t="str">
        <f t="shared" si="295"/>
        <v>VER ARCHIVO ANEXO</v>
      </c>
      <c r="N1553" s="93">
        <v>41608</v>
      </c>
      <c r="O1553" s="109"/>
      <c r="P1553" s="109"/>
      <c r="Q1553" s="94">
        <v>1404</v>
      </c>
      <c r="R1553" s="95">
        <f t="shared" si="298"/>
        <v>60809.512128018549</v>
      </c>
      <c r="S1553" s="109">
        <v>39794.037400000001</v>
      </c>
      <c r="T1553" s="94">
        <f t="shared" si="296"/>
        <v>42488.093731980007</v>
      </c>
      <c r="U1553" s="94">
        <f t="shared" si="303"/>
        <v>44931.15912156886</v>
      </c>
      <c r="V1553" s="94">
        <f t="shared" si="304"/>
        <v>46768.843529641024</v>
      </c>
      <c r="W1553" s="97">
        <f t="shared" si="301"/>
        <v>48256.092753883611</v>
      </c>
      <c r="X1553" s="97">
        <f t="shared" si="302"/>
        <v>50089.824278531189</v>
      </c>
      <c r="Y1553" s="97">
        <f t="shared" si="297"/>
        <v>50896.27044941554</v>
      </c>
      <c r="Z1553" s="97">
        <f t="shared" si="299"/>
        <v>53756.640848672694</v>
      </c>
      <c r="AA1553" s="97">
        <f t="shared" si="300"/>
        <v>60809.512128018549</v>
      </c>
    </row>
    <row r="1554" spans="1:27" x14ac:dyDescent="0.25">
      <c r="A1554" s="102" t="s">
        <v>3466</v>
      </c>
      <c r="B1554" s="87" t="s">
        <v>3467</v>
      </c>
      <c r="C1554" s="88" t="s">
        <v>226</v>
      </c>
      <c r="D1554" s="89" t="s">
        <v>262</v>
      </c>
      <c r="E1554" s="90">
        <f t="shared" si="305"/>
        <v>84825</v>
      </c>
      <c r="F1554" s="90">
        <f t="shared" si="294"/>
        <v>71281.566223679562</v>
      </c>
      <c r="G1554" s="91">
        <v>0.19</v>
      </c>
      <c r="H1554" s="91" t="s">
        <v>228</v>
      </c>
      <c r="I1554" s="91"/>
      <c r="J1554" s="91" t="s">
        <v>228</v>
      </c>
      <c r="K1554" s="91"/>
      <c r="L1554" s="92" t="s">
        <v>1262</v>
      </c>
      <c r="M1554" s="91" t="str">
        <f t="shared" si="295"/>
        <v>VER ARCHIVO ANEXO</v>
      </c>
      <c r="N1554" s="93">
        <v>41608</v>
      </c>
      <c r="O1554" s="109"/>
      <c r="P1554" s="109"/>
      <c r="Q1554" s="94">
        <v>1405</v>
      </c>
      <c r="R1554" s="95">
        <f t="shared" si="298"/>
        <v>71281.566223679562</v>
      </c>
      <c r="S1554" s="109">
        <v>46647</v>
      </c>
      <c r="T1554" s="94">
        <f t="shared" si="296"/>
        <v>49805.001900000003</v>
      </c>
      <c r="U1554" s="94">
        <f t="shared" si="303"/>
        <v>52668.789509250011</v>
      </c>
      <c r="V1554" s="94">
        <f t="shared" si="304"/>
        <v>54822.943000178333</v>
      </c>
      <c r="W1554" s="97">
        <f t="shared" si="301"/>
        <v>56566.312587584005</v>
      </c>
      <c r="X1554" s="97">
        <f t="shared" si="302"/>
        <v>58715.832465912201</v>
      </c>
      <c r="Y1554" s="97">
        <f t="shared" si="297"/>
        <v>59661.157368613385</v>
      </c>
      <c r="Z1554" s="97">
        <f t="shared" si="299"/>
        <v>63014.114412729461</v>
      </c>
      <c r="AA1554" s="97">
        <f t="shared" si="300"/>
        <v>71281.566223679562</v>
      </c>
    </row>
    <row r="1555" spans="1:27" x14ac:dyDescent="0.25">
      <c r="A1555" s="102" t="s">
        <v>3468</v>
      </c>
      <c r="B1555" s="87" t="s">
        <v>3469</v>
      </c>
      <c r="C1555" s="88" t="s">
        <v>226</v>
      </c>
      <c r="D1555" s="89" t="s">
        <v>262</v>
      </c>
      <c r="E1555" s="90">
        <f t="shared" si="305"/>
        <v>149232</v>
      </c>
      <c r="F1555" s="90">
        <f t="shared" si="294"/>
        <v>125404.86743991697</v>
      </c>
      <c r="G1555" s="91">
        <v>0.19</v>
      </c>
      <c r="H1555" s="91" t="s">
        <v>228</v>
      </c>
      <c r="I1555" s="91"/>
      <c r="J1555" s="91" t="s">
        <v>228</v>
      </c>
      <c r="K1555" s="91"/>
      <c r="L1555" s="92" t="s">
        <v>1262</v>
      </c>
      <c r="M1555" s="91" t="str">
        <f t="shared" si="295"/>
        <v>VER ARCHIVO ANEXO</v>
      </c>
      <c r="N1555" s="93">
        <v>41608</v>
      </c>
      <c r="O1555" s="109"/>
      <c r="P1555" s="109"/>
      <c r="Q1555" s="94">
        <v>1406</v>
      </c>
      <c r="R1555" s="95">
        <f t="shared" si="298"/>
        <v>125404.86743991697</v>
      </c>
      <c r="S1555" s="109">
        <v>82065.548800000004</v>
      </c>
      <c r="T1555" s="94">
        <f t="shared" si="296"/>
        <v>87621.386453760017</v>
      </c>
      <c r="U1555" s="94">
        <f t="shared" si="303"/>
        <v>92659.616174851224</v>
      </c>
      <c r="V1555" s="94">
        <f t="shared" si="304"/>
        <v>96449.394476402638</v>
      </c>
      <c r="W1555" s="97">
        <f t="shared" si="301"/>
        <v>99516.485220752249</v>
      </c>
      <c r="X1555" s="97">
        <f t="shared" si="302"/>
        <v>103298.11165914084</v>
      </c>
      <c r="Y1555" s="97">
        <f t="shared" si="297"/>
        <v>104961.211256853</v>
      </c>
      <c r="Z1555" s="97">
        <f t="shared" si="299"/>
        <v>110860.03132948813</v>
      </c>
      <c r="AA1555" s="97">
        <f t="shared" si="300"/>
        <v>125404.86743991697</v>
      </c>
    </row>
    <row r="1556" spans="1:27" x14ac:dyDescent="0.25">
      <c r="A1556" s="102" t="s">
        <v>3470</v>
      </c>
      <c r="B1556" s="87" t="s">
        <v>3471</v>
      </c>
      <c r="C1556" s="88" t="s">
        <v>226</v>
      </c>
      <c r="D1556" s="89" t="s">
        <v>262</v>
      </c>
      <c r="E1556" s="90">
        <f t="shared" si="305"/>
        <v>124410</v>
      </c>
      <c r="F1556" s="90">
        <f t="shared" si="294"/>
        <v>104546.29712806332</v>
      </c>
      <c r="G1556" s="91">
        <v>0.19</v>
      </c>
      <c r="H1556" s="91" t="s">
        <v>228</v>
      </c>
      <c r="I1556" s="91"/>
      <c r="J1556" s="91" t="s">
        <v>228</v>
      </c>
      <c r="K1556" s="91"/>
      <c r="L1556" s="92" t="s">
        <v>1262</v>
      </c>
      <c r="M1556" s="91" t="str">
        <f t="shared" si="295"/>
        <v>VER ARCHIVO ANEXO</v>
      </c>
      <c r="N1556" s="93">
        <v>41608</v>
      </c>
      <c r="O1556" s="109"/>
      <c r="P1556" s="109"/>
      <c r="Q1556" s="94">
        <v>1407</v>
      </c>
      <c r="R1556" s="95">
        <f t="shared" si="298"/>
        <v>104546.29712806332</v>
      </c>
      <c r="S1556" s="109">
        <v>68415.599999999991</v>
      </c>
      <c r="T1556" s="94">
        <f t="shared" si="296"/>
        <v>73047.336119999993</v>
      </c>
      <c r="U1556" s="94">
        <f t="shared" si="303"/>
        <v>77247.557946899993</v>
      </c>
      <c r="V1556" s="94">
        <f t="shared" si="304"/>
        <v>80406.983066928195</v>
      </c>
      <c r="W1556" s="97">
        <f t="shared" si="301"/>
        <v>82963.925128456511</v>
      </c>
      <c r="X1556" s="97">
        <f t="shared" si="302"/>
        <v>86116.554283337857</v>
      </c>
      <c r="Y1556" s="97">
        <f t="shared" si="297"/>
        <v>87503.030807299598</v>
      </c>
      <c r="Z1556" s="97">
        <f t="shared" si="299"/>
        <v>92420.701138669843</v>
      </c>
      <c r="AA1556" s="97">
        <f t="shared" si="300"/>
        <v>104546.29712806332</v>
      </c>
    </row>
    <row r="1557" spans="1:27" x14ac:dyDescent="0.25">
      <c r="A1557" s="102" t="s">
        <v>3472</v>
      </c>
      <c r="B1557" s="87" t="s">
        <v>3473</v>
      </c>
      <c r="C1557" s="88" t="s">
        <v>226</v>
      </c>
      <c r="D1557" s="89" t="s">
        <v>262</v>
      </c>
      <c r="E1557" s="90">
        <f t="shared" si="305"/>
        <v>28761</v>
      </c>
      <c r="F1557" s="90">
        <f t="shared" si="294"/>
        <v>24169.203054242287</v>
      </c>
      <c r="G1557" s="91">
        <v>0.19</v>
      </c>
      <c r="H1557" s="91" t="s">
        <v>228</v>
      </c>
      <c r="I1557" s="91"/>
      <c r="J1557" s="91" t="s">
        <v>228</v>
      </c>
      <c r="K1557" s="91"/>
      <c r="L1557" s="92" t="s">
        <v>1262</v>
      </c>
      <c r="M1557" s="91" t="str">
        <f t="shared" si="295"/>
        <v>VER ARCHIVO ANEXO</v>
      </c>
      <c r="N1557" s="93">
        <v>41608</v>
      </c>
      <c r="O1557" s="109"/>
      <c r="P1557" s="109"/>
      <c r="Q1557" s="94">
        <v>1408</v>
      </c>
      <c r="R1557" s="95">
        <f t="shared" si="298"/>
        <v>24169.203054242287</v>
      </c>
      <c r="S1557" s="109">
        <v>15816.442799999999</v>
      </c>
      <c r="T1557" s="94">
        <f t="shared" si="296"/>
        <v>16887.215977560001</v>
      </c>
      <c r="U1557" s="94">
        <f t="shared" si="303"/>
        <v>17858.230896269702</v>
      </c>
      <c r="V1557" s="94">
        <f t="shared" si="304"/>
        <v>18588.632539927134</v>
      </c>
      <c r="W1557" s="97">
        <f t="shared" si="301"/>
        <v>19179.751054696819</v>
      </c>
      <c r="X1557" s="97">
        <f t="shared" si="302"/>
        <v>19908.5815947753</v>
      </c>
      <c r="Y1557" s="97">
        <f t="shared" si="297"/>
        <v>20229.109758451181</v>
      </c>
      <c r="Z1557" s="97">
        <f t="shared" si="299"/>
        <v>21365.985726876137</v>
      </c>
      <c r="AA1557" s="97">
        <f t="shared" si="300"/>
        <v>24169.203054242287</v>
      </c>
    </row>
    <row r="1558" spans="1:27" x14ac:dyDescent="0.25">
      <c r="A1558" s="102" t="s">
        <v>3474</v>
      </c>
      <c r="B1558" s="98" t="s">
        <v>3475</v>
      </c>
      <c r="C1558" s="99" t="s">
        <v>226</v>
      </c>
      <c r="D1558" s="100" t="s">
        <v>262</v>
      </c>
      <c r="E1558" s="101">
        <f t="shared" si="305"/>
        <v>1012</v>
      </c>
      <c r="F1558" s="90">
        <f t="shared" si="294"/>
        <v>850.62669026924254</v>
      </c>
      <c r="G1558" s="91">
        <v>0.19</v>
      </c>
      <c r="H1558" s="91" t="s">
        <v>228</v>
      </c>
      <c r="I1558" s="91"/>
      <c r="J1558" s="91" t="s">
        <v>228</v>
      </c>
      <c r="K1558" s="91"/>
      <c r="L1558" s="92" t="s">
        <v>1262</v>
      </c>
      <c r="M1558" s="91" t="str">
        <f t="shared" si="295"/>
        <v>VER ARCHIVO ANEXO</v>
      </c>
      <c r="N1558" s="93">
        <v>41608</v>
      </c>
      <c r="O1558" s="109"/>
      <c r="P1558" s="109"/>
      <c r="Q1558" s="94">
        <v>1409</v>
      </c>
      <c r="R1558" s="95">
        <f t="shared" si="298"/>
        <v>850.62669026924254</v>
      </c>
      <c r="S1558" s="109">
        <v>556.65419999999995</v>
      </c>
      <c r="T1558" s="94">
        <f t="shared" si="296"/>
        <v>594.33968933999995</v>
      </c>
      <c r="U1558" s="94">
        <f t="shared" si="303"/>
        <v>628.51422147705</v>
      </c>
      <c r="V1558" s="94">
        <f t="shared" si="304"/>
        <v>654.2204531354613</v>
      </c>
      <c r="W1558" s="97">
        <f t="shared" si="301"/>
        <v>675.02466354516901</v>
      </c>
      <c r="X1558" s="97">
        <f t="shared" si="302"/>
        <v>700.67560075988547</v>
      </c>
      <c r="Y1558" s="97">
        <f t="shared" si="297"/>
        <v>711.95647793211958</v>
      </c>
      <c r="Z1558" s="97">
        <f t="shared" si="299"/>
        <v>751.96843199190471</v>
      </c>
      <c r="AA1558" s="97">
        <f t="shared" si="300"/>
        <v>850.62669026924254</v>
      </c>
    </row>
    <row r="1559" spans="1:27" x14ac:dyDescent="0.25">
      <c r="A1559" s="102" t="s">
        <v>3476</v>
      </c>
      <c r="B1559" s="87" t="s">
        <v>3477</v>
      </c>
      <c r="C1559" s="88" t="s">
        <v>226</v>
      </c>
      <c r="D1559" s="89" t="s">
        <v>255</v>
      </c>
      <c r="E1559" s="90">
        <f t="shared" si="305"/>
        <v>17385</v>
      </c>
      <c r="F1559" s="90">
        <f t="shared" si="294"/>
        <v>14609.553006244369</v>
      </c>
      <c r="G1559" s="91">
        <v>0.19</v>
      </c>
      <c r="H1559" s="91" t="s">
        <v>228</v>
      </c>
      <c r="I1559" s="91"/>
      <c r="J1559" s="91" t="s">
        <v>228</v>
      </c>
      <c r="K1559" s="91"/>
      <c r="L1559" s="92" t="s">
        <v>1262</v>
      </c>
      <c r="M1559" s="91" t="str">
        <f t="shared" si="295"/>
        <v>VER ARCHIVO ANEXO</v>
      </c>
      <c r="N1559" s="93">
        <v>41608</v>
      </c>
      <c r="O1559" s="109"/>
      <c r="P1559" s="109"/>
      <c r="Q1559" s="94">
        <v>1410</v>
      </c>
      <c r="R1559" s="95">
        <f t="shared" si="298"/>
        <v>14609.553006244369</v>
      </c>
      <c r="S1559" s="109">
        <v>9560.5617999999995</v>
      </c>
      <c r="T1559" s="94">
        <f t="shared" si="296"/>
        <v>10207.81183386</v>
      </c>
      <c r="U1559" s="94">
        <f t="shared" si="303"/>
        <v>10794.761014306951</v>
      </c>
      <c r="V1559" s="94">
        <f t="shared" si="304"/>
        <v>11236.266739792105</v>
      </c>
      <c r="W1559" s="97">
        <f t="shared" si="301"/>
        <v>11593.580022117494</v>
      </c>
      <c r="X1559" s="97">
        <f t="shared" si="302"/>
        <v>12034.136062957959</v>
      </c>
      <c r="Y1559" s="97">
        <f t="shared" si="297"/>
        <v>12227.885653571582</v>
      </c>
      <c r="Z1559" s="97">
        <f t="shared" si="299"/>
        <v>12915.092827302306</v>
      </c>
      <c r="AA1559" s="97">
        <f t="shared" si="300"/>
        <v>14609.553006244369</v>
      </c>
    </row>
    <row r="1560" spans="1:27" x14ac:dyDescent="0.25">
      <c r="A1560" s="102" t="s">
        <v>3478</v>
      </c>
      <c r="B1560" s="87" t="s">
        <v>3479</v>
      </c>
      <c r="C1560" s="88" t="s">
        <v>226</v>
      </c>
      <c r="D1560" s="89" t="s">
        <v>255</v>
      </c>
      <c r="E1560" s="90">
        <f t="shared" si="305"/>
        <v>27078</v>
      </c>
      <c r="F1560" s="90">
        <f t="shared" ref="F1560:F1623" si="306">R1560</f>
        <v>22754.659973403486</v>
      </c>
      <c r="G1560" s="91">
        <v>0.19</v>
      </c>
      <c r="H1560" s="91" t="s">
        <v>228</v>
      </c>
      <c r="I1560" s="91"/>
      <c r="J1560" s="91" t="s">
        <v>228</v>
      </c>
      <c r="K1560" s="91"/>
      <c r="L1560" s="92" t="s">
        <v>1262</v>
      </c>
      <c r="M1560" s="91" t="str">
        <f t="shared" si="295"/>
        <v>VER ARCHIVO ANEXO</v>
      </c>
      <c r="N1560" s="93">
        <v>41608</v>
      </c>
      <c r="O1560" s="109"/>
      <c r="P1560" s="109"/>
      <c r="Q1560" s="94">
        <v>1411</v>
      </c>
      <c r="R1560" s="95">
        <f t="shared" si="298"/>
        <v>22754.659973403486</v>
      </c>
      <c r="S1560" s="109">
        <v>14890.759</v>
      </c>
      <c r="T1560" s="94">
        <f t="shared" si="296"/>
        <v>15898.863384300001</v>
      </c>
      <c r="U1560" s="94">
        <f t="shared" si="303"/>
        <v>16813.048028897254</v>
      </c>
      <c r="V1560" s="94">
        <f t="shared" si="304"/>
        <v>17500.701693279152</v>
      </c>
      <c r="W1560" s="97">
        <f t="shared" si="301"/>
        <v>18057.224007125431</v>
      </c>
      <c r="X1560" s="97">
        <f t="shared" si="302"/>
        <v>18743.398519396196</v>
      </c>
      <c r="Y1560" s="97">
        <f t="shared" si="297"/>
        <v>19045.167235558474</v>
      </c>
      <c r="Z1560" s="97">
        <f t="shared" si="299"/>
        <v>20115.505634196859</v>
      </c>
      <c r="AA1560" s="97">
        <f t="shared" si="300"/>
        <v>22754.659973403486</v>
      </c>
    </row>
    <row r="1561" spans="1:27" x14ac:dyDescent="0.25">
      <c r="A1561" s="102" t="s">
        <v>3480</v>
      </c>
      <c r="B1561" s="87" t="s">
        <v>3481</v>
      </c>
      <c r="C1561" s="88" t="s">
        <v>226</v>
      </c>
      <c r="D1561" s="89" t="s">
        <v>255</v>
      </c>
      <c r="E1561" s="90">
        <f t="shared" si="305"/>
        <v>39036</v>
      </c>
      <c r="F1561" s="90">
        <f t="shared" si="306"/>
        <v>32803.77677613734</v>
      </c>
      <c r="G1561" s="91">
        <v>0.19</v>
      </c>
      <c r="H1561" s="91" t="s">
        <v>228</v>
      </c>
      <c r="I1561" s="91"/>
      <c r="J1561" s="91" t="s">
        <v>228</v>
      </c>
      <c r="K1561" s="91"/>
      <c r="L1561" s="92" t="s">
        <v>1262</v>
      </c>
      <c r="M1561" s="91" t="str">
        <f t="shared" si="295"/>
        <v>VER ARCHIVO ANEXO</v>
      </c>
      <c r="N1561" s="93">
        <v>41608</v>
      </c>
      <c r="O1561" s="109"/>
      <c r="P1561" s="109"/>
      <c r="Q1561" s="94">
        <v>1412</v>
      </c>
      <c r="R1561" s="95">
        <f t="shared" si="298"/>
        <v>32803.77677613734</v>
      </c>
      <c r="S1561" s="109">
        <v>21466.949399999998</v>
      </c>
      <c r="T1561" s="94">
        <f t="shared" si="296"/>
        <v>22920.261874380001</v>
      </c>
      <c r="U1561" s="94">
        <f t="shared" si="303"/>
        <v>24238.176932156854</v>
      </c>
      <c r="V1561" s="94">
        <f t="shared" si="304"/>
        <v>25229.518368682067</v>
      </c>
      <c r="W1561" s="97">
        <f t="shared" si="301"/>
        <v>26031.81705280616</v>
      </c>
      <c r="X1561" s="97">
        <f t="shared" si="302"/>
        <v>27021.026100812796</v>
      </c>
      <c r="Y1561" s="97">
        <f t="shared" si="297"/>
        <v>27456.064621035883</v>
      </c>
      <c r="Z1561" s="97">
        <f t="shared" si="299"/>
        <v>28999.0954527381</v>
      </c>
      <c r="AA1561" s="97">
        <f t="shared" si="300"/>
        <v>32803.77677613734</v>
      </c>
    </row>
    <row r="1562" spans="1:27" x14ac:dyDescent="0.25">
      <c r="A1562" s="102" t="s">
        <v>3482</v>
      </c>
      <c r="B1562" s="87" t="s">
        <v>3483</v>
      </c>
      <c r="C1562" s="88" t="s">
        <v>226</v>
      </c>
      <c r="D1562" s="89" t="s">
        <v>255</v>
      </c>
      <c r="E1562" s="90">
        <f t="shared" si="305"/>
        <v>50816</v>
      </c>
      <c r="F1562" s="90">
        <f t="shared" si="306"/>
        <v>42702.410272398971</v>
      </c>
      <c r="G1562" s="91">
        <v>0.19</v>
      </c>
      <c r="H1562" s="91" t="s">
        <v>228</v>
      </c>
      <c r="I1562" s="91"/>
      <c r="J1562" s="91" t="s">
        <v>228</v>
      </c>
      <c r="K1562" s="91"/>
      <c r="L1562" s="92" t="s">
        <v>1262</v>
      </c>
      <c r="M1562" s="91" t="str">
        <f t="shared" si="295"/>
        <v>VER ARCHIVO ANEXO</v>
      </c>
      <c r="N1562" s="93">
        <v>41608</v>
      </c>
      <c r="O1562" s="109"/>
      <c r="P1562" s="109"/>
      <c r="Q1562" s="94">
        <v>1413</v>
      </c>
      <c r="R1562" s="95">
        <f t="shared" si="298"/>
        <v>42702.410272398971</v>
      </c>
      <c r="S1562" s="109">
        <v>27944.662799999998</v>
      </c>
      <c r="T1562" s="94">
        <f t="shared" si="296"/>
        <v>29836.51647156</v>
      </c>
      <c r="U1562" s="94">
        <f t="shared" si="303"/>
        <v>31552.116168674704</v>
      </c>
      <c r="V1562" s="94">
        <f t="shared" si="304"/>
        <v>32842.597719973499</v>
      </c>
      <c r="W1562" s="97">
        <f t="shared" si="301"/>
        <v>33886.992327468659</v>
      </c>
      <c r="X1562" s="97">
        <f t="shared" si="302"/>
        <v>35174.698035912472</v>
      </c>
      <c r="Y1562" s="97">
        <f t="shared" si="297"/>
        <v>35741.010674290665</v>
      </c>
      <c r="Z1562" s="97">
        <f t="shared" si="299"/>
        <v>37749.655474185798</v>
      </c>
      <c r="AA1562" s="97">
        <f t="shared" si="300"/>
        <v>42702.410272398971</v>
      </c>
    </row>
    <row r="1563" spans="1:27" x14ac:dyDescent="0.25">
      <c r="A1563" s="102" t="s">
        <v>3484</v>
      </c>
      <c r="B1563" s="87" t="s">
        <v>3485</v>
      </c>
      <c r="C1563" s="88" t="s">
        <v>226</v>
      </c>
      <c r="D1563" s="89" t="s">
        <v>255</v>
      </c>
      <c r="E1563" s="90">
        <f t="shared" si="305"/>
        <v>62573</v>
      </c>
      <c r="F1563" s="90">
        <f t="shared" si="306"/>
        <v>52582.035351000945</v>
      </c>
      <c r="G1563" s="91">
        <v>0.19</v>
      </c>
      <c r="H1563" s="91" t="s">
        <v>228</v>
      </c>
      <c r="I1563" s="91"/>
      <c r="J1563" s="91" t="s">
        <v>228</v>
      </c>
      <c r="K1563" s="91"/>
      <c r="L1563" s="92" t="s">
        <v>1262</v>
      </c>
      <c r="M1563" s="91" t="str">
        <f t="shared" si="295"/>
        <v>VER ARCHIVO ANEXO</v>
      </c>
      <c r="N1563" s="93">
        <v>41608</v>
      </c>
      <c r="O1563" s="109"/>
      <c r="P1563" s="109"/>
      <c r="Q1563" s="94">
        <v>1414</v>
      </c>
      <c r="R1563" s="95">
        <f t="shared" si="298"/>
        <v>52582.035351000945</v>
      </c>
      <c r="S1563" s="109">
        <v>34409.936999999998</v>
      </c>
      <c r="T1563" s="94">
        <f t="shared" si="296"/>
        <v>36739.489734900002</v>
      </c>
      <c r="U1563" s="94">
        <f t="shared" si="303"/>
        <v>38852.010394656754</v>
      </c>
      <c r="V1563" s="94">
        <f t="shared" si="304"/>
        <v>40441.057619798215</v>
      </c>
      <c r="W1563" s="97">
        <f t="shared" si="301"/>
        <v>41727.083252107797</v>
      </c>
      <c r="X1563" s="97">
        <f t="shared" si="302"/>
        <v>43312.712415687893</v>
      </c>
      <c r="Y1563" s="97">
        <f t="shared" si="297"/>
        <v>44010.047085580467</v>
      </c>
      <c r="Z1563" s="97">
        <f t="shared" si="299"/>
        <v>46483.411731790089</v>
      </c>
      <c r="AA1563" s="97">
        <f t="shared" si="300"/>
        <v>52582.035351000945</v>
      </c>
    </row>
    <row r="1564" spans="1:27" x14ac:dyDescent="0.25">
      <c r="A1564" s="102" t="s">
        <v>3486</v>
      </c>
      <c r="B1564" s="87" t="s">
        <v>3487</v>
      </c>
      <c r="C1564" s="88" t="s">
        <v>226</v>
      </c>
      <c r="D1564" s="89" t="s">
        <v>255</v>
      </c>
      <c r="E1564" s="90">
        <f t="shared" si="305"/>
        <v>74324</v>
      </c>
      <c r="F1564" s="90">
        <f t="shared" si="306"/>
        <v>62456.908325188022</v>
      </c>
      <c r="G1564" s="91">
        <v>0.19</v>
      </c>
      <c r="H1564" s="91" t="s">
        <v>228</v>
      </c>
      <c r="I1564" s="91"/>
      <c r="J1564" s="91" t="s">
        <v>228</v>
      </c>
      <c r="K1564" s="91"/>
      <c r="L1564" s="92" t="s">
        <v>1262</v>
      </c>
      <c r="M1564" s="91" t="str">
        <f t="shared" si="295"/>
        <v>VER ARCHIVO ANEXO</v>
      </c>
      <c r="N1564" s="93">
        <v>41608</v>
      </c>
      <c r="O1564" s="109"/>
      <c r="P1564" s="109"/>
      <c r="Q1564" s="94">
        <v>1415</v>
      </c>
      <c r="R1564" s="95">
        <f t="shared" si="298"/>
        <v>62456.908325188022</v>
      </c>
      <c r="S1564" s="109">
        <v>40872.1014</v>
      </c>
      <c r="T1564" s="94">
        <f t="shared" si="296"/>
        <v>43639.142664780004</v>
      </c>
      <c r="U1564" s="94">
        <f t="shared" si="303"/>
        <v>46148.393368004858</v>
      </c>
      <c r="V1564" s="94">
        <f t="shared" si="304"/>
        <v>48035.862656756253</v>
      </c>
      <c r="W1564" s="97">
        <f t="shared" si="301"/>
        <v>49563.403089241103</v>
      </c>
      <c r="X1564" s="97">
        <f t="shared" si="302"/>
        <v>51446.812406632263</v>
      </c>
      <c r="Y1564" s="97">
        <f t="shared" si="297"/>
        <v>52275.106086379041</v>
      </c>
      <c r="Z1564" s="97">
        <f t="shared" si="299"/>
        <v>55212.967048433544</v>
      </c>
      <c r="AA1564" s="97">
        <f t="shared" si="300"/>
        <v>62456.908325188022</v>
      </c>
    </row>
    <row r="1565" spans="1:27" x14ac:dyDescent="0.25">
      <c r="A1565" s="102" t="s">
        <v>3488</v>
      </c>
      <c r="B1565" s="87" t="s">
        <v>3489</v>
      </c>
      <c r="C1565" s="88" t="s">
        <v>226</v>
      </c>
      <c r="D1565" s="89" t="s">
        <v>262</v>
      </c>
      <c r="E1565" s="90">
        <f t="shared" si="305"/>
        <v>86691</v>
      </c>
      <c r="F1565" s="90">
        <f t="shared" si="306"/>
        <v>72849.760680600506</v>
      </c>
      <c r="G1565" s="91">
        <v>0.19</v>
      </c>
      <c r="H1565" s="91" t="s">
        <v>228</v>
      </c>
      <c r="I1565" s="91"/>
      <c r="J1565" s="91" t="s">
        <v>228</v>
      </c>
      <c r="K1565" s="91"/>
      <c r="L1565" s="92" t="s">
        <v>1262</v>
      </c>
      <c r="M1565" s="91" t="str">
        <f t="shared" si="295"/>
        <v>VER ARCHIVO ANEXO</v>
      </c>
      <c r="N1565" s="93">
        <v>41608</v>
      </c>
      <c r="O1565" s="109"/>
      <c r="P1565" s="109"/>
      <c r="Q1565" s="94">
        <v>1416</v>
      </c>
      <c r="R1565" s="95">
        <f t="shared" si="298"/>
        <v>72849.760680600506</v>
      </c>
      <c r="S1565" s="109">
        <v>47673.233999999997</v>
      </c>
      <c r="T1565" s="94">
        <f t="shared" si="296"/>
        <v>50900.7119418</v>
      </c>
      <c r="U1565" s="94">
        <f t="shared" si="303"/>
        <v>53827.502878453502</v>
      </c>
      <c r="V1565" s="94">
        <f t="shared" si="304"/>
        <v>56029.047746182245</v>
      </c>
      <c r="W1565" s="97">
        <f t="shared" si="301"/>
        <v>57810.771464510843</v>
      </c>
      <c r="X1565" s="97">
        <f t="shared" si="302"/>
        <v>60007.580780162258</v>
      </c>
      <c r="Y1565" s="97">
        <f t="shared" si="297"/>
        <v>60973.702830722868</v>
      </c>
      <c r="Z1565" s="97">
        <f t="shared" si="299"/>
        <v>64400.424929809495</v>
      </c>
      <c r="AA1565" s="97">
        <f t="shared" si="300"/>
        <v>72849.760680600506</v>
      </c>
    </row>
    <row r="1566" spans="1:27" x14ac:dyDescent="0.25">
      <c r="A1566" s="102" t="s">
        <v>3490</v>
      </c>
      <c r="B1566" s="87" t="s">
        <v>3491</v>
      </c>
      <c r="C1566" s="88" t="s">
        <v>226</v>
      </c>
      <c r="D1566" s="89" t="s">
        <v>262</v>
      </c>
      <c r="E1566" s="90">
        <f t="shared" si="305"/>
        <v>95502</v>
      </c>
      <c r="F1566" s="90">
        <f t="shared" si="306"/>
        <v>80253.539359033384</v>
      </c>
      <c r="G1566" s="91">
        <v>0.19</v>
      </c>
      <c r="H1566" s="91" t="s">
        <v>228</v>
      </c>
      <c r="I1566" s="91"/>
      <c r="J1566" s="91" t="s">
        <v>228</v>
      </c>
      <c r="K1566" s="91"/>
      <c r="L1566" s="92" t="s">
        <v>1262</v>
      </c>
      <c r="M1566" s="91" t="str">
        <f t="shared" si="295"/>
        <v>VER ARCHIVO ANEXO</v>
      </c>
      <c r="N1566" s="93">
        <v>41608</v>
      </c>
      <c r="O1566" s="109"/>
      <c r="P1566" s="109"/>
      <c r="Q1566" s="94">
        <v>1417</v>
      </c>
      <c r="R1566" s="95">
        <f t="shared" si="298"/>
        <v>80253.539359033384</v>
      </c>
      <c r="S1566" s="109">
        <v>52518.3024</v>
      </c>
      <c r="T1566" s="94">
        <f t="shared" si="296"/>
        <v>56073.791472480007</v>
      </c>
      <c r="U1566" s="94">
        <f t="shared" si="303"/>
        <v>59298.03448214761</v>
      </c>
      <c r="V1566" s="94">
        <f t="shared" si="304"/>
        <v>61723.324092467446</v>
      </c>
      <c r="W1566" s="97">
        <f t="shared" si="301"/>
        <v>63686.125798607914</v>
      </c>
      <c r="X1566" s="97">
        <f t="shared" si="302"/>
        <v>66106.198578955024</v>
      </c>
      <c r="Y1566" s="97">
        <f t="shared" si="297"/>
        <v>67170.508376076206</v>
      </c>
      <c r="Z1566" s="97">
        <f t="shared" si="299"/>
        <v>70945.490946811697</v>
      </c>
      <c r="AA1566" s="97">
        <f t="shared" si="300"/>
        <v>80253.539359033384</v>
      </c>
    </row>
    <row r="1567" spans="1:27" x14ac:dyDescent="0.25">
      <c r="A1567" s="102" t="s">
        <v>3492</v>
      </c>
      <c r="B1567" s="87" t="s">
        <v>3493</v>
      </c>
      <c r="C1567" s="88" t="s">
        <v>226</v>
      </c>
      <c r="D1567" s="89" t="s">
        <v>262</v>
      </c>
      <c r="E1567" s="90">
        <f t="shared" si="305"/>
        <v>104491</v>
      </c>
      <c r="F1567" s="90">
        <f t="shared" si="306"/>
        <v>87807.801343938438</v>
      </c>
      <c r="G1567" s="91">
        <v>0.19</v>
      </c>
      <c r="H1567" s="91" t="s">
        <v>228</v>
      </c>
      <c r="I1567" s="91"/>
      <c r="J1567" s="91" t="s">
        <v>228</v>
      </c>
      <c r="K1567" s="91"/>
      <c r="L1567" s="92" t="s">
        <v>1262</v>
      </c>
      <c r="M1567" s="91" t="str">
        <f t="shared" si="295"/>
        <v>VER ARCHIVO ANEXO</v>
      </c>
      <c r="N1567" s="93">
        <v>41608</v>
      </c>
      <c r="O1567" s="109"/>
      <c r="P1567" s="109"/>
      <c r="Q1567" s="94">
        <v>1418</v>
      </c>
      <c r="R1567" s="95">
        <f t="shared" si="298"/>
        <v>87807.801343938438</v>
      </c>
      <c r="S1567" s="109">
        <v>57461.847799999996</v>
      </c>
      <c r="T1567" s="94">
        <f t="shared" si="296"/>
        <v>61352.014896059998</v>
      </c>
      <c r="U1567" s="94">
        <f t="shared" si="303"/>
        <v>64879.755752583456</v>
      </c>
      <c r="V1567" s="94">
        <f t="shared" si="304"/>
        <v>67533.337762864117</v>
      </c>
      <c r="W1567" s="97">
        <f t="shared" si="301"/>
        <v>69680.897903723206</v>
      </c>
      <c r="X1567" s="97">
        <f t="shared" si="302"/>
        <v>72328.772024064689</v>
      </c>
      <c r="Y1567" s="97">
        <f t="shared" si="297"/>
        <v>73493.265253652135</v>
      </c>
      <c r="Z1567" s="97">
        <f t="shared" si="299"/>
        <v>77623.58676090739</v>
      </c>
      <c r="AA1567" s="97">
        <f t="shared" si="300"/>
        <v>87807.801343938438</v>
      </c>
    </row>
    <row r="1568" spans="1:27" x14ac:dyDescent="0.25">
      <c r="A1568" s="102" t="s">
        <v>3494</v>
      </c>
      <c r="B1568" s="87" t="s">
        <v>3495</v>
      </c>
      <c r="C1568" s="88" t="s">
        <v>226</v>
      </c>
      <c r="D1568" s="89" t="s">
        <v>262</v>
      </c>
      <c r="E1568" s="90">
        <f t="shared" si="305"/>
        <v>117424</v>
      </c>
      <c r="F1568" s="90">
        <f t="shared" si="306"/>
        <v>98675.86414084211</v>
      </c>
      <c r="G1568" s="91">
        <v>0.19</v>
      </c>
      <c r="H1568" s="91" t="s">
        <v>228</v>
      </c>
      <c r="I1568" s="91"/>
      <c r="J1568" s="91" t="s">
        <v>228</v>
      </c>
      <c r="K1568" s="91"/>
      <c r="L1568" s="92" t="s">
        <v>1262</v>
      </c>
      <c r="M1568" s="91" t="str">
        <f t="shared" si="295"/>
        <v>VER ARCHIVO ANEXO</v>
      </c>
      <c r="N1568" s="93">
        <v>41608</v>
      </c>
      <c r="O1568" s="109"/>
      <c r="P1568" s="109"/>
      <c r="Q1568" s="94">
        <v>1419</v>
      </c>
      <c r="R1568" s="95">
        <f t="shared" si="298"/>
        <v>98675.86414084211</v>
      </c>
      <c r="S1568" s="109">
        <v>64573.960399999996</v>
      </c>
      <c r="T1568" s="94">
        <f t="shared" si="296"/>
        <v>68945.617519079999</v>
      </c>
      <c r="U1568" s="94">
        <f t="shared" si="303"/>
        <v>72909.990526427107</v>
      </c>
      <c r="V1568" s="94">
        <f t="shared" si="304"/>
        <v>75892.009138957976</v>
      </c>
      <c r="W1568" s="97">
        <f t="shared" si="301"/>
        <v>78305.37502957684</v>
      </c>
      <c r="X1568" s="97">
        <f t="shared" si="302"/>
        <v>81280.979280700762</v>
      </c>
      <c r="Y1568" s="97">
        <f t="shared" si="297"/>
        <v>82589.60304712005</v>
      </c>
      <c r="Z1568" s="97">
        <f t="shared" si="299"/>
        <v>87231.138738368201</v>
      </c>
      <c r="AA1568" s="97">
        <f t="shared" si="300"/>
        <v>98675.86414084211</v>
      </c>
    </row>
    <row r="1569" spans="1:27" x14ac:dyDescent="0.25">
      <c r="A1569" s="102" t="s">
        <v>3496</v>
      </c>
      <c r="B1569" s="87" t="s">
        <v>3497</v>
      </c>
      <c r="C1569" s="88" t="s">
        <v>226</v>
      </c>
      <c r="D1569" s="89" t="s">
        <v>262</v>
      </c>
      <c r="E1569" s="90">
        <f t="shared" si="305"/>
        <v>128698</v>
      </c>
      <c r="F1569" s="90">
        <f t="shared" si="306"/>
        <v>108149.97630937159</v>
      </c>
      <c r="G1569" s="91">
        <v>0.19</v>
      </c>
      <c r="H1569" s="91" t="s">
        <v>228</v>
      </c>
      <c r="I1569" s="91"/>
      <c r="J1569" s="91" t="s">
        <v>228</v>
      </c>
      <c r="K1569" s="91"/>
      <c r="L1569" s="92" t="s">
        <v>1262</v>
      </c>
      <c r="M1569" s="91" t="str">
        <f t="shared" si="295"/>
        <v>VER ARCHIVO ANEXO</v>
      </c>
      <c r="N1569" s="93">
        <v>41608</v>
      </c>
      <c r="O1569" s="109"/>
      <c r="P1569" s="109"/>
      <c r="Q1569" s="94">
        <v>1420</v>
      </c>
      <c r="R1569" s="95">
        <f t="shared" si="298"/>
        <v>108149.97630937159</v>
      </c>
      <c r="S1569" s="109">
        <v>70773.864999999991</v>
      </c>
      <c r="T1569" s="94">
        <f t="shared" si="296"/>
        <v>75565.255660499999</v>
      </c>
      <c r="U1569" s="94">
        <f t="shared" si="303"/>
        <v>79910.25786097876</v>
      </c>
      <c r="V1569" s="94">
        <f t="shared" si="304"/>
        <v>83178.587407492785</v>
      </c>
      <c r="W1569" s="97">
        <f t="shared" si="301"/>
        <v>85823.666487051058</v>
      </c>
      <c r="X1569" s="97">
        <f t="shared" si="302"/>
        <v>89084.965813559</v>
      </c>
      <c r="Y1569" s="97">
        <f t="shared" si="297"/>
        <v>90519.233763157303</v>
      </c>
      <c r="Z1569" s="97">
        <f t="shared" si="299"/>
        <v>95606.414700646739</v>
      </c>
      <c r="AA1569" s="97">
        <f t="shared" si="300"/>
        <v>108149.97630937159</v>
      </c>
    </row>
    <row r="1570" spans="1:27" x14ac:dyDescent="0.25">
      <c r="A1570" s="102" t="s">
        <v>3498</v>
      </c>
      <c r="B1570" s="87" t="s">
        <v>3499</v>
      </c>
      <c r="C1570" s="88" t="s">
        <v>226</v>
      </c>
      <c r="D1570" s="89" t="s">
        <v>262</v>
      </c>
      <c r="E1570" s="90">
        <f t="shared" si="305"/>
        <v>145545</v>
      </c>
      <c r="F1570" s="90">
        <f t="shared" si="306"/>
        <v>122306.49536139438</v>
      </c>
      <c r="G1570" s="91">
        <v>0.19</v>
      </c>
      <c r="H1570" s="91" t="s">
        <v>228</v>
      </c>
      <c r="I1570" s="91"/>
      <c r="J1570" s="91" t="s">
        <v>228</v>
      </c>
      <c r="K1570" s="91"/>
      <c r="L1570" s="92" t="s">
        <v>1262</v>
      </c>
      <c r="M1570" s="91" t="str">
        <f t="shared" ref="M1570:M1633" si="307">+IF(L1570="no aplica","no aplica","VER ARCHIVO ANEXO")</f>
        <v>VER ARCHIVO ANEXO</v>
      </c>
      <c r="N1570" s="93">
        <v>41608</v>
      </c>
      <c r="O1570" s="109"/>
      <c r="P1570" s="109"/>
      <c r="Q1570" s="94">
        <v>1421</v>
      </c>
      <c r="R1570" s="95">
        <f t="shared" si="298"/>
        <v>122306.49536139438</v>
      </c>
      <c r="S1570" s="109">
        <v>80037.959199999998</v>
      </c>
      <c r="T1570" s="94">
        <f t="shared" ref="T1570:T1633" si="308">+S1570*1.0677</f>
        <v>85456.52903784001</v>
      </c>
      <c r="U1570" s="94">
        <f t="shared" si="303"/>
        <v>90370.279457515819</v>
      </c>
      <c r="V1570" s="94">
        <f t="shared" si="304"/>
        <v>94066.423887328216</v>
      </c>
      <c r="W1570" s="97">
        <f t="shared" si="301"/>
        <v>97057.736166945251</v>
      </c>
      <c r="X1570" s="97">
        <f t="shared" si="302"/>
        <v>100745.93014128918</v>
      </c>
      <c r="Y1570" s="97">
        <f t="shared" si="297"/>
        <v>102367.93961656393</v>
      </c>
      <c r="Z1570" s="97">
        <f t="shared" si="299"/>
        <v>108121.01782301483</v>
      </c>
      <c r="AA1570" s="97">
        <f t="shared" si="300"/>
        <v>122306.49536139438</v>
      </c>
    </row>
    <row r="1571" spans="1:27" x14ac:dyDescent="0.25">
      <c r="A1571" s="102" t="s">
        <v>3500</v>
      </c>
      <c r="B1571" s="87" t="s">
        <v>3501</v>
      </c>
      <c r="C1571" s="88" t="s">
        <v>226</v>
      </c>
      <c r="D1571" s="89" t="s">
        <v>262</v>
      </c>
      <c r="E1571" s="90">
        <f t="shared" si="305"/>
        <v>2532</v>
      </c>
      <c r="F1571" s="90">
        <f t="shared" si="306"/>
        <v>2127.3587430755924</v>
      </c>
      <c r="G1571" s="91">
        <v>0.19</v>
      </c>
      <c r="H1571" s="91" t="s">
        <v>228</v>
      </c>
      <c r="I1571" s="91"/>
      <c r="J1571" s="91" t="s">
        <v>228</v>
      </c>
      <c r="K1571" s="91"/>
      <c r="L1571" s="92" t="s">
        <v>1262</v>
      </c>
      <c r="M1571" s="91" t="str">
        <f t="shared" si="307"/>
        <v>VER ARCHIVO ANEXO</v>
      </c>
      <c r="N1571" s="93">
        <v>41608</v>
      </c>
      <c r="O1571" s="109"/>
      <c r="P1571" s="109"/>
      <c r="Q1571" s="94">
        <v>1422</v>
      </c>
      <c r="R1571" s="95">
        <f t="shared" si="298"/>
        <v>2127.3587430755924</v>
      </c>
      <c r="S1571" s="109">
        <v>1392.1538</v>
      </c>
      <c r="T1571" s="94">
        <f t="shared" si="308"/>
        <v>1486.4026122600001</v>
      </c>
      <c r="U1571" s="94">
        <f t="shared" si="303"/>
        <v>1571.8707624649503</v>
      </c>
      <c r="V1571" s="94">
        <f t="shared" si="304"/>
        <v>1636.1602766497667</v>
      </c>
      <c r="W1571" s="97">
        <f t="shared" si="301"/>
        <v>1688.1901734472294</v>
      </c>
      <c r="X1571" s="97">
        <f t="shared" si="302"/>
        <v>1752.3414000382243</v>
      </c>
      <c r="Y1571" s="97">
        <f t="shared" si="297"/>
        <v>1780.5540965788398</v>
      </c>
      <c r="Z1571" s="97">
        <f t="shared" si="299"/>
        <v>1880.6212368065706</v>
      </c>
      <c r="AA1571" s="97">
        <f t="shared" si="300"/>
        <v>2127.3587430755924</v>
      </c>
    </row>
    <row r="1572" spans="1:27" x14ac:dyDescent="0.25">
      <c r="A1572" s="102" t="s">
        <v>3502</v>
      </c>
      <c r="B1572" s="119" t="s">
        <v>3503</v>
      </c>
      <c r="C1572" s="107" t="s">
        <v>226</v>
      </c>
      <c r="D1572" s="124" t="s">
        <v>262</v>
      </c>
      <c r="E1572" s="90">
        <f t="shared" si="305"/>
        <v>5267</v>
      </c>
      <c r="F1572" s="90">
        <f t="shared" si="306"/>
        <v>4425.7932450880162</v>
      </c>
      <c r="G1572" s="91">
        <v>0.19</v>
      </c>
      <c r="H1572" s="91" t="s">
        <v>228</v>
      </c>
      <c r="I1572" s="91"/>
      <c r="J1572" s="91" t="s">
        <v>228</v>
      </c>
      <c r="K1572" s="91"/>
      <c r="L1572" s="92" t="s">
        <v>1262</v>
      </c>
      <c r="M1572" s="91" t="str">
        <f t="shared" si="307"/>
        <v>VER ARCHIVO ANEXO</v>
      </c>
      <c r="N1572" s="93">
        <v>41608</v>
      </c>
      <c r="O1572" s="109"/>
      <c r="P1572" s="109"/>
      <c r="Q1572" s="94">
        <v>1423</v>
      </c>
      <c r="R1572" s="95">
        <f t="shared" si="298"/>
        <v>4425.7932450880162</v>
      </c>
      <c r="S1572" s="109">
        <v>2896.2604000000001</v>
      </c>
      <c r="T1572" s="94">
        <f t="shared" si="308"/>
        <v>3092.3372290800003</v>
      </c>
      <c r="U1572" s="94">
        <f t="shared" si="303"/>
        <v>3270.1466197521008</v>
      </c>
      <c r="V1572" s="94">
        <f t="shared" si="304"/>
        <v>3403.8956164999618</v>
      </c>
      <c r="W1572" s="97">
        <f t="shared" si="301"/>
        <v>3512.1394971046607</v>
      </c>
      <c r="X1572" s="97">
        <f t="shared" si="302"/>
        <v>3645.600797994638</v>
      </c>
      <c r="Y1572" s="97">
        <f t="shared" si="297"/>
        <v>3704.2949708423516</v>
      </c>
      <c r="Z1572" s="97">
        <f t="shared" si="299"/>
        <v>3912.4763482036919</v>
      </c>
      <c r="AA1572" s="97">
        <f t="shared" si="300"/>
        <v>4425.7932450880162</v>
      </c>
    </row>
    <row r="1573" spans="1:27" x14ac:dyDescent="0.25">
      <c r="A1573" s="102" t="s">
        <v>3504</v>
      </c>
      <c r="B1573" s="87" t="s">
        <v>3505</v>
      </c>
      <c r="C1573" s="88" t="s">
        <v>226</v>
      </c>
      <c r="D1573" s="89" t="s">
        <v>262</v>
      </c>
      <c r="E1573" s="90">
        <f t="shared" si="305"/>
        <v>4511</v>
      </c>
      <c r="F1573" s="90">
        <f t="shared" si="306"/>
        <v>3790.5952882947822</v>
      </c>
      <c r="G1573" s="91">
        <v>0.19</v>
      </c>
      <c r="H1573" s="91" t="s">
        <v>228</v>
      </c>
      <c r="I1573" s="91"/>
      <c r="J1573" s="91" t="s">
        <v>228</v>
      </c>
      <c r="K1573" s="91"/>
      <c r="L1573" s="92" t="s">
        <v>1262</v>
      </c>
      <c r="M1573" s="91" t="str">
        <f t="shared" si="307"/>
        <v>VER ARCHIVO ANEXO</v>
      </c>
      <c r="N1573" s="93">
        <v>41608</v>
      </c>
      <c r="O1573" s="109"/>
      <c r="P1573" s="109"/>
      <c r="Q1573" s="94">
        <v>1424</v>
      </c>
      <c r="R1573" s="95">
        <f t="shared" si="298"/>
        <v>3790.5952882947822</v>
      </c>
      <c r="S1573" s="109">
        <v>2480.5837999999999</v>
      </c>
      <c r="T1573" s="94">
        <f t="shared" si="308"/>
        <v>2648.51932326</v>
      </c>
      <c r="U1573" s="94">
        <f t="shared" si="303"/>
        <v>2800.8091843474504</v>
      </c>
      <c r="V1573" s="94">
        <f t="shared" si="304"/>
        <v>2915.362279987261</v>
      </c>
      <c r="W1573" s="97">
        <f t="shared" si="301"/>
        <v>3008.0708004908561</v>
      </c>
      <c r="X1573" s="97">
        <f t="shared" si="302"/>
        <v>3122.3774909095087</v>
      </c>
      <c r="Y1573" s="97">
        <f t="shared" si="297"/>
        <v>3172.6477685131517</v>
      </c>
      <c r="Z1573" s="97">
        <f t="shared" si="299"/>
        <v>3350.9505731035911</v>
      </c>
      <c r="AA1573" s="97">
        <f t="shared" si="300"/>
        <v>3790.5952882947822</v>
      </c>
    </row>
    <row r="1574" spans="1:27" x14ac:dyDescent="0.25">
      <c r="A1574" s="102" t="s">
        <v>3506</v>
      </c>
      <c r="B1574" s="87" t="s">
        <v>3507</v>
      </c>
      <c r="C1574" s="88" t="s">
        <v>226</v>
      </c>
      <c r="D1574" s="89" t="s">
        <v>262</v>
      </c>
      <c r="E1574" s="90">
        <f t="shared" si="305"/>
        <v>4511</v>
      </c>
      <c r="F1574" s="90">
        <f t="shared" si="306"/>
        <v>3790.5952882947822</v>
      </c>
      <c r="G1574" s="91">
        <v>0.19</v>
      </c>
      <c r="H1574" s="91" t="s">
        <v>228</v>
      </c>
      <c r="I1574" s="91"/>
      <c r="J1574" s="91" t="s">
        <v>228</v>
      </c>
      <c r="K1574" s="91"/>
      <c r="L1574" s="92" t="s">
        <v>1262</v>
      </c>
      <c r="M1574" s="91" t="str">
        <f t="shared" si="307"/>
        <v>VER ARCHIVO ANEXO</v>
      </c>
      <c r="N1574" s="93">
        <v>41608</v>
      </c>
      <c r="O1574" s="109"/>
      <c r="P1574" s="109"/>
      <c r="Q1574" s="94">
        <v>1425</v>
      </c>
      <c r="R1574" s="95">
        <f t="shared" si="298"/>
        <v>3790.5952882947822</v>
      </c>
      <c r="S1574" s="109">
        <v>2480.5837999999999</v>
      </c>
      <c r="T1574" s="94">
        <f t="shared" si="308"/>
        <v>2648.51932326</v>
      </c>
      <c r="U1574" s="94">
        <f t="shared" si="303"/>
        <v>2800.8091843474504</v>
      </c>
      <c r="V1574" s="94">
        <f t="shared" si="304"/>
        <v>2915.362279987261</v>
      </c>
      <c r="W1574" s="97">
        <f t="shared" si="301"/>
        <v>3008.0708004908561</v>
      </c>
      <c r="X1574" s="97">
        <f t="shared" si="302"/>
        <v>3122.3774909095087</v>
      </c>
      <c r="Y1574" s="97">
        <f t="shared" si="297"/>
        <v>3172.6477685131517</v>
      </c>
      <c r="Z1574" s="97">
        <f t="shared" si="299"/>
        <v>3350.9505731035911</v>
      </c>
      <c r="AA1574" s="97">
        <f t="shared" si="300"/>
        <v>3790.5952882947822</v>
      </c>
    </row>
    <row r="1575" spans="1:27" x14ac:dyDescent="0.25">
      <c r="A1575" s="102" t="s">
        <v>3508</v>
      </c>
      <c r="B1575" s="87" t="s">
        <v>3509</v>
      </c>
      <c r="C1575" s="88" t="s">
        <v>226</v>
      </c>
      <c r="D1575" s="89" t="s">
        <v>262</v>
      </c>
      <c r="E1575" s="90">
        <f t="shared" si="305"/>
        <v>8498</v>
      </c>
      <c r="F1575" s="90">
        <f t="shared" si="306"/>
        <v>7140.8289008077218</v>
      </c>
      <c r="G1575" s="91">
        <v>0.19</v>
      </c>
      <c r="H1575" s="91" t="s">
        <v>228</v>
      </c>
      <c r="I1575" s="91"/>
      <c r="J1575" s="91" t="s">
        <v>228</v>
      </c>
      <c r="K1575" s="91"/>
      <c r="L1575" s="92" t="s">
        <v>1262</v>
      </c>
      <c r="M1575" s="91" t="str">
        <f t="shared" si="307"/>
        <v>VER ARCHIVO ANEXO</v>
      </c>
      <c r="N1575" s="93">
        <v>41608</v>
      </c>
      <c r="O1575" s="109"/>
      <c r="P1575" s="109"/>
      <c r="Q1575" s="94">
        <v>1426</v>
      </c>
      <c r="R1575" s="95">
        <f t="shared" si="298"/>
        <v>7140.8289008077218</v>
      </c>
      <c r="S1575" s="109">
        <v>4672.9928</v>
      </c>
      <c r="T1575" s="94">
        <f t="shared" si="308"/>
        <v>4989.3544125600001</v>
      </c>
      <c r="U1575" s="94">
        <f t="shared" si="303"/>
        <v>5276.2422912822003</v>
      </c>
      <c r="V1575" s="94">
        <f t="shared" si="304"/>
        <v>5492.0406009956423</v>
      </c>
      <c r="W1575" s="97">
        <f t="shared" si="301"/>
        <v>5666.687492107304</v>
      </c>
      <c r="X1575" s="97">
        <f t="shared" si="302"/>
        <v>5882.0216168073821</v>
      </c>
      <c r="Y1575" s="97">
        <f t="shared" si="297"/>
        <v>5976.7221648379809</v>
      </c>
      <c r="Z1575" s="97">
        <f t="shared" si="299"/>
        <v>6312.6139505018755</v>
      </c>
      <c r="AA1575" s="97">
        <f t="shared" si="300"/>
        <v>7140.8289008077218</v>
      </c>
    </row>
    <row r="1576" spans="1:27" x14ac:dyDescent="0.25">
      <c r="A1576" s="102" t="s">
        <v>3510</v>
      </c>
      <c r="B1576" s="87" t="s">
        <v>3511</v>
      </c>
      <c r="C1576" s="88" t="s">
        <v>226</v>
      </c>
      <c r="D1576" s="89" t="s">
        <v>262</v>
      </c>
      <c r="E1576" s="90">
        <f t="shared" si="305"/>
        <v>575</v>
      </c>
      <c r="F1576" s="90">
        <f t="shared" si="306"/>
        <v>483.13061551605034</v>
      </c>
      <c r="G1576" s="91">
        <v>0.19</v>
      </c>
      <c r="H1576" s="91" t="s">
        <v>228</v>
      </c>
      <c r="I1576" s="91"/>
      <c r="J1576" s="91" t="s">
        <v>228</v>
      </c>
      <c r="K1576" s="91"/>
      <c r="L1576" s="92" t="s">
        <v>1262</v>
      </c>
      <c r="M1576" s="91" t="str">
        <f t="shared" si="307"/>
        <v>VER ARCHIVO ANEXO</v>
      </c>
      <c r="N1576" s="93">
        <v>41608</v>
      </c>
      <c r="O1576" s="109"/>
      <c r="P1576" s="109"/>
      <c r="Q1576" s="94">
        <v>1427</v>
      </c>
      <c r="R1576" s="95">
        <f t="shared" si="298"/>
        <v>483.13061551605034</v>
      </c>
      <c r="S1576" s="109">
        <v>316.16300000000001</v>
      </c>
      <c r="T1576" s="94">
        <f t="shared" si="308"/>
        <v>337.56723510000006</v>
      </c>
      <c r="U1576" s="94">
        <f t="shared" si="303"/>
        <v>356.97735111825011</v>
      </c>
      <c r="V1576" s="94">
        <f t="shared" si="304"/>
        <v>371.57772477898652</v>
      </c>
      <c r="W1576" s="97">
        <f t="shared" si="301"/>
        <v>383.39389642695829</v>
      </c>
      <c r="X1576" s="97">
        <f t="shared" si="302"/>
        <v>397.9628644911827</v>
      </c>
      <c r="Y1576" s="97">
        <f t="shared" si="297"/>
        <v>404.37006660949072</v>
      </c>
      <c r="Z1576" s="97">
        <f t="shared" si="299"/>
        <v>427.09566435294408</v>
      </c>
      <c r="AA1576" s="97">
        <f t="shared" si="300"/>
        <v>483.13061551605034</v>
      </c>
    </row>
    <row r="1577" spans="1:27" x14ac:dyDescent="0.25">
      <c r="A1577" s="102" t="s">
        <v>3512</v>
      </c>
      <c r="B1577" s="87" t="s">
        <v>3513</v>
      </c>
      <c r="C1577" s="88" t="s">
        <v>226</v>
      </c>
      <c r="D1577" s="89" t="s">
        <v>262</v>
      </c>
      <c r="E1577" s="90">
        <f t="shared" si="305"/>
        <v>584317</v>
      </c>
      <c r="F1577" s="90">
        <f t="shared" si="306"/>
        <v>491022.27691441402</v>
      </c>
      <c r="G1577" s="91">
        <v>0.19</v>
      </c>
      <c r="H1577" s="91" t="s">
        <v>228</v>
      </c>
      <c r="I1577" s="91"/>
      <c r="J1577" s="91" t="s">
        <v>228</v>
      </c>
      <c r="K1577" s="91"/>
      <c r="L1577" s="92" t="s">
        <v>1262</v>
      </c>
      <c r="M1577" s="91" t="str">
        <f t="shared" si="307"/>
        <v>VER ARCHIVO ANEXO</v>
      </c>
      <c r="N1577" s="93">
        <v>41608</v>
      </c>
      <c r="O1577" s="109"/>
      <c r="P1577" s="109"/>
      <c r="Q1577" s="94">
        <v>1428</v>
      </c>
      <c r="R1577" s="95">
        <f t="shared" si="298"/>
        <v>491022.27691441402</v>
      </c>
      <c r="S1577" s="109">
        <v>321327.34119999997</v>
      </c>
      <c r="T1577" s="94">
        <f t="shared" si="308"/>
        <v>343081.20219923998</v>
      </c>
      <c r="U1577" s="94">
        <f t="shared" si="303"/>
        <v>362808.37132569629</v>
      </c>
      <c r="V1577" s="94">
        <f t="shared" si="304"/>
        <v>377647.23371291725</v>
      </c>
      <c r="W1577" s="97">
        <f t="shared" si="301"/>
        <v>389656.41574498801</v>
      </c>
      <c r="X1577" s="97">
        <f t="shared" si="302"/>
        <v>404463.35954329756</v>
      </c>
      <c r="Y1577" s="97">
        <f t="shared" si="297"/>
        <v>410975.21963194467</v>
      </c>
      <c r="Z1577" s="97">
        <f t="shared" si="299"/>
        <v>434072.02697525994</v>
      </c>
      <c r="AA1577" s="97">
        <f t="shared" si="300"/>
        <v>491022.27691441402</v>
      </c>
    </row>
    <row r="1578" spans="1:27" x14ac:dyDescent="0.25">
      <c r="A1578" s="102" t="s">
        <v>3514</v>
      </c>
      <c r="B1578" s="87" t="s">
        <v>3515</v>
      </c>
      <c r="C1578" s="88" t="s">
        <v>226</v>
      </c>
      <c r="D1578" s="89" t="s">
        <v>262</v>
      </c>
      <c r="E1578" s="90">
        <f t="shared" si="305"/>
        <v>403343</v>
      </c>
      <c r="F1578" s="90">
        <f t="shared" si="306"/>
        <v>338943.84739359637</v>
      </c>
      <c r="G1578" s="91">
        <v>0.19</v>
      </c>
      <c r="H1578" s="91" t="s">
        <v>228</v>
      </c>
      <c r="I1578" s="91"/>
      <c r="J1578" s="91" t="s">
        <v>228</v>
      </c>
      <c r="K1578" s="91"/>
      <c r="L1578" s="92" t="s">
        <v>1262</v>
      </c>
      <c r="M1578" s="91" t="str">
        <f t="shared" si="307"/>
        <v>VER ARCHIVO ANEXO</v>
      </c>
      <c r="N1578" s="93">
        <v>41608</v>
      </c>
      <c r="O1578" s="109"/>
      <c r="P1578" s="109"/>
      <c r="Q1578" s="94">
        <v>1429</v>
      </c>
      <c r="R1578" s="95">
        <f t="shared" si="298"/>
        <v>338943.84739359637</v>
      </c>
      <c r="S1578" s="109">
        <v>221806.48499999999</v>
      </c>
      <c r="T1578" s="94">
        <f t="shared" si="308"/>
        <v>236822.78403450001</v>
      </c>
      <c r="U1578" s="94">
        <f t="shared" si="303"/>
        <v>250440.09411648379</v>
      </c>
      <c r="V1578" s="94">
        <f t="shared" si="304"/>
        <v>260683.09396584795</v>
      </c>
      <c r="W1578" s="97">
        <f t="shared" si="301"/>
        <v>268972.81635396194</v>
      </c>
      <c r="X1578" s="97">
        <f t="shared" si="302"/>
        <v>279193.78337541252</v>
      </c>
      <c r="Y1578" s="97">
        <f t="shared" si="297"/>
        <v>283688.80328775669</v>
      </c>
      <c r="Z1578" s="97">
        <f t="shared" si="299"/>
        <v>299632.1140325286</v>
      </c>
      <c r="AA1578" s="97">
        <f t="shared" si="300"/>
        <v>338943.84739359637</v>
      </c>
    </row>
    <row r="1579" spans="1:27" x14ac:dyDescent="0.25">
      <c r="A1579" s="102" t="s">
        <v>3516</v>
      </c>
      <c r="B1579" s="98" t="s">
        <v>3517</v>
      </c>
      <c r="C1579" s="99" t="s">
        <v>226</v>
      </c>
      <c r="D1579" s="100" t="s">
        <v>262</v>
      </c>
      <c r="E1579" s="101">
        <f t="shared" si="305"/>
        <v>48243</v>
      </c>
      <c r="F1579" s="90">
        <f t="shared" si="306"/>
        <v>40540.202763614019</v>
      </c>
      <c r="G1579" s="91">
        <v>0.19</v>
      </c>
      <c r="H1579" s="91" t="s">
        <v>228</v>
      </c>
      <c r="I1579" s="91"/>
      <c r="J1579" s="91" t="s">
        <v>228</v>
      </c>
      <c r="K1579" s="91"/>
      <c r="L1579" s="92" t="s">
        <v>1262</v>
      </c>
      <c r="M1579" s="91" t="str">
        <f t="shared" si="307"/>
        <v>VER ARCHIVO ANEXO</v>
      </c>
      <c r="N1579" s="93">
        <v>41608</v>
      </c>
      <c r="O1579" s="109"/>
      <c r="P1579" s="109"/>
      <c r="Q1579" s="94">
        <v>1430</v>
      </c>
      <c r="R1579" s="95">
        <f t="shared" si="298"/>
        <v>40540.202763614019</v>
      </c>
      <c r="S1579" s="109">
        <v>26529.703799999999</v>
      </c>
      <c r="T1579" s="94">
        <f t="shared" si="308"/>
        <v>28325.76474726</v>
      </c>
      <c r="U1579" s="94">
        <f t="shared" si="303"/>
        <v>29954.496220227455</v>
      </c>
      <c r="V1579" s="94">
        <f t="shared" si="304"/>
        <v>31179.635115634755</v>
      </c>
      <c r="W1579" s="97">
        <f t="shared" si="301"/>
        <v>32171.147512311942</v>
      </c>
      <c r="X1579" s="97">
        <f t="shared" si="302"/>
        <v>33393.651117779795</v>
      </c>
      <c r="Y1579" s="97">
        <f t="shared" si="297"/>
        <v>33931.288900776046</v>
      </c>
      <c r="Z1579" s="97">
        <f t="shared" si="299"/>
        <v>35838.227336999662</v>
      </c>
      <c r="AA1579" s="97">
        <f t="shared" si="300"/>
        <v>40540.202763614019</v>
      </c>
    </row>
    <row r="1580" spans="1:27" x14ac:dyDescent="0.25">
      <c r="A1580" s="102" t="s">
        <v>3518</v>
      </c>
      <c r="B1580" s="98" t="s">
        <v>3519</v>
      </c>
      <c r="C1580" s="99" t="s">
        <v>226</v>
      </c>
      <c r="D1580" s="100" t="s">
        <v>262</v>
      </c>
      <c r="E1580" s="101">
        <f t="shared" si="305"/>
        <v>12852</v>
      </c>
      <c r="F1580" s="90">
        <f t="shared" si="306"/>
        <v>10799.949300289938</v>
      </c>
      <c r="G1580" s="91">
        <v>0.19</v>
      </c>
      <c r="H1580" s="91" t="s">
        <v>228</v>
      </c>
      <c r="I1580" s="91"/>
      <c r="J1580" s="91" t="s">
        <v>228</v>
      </c>
      <c r="K1580" s="91"/>
      <c r="L1580" s="92" t="s">
        <v>1262</v>
      </c>
      <c r="M1580" s="91" t="str">
        <f t="shared" si="307"/>
        <v>VER ARCHIVO ANEXO</v>
      </c>
      <c r="N1580" s="93">
        <v>41608</v>
      </c>
      <c r="O1580" s="109"/>
      <c r="P1580" s="109"/>
      <c r="Q1580" s="94">
        <v>1431</v>
      </c>
      <c r="R1580" s="95">
        <f t="shared" si="298"/>
        <v>10799.949300289938</v>
      </c>
      <c r="S1580" s="109">
        <v>7067.5387999999994</v>
      </c>
      <c r="T1580" s="94">
        <f t="shared" si="308"/>
        <v>7546.0111767600001</v>
      </c>
      <c r="U1580" s="94">
        <f t="shared" si="303"/>
        <v>7979.9068194237007</v>
      </c>
      <c r="V1580" s="94">
        <f t="shared" si="304"/>
        <v>8306.285008338129</v>
      </c>
      <c r="W1580" s="97">
        <f t="shared" si="301"/>
        <v>8570.4248716032816</v>
      </c>
      <c r="X1580" s="97">
        <f t="shared" si="302"/>
        <v>8896.1010167242075</v>
      </c>
      <c r="Y1580" s="97">
        <f t="shared" si="297"/>
        <v>9039.3282430934669</v>
      </c>
      <c r="Z1580" s="97">
        <f t="shared" si="299"/>
        <v>9547.3384903553197</v>
      </c>
      <c r="AA1580" s="97">
        <f t="shared" si="300"/>
        <v>10799.949300289938</v>
      </c>
    </row>
    <row r="1581" spans="1:27" x14ac:dyDescent="0.25">
      <c r="A1581" s="102" t="s">
        <v>3520</v>
      </c>
      <c r="B1581" s="87" t="s">
        <v>3521</v>
      </c>
      <c r="C1581" s="107" t="s">
        <v>226</v>
      </c>
      <c r="D1581" s="89" t="s">
        <v>262</v>
      </c>
      <c r="E1581" s="90">
        <f t="shared" si="305"/>
        <v>103775</v>
      </c>
      <c r="F1581" s="90">
        <f t="shared" si="306"/>
        <v>87205.868118049591</v>
      </c>
      <c r="G1581" s="91">
        <v>0.19</v>
      </c>
      <c r="H1581" s="91" t="s">
        <v>228</v>
      </c>
      <c r="I1581" s="91"/>
      <c r="J1581" s="91" t="s">
        <v>228</v>
      </c>
      <c r="K1581" s="91"/>
      <c r="L1581" s="92" t="s">
        <v>1262</v>
      </c>
      <c r="M1581" s="91" t="str">
        <f t="shared" si="307"/>
        <v>VER ARCHIVO ANEXO</v>
      </c>
      <c r="N1581" s="93">
        <v>41608</v>
      </c>
      <c r="O1581" s="109"/>
      <c r="P1581" s="109"/>
      <c r="Q1581" s="94">
        <v>1432</v>
      </c>
      <c r="R1581" s="95">
        <f t="shared" si="298"/>
        <v>87205.868118049591</v>
      </c>
      <c r="S1581" s="109">
        <v>57067.9398</v>
      </c>
      <c r="T1581" s="94">
        <f t="shared" si="308"/>
        <v>60931.439324460007</v>
      </c>
      <c r="U1581" s="94">
        <f t="shared" si="303"/>
        <v>64434.997085616465</v>
      </c>
      <c r="V1581" s="94">
        <f t="shared" si="304"/>
        <v>67070.388466418168</v>
      </c>
      <c r="W1581" s="97">
        <f t="shared" si="301"/>
        <v>69203.22681965027</v>
      </c>
      <c r="X1581" s="97">
        <f t="shared" si="302"/>
        <v>71832.94943879699</v>
      </c>
      <c r="Y1581" s="97">
        <f t="shared" si="297"/>
        <v>72989.459924761628</v>
      </c>
      <c r="Z1581" s="97">
        <f t="shared" si="299"/>
        <v>77091.467572533234</v>
      </c>
      <c r="AA1581" s="97">
        <f t="shared" si="300"/>
        <v>87205.868118049591</v>
      </c>
    </row>
    <row r="1582" spans="1:27" x14ac:dyDescent="0.25">
      <c r="A1582" s="102" t="s">
        <v>3522</v>
      </c>
      <c r="B1582" s="87" t="s">
        <v>3523</v>
      </c>
      <c r="C1582" s="107" t="s">
        <v>226</v>
      </c>
      <c r="D1582" s="89" t="s">
        <v>262</v>
      </c>
      <c r="E1582" s="90">
        <f t="shared" si="305"/>
        <v>266198</v>
      </c>
      <c r="F1582" s="90">
        <f t="shared" si="306"/>
        <v>223695.81112315127</v>
      </c>
      <c r="G1582" s="91">
        <v>0.19</v>
      </c>
      <c r="H1582" s="91" t="s">
        <v>228</v>
      </c>
      <c r="I1582" s="91"/>
      <c r="J1582" s="91" t="s">
        <v>228</v>
      </c>
      <c r="K1582" s="91"/>
      <c r="L1582" s="92" t="s">
        <v>1262</v>
      </c>
      <c r="M1582" s="91" t="str">
        <f t="shared" si="307"/>
        <v>VER ARCHIVO ANEXO</v>
      </c>
      <c r="N1582" s="93">
        <v>41608</v>
      </c>
      <c r="O1582" s="109"/>
      <c r="P1582" s="109"/>
      <c r="Q1582" s="94">
        <v>1433</v>
      </c>
      <c r="R1582" s="95">
        <f t="shared" si="298"/>
        <v>223695.81112315127</v>
      </c>
      <c r="S1582" s="109">
        <v>146387.61540000001</v>
      </c>
      <c r="T1582" s="94">
        <f t="shared" si="308"/>
        <v>156298.05696258001</v>
      </c>
      <c r="U1582" s="94">
        <f t="shared" si="303"/>
        <v>165285.19523792839</v>
      </c>
      <c r="V1582" s="94">
        <f t="shared" si="304"/>
        <v>172045.35972315967</v>
      </c>
      <c r="W1582" s="97">
        <f t="shared" si="301"/>
        <v>177516.40216235616</v>
      </c>
      <c r="X1582" s="97">
        <f t="shared" si="302"/>
        <v>184262.0254445257</v>
      </c>
      <c r="Y1582" s="97">
        <f t="shared" si="297"/>
        <v>187228.64405418257</v>
      </c>
      <c r="Z1582" s="97">
        <f t="shared" si="299"/>
        <v>197750.89385002764</v>
      </c>
      <c r="AA1582" s="97">
        <f t="shared" si="300"/>
        <v>223695.81112315127</v>
      </c>
    </row>
    <row r="1583" spans="1:27" x14ac:dyDescent="0.25">
      <c r="A1583" s="102" t="s">
        <v>3524</v>
      </c>
      <c r="B1583" s="87" t="s">
        <v>3525</v>
      </c>
      <c r="C1583" s="107" t="s">
        <v>226</v>
      </c>
      <c r="D1583" s="89" t="s">
        <v>262</v>
      </c>
      <c r="E1583" s="90">
        <f t="shared" si="305"/>
        <v>528023</v>
      </c>
      <c r="F1583" s="90">
        <f t="shared" si="306"/>
        <v>443716.66149877047</v>
      </c>
      <c r="G1583" s="91">
        <v>0.19</v>
      </c>
      <c r="H1583" s="91" t="s">
        <v>228</v>
      </c>
      <c r="I1583" s="91"/>
      <c r="J1583" s="91" t="s">
        <v>228</v>
      </c>
      <c r="K1583" s="91"/>
      <c r="L1583" s="92" t="s">
        <v>1262</v>
      </c>
      <c r="M1583" s="91" t="str">
        <f t="shared" si="307"/>
        <v>VER ARCHIVO ANEXO</v>
      </c>
      <c r="N1583" s="93">
        <v>41608</v>
      </c>
      <c r="O1583" s="109"/>
      <c r="P1583" s="109"/>
      <c r="Q1583" s="94">
        <v>1434</v>
      </c>
      <c r="R1583" s="95">
        <f t="shared" si="298"/>
        <v>443716.66149877047</v>
      </c>
      <c r="S1583" s="109">
        <v>290370.31880000001</v>
      </c>
      <c r="T1583" s="94">
        <f t="shared" si="308"/>
        <v>310028.38938276004</v>
      </c>
      <c r="U1583" s="94">
        <f t="shared" si="303"/>
        <v>327855.02177226875</v>
      </c>
      <c r="V1583" s="94">
        <f t="shared" si="304"/>
        <v>341264.29216275451</v>
      </c>
      <c r="W1583" s="97">
        <f t="shared" si="301"/>
        <v>352116.49665353011</v>
      </c>
      <c r="X1583" s="97">
        <f t="shared" si="302"/>
        <v>365496.92352636426</v>
      </c>
      <c r="Y1583" s="97">
        <f t="shared" si="297"/>
        <v>371381.42399513873</v>
      </c>
      <c r="Z1583" s="97">
        <f t="shared" si="299"/>
        <v>392253.06002366554</v>
      </c>
      <c r="AA1583" s="97">
        <f t="shared" si="300"/>
        <v>443716.66149877047</v>
      </c>
    </row>
    <row r="1584" spans="1:27" x14ac:dyDescent="0.25">
      <c r="A1584" s="102" t="s">
        <v>3526</v>
      </c>
      <c r="B1584" s="87" t="s">
        <v>3527</v>
      </c>
      <c r="C1584" s="107" t="s">
        <v>226</v>
      </c>
      <c r="D1584" s="89" t="s">
        <v>262</v>
      </c>
      <c r="E1584" s="90">
        <f t="shared" si="305"/>
        <v>271566</v>
      </c>
      <c r="F1584" s="90">
        <f t="shared" si="306"/>
        <v>228207.14224770767</v>
      </c>
      <c r="G1584" s="91">
        <v>0.19</v>
      </c>
      <c r="H1584" s="91" t="s">
        <v>228</v>
      </c>
      <c r="I1584" s="91"/>
      <c r="J1584" s="91" t="s">
        <v>228</v>
      </c>
      <c r="K1584" s="91"/>
      <c r="L1584" s="92" t="s">
        <v>1262</v>
      </c>
      <c r="M1584" s="91" t="str">
        <f t="shared" si="307"/>
        <v>VER ARCHIVO ANEXO</v>
      </c>
      <c r="N1584" s="93">
        <v>41608</v>
      </c>
      <c r="O1584" s="109"/>
      <c r="P1584" s="109"/>
      <c r="Q1584" s="94">
        <v>1435</v>
      </c>
      <c r="R1584" s="95">
        <f t="shared" si="298"/>
        <v>228207.14224770767</v>
      </c>
      <c r="S1584" s="109">
        <v>149339.85219999999</v>
      </c>
      <c r="T1584" s="94">
        <f t="shared" si="308"/>
        <v>159450.16019394001</v>
      </c>
      <c r="U1584" s="94">
        <f t="shared" si="303"/>
        <v>168618.54440509158</v>
      </c>
      <c r="V1584" s="94">
        <f t="shared" si="304"/>
        <v>175515.04287125982</v>
      </c>
      <c r="W1584" s="97">
        <f t="shared" si="301"/>
        <v>181096.4212345659</v>
      </c>
      <c r="X1584" s="97">
        <f t="shared" si="302"/>
        <v>187978.08524147942</v>
      </c>
      <c r="Y1584" s="97">
        <f t="shared" si="297"/>
        <v>191004.53241386724</v>
      </c>
      <c r="Z1584" s="97">
        <f t="shared" si="299"/>
        <v>201738.98713552658</v>
      </c>
      <c r="AA1584" s="97">
        <f t="shared" si="300"/>
        <v>228207.14224770767</v>
      </c>
    </row>
    <row r="1585" spans="1:27" x14ac:dyDescent="0.25">
      <c r="A1585" s="102" t="s">
        <v>3528</v>
      </c>
      <c r="B1585" s="87" t="s">
        <v>3529</v>
      </c>
      <c r="C1585" s="107" t="s">
        <v>226</v>
      </c>
      <c r="D1585" s="89" t="s">
        <v>262</v>
      </c>
      <c r="E1585" s="90">
        <f t="shared" si="305"/>
        <v>571165</v>
      </c>
      <c r="F1585" s="90">
        <f t="shared" si="306"/>
        <v>479970.46608013398</v>
      </c>
      <c r="G1585" s="91">
        <v>0.19</v>
      </c>
      <c r="H1585" s="91" t="s">
        <v>228</v>
      </c>
      <c r="I1585" s="91"/>
      <c r="J1585" s="91" t="s">
        <v>228</v>
      </c>
      <c r="K1585" s="91"/>
      <c r="L1585" s="92" t="s">
        <v>1262</v>
      </c>
      <c r="M1585" s="91" t="str">
        <f t="shared" si="307"/>
        <v>VER ARCHIVO ANEXO</v>
      </c>
      <c r="N1585" s="93">
        <v>41608</v>
      </c>
      <c r="O1585" s="109"/>
      <c r="P1585" s="109"/>
      <c r="Q1585" s="94">
        <v>1436</v>
      </c>
      <c r="R1585" s="95">
        <f t="shared" si="298"/>
        <v>479970.46608013398</v>
      </c>
      <c r="S1585" s="109">
        <v>314094.98300000001</v>
      </c>
      <c r="T1585" s="94">
        <f t="shared" si="308"/>
        <v>335359.21334910003</v>
      </c>
      <c r="U1585" s="94">
        <f t="shared" si="303"/>
        <v>354642.36811667331</v>
      </c>
      <c r="V1585" s="94">
        <f t="shared" si="304"/>
        <v>369147.24097264523</v>
      </c>
      <c r="W1585" s="97">
        <f t="shared" si="301"/>
        <v>380886.12323557539</v>
      </c>
      <c r="X1585" s="97">
        <f t="shared" si="302"/>
        <v>395359.79591852729</v>
      </c>
      <c r="Y1585" s="97">
        <f t="shared" si="297"/>
        <v>401725.08863281558</v>
      </c>
      <c r="Z1585" s="97">
        <f t="shared" si="299"/>
        <v>424302.03861397982</v>
      </c>
      <c r="AA1585" s="97">
        <f t="shared" si="300"/>
        <v>479970.46608013398</v>
      </c>
    </row>
    <row r="1586" spans="1:27" x14ac:dyDescent="0.25">
      <c r="A1586" s="102" t="s">
        <v>3530</v>
      </c>
      <c r="B1586" s="87" t="s">
        <v>3531</v>
      </c>
      <c r="C1586" s="107" t="s">
        <v>226</v>
      </c>
      <c r="D1586" s="89" t="s">
        <v>262</v>
      </c>
      <c r="E1586" s="90">
        <f t="shared" si="305"/>
        <v>83894</v>
      </c>
      <c r="F1586" s="90">
        <f t="shared" si="306"/>
        <v>70499.05303002405</v>
      </c>
      <c r="G1586" s="91">
        <v>0.19</v>
      </c>
      <c r="H1586" s="91" t="s">
        <v>228</v>
      </c>
      <c r="I1586" s="91"/>
      <c r="J1586" s="91" t="s">
        <v>228</v>
      </c>
      <c r="K1586" s="91"/>
      <c r="L1586" s="92" t="s">
        <v>1262</v>
      </c>
      <c r="M1586" s="91" t="str">
        <f t="shared" si="307"/>
        <v>VER ARCHIVO ANEXO</v>
      </c>
      <c r="N1586" s="93">
        <v>41608</v>
      </c>
      <c r="O1586" s="109"/>
      <c r="P1586" s="109"/>
      <c r="Q1586" s="94">
        <v>1437</v>
      </c>
      <c r="R1586" s="95">
        <f t="shared" si="298"/>
        <v>70499.05303002405</v>
      </c>
      <c r="S1586" s="109">
        <v>46134.919600000001</v>
      </c>
      <c r="T1586" s="94">
        <f t="shared" si="308"/>
        <v>49258.253656920002</v>
      </c>
      <c r="U1586" s="94">
        <f t="shared" si="303"/>
        <v>52090.603242192905</v>
      </c>
      <c r="V1586" s="94">
        <f t="shared" si="304"/>
        <v>54221.108914798591</v>
      </c>
      <c r="W1586" s="97">
        <f t="shared" si="301"/>
        <v>55945.340178289189</v>
      </c>
      <c r="X1586" s="97">
        <f t="shared" si="302"/>
        <v>58071.263105064179</v>
      </c>
      <c r="Y1586" s="97">
        <f t="shared" si="297"/>
        <v>59006.210441055715</v>
      </c>
      <c r="Z1586" s="97">
        <f t="shared" si="299"/>
        <v>62322.359467843045</v>
      </c>
      <c r="AA1586" s="97">
        <f t="shared" si="300"/>
        <v>70499.05303002405</v>
      </c>
    </row>
    <row r="1587" spans="1:27" x14ac:dyDescent="0.25">
      <c r="A1587" s="102" t="s">
        <v>3532</v>
      </c>
      <c r="B1587" s="87" t="s">
        <v>3533</v>
      </c>
      <c r="C1587" s="107" t="s">
        <v>226</v>
      </c>
      <c r="D1587" s="89" t="s">
        <v>262</v>
      </c>
      <c r="E1587" s="90">
        <f t="shared" si="305"/>
        <v>241150</v>
      </c>
      <c r="F1587" s="90">
        <f t="shared" si="306"/>
        <v>202647.15663470112</v>
      </c>
      <c r="G1587" s="91">
        <v>0.19</v>
      </c>
      <c r="H1587" s="91" t="s">
        <v>228</v>
      </c>
      <c r="I1587" s="91"/>
      <c r="J1587" s="91" t="s">
        <v>228</v>
      </c>
      <c r="K1587" s="91"/>
      <c r="L1587" s="92" t="s">
        <v>1262</v>
      </c>
      <c r="M1587" s="91" t="str">
        <f t="shared" si="307"/>
        <v>VER ARCHIVO ANEXO</v>
      </c>
      <c r="N1587" s="93">
        <v>41608</v>
      </c>
      <c r="O1587" s="109"/>
      <c r="P1587" s="109"/>
      <c r="Q1587" s="94">
        <v>1438</v>
      </c>
      <c r="R1587" s="95">
        <f t="shared" si="298"/>
        <v>202647.15663470112</v>
      </c>
      <c r="S1587" s="109">
        <v>132613.2746</v>
      </c>
      <c r="T1587" s="94">
        <f t="shared" si="308"/>
        <v>141591.19329042002</v>
      </c>
      <c r="U1587" s="94">
        <f t="shared" si="303"/>
        <v>149732.68690461919</v>
      </c>
      <c r="V1587" s="94">
        <f t="shared" si="304"/>
        <v>155856.7537990181</v>
      </c>
      <c r="W1587" s="97">
        <f t="shared" si="301"/>
        <v>160812.99856982689</v>
      </c>
      <c r="X1587" s="97">
        <f t="shared" si="302"/>
        <v>166923.89251548031</v>
      </c>
      <c r="Y1587" s="97">
        <f t="shared" si="297"/>
        <v>169611.36718497955</v>
      </c>
      <c r="Z1587" s="97">
        <f t="shared" si="299"/>
        <v>179143.5260207754</v>
      </c>
      <c r="AA1587" s="97">
        <f t="shared" si="300"/>
        <v>202647.15663470112</v>
      </c>
    </row>
    <row r="1588" spans="1:27" x14ac:dyDescent="0.25">
      <c r="A1588" s="102" t="s">
        <v>3534</v>
      </c>
      <c r="B1588" s="87" t="s">
        <v>3535</v>
      </c>
      <c r="C1588" s="107" t="s">
        <v>226</v>
      </c>
      <c r="D1588" s="89" t="s">
        <v>262</v>
      </c>
      <c r="E1588" s="90">
        <f t="shared" si="305"/>
        <v>99002</v>
      </c>
      <c r="F1588" s="90">
        <f t="shared" si="306"/>
        <v>83195.091991863883</v>
      </c>
      <c r="G1588" s="91">
        <v>0.19</v>
      </c>
      <c r="H1588" s="91" t="s">
        <v>228</v>
      </c>
      <c r="I1588" s="91"/>
      <c r="J1588" s="91" t="s">
        <v>228</v>
      </c>
      <c r="K1588" s="91"/>
      <c r="L1588" s="92" t="s">
        <v>1262</v>
      </c>
      <c r="M1588" s="91" t="str">
        <f t="shared" si="307"/>
        <v>VER ARCHIVO ANEXO</v>
      </c>
      <c r="N1588" s="93">
        <v>41608</v>
      </c>
      <c r="O1588" s="109"/>
      <c r="P1588" s="109"/>
      <c r="Q1588" s="94">
        <v>1439</v>
      </c>
      <c r="R1588" s="95">
        <f t="shared" si="298"/>
        <v>83195.091991863883</v>
      </c>
      <c r="S1588" s="109">
        <v>54443.268599999996</v>
      </c>
      <c r="T1588" s="94">
        <f t="shared" si="308"/>
        <v>58129.077884220002</v>
      </c>
      <c r="U1588" s="94">
        <f t="shared" si="303"/>
        <v>61471.499862562661</v>
      </c>
      <c r="V1588" s="94">
        <f t="shared" si="304"/>
        <v>63985.684206941471</v>
      </c>
      <c r="W1588" s="97">
        <f t="shared" si="301"/>
        <v>66020.428964722218</v>
      </c>
      <c r="X1588" s="97">
        <f t="shared" si="302"/>
        <v>68529.205265381665</v>
      </c>
      <c r="Y1588" s="97">
        <f t="shared" si="297"/>
        <v>69632.525470154316</v>
      </c>
      <c r="Z1588" s="97">
        <f t="shared" si="299"/>
        <v>73545.873401576988</v>
      </c>
      <c r="AA1588" s="97">
        <f t="shared" si="300"/>
        <v>83195.091991863883</v>
      </c>
    </row>
    <row r="1589" spans="1:27" x14ac:dyDescent="0.25">
      <c r="A1589" s="102" t="s">
        <v>3536</v>
      </c>
      <c r="B1589" s="87" t="s">
        <v>3537</v>
      </c>
      <c r="C1589" s="107" t="s">
        <v>226</v>
      </c>
      <c r="D1589" s="89" t="s">
        <v>262</v>
      </c>
      <c r="E1589" s="90">
        <f t="shared" si="305"/>
        <v>246715</v>
      </c>
      <c r="F1589" s="90">
        <f t="shared" si="306"/>
        <v>207323.22737897449</v>
      </c>
      <c r="G1589" s="91">
        <v>0.19</v>
      </c>
      <c r="H1589" s="91" t="s">
        <v>228</v>
      </c>
      <c r="I1589" s="91"/>
      <c r="J1589" s="91" t="s">
        <v>228</v>
      </c>
      <c r="K1589" s="91"/>
      <c r="L1589" s="92" t="s">
        <v>1262</v>
      </c>
      <c r="M1589" s="91" t="str">
        <f t="shared" si="307"/>
        <v>VER ARCHIVO ANEXO</v>
      </c>
      <c r="N1589" s="93">
        <v>41608</v>
      </c>
      <c r="O1589" s="109"/>
      <c r="P1589" s="109"/>
      <c r="Q1589" s="94">
        <v>1440</v>
      </c>
      <c r="R1589" s="95">
        <f t="shared" si="298"/>
        <v>207323.22737897449</v>
      </c>
      <c r="S1589" s="109">
        <v>135673.31779999999</v>
      </c>
      <c r="T1589" s="94">
        <f t="shared" si="308"/>
        <v>144858.40141506001</v>
      </c>
      <c r="U1589" s="94">
        <f t="shared" si="303"/>
        <v>153187.75949642598</v>
      </c>
      <c r="V1589" s="94">
        <f t="shared" si="304"/>
        <v>159453.13885982978</v>
      </c>
      <c r="W1589" s="97">
        <f t="shared" si="301"/>
        <v>164523.74867557237</v>
      </c>
      <c r="X1589" s="97">
        <f t="shared" si="302"/>
        <v>170775.65112524413</v>
      </c>
      <c r="Y1589" s="97">
        <f t="shared" si="297"/>
        <v>173525.13910836057</v>
      </c>
      <c r="Z1589" s="97">
        <f t="shared" si="299"/>
        <v>183277.25192625044</v>
      </c>
      <c r="AA1589" s="97">
        <f t="shared" si="300"/>
        <v>207323.22737897449</v>
      </c>
    </row>
    <row r="1590" spans="1:27" x14ac:dyDescent="0.25">
      <c r="A1590" s="102" t="s">
        <v>3538</v>
      </c>
      <c r="B1590" s="87" t="s">
        <v>3539</v>
      </c>
      <c r="C1590" s="107" t="s">
        <v>226</v>
      </c>
      <c r="D1590" s="89" t="s">
        <v>262</v>
      </c>
      <c r="E1590" s="90">
        <f t="shared" si="305"/>
        <v>546911</v>
      </c>
      <c r="F1590" s="90">
        <f t="shared" si="306"/>
        <v>459588.69024457649</v>
      </c>
      <c r="G1590" s="91">
        <v>0.19</v>
      </c>
      <c r="H1590" s="91" t="s">
        <v>228</v>
      </c>
      <c r="I1590" s="91"/>
      <c r="J1590" s="91" t="s">
        <v>228</v>
      </c>
      <c r="K1590" s="91"/>
      <c r="L1590" s="92" t="s">
        <v>1262</v>
      </c>
      <c r="M1590" s="91" t="str">
        <f t="shared" si="307"/>
        <v>VER ARCHIVO ANEXO</v>
      </c>
      <c r="N1590" s="93">
        <v>41608</v>
      </c>
      <c r="O1590" s="109"/>
      <c r="P1590" s="109"/>
      <c r="Q1590" s="94">
        <v>1441</v>
      </c>
      <c r="R1590" s="95">
        <f t="shared" si="298"/>
        <v>459588.69024457649</v>
      </c>
      <c r="S1590" s="109">
        <v>300757.05079999997</v>
      </c>
      <c r="T1590" s="94">
        <f t="shared" si="308"/>
        <v>321118.30313915998</v>
      </c>
      <c r="U1590" s="94">
        <f t="shared" si="303"/>
        <v>339582.60556966171</v>
      </c>
      <c r="V1590" s="94">
        <f t="shared" si="304"/>
        <v>353471.53413746087</v>
      </c>
      <c r="W1590" s="97">
        <f t="shared" si="301"/>
        <v>364711.92892303213</v>
      </c>
      <c r="X1590" s="97">
        <f t="shared" si="302"/>
        <v>378570.98222210736</v>
      </c>
      <c r="Y1590" s="97">
        <f t="shared" si="297"/>
        <v>384665.97503588331</v>
      </c>
      <c r="Z1590" s="97">
        <f t="shared" si="299"/>
        <v>406284.20283289999</v>
      </c>
      <c r="AA1590" s="97">
        <f t="shared" si="300"/>
        <v>459588.69024457649</v>
      </c>
    </row>
    <row r="1591" spans="1:27" x14ac:dyDescent="0.25">
      <c r="A1591" s="102" t="s">
        <v>3540</v>
      </c>
      <c r="B1591" s="119" t="s">
        <v>3541</v>
      </c>
      <c r="C1591" s="107" t="s">
        <v>226</v>
      </c>
      <c r="D1591" s="89" t="s">
        <v>262</v>
      </c>
      <c r="E1591" s="90">
        <f t="shared" si="305"/>
        <v>64410</v>
      </c>
      <c r="F1591" s="90">
        <f t="shared" si="306"/>
        <v>54126.46928584735</v>
      </c>
      <c r="G1591" s="91">
        <v>0.19</v>
      </c>
      <c r="H1591" s="91" t="s">
        <v>228</v>
      </c>
      <c r="I1591" s="91"/>
      <c r="J1591" s="91" t="s">
        <v>228</v>
      </c>
      <c r="K1591" s="91"/>
      <c r="L1591" s="92" t="s">
        <v>1262</v>
      </c>
      <c r="M1591" s="91" t="str">
        <f t="shared" si="307"/>
        <v>VER ARCHIVO ANEXO</v>
      </c>
      <c r="N1591" s="93">
        <v>41608</v>
      </c>
      <c r="O1591" s="109"/>
      <c r="P1591" s="109"/>
      <c r="Q1591" s="94">
        <v>1442</v>
      </c>
      <c r="R1591" s="95">
        <f t="shared" si="298"/>
        <v>54126.46928584735</v>
      </c>
      <c r="S1591" s="109">
        <v>35420.621999999996</v>
      </c>
      <c r="T1591" s="94">
        <f t="shared" si="308"/>
        <v>37818.598109400002</v>
      </c>
      <c r="U1591" s="94">
        <f t="shared" si="303"/>
        <v>39993.167500690506</v>
      </c>
      <c r="V1591" s="94">
        <f t="shared" si="304"/>
        <v>41628.888051468748</v>
      </c>
      <c r="W1591" s="97">
        <f t="shared" si="301"/>
        <v>42952.686691505456</v>
      </c>
      <c r="X1591" s="97">
        <f t="shared" si="302"/>
        <v>44584.888785782663</v>
      </c>
      <c r="Y1591" s="97">
        <f t="shared" si="297"/>
        <v>45302.705495233764</v>
      </c>
      <c r="Z1591" s="97">
        <f t="shared" si="299"/>
        <v>47848.717544065905</v>
      </c>
      <c r="AA1591" s="97">
        <f t="shared" si="300"/>
        <v>54126.46928584735</v>
      </c>
    </row>
    <row r="1592" spans="1:27" x14ac:dyDescent="0.25">
      <c r="A1592" s="102" t="s">
        <v>3542</v>
      </c>
      <c r="B1592" s="119" t="s">
        <v>3543</v>
      </c>
      <c r="C1592" s="107" t="s">
        <v>226</v>
      </c>
      <c r="D1592" s="89" t="s">
        <v>262</v>
      </c>
      <c r="E1592" s="90">
        <f t="shared" si="305"/>
        <v>95624</v>
      </c>
      <c r="F1592" s="90">
        <f t="shared" si="306"/>
        <v>80356.501621356467</v>
      </c>
      <c r="G1592" s="91">
        <v>0.19</v>
      </c>
      <c r="H1592" s="91" t="s">
        <v>228</v>
      </c>
      <c r="I1592" s="91"/>
      <c r="J1592" s="91" t="s">
        <v>228</v>
      </c>
      <c r="K1592" s="91"/>
      <c r="L1592" s="92" t="s">
        <v>1262</v>
      </c>
      <c r="M1592" s="91" t="str">
        <f t="shared" si="307"/>
        <v>VER ARCHIVO ANEXO</v>
      </c>
      <c r="N1592" s="93">
        <v>41608</v>
      </c>
      <c r="O1592" s="109"/>
      <c r="P1592" s="109"/>
      <c r="Q1592" s="94">
        <v>1443</v>
      </c>
      <c r="R1592" s="95">
        <f t="shared" si="298"/>
        <v>80356.501621356467</v>
      </c>
      <c r="S1592" s="109">
        <v>52585.681400000001</v>
      </c>
      <c r="T1592" s="94">
        <f t="shared" si="308"/>
        <v>56145.732030780004</v>
      </c>
      <c r="U1592" s="94">
        <f t="shared" si="303"/>
        <v>59374.111622549863</v>
      </c>
      <c r="V1592" s="94">
        <f t="shared" si="304"/>
        <v>61802.51278791215</v>
      </c>
      <c r="W1592" s="97">
        <f t="shared" si="301"/>
        <v>63767.832694567762</v>
      </c>
      <c r="X1592" s="97">
        <f t="shared" si="302"/>
        <v>66191.010336961335</v>
      </c>
      <c r="Y1592" s="97">
        <f t="shared" si="297"/>
        <v>67256.685603386417</v>
      </c>
      <c r="Z1592" s="97">
        <f t="shared" si="299"/>
        <v>71036.511334296738</v>
      </c>
      <c r="AA1592" s="97">
        <f t="shared" si="300"/>
        <v>80356.501621356467</v>
      </c>
    </row>
    <row r="1593" spans="1:27" x14ac:dyDescent="0.25">
      <c r="A1593" s="102" t="s">
        <v>3544</v>
      </c>
      <c r="B1593" s="87" t="s">
        <v>3545</v>
      </c>
      <c r="C1593" s="88" t="s">
        <v>226</v>
      </c>
      <c r="D1593" s="89" t="s">
        <v>262</v>
      </c>
      <c r="E1593" s="90">
        <f t="shared" si="305"/>
        <v>1042</v>
      </c>
      <c r="F1593" s="90">
        <f t="shared" si="306"/>
        <v>875.97124714877339</v>
      </c>
      <c r="G1593" s="91">
        <v>0.19</v>
      </c>
      <c r="H1593" s="91" t="s">
        <v>228</v>
      </c>
      <c r="I1593" s="91"/>
      <c r="J1593" s="91" t="s">
        <v>228</v>
      </c>
      <c r="K1593" s="91"/>
      <c r="L1593" s="92" t="s">
        <v>1262</v>
      </c>
      <c r="M1593" s="91" t="str">
        <f t="shared" si="307"/>
        <v>VER ARCHIVO ANEXO</v>
      </c>
      <c r="N1593" s="93">
        <v>41608</v>
      </c>
      <c r="O1593" s="109"/>
      <c r="P1593" s="109"/>
      <c r="Q1593" s="94">
        <v>1444</v>
      </c>
      <c r="R1593" s="95">
        <f t="shared" si="298"/>
        <v>875.97124714877339</v>
      </c>
      <c r="S1593" s="109">
        <v>573.23979999999995</v>
      </c>
      <c r="T1593" s="94">
        <f t="shared" si="308"/>
        <v>612.04813446000003</v>
      </c>
      <c r="U1593" s="94">
        <f t="shared" si="303"/>
        <v>647.24090219145012</v>
      </c>
      <c r="V1593" s="94">
        <f t="shared" si="304"/>
        <v>673.71305509108038</v>
      </c>
      <c r="W1593" s="97">
        <f t="shared" si="301"/>
        <v>695.13713024297681</v>
      </c>
      <c r="X1593" s="97">
        <f t="shared" si="302"/>
        <v>721.55234119220995</v>
      </c>
      <c r="Y1593" s="97">
        <f t="shared" ref="Y1593:Y1656" si="309">+X1593*(1+$Y$4)</f>
        <v>733.16933388540451</v>
      </c>
      <c r="Z1593" s="97">
        <f t="shared" si="299"/>
        <v>774.37345044976428</v>
      </c>
      <c r="AA1593" s="97">
        <f t="shared" si="300"/>
        <v>875.97124714877339</v>
      </c>
    </row>
    <row r="1594" spans="1:27" x14ac:dyDescent="0.25">
      <c r="A1594" s="102" t="s">
        <v>3546</v>
      </c>
      <c r="B1594" s="87" t="s">
        <v>3547</v>
      </c>
      <c r="C1594" s="88" t="s">
        <v>226</v>
      </c>
      <c r="D1594" s="89" t="s">
        <v>262</v>
      </c>
      <c r="E1594" s="90">
        <f t="shared" si="305"/>
        <v>5606</v>
      </c>
      <c r="F1594" s="90">
        <f t="shared" si="306"/>
        <v>4710.9195099827339</v>
      </c>
      <c r="G1594" s="91">
        <v>0.19</v>
      </c>
      <c r="H1594" s="91" t="s">
        <v>228</v>
      </c>
      <c r="I1594" s="91"/>
      <c r="J1594" s="91" t="s">
        <v>228</v>
      </c>
      <c r="K1594" s="91"/>
      <c r="L1594" s="92" t="s">
        <v>1262</v>
      </c>
      <c r="M1594" s="91" t="str">
        <f t="shared" si="307"/>
        <v>VER ARCHIVO ANEXO</v>
      </c>
      <c r="N1594" s="93">
        <v>41608</v>
      </c>
      <c r="O1594" s="109"/>
      <c r="P1594" s="109"/>
      <c r="Q1594" s="94">
        <v>1445</v>
      </c>
      <c r="R1594" s="95">
        <f t="shared" si="298"/>
        <v>4710.9195099827339</v>
      </c>
      <c r="S1594" s="109">
        <v>3082.8483999999999</v>
      </c>
      <c r="T1594" s="94">
        <f t="shared" si="308"/>
        <v>3291.5572366800002</v>
      </c>
      <c r="U1594" s="94">
        <f t="shared" si="303"/>
        <v>3480.8217777891005</v>
      </c>
      <c r="V1594" s="94">
        <f t="shared" si="304"/>
        <v>3623.1873885006744</v>
      </c>
      <c r="W1594" s="97">
        <f t="shared" si="301"/>
        <v>3738.4047474549961</v>
      </c>
      <c r="X1594" s="97">
        <f t="shared" si="302"/>
        <v>3880.4641278582862</v>
      </c>
      <c r="Y1594" s="97">
        <f t="shared" si="309"/>
        <v>3942.9396003168044</v>
      </c>
      <c r="Z1594" s="97">
        <f t="shared" si="299"/>
        <v>4164.5328058546093</v>
      </c>
      <c r="AA1594" s="97">
        <f t="shared" si="300"/>
        <v>4710.9195099827339</v>
      </c>
    </row>
    <row r="1595" spans="1:27" x14ac:dyDescent="0.25">
      <c r="A1595" s="102" t="s">
        <v>3548</v>
      </c>
      <c r="B1595" s="87" t="s">
        <v>3549</v>
      </c>
      <c r="C1595" s="88" t="s">
        <v>226</v>
      </c>
      <c r="D1595" s="89" t="s">
        <v>262</v>
      </c>
      <c r="E1595" s="90">
        <f t="shared" si="305"/>
        <v>3685</v>
      </c>
      <c r="F1595" s="90">
        <f t="shared" si="306"/>
        <v>3096.7880437176345</v>
      </c>
      <c r="G1595" s="91">
        <v>0.19</v>
      </c>
      <c r="H1595" s="91" t="s">
        <v>228</v>
      </c>
      <c r="I1595" s="91"/>
      <c r="J1595" s="91" t="s">
        <v>228</v>
      </c>
      <c r="K1595" s="91"/>
      <c r="L1595" s="92" t="s">
        <v>1262</v>
      </c>
      <c r="M1595" s="91" t="str">
        <f t="shared" si="307"/>
        <v>VER ARCHIVO ANEXO</v>
      </c>
      <c r="N1595" s="93">
        <v>41608</v>
      </c>
      <c r="O1595" s="109"/>
      <c r="P1595" s="109"/>
      <c r="Q1595" s="94">
        <v>1446</v>
      </c>
      <c r="R1595" s="95">
        <f t="shared" si="298"/>
        <v>3096.7880437176345</v>
      </c>
      <c r="S1595" s="109">
        <v>2026.5529999999999</v>
      </c>
      <c r="T1595" s="94">
        <f t="shared" si="308"/>
        <v>2163.7506381000003</v>
      </c>
      <c r="U1595" s="94">
        <f t="shared" si="303"/>
        <v>2288.1662997907506</v>
      </c>
      <c r="V1595" s="94">
        <f t="shared" si="304"/>
        <v>2381.7523014521921</v>
      </c>
      <c r="W1595" s="97">
        <f t="shared" si="301"/>
        <v>2457.4920246383717</v>
      </c>
      <c r="X1595" s="97">
        <f t="shared" si="302"/>
        <v>2550.8767215746298</v>
      </c>
      <c r="Y1595" s="97">
        <f t="shared" si="309"/>
        <v>2591.9458367919815</v>
      </c>
      <c r="Z1595" s="97">
        <f t="shared" si="299"/>
        <v>2737.613192819691</v>
      </c>
      <c r="AA1595" s="97">
        <f t="shared" si="300"/>
        <v>3096.7880437176345</v>
      </c>
    </row>
    <row r="1596" spans="1:27" x14ac:dyDescent="0.25">
      <c r="A1596" s="102" t="s">
        <v>3550</v>
      </c>
      <c r="B1596" s="87" t="s">
        <v>3551</v>
      </c>
      <c r="C1596" s="88" t="s">
        <v>226</v>
      </c>
      <c r="D1596" s="89" t="s">
        <v>262</v>
      </c>
      <c r="E1596" s="90">
        <f t="shared" si="305"/>
        <v>4690</v>
      </c>
      <c r="F1596" s="90">
        <f t="shared" si="306"/>
        <v>3941.0785947669938</v>
      </c>
      <c r="G1596" s="91">
        <v>0.19</v>
      </c>
      <c r="H1596" s="91" t="s">
        <v>228</v>
      </c>
      <c r="I1596" s="91"/>
      <c r="J1596" s="91" t="s">
        <v>228</v>
      </c>
      <c r="K1596" s="91"/>
      <c r="L1596" s="92" t="s">
        <v>1262</v>
      </c>
      <c r="M1596" s="91" t="str">
        <f t="shared" si="307"/>
        <v>VER ARCHIVO ANEXO</v>
      </c>
      <c r="N1596" s="93">
        <v>41608</v>
      </c>
      <c r="O1596" s="109"/>
      <c r="P1596" s="109"/>
      <c r="Q1596" s="94">
        <v>1447</v>
      </c>
      <c r="R1596" s="95">
        <f t="shared" si="298"/>
        <v>3941.0785947669938</v>
      </c>
      <c r="S1596" s="109">
        <v>2579.0607999999997</v>
      </c>
      <c r="T1596" s="94">
        <f t="shared" si="308"/>
        <v>2753.66321616</v>
      </c>
      <c r="U1596" s="94">
        <f t="shared" si="303"/>
        <v>2911.9988510892003</v>
      </c>
      <c r="V1596" s="94">
        <f t="shared" si="304"/>
        <v>3031.0996040987484</v>
      </c>
      <c r="W1596" s="97">
        <f t="shared" si="301"/>
        <v>3127.4885715090886</v>
      </c>
      <c r="X1596" s="97">
        <f t="shared" si="302"/>
        <v>3246.3331372264342</v>
      </c>
      <c r="Y1596" s="97">
        <f t="shared" si="309"/>
        <v>3298.5991007357798</v>
      </c>
      <c r="Z1596" s="97">
        <f t="shared" si="299"/>
        <v>3483.9803701971305</v>
      </c>
      <c r="AA1596" s="97">
        <f t="shared" si="300"/>
        <v>3941.0785947669938</v>
      </c>
    </row>
    <row r="1597" spans="1:27" x14ac:dyDescent="0.25">
      <c r="A1597" s="102" t="s">
        <v>3552</v>
      </c>
      <c r="B1597" s="87" t="s">
        <v>3553</v>
      </c>
      <c r="C1597" s="88" t="s">
        <v>226</v>
      </c>
      <c r="D1597" s="89" t="s">
        <v>262</v>
      </c>
      <c r="E1597" s="90">
        <f t="shared" si="305"/>
        <v>20565</v>
      </c>
      <c r="F1597" s="90">
        <f t="shared" si="306"/>
        <v>17281.81972222987</v>
      </c>
      <c r="G1597" s="91">
        <v>0.19</v>
      </c>
      <c r="H1597" s="91" t="s">
        <v>228</v>
      </c>
      <c r="I1597" s="91"/>
      <c r="J1597" s="91" t="s">
        <v>228</v>
      </c>
      <c r="K1597" s="91"/>
      <c r="L1597" s="92" t="s">
        <v>1262</v>
      </c>
      <c r="M1597" s="91" t="str">
        <f t="shared" si="307"/>
        <v>VER ARCHIVO ANEXO</v>
      </c>
      <c r="N1597" s="93">
        <v>41608</v>
      </c>
      <c r="O1597" s="109"/>
      <c r="P1597" s="109"/>
      <c r="Q1597" s="94">
        <v>1448</v>
      </c>
      <c r="R1597" s="95">
        <f t="shared" si="298"/>
        <v>17281.81972222987</v>
      </c>
      <c r="S1597" s="109">
        <v>11309.306</v>
      </c>
      <c r="T1597" s="94">
        <f t="shared" si="308"/>
        <v>12074.946016200001</v>
      </c>
      <c r="U1597" s="94">
        <f t="shared" si="303"/>
        <v>12769.255412131502</v>
      </c>
      <c r="V1597" s="94">
        <f t="shared" si="304"/>
        <v>13291.517958487681</v>
      </c>
      <c r="W1597" s="97">
        <f t="shared" si="301"/>
        <v>13714.18822956759</v>
      </c>
      <c r="X1597" s="97">
        <f t="shared" si="302"/>
        <v>14235.327382291158</v>
      </c>
      <c r="Y1597" s="97">
        <f t="shared" si="309"/>
        <v>14464.516153146045</v>
      </c>
      <c r="Z1597" s="97">
        <f t="shared" si="299"/>
        <v>15277.421960952854</v>
      </c>
      <c r="AA1597" s="97">
        <f t="shared" si="300"/>
        <v>17281.81972222987</v>
      </c>
    </row>
    <row r="1598" spans="1:27" x14ac:dyDescent="0.25">
      <c r="A1598" s="102" t="s">
        <v>3554</v>
      </c>
      <c r="B1598" s="87" t="s">
        <v>3555</v>
      </c>
      <c r="C1598" s="88" t="s">
        <v>226</v>
      </c>
      <c r="D1598" s="89" t="s">
        <v>255</v>
      </c>
      <c r="E1598" s="90">
        <f t="shared" si="305"/>
        <v>17395419</v>
      </c>
      <c r="F1598" s="90">
        <f t="shared" si="306"/>
        <v>14617999.079824472</v>
      </c>
      <c r="G1598" s="91">
        <v>0.19</v>
      </c>
      <c r="H1598" s="91" t="s">
        <v>228</v>
      </c>
      <c r="I1598" s="91"/>
      <c r="J1598" s="91" t="s">
        <v>228</v>
      </c>
      <c r="K1598" s="91"/>
      <c r="L1598" s="92" t="s">
        <v>1262</v>
      </c>
      <c r="M1598" s="91" t="str">
        <f t="shared" si="307"/>
        <v>VER ARCHIVO ANEXO</v>
      </c>
      <c r="N1598" s="93">
        <v>41608</v>
      </c>
      <c r="O1598" s="109"/>
      <c r="P1598" s="109"/>
      <c r="Q1598" s="94">
        <v>1449</v>
      </c>
      <c r="R1598" s="95">
        <f t="shared" si="298"/>
        <v>14617999.079824472</v>
      </c>
      <c r="S1598" s="109">
        <v>9566088.9511999991</v>
      </c>
      <c r="T1598" s="94">
        <f t="shared" si="308"/>
        <v>10213713.173196239</v>
      </c>
      <c r="U1598" s="94">
        <f t="shared" si="303"/>
        <v>10801001.680655025</v>
      </c>
      <c r="V1598" s="94">
        <f t="shared" si="304"/>
        <v>11242762.649393816</v>
      </c>
      <c r="W1598" s="97">
        <f t="shared" si="301"/>
        <v>11600282.501644539</v>
      </c>
      <c r="X1598" s="97">
        <f t="shared" si="302"/>
        <v>12041093.236707032</v>
      </c>
      <c r="Y1598" s="97">
        <f t="shared" si="309"/>
        <v>12234954.837818015</v>
      </c>
      <c r="Z1598" s="97">
        <f t="shared" si="299"/>
        <v>12922559.299703388</v>
      </c>
      <c r="AA1598" s="97">
        <f t="shared" si="300"/>
        <v>14617999.079824472</v>
      </c>
    </row>
    <row r="1599" spans="1:27" x14ac:dyDescent="0.25">
      <c r="A1599" s="102" t="s">
        <v>3556</v>
      </c>
      <c r="B1599" s="87" t="s">
        <v>3557</v>
      </c>
      <c r="C1599" s="88" t="s">
        <v>226</v>
      </c>
      <c r="D1599" s="89" t="s">
        <v>262</v>
      </c>
      <c r="E1599" s="90">
        <f t="shared" si="305"/>
        <v>8548606</v>
      </c>
      <c r="F1599" s="90">
        <f t="shared" si="306"/>
        <v>7183702.3868390564</v>
      </c>
      <c r="G1599" s="91">
        <v>0.19</v>
      </c>
      <c r="H1599" s="91" t="s">
        <v>228</v>
      </c>
      <c r="I1599" s="91"/>
      <c r="J1599" s="91" t="s">
        <v>228</v>
      </c>
      <c r="K1599" s="91"/>
      <c r="L1599" s="92" t="s">
        <v>1262</v>
      </c>
      <c r="M1599" s="91" t="str">
        <f t="shared" si="307"/>
        <v>VER ARCHIVO ANEXO</v>
      </c>
      <c r="N1599" s="93">
        <v>41608</v>
      </c>
      <c r="O1599" s="109"/>
      <c r="P1599" s="109"/>
      <c r="Q1599" s="94">
        <v>1450</v>
      </c>
      <c r="R1599" s="95">
        <f t="shared" si="298"/>
        <v>7183702.3868390564</v>
      </c>
      <c r="S1599" s="109">
        <v>4701049.4155999999</v>
      </c>
      <c r="T1599" s="94">
        <f t="shared" si="308"/>
        <v>5019310.4610361205</v>
      </c>
      <c r="U1599" s="94">
        <f t="shared" si="303"/>
        <v>5307920.8125456981</v>
      </c>
      <c r="V1599" s="94">
        <f t="shared" si="304"/>
        <v>5525014.7737788167</v>
      </c>
      <c r="W1599" s="97">
        <f t="shared" si="301"/>
        <v>5700710.2435849831</v>
      </c>
      <c r="X1599" s="97">
        <f t="shared" si="302"/>
        <v>5917337.2328412123</v>
      </c>
      <c r="Y1599" s="97">
        <f t="shared" si="309"/>
        <v>6012606.3622899558</v>
      </c>
      <c r="Z1599" s="97">
        <f t="shared" si="299"/>
        <v>6350514.8398506511</v>
      </c>
      <c r="AA1599" s="97">
        <f t="shared" si="300"/>
        <v>7183702.3868390564</v>
      </c>
    </row>
    <row r="1600" spans="1:27" x14ac:dyDescent="0.25">
      <c r="A1600" s="102" t="s">
        <v>3558</v>
      </c>
      <c r="B1600" s="87" t="s">
        <v>3559</v>
      </c>
      <c r="C1600" s="88" t="s">
        <v>226</v>
      </c>
      <c r="D1600" s="89" t="s">
        <v>255</v>
      </c>
      <c r="E1600" s="90">
        <f t="shared" si="305"/>
        <v>21113070</v>
      </c>
      <c r="F1600" s="90">
        <f t="shared" si="306"/>
        <v>17742075.291127339</v>
      </c>
      <c r="G1600" s="91">
        <v>0.19</v>
      </c>
      <c r="H1600" s="91" t="s">
        <v>228</v>
      </c>
      <c r="I1600" s="91"/>
      <c r="J1600" s="91" t="s">
        <v>228</v>
      </c>
      <c r="K1600" s="91"/>
      <c r="L1600" s="92" t="s">
        <v>1262</v>
      </c>
      <c r="M1600" s="91" t="str">
        <f t="shared" si="307"/>
        <v>VER ARCHIVO ANEXO</v>
      </c>
      <c r="N1600" s="93">
        <v>41608</v>
      </c>
      <c r="O1600" s="109"/>
      <c r="P1600" s="109"/>
      <c r="Q1600" s="94">
        <v>1451</v>
      </c>
      <c r="R1600" s="95">
        <f t="shared" si="298"/>
        <v>17742075.291127339</v>
      </c>
      <c r="S1600" s="109">
        <v>11610499.4594</v>
      </c>
      <c r="T1600" s="94">
        <f t="shared" si="308"/>
        <v>12396530.272801381</v>
      </c>
      <c r="U1600" s="94">
        <f t="shared" si="303"/>
        <v>13109330.763487462</v>
      </c>
      <c r="V1600" s="94">
        <f t="shared" si="304"/>
        <v>13645502.391714098</v>
      </c>
      <c r="W1600" s="97">
        <f t="shared" si="301"/>
        <v>14079429.367770607</v>
      </c>
      <c r="X1600" s="97">
        <f t="shared" si="302"/>
        <v>14614447.683745891</v>
      </c>
      <c r="Y1600" s="97">
        <f t="shared" si="309"/>
        <v>14849740.2914542</v>
      </c>
      <c r="Z1600" s="97">
        <f t="shared" si="299"/>
        <v>15684295.695833927</v>
      </c>
      <c r="AA1600" s="97">
        <f t="shared" si="300"/>
        <v>17742075.291127339</v>
      </c>
    </row>
    <row r="1601" spans="1:27" x14ac:dyDescent="0.25">
      <c r="A1601" s="102" t="s">
        <v>3560</v>
      </c>
      <c r="B1601" s="87" t="s">
        <v>3561</v>
      </c>
      <c r="C1601" s="88" t="s">
        <v>226</v>
      </c>
      <c r="D1601" s="89" t="s">
        <v>255</v>
      </c>
      <c r="E1601" s="90">
        <f t="shared" si="305"/>
        <v>20119044</v>
      </c>
      <c r="F1601" s="90">
        <f t="shared" si="306"/>
        <v>16906759.881282941</v>
      </c>
      <c r="G1601" s="91">
        <v>0.19</v>
      </c>
      <c r="H1601" s="91" t="s">
        <v>228</v>
      </c>
      <c r="I1601" s="91"/>
      <c r="J1601" s="91" t="s">
        <v>228</v>
      </c>
      <c r="K1601" s="91"/>
      <c r="L1601" s="92" t="s">
        <v>1262</v>
      </c>
      <c r="M1601" s="91" t="str">
        <f t="shared" si="307"/>
        <v>VER ARCHIVO ANEXO</v>
      </c>
      <c r="N1601" s="93">
        <v>41608</v>
      </c>
      <c r="O1601" s="109"/>
      <c r="P1601" s="109"/>
      <c r="Q1601" s="94">
        <v>1452</v>
      </c>
      <c r="R1601" s="95">
        <f t="shared" si="298"/>
        <v>16906759.881282941</v>
      </c>
      <c r="S1601" s="109">
        <v>11063865.035</v>
      </c>
      <c r="T1601" s="94">
        <f t="shared" si="308"/>
        <v>11812888.697869502</v>
      </c>
      <c r="U1601" s="94">
        <f t="shared" si="303"/>
        <v>12492129.797997</v>
      </c>
      <c r="V1601" s="94">
        <f t="shared" si="304"/>
        <v>13003057.906735076</v>
      </c>
      <c r="W1601" s="97">
        <f t="shared" si="301"/>
        <v>13416555.148169251</v>
      </c>
      <c r="X1601" s="97">
        <f t="shared" si="302"/>
        <v>13926384.243799683</v>
      </c>
      <c r="Y1601" s="97">
        <f t="shared" si="309"/>
        <v>14150599.030124858</v>
      </c>
      <c r="Z1601" s="97">
        <f t="shared" si="299"/>
        <v>14945862.695617875</v>
      </c>
      <c r="AA1601" s="97">
        <f t="shared" si="300"/>
        <v>16906759.881282941</v>
      </c>
    </row>
    <row r="1602" spans="1:27" x14ac:dyDescent="0.25">
      <c r="A1602" s="102" t="s">
        <v>3562</v>
      </c>
      <c r="B1602" s="87" t="s">
        <v>3563</v>
      </c>
      <c r="C1602" s="88" t="s">
        <v>226</v>
      </c>
      <c r="D1602" s="89" t="s">
        <v>255</v>
      </c>
      <c r="E1602" s="90">
        <f t="shared" si="305"/>
        <v>6232529</v>
      </c>
      <c r="F1602" s="90">
        <f t="shared" si="306"/>
        <v>5237419.4144240757</v>
      </c>
      <c r="G1602" s="91">
        <v>0.19</v>
      </c>
      <c r="H1602" s="91" t="s">
        <v>228</v>
      </c>
      <c r="I1602" s="91"/>
      <c r="J1602" s="91" t="s">
        <v>228</v>
      </c>
      <c r="K1602" s="91"/>
      <c r="L1602" s="92" t="s">
        <v>1262</v>
      </c>
      <c r="M1602" s="91" t="str">
        <f t="shared" si="307"/>
        <v>VER ARCHIVO ANEXO</v>
      </c>
      <c r="N1602" s="93">
        <v>41608</v>
      </c>
      <c r="O1602" s="109"/>
      <c r="P1602" s="109"/>
      <c r="Q1602" s="94">
        <v>1453</v>
      </c>
      <c r="R1602" s="95">
        <f t="shared" si="298"/>
        <v>5237419.4144240757</v>
      </c>
      <c r="S1602" s="109">
        <v>3427392.4713999997</v>
      </c>
      <c r="T1602" s="94">
        <f t="shared" si="308"/>
        <v>3659426.9417137802</v>
      </c>
      <c r="U1602" s="94">
        <f t="shared" si="303"/>
        <v>3869843.990862323</v>
      </c>
      <c r="V1602" s="94">
        <f t="shared" si="304"/>
        <v>4028120.6100885919</v>
      </c>
      <c r="W1602" s="97">
        <f t="shared" si="301"/>
        <v>4156214.8454894093</v>
      </c>
      <c r="X1602" s="97">
        <f t="shared" si="302"/>
        <v>4314151.0096180066</v>
      </c>
      <c r="Y1602" s="97">
        <f t="shared" si="309"/>
        <v>4383608.8408728568</v>
      </c>
      <c r="Z1602" s="97">
        <f t="shared" si="299"/>
        <v>4629967.6577299116</v>
      </c>
      <c r="AA1602" s="97">
        <f t="shared" si="300"/>
        <v>5237419.4144240757</v>
      </c>
    </row>
    <row r="1603" spans="1:27" x14ac:dyDescent="0.25">
      <c r="A1603" s="102" t="s">
        <v>3564</v>
      </c>
      <c r="B1603" s="87" t="s">
        <v>3565</v>
      </c>
      <c r="C1603" s="88" t="s">
        <v>226</v>
      </c>
      <c r="D1603" s="89" t="s">
        <v>255</v>
      </c>
      <c r="E1603" s="90">
        <f t="shared" si="305"/>
        <v>7544641</v>
      </c>
      <c r="F1603" s="90">
        <f t="shared" si="306"/>
        <v>6340034.3614680525</v>
      </c>
      <c r="G1603" s="91">
        <v>0.19</v>
      </c>
      <c r="H1603" s="91" t="s">
        <v>228</v>
      </c>
      <c r="I1603" s="91"/>
      <c r="J1603" s="91" t="s">
        <v>228</v>
      </c>
      <c r="K1603" s="91"/>
      <c r="L1603" s="92" t="s">
        <v>1262</v>
      </c>
      <c r="M1603" s="91" t="str">
        <f t="shared" si="307"/>
        <v>VER ARCHIVO ANEXO</v>
      </c>
      <c r="N1603" s="93">
        <v>41608</v>
      </c>
      <c r="O1603" s="109"/>
      <c r="P1603" s="109"/>
      <c r="Q1603" s="94">
        <v>1454</v>
      </c>
      <c r="R1603" s="95">
        <f t="shared" si="298"/>
        <v>6340034.3614680525</v>
      </c>
      <c r="S1603" s="109">
        <v>4148948.9994000001</v>
      </c>
      <c r="T1603" s="94">
        <f t="shared" si="308"/>
        <v>4429832.8466593809</v>
      </c>
      <c r="U1603" s="94">
        <f t="shared" si="303"/>
        <v>4684548.2353422958</v>
      </c>
      <c r="V1603" s="94">
        <f t="shared" si="304"/>
        <v>4876146.2581677958</v>
      </c>
      <c r="W1603" s="97">
        <f t="shared" si="301"/>
        <v>5031207.7091775322</v>
      </c>
      <c r="X1603" s="97">
        <f t="shared" si="302"/>
        <v>5222393.6021262789</v>
      </c>
      <c r="Y1603" s="97">
        <f t="shared" si="309"/>
        <v>5306474.1391205117</v>
      </c>
      <c r="Z1603" s="97">
        <f t="shared" si="299"/>
        <v>5604697.9857390849</v>
      </c>
      <c r="AA1603" s="97">
        <f t="shared" si="300"/>
        <v>6340034.3614680525</v>
      </c>
    </row>
    <row r="1604" spans="1:27" x14ac:dyDescent="0.25">
      <c r="A1604" s="102" t="s">
        <v>3566</v>
      </c>
      <c r="B1604" s="87" t="s">
        <v>3567</v>
      </c>
      <c r="C1604" s="88" t="s">
        <v>226</v>
      </c>
      <c r="D1604" s="89" t="s">
        <v>255</v>
      </c>
      <c r="E1604" s="90">
        <f t="shared" si="305"/>
        <v>9731495</v>
      </c>
      <c r="F1604" s="90">
        <f t="shared" si="306"/>
        <v>8177726.995897878</v>
      </c>
      <c r="G1604" s="91">
        <v>0.19</v>
      </c>
      <c r="H1604" s="91" t="s">
        <v>228</v>
      </c>
      <c r="I1604" s="91"/>
      <c r="J1604" s="91" t="s">
        <v>228</v>
      </c>
      <c r="K1604" s="91"/>
      <c r="L1604" s="92" t="s">
        <v>1262</v>
      </c>
      <c r="M1604" s="91" t="str">
        <f t="shared" si="307"/>
        <v>VER ARCHIVO ANEXO</v>
      </c>
      <c r="N1604" s="93">
        <v>41608</v>
      </c>
      <c r="O1604" s="109"/>
      <c r="P1604" s="109"/>
      <c r="Q1604" s="94">
        <v>1455</v>
      </c>
      <c r="R1604" s="95">
        <f t="shared" si="298"/>
        <v>8177726.995897878</v>
      </c>
      <c r="S1604" s="109">
        <v>5351543.9037999995</v>
      </c>
      <c r="T1604" s="94">
        <f t="shared" si="308"/>
        <v>5713843.4260872602</v>
      </c>
      <c r="U1604" s="94">
        <f t="shared" si="303"/>
        <v>6042389.4230872784</v>
      </c>
      <c r="V1604" s="94">
        <f t="shared" si="304"/>
        <v>6289523.1504915478</v>
      </c>
      <c r="W1604" s="97">
        <f t="shared" si="301"/>
        <v>6489529.9866771791</v>
      </c>
      <c r="X1604" s="97">
        <f t="shared" si="302"/>
        <v>6736132.1261709118</v>
      </c>
      <c r="Y1604" s="97">
        <f t="shared" si="309"/>
        <v>6844583.8534022635</v>
      </c>
      <c r="Z1604" s="97">
        <f t="shared" si="299"/>
        <v>7229249.4659634707</v>
      </c>
      <c r="AA1604" s="97">
        <f t="shared" si="300"/>
        <v>8177726.995897878</v>
      </c>
    </row>
    <row r="1605" spans="1:27" x14ac:dyDescent="0.25">
      <c r="A1605" s="102" t="s">
        <v>3568</v>
      </c>
      <c r="B1605" s="87" t="s">
        <v>3569</v>
      </c>
      <c r="C1605" s="88" t="s">
        <v>226</v>
      </c>
      <c r="D1605" s="89" t="s">
        <v>255</v>
      </c>
      <c r="E1605" s="90">
        <f t="shared" si="305"/>
        <v>19227</v>
      </c>
      <c r="F1605" s="90">
        <f t="shared" si="306"/>
        <v>16157.155010700702</v>
      </c>
      <c r="G1605" s="91">
        <v>0.19</v>
      </c>
      <c r="H1605" s="91" t="s">
        <v>228</v>
      </c>
      <c r="I1605" s="91"/>
      <c r="J1605" s="91" t="s">
        <v>228</v>
      </c>
      <c r="K1605" s="91"/>
      <c r="L1605" s="92" t="s">
        <v>2860</v>
      </c>
      <c r="M1605" s="91" t="str">
        <f t="shared" si="307"/>
        <v>VER ARCHIVO ANEXO</v>
      </c>
      <c r="N1605" s="93">
        <v>41608</v>
      </c>
      <c r="O1605" s="109"/>
      <c r="P1605" s="109"/>
      <c r="Q1605" s="94">
        <v>1456</v>
      </c>
      <c r="R1605" s="95">
        <f t="shared" si="298"/>
        <v>16157.155010700702</v>
      </c>
      <c r="S1605" s="109">
        <v>10573.32</v>
      </c>
      <c r="T1605" s="94">
        <f t="shared" si="308"/>
        <v>11289.133764</v>
      </c>
      <c r="U1605" s="94">
        <f t="shared" si="303"/>
        <v>11938.258955430001</v>
      </c>
      <c r="V1605" s="94">
        <f t="shared" si="304"/>
        <v>12426.533746707088</v>
      </c>
      <c r="W1605" s="97">
        <f t="shared" si="301"/>
        <v>12821.697519852374</v>
      </c>
      <c r="X1605" s="97">
        <f t="shared" si="302"/>
        <v>13308.922025606766</v>
      </c>
      <c r="Y1605" s="97">
        <f t="shared" si="309"/>
        <v>13523.195670219035</v>
      </c>
      <c r="Z1605" s="97">
        <f t="shared" si="299"/>
        <v>14283.199266885345</v>
      </c>
      <c r="AA1605" s="97">
        <f t="shared" si="300"/>
        <v>16157.155010700702</v>
      </c>
    </row>
    <row r="1606" spans="1:27" x14ac:dyDescent="0.25">
      <c r="A1606" s="102" t="s">
        <v>3570</v>
      </c>
      <c r="B1606" s="98" t="s">
        <v>3571</v>
      </c>
      <c r="C1606" s="99" t="s">
        <v>226</v>
      </c>
      <c r="D1606" s="100" t="s">
        <v>255</v>
      </c>
      <c r="E1606" s="101">
        <f t="shared" si="305"/>
        <v>11155</v>
      </c>
      <c r="F1606" s="90">
        <f t="shared" si="306"/>
        <v>9374.3179758163478</v>
      </c>
      <c r="G1606" s="91">
        <v>0.19</v>
      </c>
      <c r="H1606" s="91" t="s">
        <v>228</v>
      </c>
      <c r="I1606" s="91"/>
      <c r="J1606" s="91" t="s">
        <v>228</v>
      </c>
      <c r="K1606" s="91"/>
      <c r="L1606" s="92" t="s">
        <v>2860</v>
      </c>
      <c r="M1606" s="91" t="str">
        <f t="shared" si="307"/>
        <v>VER ARCHIVO ANEXO</v>
      </c>
      <c r="N1606" s="93">
        <v>41608</v>
      </c>
      <c r="O1606" s="109"/>
      <c r="P1606" s="109"/>
      <c r="Q1606" s="94">
        <v>1457</v>
      </c>
      <c r="R1606" s="95">
        <f t="shared" si="298"/>
        <v>9374.3179758163478</v>
      </c>
      <c r="S1606" s="109">
        <v>6134.5987999999998</v>
      </c>
      <c r="T1606" s="94">
        <f t="shared" si="308"/>
        <v>6549.9111387600005</v>
      </c>
      <c r="U1606" s="94">
        <f t="shared" si="303"/>
        <v>6926.5310292387012</v>
      </c>
      <c r="V1606" s="94">
        <f t="shared" si="304"/>
        <v>7209.8261483345632</v>
      </c>
      <c r="W1606" s="97">
        <f t="shared" si="301"/>
        <v>7439.098619851603</v>
      </c>
      <c r="X1606" s="97">
        <f t="shared" si="302"/>
        <v>7721.7843674059641</v>
      </c>
      <c r="Y1606" s="97">
        <f t="shared" si="309"/>
        <v>7846.1050957212001</v>
      </c>
      <c r="Z1606" s="97">
        <f t="shared" si="299"/>
        <v>8287.0562021007318</v>
      </c>
      <c r="AA1606" s="97">
        <f t="shared" si="300"/>
        <v>9374.3179758163478</v>
      </c>
    </row>
    <row r="1607" spans="1:27" x14ac:dyDescent="0.25">
      <c r="A1607" s="102" t="s">
        <v>3572</v>
      </c>
      <c r="B1607" s="98" t="s">
        <v>3573</v>
      </c>
      <c r="C1607" s="99" t="s">
        <v>226</v>
      </c>
      <c r="D1607" s="100" t="s">
        <v>255</v>
      </c>
      <c r="E1607" s="101">
        <f t="shared" si="305"/>
        <v>4654</v>
      </c>
      <c r="F1607" s="90">
        <f t="shared" si="306"/>
        <v>3910.981933472553</v>
      </c>
      <c r="G1607" s="91">
        <v>0.19</v>
      </c>
      <c r="H1607" s="91" t="s">
        <v>228</v>
      </c>
      <c r="I1607" s="91"/>
      <c r="J1607" s="91" t="s">
        <v>228</v>
      </c>
      <c r="K1607" s="91"/>
      <c r="L1607" s="92" t="s">
        <v>2860</v>
      </c>
      <c r="M1607" s="91" t="str">
        <f t="shared" si="307"/>
        <v>VER ARCHIVO ANEXO</v>
      </c>
      <c r="N1607" s="93">
        <v>41608</v>
      </c>
      <c r="O1607" s="109"/>
      <c r="P1607" s="109"/>
      <c r="Q1607" s="94">
        <v>1458</v>
      </c>
      <c r="R1607" s="95">
        <f t="shared" ref="R1607:R1670" si="310">+AA1607</f>
        <v>3910.981933472553</v>
      </c>
      <c r="S1607" s="109">
        <v>2559.3654000000001</v>
      </c>
      <c r="T1607" s="94">
        <f t="shared" si="308"/>
        <v>2732.6344375800004</v>
      </c>
      <c r="U1607" s="94">
        <f t="shared" si="303"/>
        <v>2889.7609177408508</v>
      </c>
      <c r="V1607" s="94">
        <f t="shared" si="304"/>
        <v>3007.9521392764514</v>
      </c>
      <c r="W1607" s="97">
        <f t="shared" si="301"/>
        <v>3103.6050173054427</v>
      </c>
      <c r="X1607" s="97">
        <f t="shared" si="302"/>
        <v>3221.5420079630499</v>
      </c>
      <c r="Y1607" s="97">
        <f t="shared" si="309"/>
        <v>3273.4088342912551</v>
      </c>
      <c r="Z1607" s="97">
        <f t="shared" ref="Z1607:Z1670" si="311">+Y1607*(1+$Z$4)</f>
        <v>3457.3744107784237</v>
      </c>
      <c r="AA1607" s="97">
        <f t="shared" ref="AA1607:AA1670" si="312">+Z1607*(1+$AA$4)</f>
        <v>3910.981933472553</v>
      </c>
    </row>
    <row r="1608" spans="1:27" x14ac:dyDescent="0.25">
      <c r="A1608" s="102" t="s">
        <v>3574</v>
      </c>
      <c r="B1608" s="87" t="s">
        <v>3575</v>
      </c>
      <c r="C1608" s="88" t="s">
        <v>226</v>
      </c>
      <c r="D1608" s="89" t="s">
        <v>255</v>
      </c>
      <c r="E1608" s="90">
        <f t="shared" si="305"/>
        <v>24432</v>
      </c>
      <c r="F1608" s="90">
        <f t="shared" si="306"/>
        <v>20530.675107224684</v>
      </c>
      <c r="G1608" s="91">
        <v>0.19</v>
      </c>
      <c r="H1608" s="91" t="s">
        <v>228</v>
      </c>
      <c r="I1608" s="91"/>
      <c r="J1608" s="91" t="s">
        <v>228</v>
      </c>
      <c r="K1608" s="91"/>
      <c r="L1608" s="92" t="s">
        <v>2860</v>
      </c>
      <c r="M1608" s="91" t="str">
        <f t="shared" si="307"/>
        <v>VER ARCHIVO ANEXO</v>
      </c>
      <c r="N1608" s="93">
        <v>41608</v>
      </c>
      <c r="O1608" s="109"/>
      <c r="P1608" s="109"/>
      <c r="Q1608" s="94">
        <v>1459</v>
      </c>
      <c r="R1608" s="95">
        <f t="shared" si="310"/>
        <v>20530.675107224684</v>
      </c>
      <c r="S1608" s="109">
        <v>13435.372599999999</v>
      </c>
      <c r="T1608" s="94">
        <f t="shared" si="308"/>
        <v>14344.947325020001</v>
      </c>
      <c r="U1608" s="94">
        <f t="shared" si="303"/>
        <v>15169.781796208652</v>
      </c>
      <c r="V1608" s="94">
        <f t="shared" si="304"/>
        <v>15790.225871673585</v>
      </c>
      <c r="W1608" s="97">
        <f t="shared" ref="W1608:W1671" si="313">+V1608*(1+$W$4)</f>
        <v>16292.355054392805</v>
      </c>
      <c r="X1608" s="97">
        <f t="shared" ref="X1608:X1671" si="314">+W1608*(1+$X$4)</f>
        <v>16911.464546459731</v>
      </c>
      <c r="Y1608" s="97">
        <f t="shared" si="309"/>
        <v>17183.739125657732</v>
      </c>
      <c r="Z1608" s="97">
        <f t="shared" si="311"/>
        <v>18149.465264519698</v>
      </c>
      <c r="AA1608" s="97">
        <f t="shared" si="312"/>
        <v>20530.675107224684</v>
      </c>
    </row>
    <row r="1609" spans="1:27" x14ac:dyDescent="0.25">
      <c r="A1609" s="102" t="s">
        <v>3576</v>
      </c>
      <c r="B1609" s="87" t="s">
        <v>3577</v>
      </c>
      <c r="C1609" s="88" t="s">
        <v>226</v>
      </c>
      <c r="D1609" s="89" t="s">
        <v>255</v>
      </c>
      <c r="E1609" s="90">
        <f t="shared" si="305"/>
        <v>48478</v>
      </c>
      <c r="F1609" s="90">
        <f t="shared" si="306"/>
        <v>40738.207114235352</v>
      </c>
      <c r="G1609" s="91">
        <v>0.19</v>
      </c>
      <c r="H1609" s="91" t="s">
        <v>228</v>
      </c>
      <c r="I1609" s="91"/>
      <c r="J1609" s="91" t="s">
        <v>228</v>
      </c>
      <c r="K1609" s="91"/>
      <c r="L1609" s="92" t="s">
        <v>2860</v>
      </c>
      <c r="M1609" s="91" t="str">
        <f t="shared" si="307"/>
        <v>VER ARCHIVO ANEXO</v>
      </c>
      <c r="N1609" s="93">
        <v>41608</v>
      </c>
      <c r="O1609" s="109"/>
      <c r="P1609" s="109"/>
      <c r="Q1609" s="94">
        <v>1460</v>
      </c>
      <c r="R1609" s="95">
        <f t="shared" si="310"/>
        <v>40738.207114235352</v>
      </c>
      <c r="S1609" s="109">
        <v>26659.2788</v>
      </c>
      <c r="T1609" s="94">
        <f t="shared" si="308"/>
        <v>28464.111974760002</v>
      </c>
      <c r="U1609" s="94">
        <f t="shared" si="303"/>
        <v>30100.798413308705</v>
      </c>
      <c r="V1609" s="94">
        <f t="shared" si="304"/>
        <v>31331.92106841303</v>
      </c>
      <c r="W1609" s="97">
        <f t="shared" si="313"/>
        <v>32328.276158388566</v>
      </c>
      <c r="X1609" s="97">
        <f t="shared" si="314"/>
        <v>33556.750652407332</v>
      </c>
      <c r="Y1609" s="97">
        <f t="shared" si="309"/>
        <v>34097.014337911089</v>
      </c>
      <c r="Z1609" s="97">
        <f t="shared" si="311"/>
        <v>36013.266543701691</v>
      </c>
      <c r="AA1609" s="97">
        <f t="shared" si="312"/>
        <v>40738.207114235352</v>
      </c>
    </row>
    <row r="1610" spans="1:27" x14ac:dyDescent="0.25">
      <c r="A1610" s="102" t="s">
        <v>3578</v>
      </c>
      <c r="B1610" s="98" t="s">
        <v>3579</v>
      </c>
      <c r="C1610" s="99" t="s">
        <v>226</v>
      </c>
      <c r="D1610" s="100" t="s">
        <v>255</v>
      </c>
      <c r="E1610" s="101">
        <f t="shared" si="305"/>
        <v>7602</v>
      </c>
      <c r="F1610" s="90">
        <f t="shared" si="306"/>
        <v>6388.4123684466585</v>
      </c>
      <c r="G1610" s="91">
        <v>0.19</v>
      </c>
      <c r="H1610" s="91" t="s">
        <v>228</v>
      </c>
      <c r="I1610" s="91"/>
      <c r="J1610" s="91" t="s">
        <v>228</v>
      </c>
      <c r="K1610" s="91"/>
      <c r="L1610" s="92" t="s">
        <v>2860</v>
      </c>
      <c r="M1610" s="91" t="str">
        <f t="shared" si="307"/>
        <v>VER ARCHIVO ANEXO</v>
      </c>
      <c r="N1610" s="93">
        <v>41608</v>
      </c>
      <c r="O1610" s="109"/>
      <c r="P1610" s="109"/>
      <c r="Q1610" s="94">
        <v>1461</v>
      </c>
      <c r="R1610" s="95">
        <f t="shared" si="310"/>
        <v>6388.4123684466585</v>
      </c>
      <c r="S1610" s="109">
        <v>4180.6077999999998</v>
      </c>
      <c r="T1610" s="94">
        <f t="shared" si="308"/>
        <v>4463.6349480600002</v>
      </c>
      <c r="U1610" s="94">
        <f t="shared" si="303"/>
        <v>4720.2939575734508</v>
      </c>
      <c r="V1610" s="94">
        <f t="shared" si="304"/>
        <v>4913.3539804382044</v>
      </c>
      <c r="W1610" s="97">
        <f t="shared" si="313"/>
        <v>5069.5986370161399</v>
      </c>
      <c r="X1610" s="97">
        <f t="shared" si="314"/>
        <v>5262.2433852227532</v>
      </c>
      <c r="Y1610" s="97">
        <f t="shared" si="309"/>
        <v>5346.9655037248394</v>
      </c>
      <c r="Z1610" s="97">
        <f t="shared" si="311"/>
        <v>5647.4649650341753</v>
      </c>
      <c r="AA1610" s="97">
        <f t="shared" si="312"/>
        <v>6388.4123684466585</v>
      </c>
    </row>
    <row r="1611" spans="1:27" x14ac:dyDescent="0.25">
      <c r="A1611" s="102" t="s">
        <v>3580</v>
      </c>
      <c r="B1611" s="87" t="s">
        <v>3581</v>
      </c>
      <c r="C1611" s="88" t="s">
        <v>226</v>
      </c>
      <c r="D1611" s="89" t="s">
        <v>255</v>
      </c>
      <c r="E1611" s="90">
        <f t="shared" si="305"/>
        <v>39890</v>
      </c>
      <c r="F1611" s="90">
        <f t="shared" si="306"/>
        <v>33521.344542789047</v>
      </c>
      <c r="G1611" s="91">
        <v>0.19</v>
      </c>
      <c r="H1611" s="91" t="s">
        <v>228</v>
      </c>
      <c r="I1611" s="91"/>
      <c r="J1611" s="91" t="s">
        <v>228</v>
      </c>
      <c r="K1611" s="91"/>
      <c r="L1611" s="92" t="s">
        <v>2860</v>
      </c>
      <c r="M1611" s="91" t="str">
        <f t="shared" si="307"/>
        <v>VER ARCHIVO ANEXO</v>
      </c>
      <c r="N1611" s="93">
        <v>41608</v>
      </c>
      <c r="O1611" s="109"/>
      <c r="P1611" s="109"/>
      <c r="Q1611" s="94">
        <v>1462</v>
      </c>
      <c r="R1611" s="95">
        <f t="shared" si="310"/>
        <v>33521.344542789047</v>
      </c>
      <c r="S1611" s="109">
        <v>21936.529200000001</v>
      </c>
      <c r="T1611" s="94">
        <f t="shared" si="308"/>
        <v>23421.632226840004</v>
      </c>
      <c r="U1611" s="94">
        <f t="shared" ref="U1611:U1674" si="315">+T1611*(1+$U$4)</f>
        <v>24768.376079883306</v>
      </c>
      <c r="V1611" s="94">
        <f t="shared" ref="V1611:V1674" si="316">+U1611*(1+$V$4)</f>
        <v>25781.402661550532</v>
      </c>
      <c r="W1611" s="97">
        <f t="shared" si="313"/>
        <v>26601.251266187839</v>
      </c>
      <c r="X1611" s="97">
        <f t="shared" si="314"/>
        <v>27612.098814302979</v>
      </c>
      <c r="Y1611" s="97">
        <f t="shared" si="309"/>
        <v>28056.653605213258</v>
      </c>
      <c r="Z1611" s="97">
        <f t="shared" si="311"/>
        <v>29633.437537826245</v>
      </c>
      <c r="AA1611" s="97">
        <f t="shared" si="312"/>
        <v>33521.344542789047</v>
      </c>
    </row>
    <row r="1612" spans="1:27" x14ac:dyDescent="0.25">
      <c r="A1612" s="102" t="s">
        <v>3582</v>
      </c>
      <c r="B1612" s="98" t="s">
        <v>3583</v>
      </c>
      <c r="C1612" s="99" t="s">
        <v>226</v>
      </c>
      <c r="D1612" s="100" t="s">
        <v>255</v>
      </c>
      <c r="E1612" s="101">
        <f t="shared" si="305"/>
        <v>24462</v>
      </c>
      <c r="F1612" s="90">
        <f t="shared" si="306"/>
        <v>20556.019664104213</v>
      </c>
      <c r="G1612" s="91">
        <v>0.19</v>
      </c>
      <c r="H1612" s="91" t="s">
        <v>228</v>
      </c>
      <c r="I1612" s="91"/>
      <c r="J1612" s="91" t="s">
        <v>228</v>
      </c>
      <c r="K1612" s="91"/>
      <c r="L1612" s="92" t="s">
        <v>2860</v>
      </c>
      <c r="M1612" s="91" t="str">
        <f t="shared" si="307"/>
        <v>VER ARCHIVO ANEXO</v>
      </c>
      <c r="N1612" s="93">
        <v>41608</v>
      </c>
      <c r="O1612" s="109"/>
      <c r="P1612" s="109"/>
      <c r="Q1612" s="94">
        <v>1463</v>
      </c>
      <c r="R1612" s="95">
        <f t="shared" si="310"/>
        <v>20556.019664104213</v>
      </c>
      <c r="S1612" s="109">
        <v>13451.958199999999</v>
      </c>
      <c r="T1612" s="94">
        <f t="shared" si="308"/>
        <v>14362.65577014</v>
      </c>
      <c r="U1612" s="94">
        <f t="shared" si="315"/>
        <v>15188.508476923051</v>
      </c>
      <c r="V1612" s="94">
        <f t="shared" si="316"/>
        <v>15809.718473629202</v>
      </c>
      <c r="W1612" s="97">
        <f t="shared" si="313"/>
        <v>16312.467521090612</v>
      </c>
      <c r="X1612" s="97">
        <f t="shared" si="314"/>
        <v>16932.341286892057</v>
      </c>
      <c r="Y1612" s="97">
        <f t="shared" si="309"/>
        <v>17204.951981611019</v>
      </c>
      <c r="Z1612" s="97">
        <f t="shared" si="311"/>
        <v>18171.870282977558</v>
      </c>
      <c r="AA1612" s="97">
        <f t="shared" si="312"/>
        <v>20556.019664104213</v>
      </c>
    </row>
    <row r="1613" spans="1:27" x14ac:dyDescent="0.25">
      <c r="A1613" s="102" t="s">
        <v>3584</v>
      </c>
      <c r="B1613" s="87" t="s">
        <v>3585</v>
      </c>
      <c r="C1613" s="88" t="s">
        <v>226</v>
      </c>
      <c r="D1613" s="89" t="s">
        <v>255</v>
      </c>
      <c r="E1613" s="90">
        <f t="shared" ref="E1613:E1676" si="317">+ROUND(F1613*(1+G1613),0)</f>
        <v>13787</v>
      </c>
      <c r="F1613" s="90">
        <f t="shared" si="306"/>
        <v>11585.630563555385</v>
      </c>
      <c r="G1613" s="91">
        <v>0.19</v>
      </c>
      <c r="H1613" s="91" t="s">
        <v>228</v>
      </c>
      <c r="I1613" s="91"/>
      <c r="J1613" s="91" t="s">
        <v>228</v>
      </c>
      <c r="K1613" s="91"/>
      <c r="L1613" s="92" t="s">
        <v>2860</v>
      </c>
      <c r="M1613" s="91" t="str">
        <f t="shared" si="307"/>
        <v>VER ARCHIVO ANEXO</v>
      </c>
      <c r="N1613" s="93">
        <v>41608</v>
      </c>
      <c r="O1613" s="109"/>
      <c r="P1613" s="109"/>
      <c r="Q1613" s="94">
        <v>1464</v>
      </c>
      <c r="R1613" s="95">
        <f t="shared" si="310"/>
        <v>11585.630563555385</v>
      </c>
      <c r="S1613" s="109">
        <v>7581.6923999999999</v>
      </c>
      <c r="T1613" s="94">
        <f t="shared" si="308"/>
        <v>8094.972975480001</v>
      </c>
      <c r="U1613" s="94">
        <f t="shared" si="315"/>
        <v>8560.433921570102</v>
      </c>
      <c r="V1613" s="94">
        <f t="shared" si="316"/>
        <v>8910.555668962319</v>
      </c>
      <c r="W1613" s="97">
        <f t="shared" si="313"/>
        <v>9193.9113392353211</v>
      </c>
      <c r="X1613" s="97">
        <f t="shared" si="314"/>
        <v>9543.2799701262629</v>
      </c>
      <c r="Y1613" s="97">
        <f t="shared" si="309"/>
        <v>9696.9267776452962</v>
      </c>
      <c r="Z1613" s="97">
        <f t="shared" si="311"/>
        <v>10241.894062548961</v>
      </c>
      <c r="AA1613" s="97">
        <f t="shared" si="312"/>
        <v>11585.630563555385</v>
      </c>
    </row>
    <row r="1614" spans="1:27" x14ac:dyDescent="0.25">
      <c r="A1614" s="102" t="s">
        <v>3586</v>
      </c>
      <c r="B1614" s="87" t="s">
        <v>3587</v>
      </c>
      <c r="C1614" s="88" t="s">
        <v>226</v>
      </c>
      <c r="D1614" s="89" t="s">
        <v>255</v>
      </c>
      <c r="E1614" s="90">
        <f t="shared" si="317"/>
        <v>49445</v>
      </c>
      <c r="F1614" s="90">
        <f t="shared" si="306"/>
        <v>41550.816969185304</v>
      </c>
      <c r="G1614" s="91">
        <v>0.19</v>
      </c>
      <c r="H1614" s="91" t="s">
        <v>228</v>
      </c>
      <c r="I1614" s="91"/>
      <c r="J1614" s="91" t="s">
        <v>228</v>
      </c>
      <c r="K1614" s="91"/>
      <c r="L1614" s="92" t="s">
        <v>2860</v>
      </c>
      <c r="M1614" s="91" t="str">
        <f t="shared" si="307"/>
        <v>VER ARCHIVO ANEXO</v>
      </c>
      <c r="N1614" s="93">
        <v>41608</v>
      </c>
      <c r="O1614" s="109"/>
      <c r="P1614" s="109"/>
      <c r="Q1614" s="94">
        <v>1465</v>
      </c>
      <c r="R1614" s="95">
        <f t="shared" si="310"/>
        <v>41550.816969185304</v>
      </c>
      <c r="S1614" s="109">
        <v>27191.054599999999</v>
      </c>
      <c r="T1614" s="94">
        <f t="shared" si="308"/>
        <v>29031.888996420003</v>
      </c>
      <c r="U1614" s="94">
        <f t="shared" si="315"/>
        <v>30701.222613714155</v>
      </c>
      <c r="V1614" s="94">
        <f t="shared" si="316"/>
        <v>31956.902618615062</v>
      </c>
      <c r="W1614" s="97">
        <f t="shared" si="313"/>
        <v>32973.132121887022</v>
      </c>
      <c r="X1614" s="97">
        <f t="shared" si="314"/>
        <v>34226.111142518726</v>
      </c>
      <c r="Y1614" s="97">
        <f t="shared" si="309"/>
        <v>34777.151531913281</v>
      </c>
      <c r="Z1614" s="97">
        <f t="shared" si="311"/>
        <v>36731.62744800681</v>
      </c>
      <c r="AA1614" s="97">
        <f t="shared" si="312"/>
        <v>41550.816969185304</v>
      </c>
    </row>
    <row r="1615" spans="1:27" x14ac:dyDescent="0.25">
      <c r="A1615" s="102" t="s">
        <v>3588</v>
      </c>
      <c r="B1615" s="87" t="s">
        <v>3589</v>
      </c>
      <c r="C1615" s="88" t="s">
        <v>226</v>
      </c>
      <c r="D1615" s="89" t="s">
        <v>255</v>
      </c>
      <c r="E1615" s="90">
        <f t="shared" si="317"/>
        <v>116367</v>
      </c>
      <c r="F1615" s="90">
        <f t="shared" si="306"/>
        <v>97787.22061525358</v>
      </c>
      <c r="G1615" s="91">
        <v>0.19</v>
      </c>
      <c r="H1615" s="91" t="s">
        <v>228</v>
      </c>
      <c r="I1615" s="91"/>
      <c r="J1615" s="91" t="s">
        <v>228</v>
      </c>
      <c r="K1615" s="91"/>
      <c r="L1615" s="92" t="s">
        <v>2860</v>
      </c>
      <c r="M1615" s="91" t="str">
        <f t="shared" si="307"/>
        <v>VER ARCHIVO ANEXO</v>
      </c>
      <c r="N1615" s="93">
        <v>41608</v>
      </c>
      <c r="O1615" s="109"/>
      <c r="P1615" s="109"/>
      <c r="Q1615" s="94">
        <v>1466</v>
      </c>
      <c r="R1615" s="95">
        <f t="shared" si="310"/>
        <v>97787.22061525358</v>
      </c>
      <c r="S1615" s="109">
        <v>63992.427799999998</v>
      </c>
      <c r="T1615" s="94">
        <f t="shared" si="308"/>
        <v>68324.715162060005</v>
      </c>
      <c r="U1615" s="94">
        <f t="shared" si="315"/>
        <v>72253.38628387847</v>
      </c>
      <c r="V1615" s="94">
        <f t="shared" si="316"/>
        <v>75208.549782889095</v>
      </c>
      <c r="W1615" s="97">
        <f t="shared" si="313"/>
        <v>77600.181665984972</v>
      </c>
      <c r="X1615" s="97">
        <f t="shared" si="314"/>
        <v>80548.9885692924</v>
      </c>
      <c r="Y1615" s="97">
        <f t="shared" si="309"/>
        <v>81845.827285258012</v>
      </c>
      <c r="Z1615" s="97">
        <f t="shared" si="311"/>
        <v>86445.56277868952</v>
      </c>
      <c r="AA1615" s="97">
        <f t="shared" si="312"/>
        <v>97787.22061525358</v>
      </c>
    </row>
    <row r="1616" spans="1:27" x14ac:dyDescent="0.25">
      <c r="A1616" s="102" t="s">
        <v>3590</v>
      </c>
      <c r="B1616" s="98" t="s">
        <v>3591</v>
      </c>
      <c r="C1616" s="99" t="s">
        <v>226</v>
      </c>
      <c r="D1616" s="100" t="s">
        <v>255</v>
      </c>
      <c r="E1616" s="101">
        <f t="shared" si="317"/>
        <v>16965</v>
      </c>
      <c r="F1616" s="90">
        <f t="shared" si="306"/>
        <v>14256.313244735913</v>
      </c>
      <c r="G1616" s="91">
        <v>0.19</v>
      </c>
      <c r="H1616" s="91" t="s">
        <v>228</v>
      </c>
      <c r="I1616" s="91"/>
      <c r="J1616" s="91" t="s">
        <v>228</v>
      </c>
      <c r="K1616" s="91"/>
      <c r="L1616" s="92" t="s">
        <v>2860</v>
      </c>
      <c r="M1616" s="91" t="str">
        <f t="shared" si="307"/>
        <v>VER ARCHIVO ANEXO</v>
      </c>
      <c r="N1616" s="93">
        <v>41608</v>
      </c>
      <c r="O1616" s="109"/>
      <c r="P1616" s="109"/>
      <c r="Q1616" s="94">
        <v>1467</v>
      </c>
      <c r="R1616" s="95">
        <f t="shared" si="310"/>
        <v>14256.313244735913</v>
      </c>
      <c r="S1616" s="109">
        <v>9329.4</v>
      </c>
      <c r="T1616" s="94">
        <f t="shared" si="308"/>
        <v>9961.0003800000013</v>
      </c>
      <c r="U1616" s="94">
        <f t="shared" si="315"/>
        <v>10533.757901850002</v>
      </c>
      <c r="V1616" s="94">
        <f t="shared" si="316"/>
        <v>10964.588600035666</v>
      </c>
      <c r="W1616" s="97">
        <f t="shared" si="313"/>
        <v>11313.262517516801</v>
      </c>
      <c r="X1616" s="97">
        <f t="shared" si="314"/>
        <v>11743.16649318244</v>
      </c>
      <c r="Y1616" s="97">
        <f t="shared" si="309"/>
        <v>11932.231473722677</v>
      </c>
      <c r="Z1616" s="97">
        <f t="shared" si="311"/>
        <v>12602.822882545892</v>
      </c>
      <c r="AA1616" s="97">
        <f t="shared" si="312"/>
        <v>14256.313244735913</v>
      </c>
    </row>
    <row r="1617" spans="1:27" x14ac:dyDescent="0.25">
      <c r="A1617" s="102" t="s">
        <v>3592</v>
      </c>
      <c r="B1617" s="87" t="s">
        <v>3593</v>
      </c>
      <c r="C1617" s="88" t="s">
        <v>226</v>
      </c>
      <c r="D1617" s="89" t="s">
        <v>255</v>
      </c>
      <c r="E1617" s="90">
        <f t="shared" si="317"/>
        <v>152838</v>
      </c>
      <c r="F1617" s="90">
        <f t="shared" si="306"/>
        <v>128435.12602182585</v>
      </c>
      <c r="G1617" s="91">
        <v>0.19</v>
      </c>
      <c r="H1617" s="91" t="s">
        <v>228</v>
      </c>
      <c r="I1617" s="91"/>
      <c r="J1617" s="91" t="s">
        <v>228</v>
      </c>
      <c r="K1617" s="91"/>
      <c r="L1617" s="92" t="s">
        <v>2860</v>
      </c>
      <c r="M1617" s="91" t="str">
        <f t="shared" si="307"/>
        <v>VER ARCHIVO ANEXO</v>
      </c>
      <c r="N1617" s="93">
        <v>41608</v>
      </c>
      <c r="O1617" s="109"/>
      <c r="P1617" s="109"/>
      <c r="Q1617" s="94">
        <v>1468</v>
      </c>
      <c r="R1617" s="95">
        <f t="shared" si="310"/>
        <v>128435.12602182585</v>
      </c>
      <c r="S1617" s="109">
        <v>84048.564599999998</v>
      </c>
      <c r="T1617" s="94">
        <f t="shared" si="308"/>
        <v>89738.652423420004</v>
      </c>
      <c r="U1617" s="94">
        <f t="shared" si="315"/>
        <v>94898.624937766668</v>
      </c>
      <c r="V1617" s="94">
        <f t="shared" si="316"/>
        <v>98779.978697721323</v>
      </c>
      <c r="W1617" s="97">
        <f t="shared" si="313"/>
        <v>101921.18202030887</v>
      </c>
      <c r="X1617" s="97">
        <f t="shared" si="314"/>
        <v>105794.18693708061</v>
      </c>
      <c r="Y1617" s="97">
        <f t="shared" si="309"/>
        <v>107497.47334676761</v>
      </c>
      <c r="Z1617" s="97">
        <f t="shared" si="311"/>
        <v>113538.83134885595</v>
      </c>
      <c r="AA1617" s="97">
        <f t="shared" si="312"/>
        <v>128435.12602182585</v>
      </c>
    </row>
    <row r="1618" spans="1:27" x14ac:dyDescent="0.25">
      <c r="A1618" s="102" t="s">
        <v>3594</v>
      </c>
      <c r="B1618" s="87" t="s">
        <v>3595</v>
      </c>
      <c r="C1618" s="88" t="s">
        <v>226</v>
      </c>
      <c r="D1618" s="89" t="s">
        <v>255</v>
      </c>
      <c r="E1618" s="90">
        <f t="shared" si="317"/>
        <v>3987</v>
      </c>
      <c r="F1618" s="90">
        <f t="shared" si="306"/>
        <v>3350.23361251294</v>
      </c>
      <c r="G1618" s="91">
        <v>0.19</v>
      </c>
      <c r="H1618" s="91" t="s">
        <v>228</v>
      </c>
      <c r="I1618" s="91"/>
      <c r="J1618" s="91" t="s">
        <v>228</v>
      </c>
      <c r="K1618" s="91"/>
      <c r="L1618" s="92" t="s">
        <v>2860</v>
      </c>
      <c r="M1618" s="91" t="str">
        <f t="shared" si="307"/>
        <v>VER ARCHIVO ANEXO</v>
      </c>
      <c r="N1618" s="93">
        <v>41608</v>
      </c>
      <c r="O1618" s="109"/>
      <c r="P1618" s="109"/>
      <c r="Q1618" s="94">
        <v>1469</v>
      </c>
      <c r="R1618" s="95">
        <f t="shared" si="310"/>
        <v>3350.23361251294</v>
      </c>
      <c r="S1618" s="109">
        <v>2192.4090000000001</v>
      </c>
      <c r="T1618" s="94">
        <f t="shared" si="308"/>
        <v>2340.8350893000002</v>
      </c>
      <c r="U1618" s="94">
        <f t="shared" si="315"/>
        <v>2475.4331069347504</v>
      </c>
      <c r="V1618" s="94">
        <f t="shared" si="316"/>
        <v>2576.6783210083818</v>
      </c>
      <c r="W1618" s="97">
        <f t="shared" si="313"/>
        <v>2658.6166916164484</v>
      </c>
      <c r="X1618" s="97">
        <f t="shared" si="314"/>
        <v>2759.6441258978734</v>
      </c>
      <c r="Y1618" s="97">
        <f t="shared" si="309"/>
        <v>2804.0743963248292</v>
      </c>
      <c r="Z1618" s="97">
        <f t="shared" si="311"/>
        <v>2961.6633773982849</v>
      </c>
      <c r="AA1618" s="97">
        <f t="shared" si="312"/>
        <v>3350.23361251294</v>
      </c>
    </row>
    <row r="1619" spans="1:27" x14ac:dyDescent="0.25">
      <c r="A1619" s="102" t="s">
        <v>3596</v>
      </c>
      <c r="B1619" s="87" t="s">
        <v>3597</v>
      </c>
      <c r="C1619" s="88" t="s">
        <v>226</v>
      </c>
      <c r="D1619" s="89" t="s">
        <v>255</v>
      </c>
      <c r="E1619" s="90">
        <f t="shared" si="317"/>
        <v>2023</v>
      </c>
      <c r="F1619" s="90">
        <f t="shared" si="306"/>
        <v>1699.6693457335152</v>
      </c>
      <c r="G1619" s="91">
        <v>0.19</v>
      </c>
      <c r="H1619" s="91" t="s">
        <v>228</v>
      </c>
      <c r="I1619" s="91"/>
      <c r="J1619" s="91" t="s">
        <v>228</v>
      </c>
      <c r="K1619" s="91"/>
      <c r="L1619" s="92" t="s">
        <v>2860</v>
      </c>
      <c r="M1619" s="91" t="str">
        <f t="shared" si="307"/>
        <v>VER ARCHIVO ANEXO</v>
      </c>
      <c r="N1619" s="93">
        <v>41608</v>
      </c>
      <c r="O1619" s="109"/>
      <c r="P1619" s="109"/>
      <c r="Q1619" s="94">
        <v>1470</v>
      </c>
      <c r="R1619" s="95">
        <f t="shared" si="310"/>
        <v>1699.6693457335152</v>
      </c>
      <c r="S1619" s="109">
        <v>1112.2718</v>
      </c>
      <c r="T1619" s="94">
        <f t="shared" si="308"/>
        <v>1187.5726008600002</v>
      </c>
      <c r="U1619" s="94">
        <f t="shared" si="315"/>
        <v>1255.8580254094504</v>
      </c>
      <c r="V1619" s="94">
        <f t="shared" si="316"/>
        <v>1307.2226186486969</v>
      </c>
      <c r="W1619" s="97">
        <f t="shared" si="313"/>
        <v>1348.7922979217255</v>
      </c>
      <c r="X1619" s="97">
        <f t="shared" si="314"/>
        <v>1400.0464052427512</v>
      </c>
      <c r="Y1619" s="97">
        <f t="shared" si="309"/>
        <v>1422.5871523671594</v>
      </c>
      <c r="Z1619" s="97">
        <f t="shared" si="311"/>
        <v>1502.5365503301939</v>
      </c>
      <c r="AA1619" s="97">
        <f t="shared" si="312"/>
        <v>1699.6693457335152</v>
      </c>
    </row>
    <row r="1620" spans="1:27" x14ac:dyDescent="0.25">
      <c r="A1620" s="102" t="s">
        <v>3598</v>
      </c>
      <c r="B1620" s="87" t="s">
        <v>3599</v>
      </c>
      <c r="C1620" s="88" t="s">
        <v>226</v>
      </c>
      <c r="D1620" s="89" t="s">
        <v>255</v>
      </c>
      <c r="E1620" s="90">
        <f t="shared" si="317"/>
        <v>1112</v>
      </c>
      <c r="F1620" s="90">
        <f t="shared" si="306"/>
        <v>934.58053493268756</v>
      </c>
      <c r="G1620" s="91">
        <v>0.19</v>
      </c>
      <c r="H1620" s="91" t="s">
        <v>228</v>
      </c>
      <c r="I1620" s="91"/>
      <c r="J1620" s="91" t="s">
        <v>228</v>
      </c>
      <c r="K1620" s="91"/>
      <c r="L1620" s="92" t="s">
        <v>2860</v>
      </c>
      <c r="M1620" s="91" t="str">
        <f t="shared" si="307"/>
        <v>VER ARCHIVO ANEXO</v>
      </c>
      <c r="N1620" s="93">
        <v>41608</v>
      </c>
      <c r="O1620" s="109"/>
      <c r="P1620" s="109"/>
      <c r="Q1620" s="94">
        <v>1471</v>
      </c>
      <c r="R1620" s="95">
        <f t="shared" si="310"/>
        <v>934.58053493268756</v>
      </c>
      <c r="S1620" s="109">
        <v>611.59399999999994</v>
      </c>
      <c r="T1620" s="94">
        <f t="shared" si="308"/>
        <v>652.99891379999997</v>
      </c>
      <c r="U1620" s="94">
        <f t="shared" si="315"/>
        <v>690.54635134350008</v>
      </c>
      <c r="V1620" s="94">
        <f t="shared" si="316"/>
        <v>718.78969711344917</v>
      </c>
      <c r="W1620" s="97">
        <f t="shared" si="313"/>
        <v>741.64720948165689</v>
      </c>
      <c r="X1620" s="97">
        <f t="shared" si="314"/>
        <v>769.82980344195983</v>
      </c>
      <c r="Y1620" s="97">
        <f t="shared" si="309"/>
        <v>782.22406327737542</v>
      </c>
      <c r="Z1620" s="97">
        <f t="shared" si="311"/>
        <v>826.18505563356393</v>
      </c>
      <c r="AA1620" s="97">
        <f t="shared" si="312"/>
        <v>934.58053493268756</v>
      </c>
    </row>
    <row r="1621" spans="1:27" x14ac:dyDescent="0.25">
      <c r="A1621" s="102" t="s">
        <v>3600</v>
      </c>
      <c r="B1621" s="87" t="s">
        <v>3601</v>
      </c>
      <c r="C1621" s="88" t="s">
        <v>226</v>
      </c>
      <c r="D1621" s="89" t="s">
        <v>255</v>
      </c>
      <c r="E1621" s="90">
        <f t="shared" si="317"/>
        <v>6311</v>
      </c>
      <c r="F1621" s="90">
        <f t="shared" si="306"/>
        <v>5303.3485270417596</v>
      </c>
      <c r="G1621" s="91">
        <v>0.19</v>
      </c>
      <c r="H1621" s="91" t="s">
        <v>228</v>
      </c>
      <c r="I1621" s="91"/>
      <c r="J1621" s="91" t="s">
        <v>228</v>
      </c>
      <c r="K1621" s="91"/>
      <c r="L1621" s="92" t="s">
        <v>2860</v>
      </c>
      <c r="M1621" s="91" t="str">
        <f t="shared" si="307"/>
        <v>VER ARCHIVO ANEXO</v>
      </c>
      <c r="N1621" s="93">
        <v>41608</v>
      </c>
      <c r="O1621" s="109"/>
      <c r="P1621" s="109"/>
      <c r="Q1621" s="94">
        <v>1472</v>
      </c>
      <c r="R1621" s="95">
        <f t="shared" si="310"/>
        <v>5303.3485270417596</v>
      </c>
      <c r="S1621" s="109">
        <v>3470.5367999999999</v>
      </c>
      <c r="T1621" s="94">
        <f t="shared" si="308"/>
        <v>3705.49214136</v>
      </c>
      <c r="U1621" s="94">
        <f t="shared" si="315"/>
        <v>3918.5579394882002</v>
      </c>
      <c r="V1621" s="94">
        <f t="shared" si="316"/>
        <v>4078.8269592132674</v>
      </c>
      <c r="W1621" s="97">
        <f t="shared" si="313"/>
        <v>4208.5336565162497</v>
      </c>
      <c r="X1621" s="97">
        <f t="shared" si="314"/>
        <v>4368.4579354638672</v>
      </c>
      <c r="Y1621" s="97">
        <f t="shared" si="309"/>
        <v>4438.7901082248354</v>
      </c>
      <c r="Z1621" s="97">
        <f t="shared" si="311"/>
        <v>4688.2501123070715</v>
      </c>
      <c r="AA1621" s="97">
        <f t="shared" si="312"/>
        <v>5303.3485270417596</v>
      </c>
    </row>
    <row r="1622" spans="1:27" x14ac:dyDescent="0.25">
      <c r="A1622" s="102" t="s">
        <v>3602</v>
      </c>
      <c r="B1622" s="98" t="s">
        <v>3603</v>
      </c>
      <c r="C1622" s="99" t="s">
        <v>226</v>
      </c>
      <c r="D1622" s="100" t="s">
        <v>255</v>
      </c>
      <c r="E1622" s="101">
        <f t="shared" si="317"/>
        <v>1459</v>
      </c>
      <c r="F1622" s="90">
        <f t="shared" si="306"/>
        <v>1226.0429390472884</v>
      </c>
      <c r="G1622" s="91">
        <v>0.19</v>
      </c>
      <c r="H1622" s="91" t="s">
        <v>228</v>
      </c>
      <c r="I1622" s="91"/>
      <c r="J1622" s="91" t="s">
        <v>228</v>
      </c>
      <c r="K1622" s="91"/>
      <c r="L1622" s="92" t="s">
        <v>2860</v>
      </c>
      <c r="M1622" s="91" t="str">
        <f t="shared" si="307"/>
        <v>VER ARCHIVO ANEXO</v>
      </c>
      <c r="N1622" s="93">
        <v>41608</v>
      </c>
      <c r="O1622" s="109"/>
      <c r="P1622" s="109"/>
      <c r="Q1622" s="94">
        <v>1473</v>
      </c>
      <c r="R1622" s="95">
        <f t="shared" si="310"/>
        <v>1226.0429390472884</v>
      </c>
      <c r="S1622" s="109">
        <v>802.32839999999999</v>
      </c>
      <c r="T1622" s="94">
        <f t="shared" si="308"/>
        <v>856.64603268000008</v>
      </c>
      <c r="U1622" s="94">
        <f t="shared" si="315"/>
        <v>905.90317955910018</v>
      </c>
      <c r="V1622" s="94">
        <f t="shared" si="316"/>
        <v>942.95461960306727</v>
      </c>
      <c r="W1622" s="97">
        <f t="shared" si="313"/>
        <v>972.94057650644481</v>
      </c>
      <c r="X1622" s="97">
        <f t="shared" si="314"/>
        <v>1009.9123184136897</v>
      </c>
      <c r="Y1622" s="97">
        <f t="shared" si="309"/>
        <v>1026.1719067401502</v>
      </c>
      <c r="Z1622" s="97">
        <f t="shared" si="311"/>
        <v>1083.8427678989467</v>
      </c>
      <c r="AA1622" s="97">
        <f t="shared" si="312"/>
        <v>1226.0429390472884</v>
      </c>
    </row>
    <row r="1623" spans="1:27" x14ac:dyDescent="0.25">
      <c r="A1623" s="102" t="s">
        <v>3604</v>
      </c>
      <c r="B1623" s="87" t="s">
        <v>3605</v>
      </c>
      <c r="C1623" s="88" t="s">
        <v>226</v>
      </c>
      <c r="D1623" s="89" t="s">
        <v>255</v>
      </c>
      <c r="E1623" s="90">
        <f t="shared" si="317"/>
        <v>6066</v>
      </c>
      <c r="F1623" s="90">
        <f t="shared" si="306"/>
        <v>5097.4240023955754</v>
      </c>
      <c r="G1623" s="91">
        <v>0.19</v>
      </c>
      <c r="H1623" s="91" t="s">
        <v>228</v>
      </c>
      <c r="I1623" s="91"/>
      <c r="J1623" s="91" t="s">
        <v>228</v>
      </c>
      <c r="K1623" s="91"/>
      <c r="L1623" s="92" t="s">
        <v>2860</v>
      </c>
      <c r="M1623" s="91" t="str">
        <f t="shared" si="307"/>
        <v>VER ARCHIVO ANEXO</v>
      </c>
      <c r="N1623" s="93">
        <v>41608</v>
      </c>
      <c r="O1623" s="109"/>
      <c r="P1623" s="109"/>
      <c r="Q1623" s="94">
        <v>1474</v>
      </c>
      <c r="R1623" s="95">
        <f t="shared" si="310"/>
        <v>5097.4240023955754</v>
      </c>
      <c r="S1623" s="109">
        <v>3335.7788</v>
      </c>
      <c r="T1623" s="94">
        <f t="shared" si="308"/>
        <v>3561.6110247600004</v>
      </c>
      <c r="U1623" s="94">
        <f t="shared" si="315"/>
        <v>3766.403658683701</v>
      </c>
      <c r="V1623" s="94">
        <f t="shared" si="316"/>
        <v>3920.4495683238642</v>
      </c>
      <c r="W1623" s="97">
        <f t="shared" si="313"/>
        <v>4045.1198645965633</v>
      </c>
      <c r="X1623" s="97">
        <f t="shared" si="314"/>
        <v>4198.8344194512329</v>
      </c>
      <c r="Y1623" s="97">
        <f t="shared" si="309"/>
        <v>4266.4356536043979</v>
      </c>
      <c r="Z1623" s="97">
        <f t="shared" si="311"/>
        <v>4506.2093373369653</v>
      </c>
      <c r="AA1623" s="97">
        <f t="shared" si="312"/>
        <v>5097.4240023955754</v>
      </c>
    </row>
    <row r="1624" spans="1:27" x14ac:dyDescent="0.25">
      <c r="A1624" s="102" t="s">
        <v>3606</v>
      </c>
      <c r="B1624" s="87" t="s">
        <v>3607</v>
      </c>
      <c r="C1624" s="88" t="s">
        <v>226</v>
      </c>
      <c r="D1624" s="89" t="s">
        <v>255</v>
      </c>
      <c r="E1624" s="90">
        <f t="shared" si="317"/>
        <v>8415</v>
      </c>
      <c r="F1624" s="90">
        <f t="shared" ref="F1624:F1687" si="318">R1624</f>
        <v>7071.1313693890124</v>
      </c>
      <c r="G1624" s="91">
        <v>0.19</v>
      </c>
      <c r="H1624" s="91" t="s">
        <v>228</v>
      </c>
      <c r="I1624" s="91"/>
      <c r="J1624" s="91" t="s">
        <v>228</v>
      </c>
      <c r="K1624" s="91"/>
      <c r="L1624" s="92" t="s">
        <v>2860</v>
      </c>
      <c r="M1624" s="91" t="str">
        <f t="shared" si="307"/>
        <v>VER ARCHIVO ANEXO</v>
      </c>
      <c r="N1624" s="93">
        <v>41608</v>
      </c>
      <c r="O1624" s="109"/>
      <c r="P1624" s="109"/>
      <c r="Q1624" s="94">
        <v>1475</v>
      </c>
      <c r="R1624" s="95">
        <f t="shared" si="310"/>
        <v>7071.1313693890124</v>
      </c>
      <c r="S1624" s="109">
        <v>4627.3823999999995</v>
      </c>
      <c r="T1624" s="94">
        <f t="shared" si="308"/>
        <v>4940.6561884800003</v>
      </c>
      <c r="U1624" s="94">
        <f t="shared" si="315"/>
        <v>5224.7439193176006</v>
      </c>
      <c r="V1624" s="94">
        <f t="shared" si="316"/>
        <v>5438.4359456176899</v>
      </c>
      <c r="W1624" s="97">
        <f t="shared" si="313"/>
        <v>5611.378208688333</v>
      </c>
      <c r="X1624" s="97">
        <f t="shared" si="314"/>
        <v>5824.6105806184896</v>
      </c>
      <c r="Y1624" s="97">
        <f t="shared" si="309"/>
        <v>5918.3868109664472</v>
      </c>
      <c r="Z1624" s="97">
        <f t="shared" si="311"/>
        <v>6251.000149742762</v>
      </c>
      <c r="AA1624" s="97">
        <f t="shared" si="312"/>
        <v>7071.1313693890124</v>
      </c>
    </row>
    <row r="1625" spans="1:27" x14ac:dyDescent="0.25">
      <c r="A1625" s="102" t="s">
        <v>3608</v>
      </c>
      <c r="B1625" s="87" t="s">
        <v>3609</v>
      </c>
      <c r="C1625" s="88" t="s">
        <v>226</v>
      </c>
      <c r="D1625" s="89" t="s">
        <v>255</v>
      </c>
      <c r="E1625" s="90">
        <f t="shared" si="317"/>
        <v>5056</v>
      </c>
      <c r="F1625" s="90">
        <f t="shared" si="318"/>
        <v>4248.3813469313018</v>
      </c>
      <c r="G1625" s="91">
        <v>0.19</v>
      </c>
      <c r="H1625" s="91" t="s">
        <v>228</v>
      </c>
      <c r="I1625" s="91"/>
      <c r="J1625" s="91" t="s">
        <v>228</v>
      </c>
      <c r="K1625" s="91"/>
      <c r="L1625" s="92" t="s">
        <v>2860</v>
      </c>
      <c r="M1625" s="91" t="str">
        <f t="shared" si="307"/>
        <v>VER ARCHIVO ANEXO</v>
      </c>
      <c r="N1625" s="93">
        <v>41608</v>
      </c>
      <c r="O1625" s="109"/>
      <c r="P1625" s="109"/>
      <c r="Q1625" s="94">
        <v>1476</v>
      </c>
      <c r="R1625" s="95">
        <f t="shared" si="310"/>
        <v>4248.3813469313018</v>
      </c>
      <c r="S1625" s="109">
        <v>2780.1612</v>
      </c>
      <c r="T1625" s="94">
        <f t="shared" si="308"/>
        <v>2968.3781132400004</v>
      </c>
      <c r="U1625" s="94">
        <f t="shared" si="315"/>
        <v>3139.0598547513009</v>
      </c>
      <c r="V1625" s="94">
        <f t="shared" si="316"/>
        <v>3267.4474028106288</v>
      </c>
      <c r="W1625" s="97">
        <f t="shared" si="313"/>
        <v>3371.3522302200067</v>
      </c>
      <c r="X1625" s="97">
        <f t="shared" si="314"/>
        <v>3499.463614968367</v>
      </c>
      <c r="Y1625" s="97">
        <f t="shared" si="309"/>
        <v>3555.8049791693579</v>
      </c>
      <c r="Z1625" s="97">
        <f t="shared" si="311"/>
        <v>3755.6412189986759</v>
      </c>
      <c r="AA1625" s="97">
        <f t="shared" si="312"/>
        <v>4248.3813469313018</v>
      </c>
    </row>
    <row r="1626" spans="1:27" x14ac:dyDescent="0.25">
      <c r="A1626" s="102" t="s">
        <v>3610</v>
      </c>
      <c r="B1626" s="87" t="s">
        <v>3611</v>
      </c>
      <c r="C1626" s="88" t="s">
        <v>226</v>
      </c>
      <c r="D1626" s="89" t="s">
        <v>255</v>
      </c>
      <c r="E1626" s="90">
        <f t="shared" si="317"/>
        <v>10935</v>
      </c>
      <c r="F1626" s="90">
        <f t="shared" si="318"/>
        <v>9188.9859036347807</v>
      </c>
      <c r="G1626" s="91">
        <v>0.19</v>
      </c>
      <c r="H1626" s="91" t="s">
        <v>228</v>
      </c>
      <c r="I1626" s="91"/>
      <c r="J1626" s="91" t="s">
        <v>228</v>
      </c>
      <c r="K1626" s="91"/>
      <c r="L1626" s="92" t="s">
        <v>2860</v>
      </c>
      <c r="M1626" s="91" t="str">
        <f t="shared" si="307"/>
        <v>VER ARCHIVO ANEXO</v>
      </c>
      <c r="N1626" s="93">
        <v>41608</v>
      </c>
      <c r="O1626" s="109"/>
      <c r="P1626" s="109"/>
      <c r="Q1626" s="94">
        <v>1477</v>
      </c>
      <c r="R1626" s="95">
        <f t="shared" si="310"/>
        <v>9188.9859036347807</v>
      </c>
      <c r="S1626" s="109">
        <v>6013.3166000000001</v>
      </c>
      <c r="T1626" s="94">
        <f t="shared" si="308"/>
        <v>6420.4181338200005</v>
      </c>
      <c r="U1626" s="94">
        <f t="shared" si="315"/>
        <v>6789.5921765146513</v>
      </c>
      <c r="V1626" s="94">
        <f t="shared" si="316"/>
        <v>7067.2864965341005</v>
      </c>
      <c r="W1626" s="97">
        <f t="shared" si="313"/>
        <v>7292.0262071238849</v>
      </c>
      <c r="X1626" s="97">
        <f t="shared" si="314"/>
        <v>7569.1232029945932</v>
      </c>
      <c r="Y1626" s="97">
        <f t="shared" si="309"/>
        <v>7690.9860865628061</v>
      </c>
      <c r="Z1626" s="97">
        <f t="shared" si="311"/>
        <v>8123.2195046276356</v>
      </c>
      <c r="AA1626" s="97">
        <f t="shared" si="312"/>
        <v>9188.9859036347807</v>
      </c>
    </row>
    <row r="1627" spans="1:27" x14ac:dyDescent="0.25">
      <c r="A1627" s="102" t="s">
        <v>3612</v>
      </c>
      <c r="B1627" s="87" t="s">
        <v>3613</v>
      </c>
      <c r="C1627" s="88" t="s">
        <v>226</v>
      </c>
      <c r="D1627" s="89" t="s">
        <v>262</v>
      </c>
      <c r="E1627" s="90">
        <f t="shared" si="317"/>
        <v>4266</v>
      </c>
      <c r="F1627" s="90">
        <f t="shared" si="318"/>
        <v>3584.6707636485976</v>
      </c>
      <c r="G1627" s="91">
        <v>0.19</v>
      </c>
      <c r="H1627" s="91" t="s">
        <v>228</v>
      </c>
      <c r="I1627" s="91"/>
      <c r="J1627" s="91" t="s">
        <v>228</v>
      </c>
      <c r="K1627" s="91"/>
      <c r="L1627" s="92" t="s">
        <v>2860</v>
      </c>
      <c r="M1627" s="91" t="str">
        <f t="shared" si="307"/>
        <v>VER ARCHIVO ANEXO</v>
      </c>
      <c r="N1627" s="93">
        <v>41608</v>
      </c>
      <c r="O1627" s="109"/>
      <c r="P1627" s="109"/>
      <c r="Q1627" s="94">
        <v>1478</v>
      </c>
      <c r="R1627" s="95">
        <f t="shared" si="310"/>
        <v>3584.6707636485976</v>
      </c>
      <c r="S1627" s="109">
        <v>2345.8258000000001</v>
      </c>
      <c r="T1627" s="94">
        <f t="shared" si="308"/>
        <v>2504.6382066600004</v>
      </c>
      <c r="U1627" s="94">
        <f t="shared" si="315"/>
        <v>2648.6549035429507</v>
      </c>
      <c r="V1627" s="94">
        <f t="shared" si="316"/>
        <v>2756.9848890978574</v>
      </c>
      <c r="W1627" s="97">
        <f t="shared" si="313"/>
        <v>2844.6570085711692</v>
      </c>
      <c r="X1627" s="97">
        <f t="shared" si="314"/>
        <v>2952.7539748968738</v>
      </c>
      <c r="Y1627" s="97">
        <f t="shared" si="309"/>
        <v>3000.2933138927137</v>
      </c>
      <c r="Z1627" s="97">
        <f t="shared" si="311"/>
        <v>3168.9097981334844</v>
      </c>
      <c r="AA1627" s="97">
        <f t="shared" si="312"/>
        <v>3584.6707636485976</v>
      </c>
    </row>
    <row r="1628" spans="1:27" x14ac:dyDescent="0.25">
      <c r="A1628" s="102" t="s">
        <v>3614</v>
      </c>
      <c r="B1628" s="87" t="s">
        <v>3615</v>
      </c>
      <c r="C1628" s="88" t="s">
        <v>226</v>
      </c>
      <c r="D1628" s="89" t="s">
        <v>262</v>
      </c>
      <c r="E1628" s="90">
        <f t="shared" si="317"/>
        <v>6918</v>
      </c>
      <c r="F1628" s="90">
        <f t="shared" si="318"/>
        <v>5813.4077342423116</v>
      </c>
      <c r="G1628" s="91">
        <v>0.19</v>
      </c>
      <c r="H1628" s="91" t="s">
        <v>228</v>
      </c>
      <c r="I1628" s="91"/>
      <c r="J1628" s="91" t="s">
        <v>228</v>
      </c>
      <c r="K1628" s="91"/>
      <c r="L1628" s="92" t="s">
        <v>2860</v>
      </c>
      <c r="M1628" s="91" t="str">
        <f t="shared" si="307"/>
        <v>VER ARCHIVO ANEXO</v>
      </c>
      <c r="N1628" s="93">
        <v>41608</v>
      </c>
      <c r="O1628" s="109"/>
      <c r="P1628" s="109"/>
      <c r="Q1628" s="94">
        <v>1479</v>
      </c>
      <c r="R1628" s="95">
        <f t="shared" si="310"/>
        <v>5813.4077342423116</v>
      </c>
      <c r="S1628" s="109">
        <v>3804.3219999999997</v>
      </c>
      <c r="T1628" s="94">
        <f t="shared" si="308"/>
        <v>4061.8745994000001</v>
      </c>
      <c r="U1628" s="94">
        <f t="shared" si="315"/>
        <v>4295.4323888655008</v>
      </c>
      <c r="V1628" s="94">
        <f t="shared" si="316"/>
        <v>4471.1155735700995</v>
      </c>
      <c r="W1628" s="97">
        <f t="shared" si="313"/>
        <v>4613.2970488096289</v>
      </c>
      <c r="X1628" s="97">
        <f t="shared" si="314"/>
        <v>4788.6023366643949</v>
      </c>
      <c r="Y1628" s="97">
        <f t="shared" si="309"/>
        <v>4865.6988342846917</v>
      </c>
      <c r="Z1628" s="97">
        <f t="shared" si="311"/>
        <v>5139.1511087714916</v>
      </c>
      <c r="AA1628" s="97">
        <f t="shared" si="312"/>
        <v>5813.4077342423116</v>
      </c>
    </row>
    <row r="1629" spans="1:27" x14ac:dyDescent="0.25">
      <c r="A1629" s="102" t="s">
        <v>3616</v>
      </c>
      <c r="B1629" s="87" t="s">
        <v>3617</v>
      </c>
      <c r="C1629" s="88" t="s">
        <v>226</v>
      </c>
      <c r="D1629" s="89" t="s">
        <v>262</v>
      </c>
      <c r="E1629" s="90">
        <f t="shared" si="317"/>
        <v>1225</v>
      </c>
      <c r="F1629" s="90">
        <f t="shared" si="318"/>
        <v>1029.6226232309268</v>
      </c>
      <c r="G1629" s="91">
        <v>0.19</v>
      </c>
      <c r="H1629" s="91" t="s">
        <v>228</v>
      </c>
      <c r="I1629" s="91"/>
      <c r="J1629" s="91" t="s">
        <v>228</v>
      </c>
      <c r="K1629" s="91"/>
      <c r="L1629" s="92" t="s">
        <v>2860</v>
      </c>
      <c r="M1629" s="91" t="str">
        <f t="shared" si="307"/>
        <v>VER ARCHIVO ANEXO</v>
      </c>
      <c r="N1629" s="93">
        <v>41608</v>
      </c>
      <c r="O1629" s="109">
        <v>903</v>
      </c>
      <c r="P1629" s="109"/>
      <c r="Q1629" s="94">
        <v>1480</v>
      </c>
      <c r="R1629" s="95">
        <f t="shared" si="310"/>
        <v>1029.6226232309268</v>
      </c>
      <c r="S1629" s="109">
        <v>673.79</v>
      </c>
      <c r="T1629" s="94">
        <f t="shared" si="308"/>
        <v>719.40558299999998</v>
      </c>
      <c r="U1629" s="94">
        <f t="shared" si="315"/>
        <v>760.77140402250006</v>
      </c>
      <c r="V1629" s="94">
        <f t="shared" si="316"/>
        <v>791.88695444702023</v>
      </c>
      <c r="W1629" s="97">
        <f t="shared" si="313"/>
        <v>817.06895959843553</v>
      </c>
      <c r="X1629" s="97">
        <f t="shared" si="314"/>
        <v>848.11758006317609</v>
      </c>
      <c r="Y1629" s="97">
        <f t="shared" si="309"/>
        <v>861.77227310219325</v>
      </c>
      <c r="Z1629" s="97">
        <f t="shared" si="311"/>
        <v>910.20387485053652</v>
      </c>
      <c r="AA1629" s="97">
        <f t="shared" si="312"/>
        <v>1029.6226232309268</v>
      </c>
    </row>
    <row r="1630" spans="1:27" x14ac:dyDescent="0.25">
      <c r="A1630" s="102" t="s">
        <v>3618</v>
      </c>
      <c r="B1630" s="87" t="s">
        <v>3619</v>
      </c>
      <c r="C1630" s="88" t="s">
        <v>226</v>
      </c>
      <c r="D1630" s="89" t="s">
        <v>262</v>
      </c>
      <c r="E1630" s="90">
        <f t="shared" si="317"/>
        <v>3582</v>
      </c>
      <c r="F1630" s="90">
        <f t="shared" si="318"/>
        <v>3009.6661294442483</v>
      </c>
      <c r="G1630" s="91">
        <v>0.19</v>
      </c>
      <c r="H1630" s="91" t="s">
        <v>228</v>
      </c>
      <c r="I1630" s="91"/>
      <c r="J1630" s="91" t="s">
        <v>228</v>
      </c>
      <c r="K1630" s="91"/>
      <c r="L1630" s="92" t="s">
        <v>2860</v>
      </c>
      <c r="M1630" s="91" t="str">
        <f t="shared" si="307"/>
        <v>VER ARCHIVO ANEXO</v>
      </c>
      <c r="N1630" s="93">
        <v>41608</v>
      </c>
      <c r="O1630" s="109"/>
      <c r="P1630" s="109"/>
      <c r="Q1630" s="94">
        <v>1481</v>
      </c>
      <c r="R1630" s="95">
        <f t="shared" si="310"/>
        <v>3009.6661294442483</v>
      </c>
      <c r="S1630" s="109">
        <v>1969.54</v>
      </c>
      <c r="T1630" s="94">
        <f t="shared" si="308"/>
        <v>2102.8778580000003</v>
      </c>
      <c r="U1630" s="94">
        <f t="shared" si="315"/>
        <v>2223.7933348350007</v>
      </c>
      <c r="V1630" s="94">
        <f t="shared" si="316"/>
        <v>2314.746482229752</v>
      </c>
      <c r="W1630" s="97">
        <f t="shared" si="313"/>
        <v>2388.3554203646581</v>
      </c>
      <c r="X1630" s="97">
        <f t="shared" si="314"/>
        <v>2479.1129263385151</v>
      </c>
      <c r="Y1630" s="97">
        <f t="shared" si="309"/>
        <v>2519.0266444525651</v>
      </c>
      <c r="Z1630" s="97">
        <f t="shared" si="311"/>
        <v>2660.5959418707994</v>
      </c>
      <c r="AA1630" s="97">
        <f t="shared" si="312"/>
        <v>3009.6661294442483</v>
      </c>
    </row>
    <row r="1631" spans="1:27" x14ac:dyDescent="0.25">
      <c r="A1631" s="102" t="s">
        <v>3620</v>
      </c>
      <c r="B1631" s="87" t="s">
        <v>3621</v>
      </c>
      <c r="C1631" s="88" t="s">
        <v>226</v>
      </c>
      <c r="D1631" s="89" t="s">
        <v>262</v>
      </c>
      <c r="E1631" s="90">
        <f t="shared" si="317"/>
        <v>6584</v>
      </c>
      <c r="F1631" s="90">
        <f t="shared" si="318"/>
        <v>5533.0335737625046</v>
      </c>
      <c r="G1631" s="91">
        <v>0.19</v>
      </c>
      <c r="H1631" s="91" t="s">
        <v>228</v>
      </c>
      <c r="I1631" s="91"/>
      <c r="J1631" s="91" t="s">
        <v>228</v>
      </c>
      <c r="K1631" s="91"/>
      <c r="L1631" s="92" t="s">
        <v>2860</v>
      </c>
      <c r="M1631" s="91" t="str">
        <f t="shared" si="307"/>
        <v>VER ARCHIVO ANEXO</v>
      </c>
      <c r="N1631" s="93">
        <v>41608</v>
      </c>
      <c r="O1631" s="109"/>
      <c r="P1631" s="109"/>
      <c r="Q1631" s="94">
        <v>1482</v>
      </c>
      <c r="R1631" s="95">
        <f t="shared" si="310"/>
        <v>5533.0335737625046</v>
      </c>
      <c r="S1631" s="109">
        <v>3620.8438000000001</v>
      </c>
      <c r="T1631" s="94">
        <f t="shared" si="308"/>
        <v>3865.9749252600004</v>
      </c>
      <c r="U1631" s="94">
        <f t="shared" si="315"/>
        <v>4088.2684834624511</v>
      </c>
      <c r="V1631" s="94">
        <f t="shared" si="316"/>
        <v>4255.4786644360647</v>
      </c>
      <c r="W1631" s="97">
        <f t="shared" si="313"/>
        <v>4390.8028859651322</v>
      </c>
      <c r="X1631" s="97">
        <f t="shared" si="314"/>
        <v>4557.6533956318071</v>
      </c>
      <c r="Y1631" s="97">
        <f t="shared" si="309"/>
        <v>4631.0316153014792</v>
      </c>
      <c r="Z1631" s="97">
        <f t="shared" si="311"/>
        <v>4891.295592081422</v>
      </c>
      <c r="AA1631" s="97">
        <f t="shared" si="312"/>
        <v>5533.0335737625046</v>
      </c>
    </row>
    <row r="1632" spans="1:27" x14ac:dyDescent="0.25">
      <c r="A1632" s="102" t="s">
        <v>3622</v>
      </c>
      <c r="B1632" s="87" t="s">
        <v>3623</v>
      </c>
      <c r="C1632" s="88" t="s">
        <v>226</v>
      </c>
      <c r="D1632" s="89" t="s">
        <v>262</v>
      </c>
      <c r="E1632" s="90">
        <f t="shared" si="317"/>
        <v>9794</v>
      </c>
      <c r="F1632" s="90">
        <f t="shared" si="318"/>
        <v>8230.6448466275342</v>
      </c>
      <c r="G1632" s="91">
        <v>0.19</v>
      </c>
      <c r="H1632" s="91" t="s">
        <v>228</v>
      </c>
      <c r="I1632" s="91"/>
      <c r="J1632" s="91" t="s">
        <v>228</v>
      </c>
      <c r="K1632" s="91"/>
      <c r="L1632" s="92" t="s">
        <v>2860</v>
      </c>
      <c r="M1632" s="91" t="str">
        <f t="shared" si="307"/>
        <v>VER ARCHIVO ANEXO</v>
      </c>
      <c r="N1632" s="93">
        <v>41608</v>
      </c>
      <c r="O1632" s="109"/>
      <c r="P1632" s="109"/>
      <c r="Q1632" s="94">
        <v>1483</v>
      </c>
      <c r="R1632" s="95">
        <f t="shared" si="310"/>
        <v>8230.6448466275342</v>
      </c>
      <c r="S1632" s="109">
        <v>5386.1736000000001</v>
      </c>
      <c r="T1632" s="94">
        <f t="shared" si="308"/>
        <v>5750.817552720001</v>
      </c>
      <c r="U1632" s="94">
        <f t="shared" si="315"/>
        <v>6081.4895620014013</v>
      </c>
      <c r="V1632" s="94">
        <f t="shared" si="316"/>
        <v>6330.2224850872581</v>
      </c>
      <c r="W1632" s="97">
        <f t="shared" si="313"/>
        <v>6531.5235601130335</v>
      </c>
      <c r="X1632" s="97">
        <f t="shared" si="314"/>
        <v>6779.721455397329</v>
      </c>
      <c r="Y1632" s="97">
        <f t="shared" si="309"/>
        <v>6888.8749708292262</v>
      </c>
      <c r="Z1632" s="97">
        <f t="shared" si="311"/>
        <v>7276.0297441898292</v>
      </c>
      <c r="AA1632" s="97">
        <f t="shared" si="312"/>
        <v>8230.6448466275342</v>
      </c>
    </row>
    <row r="1633" spans="1:27" x14ac:dyDescent="0.25">
      <c r="A1633" s="102" t="s">
        <v>3624</v>
      </c>
      <c r="B1633" s="98" t="s">
        <v>3625</v>
      </c>
      <c r="C1633" s="99" t="s">
        <v>226</v>
      </c>
      <c r="D1633" s="100" t="s">
        <v>262</v>
      </c>
      <c r="E1633" s="101">
        <f t="shared" si="317"/>
        <v>168023</v>
      </c>
      <c r="F1633" s="90">
        <f t="shared" si="318"/>
        <v>141196.11041066947</v>
      </c>
      <c r="G1633" s="91">
        <v>0.19</v>
      </c>
      <c r="H1633" s="91" t="s">
        <v>228</v>
      </c>
      <c r="I1633" s="91"/>
      <c r="J1633" s="91" t="s">
        <v>228</v>
      </c>
      <c r="K1633" s="91"/>
      <c r="L1633" s="92" t="s">
        <v>1262</v>
      </c>
      <c r="M1633" s="91" t="str">
        <f t="shared" si="307"/>
        <v>VER ARCHIVO ANEXO</v>
      </c>
      <c r="N1633" s="93">
        <v>41608</v>
      </c>
      <c r="O1633" s="109"/>
      <c r="P1633" s="109"/>
      <c r="Q1633" s="94">
        <v>1484</v>
      </c>
      <c r="R1633" s="95">
        <f t="shared" si="310"/>
        <v>141196.11041066947</v>
      </c>
      <c r="S1633" s="109">
        <v>92399.414199999999</v>
      </c>
      <c r="T1633" s="94">
        <f t="shared" si="308"/>
        <v>98654.854541340013</v>
      </c>
      <c r="U1633" s="94">
        <f t="shared" si="315"/>
        <v>104327.50867746708</v>
      </c>
      <c r="V1633" s="94">
        <f t="shared" si="316"/>
        <v>108594.50378237547</v>
      </c>
      <c r="W1633" s="97">
        <f t="shared" si="313"/>
        <v>112047.80900265502</v>
      </c>
      <c r="X1633" s="97">
        <f t="shared" si="314"/>
        <v>116305.62574475592</v>
      </c>
      <c r="Y1633" s="97">
        <f t="shared" si="309"/>
        <v>118178.14631924649</v>
      </c>
      <c r="Z1633" s="97">
        <f t="shared" si="311"/>
        <v>124819.75814238815</v>
      </c>
      <c r="AA1633" s="97">
        <f t="shared" si="312"/>
        <v>141196.11041066947</v>
      </c>
    </row>
    <row r="1634" spans="1:27" x14ac:dyDescent="0.25">
      <c r="A1634" s="102" t="s">
        <v>3626</v>
      </c>
      <c r="B1634" s="87" t="s">
        <v>3627</v>
      </c>
      <c r="C1634" s="88" t="s">
        <v>226</v>
      </c>
      <c r="D1634" s="89" t="s">
        <v>262</v>
      </c>
      <c r="E1634" s="90">
        <f t="shared" si="317"/>
        <v>45087</v>
      </c>
      <c r="F1634" s="90">
        <f t="shared" si="318"/>
        <v>37888.52850009314</v>
      </c>
      <c r="G1634" s="91">
        <v>0.19</v>
      </c>
      <c r="H1634" s="91" t="s">
        <v>228</v>
      </c>
      <c r="I1634" s="91"/>
      <c r="J1634" s="91" t="s">
        <v>228</v>
      </c>
      <c r="K1634" s="91"/>
      <c r="L1634" s="92" t="s">
        <v>1262</v>
      </c>
      <c r="M1634" s="91" t="str">
        <f t="shared" ref="M1634:M1687" si="319">+IF(L1634="no aplica","no aplica","VER ARCHIVO ANEXO")</f>
        <v>VER ARCHIVO ANEXO</v>
      </c>
      <c r="N1634" s="93">
        <v>41608</v>
      </c>
      <c r="O1634" s="109"/>
      <c r="P1634" s="109"/>
      <c r="Q1634" s="94">
        <v>1485</v>
      </c>
      <c r="R1634" s="95">
        <f t="shared" si="310"/>
        <v>37888.52850009314</v>
      </c>
      <c r="S1634" s="109">
        <v>24794.435399999998</v>
      </c>
      <c r="T1634" s="94">
        <f t="shared" ref="T1634:T1697" si="320">+S1634*1.0677</f>
        <v>26473.018676579999</v>
      </c>
      <c r="U1634" s="94">
        <f t="shared" si="315"/>
        <v>27995.217250483351</v>
      </c>
      <c r="V1634" s="94">
        <f t="shared" si="316"/>
        <v>29140.221636028116</v>
      </c>
      <c r="W1634" s="97">
        <f t="shared" si="313"/>
        <v>30066.880684053813</v>
      </c>
      <c r="X1634" s="97">
        <f t="shared" si="314"/>
        <v>31209.42215004786</v>
      </c>
      <c r="Y1634" s="97">
        <f t="shared" si="309"/>
        <v>31711.893846663632</v>
      </c>
      <c r="Z1634" s="97">
        <f t="shared" si="311"/>
        <v>33494.102280846128</v>
      </c>
      <c r="AA1634" s="97">
        <f t="shared" si="312"/>
        <v>37888.52850009314</v>
      </c>
    </row>
    <row r="1635" spans="1:27" x14ac:dyDescent="0.25">
      <c r="A1635" s="102" t="s">
        <v>3628</v>
      </c>
      <c r="B1635" s="119" t="s">
        <v>3629</v>
      </c>
      <c r="C1635" s="107" t="s">
        <v>226</v>
      </c>
      <c r="D1635" s="124" t="s">
        <v>262</v>
      </c>
      <c r="E1635" s="90">
        <f t="shared" si="317"/>
        <v>89117</v>
      </c>
      <c r="F1635" s="90">
        <f t="shared" si="318"/>
        <v>74888.41347459775</v>
      </c>
      <c r="G1635" s="91">
        <v>0.19</v>
      </c>
      <c r="H1635" s="91" t="s">
        <v>228</v>
      </c>
      <c r="I1635" s="91"/>
      <c r="J1635" s="91" t="s">
        <v>228</v>
      </c>
      <c r="K1635" s="91"/>
      <c r="L1635" s="92" t="s">
        <v>1262</v>
      </c>
      <c r="M1635" s="91" t="str">
        <f t="shared" si="319"/>
        <v>VER ARCHIVO ANEXO</v>
      </c>
      <c r="N1635" s="93">
        <v>41608</v>
      </c>
      <c r="O1635" s="109"/>
      <c r="P1635" s="109"/>
      <c r="Q1635" s="94">
        <v>1486</v>
      </c>
      <c r="R1635" s="95">
        <f t="shared" si="310"/>
        <v>74888.41347459775</v>
      </c>
      <c r="S1635" s="109">
        <v>49007.338199999998</v>
      </c>
      <c r="T1635" s="94">
        <f t="shared" si="320"/>
        <v>52325.134996140005</v>
      </c>
      <c r="U1635" s="94">
        <f t="shared" si="315"/>
        <v>55333.830258418064</v>
      </c>
      <c r="V1635" s="94">
        <f t="shared" si="316"/>
        <v>57596.983915987359</v>
      </c>
      <c r="W1635" s="97">
        <f t="shared" si="313"/>
        <v>59428.568004515757</v>
      </c>
      <c r="X1635" s="97">
        <f t="shared" si="314"/>
        <v>61686.853588687358</v>
      </c>
      <c r="Y1635" s="97">
        <f t="shared" si="309"/>
        <v>62680.011931465226</v>
      </c>
      <c r="Z1635" s="97">
        <f t="shared" si="311"/>
        <v>66202.628602013574</v>
      </c>
      <c r="AA1635" s="97">
        <f t="shared" si="312"/>
        <v>74888.41347459775</v>
      </c>
    </row>
    <row r="1636" spans="1:27" x14ac:dyDescent="0.25">
      <c r="A1636" s="102" t="s">
        <v>3630</v>
      </c>
      <c r="B1636" s="119" t="s">
        <v>3631</v>
      </c>
      <c r="C1636" s="107" t="s">
        <v>226</v>
      </c>
      <c r="D1636" s="89" t="s">
        <v>262</v>
      </c>
      <c r="E1636" s="90">
        <f t="shared" si="317"/>
        <v>270784</v>
      </c>
      <c r="F1636" s="90">
        <f t="shared" si="318"/>
        <v>227549.76780364485</v>
      </c>
      <c r="G1636" s="91">
        <v>0.19</v>
      </c>
      <c r="H1636" s="91" t="s">
        <v>228</v>
      </c>
      <c r="I1636" s="91"/>
      <c r="J1636" s="91" t="s">
        <v>228</v>
      </c>
      <c r="K1636" s="91"/>
      <c r="L1636" s="92" t="s">
        <v>1262</v>
      </c>
      <c r="M1636" s="91" t="str">
        <f t="shared" si="319"/>
        <v>VER ARCHIVO ANEXO</v>
      </c>
      <c r="N1636" s="93">
        <v>41608</v>
      </c>
      <c r="O1636" s="109"/>
      <c r="P1636" s="109"/>
      <c r="Q1636" s="94">
        <v>1487</v>
      </c>
      <c r="R1636" s="95">
        <f t="shared" si="310"/>
        <v>227549.76780364485</v>
      </c>
      <c r="S1636" s="109">
        <v>148909.66319999998</v>
      </c>
      <c r="T1636" s="94">
        <f t="shared" si="320"/>
        <v>158990.84739864001</v>
      </c>
      <c r="U1636" s="94">
        <f t="shared" si="315"/>
        <v>168132.82112406183</v>
      </c>
      <c r="V1636" s="94">
        <f t="shared" si="316"/>
        <v>175009.45350803595</v>
      </c>
      <c r="W1636" s="97">
        <f t="shared" si="313"/>
        <v>180574.75412959151</v>
      </c>
      <c r="X1636" s="97">
        <f t="shared" si="314"/>
        <v>187436.59478651601</v>
      </c>
      <c r="Y1636" s="97">
        <f t="shared" si="309"/>
        <v>190454.32396257893</v>
      </c>
      <c r="Z1636" s="97">
        <f t="shared" si="311"/>
        <v>201157.85696927586</v>
      </c>
      <c r="AA1636" s="97">
        <f t="shared" si="312"/>
        <v>227549.76780364485</v>
      </c>
    </row>
    <row r="1637" spans="1:27" x14ac:dyDescent="0.25">
      <c r="A1637" s="102" t="s">
        <v>3632</v>
      </c>
      <c r="B1637" s="87" t="s">
        <v>3633</v>
      </c>
      <c r="C1637" s="88" t="s">
        <v>226</v>
      </c>
      <c r="D1637" s="89" t="s">
        <v>262</v>
      </c>
      <c r="E1637" s="90">
        <f t="shared" si="317"/>
        <v>21022</v>
      </c>
      <c r="F1637" s="90">
        <f t="shared" si="318"/>
        <v>17665.156145032764</v>
      </c>
      <c r="G1637" s="91">
        <v>0.19</v>
      </c>
      <c r="H1637" s="91" t="s">
        <v>228</v>
      </c>
      <c r="I1637" s="91"/>
      <c r="J1637" s="91" t="s">
        <v>228</v>
      </c>
      <c r="K1637" s="91"/>
      <c r="L1637" s="92" t="s">
        <v>1262</v>
      </c>
      <c r="M1637" s="91" t="str">
        <f t="shared" si="319"/>
        <v>VER ARCHIVO ANEXO</v>
      </c>
      <c r="N1637" s="93">
        <v>41608</v>
      </c>
      <c r="O1637" s="109"/>
      <c r="P1637" s="109"/>
      <c r="Q1637" s="94">
        <v>1488</v>
      </c>
      <c r="R1637" s="95">
        <f t="shared" si="310"/>
        <v>17665.156145032764</v>
      </c>
      <c r="S1637" s="109">
        <v>11560.163199999999</v>
      </c>
      <c r="T1637" s="94">
        <f t="shared" si="320"/>
        <v>12342.786248640001</v>
      </c>
      <c r="U1637" s="94">
        <f t="shared" si="315"/>
        <v>13052.496457936802</v>
      </c>
      <c r="V1637" s="94">
        <f t="shared" si="316"/>
        <v>13586.343563066417</v>
      </c>
      <c r="W1637" s="97">
        <f t="shared" si="313"/>
        <v>14018.389288371929</v>
      </c>
      <c r="X1637" s="97">
        <f t="shared" si="314"/>
        <v>14551.088081330063</v>
      </c>
      <c r="Y1637" s="97">
        <f t="shared" si="309"/>
        <v>14785.360599439477</v>
      </c>
      <c r="Z1637" s="97">
        <f t="shared" si="311"/>
        <v>15616.297865127975</v>
      </c>
      <c r="AA1637" s="97">
        <f t="shared" si="312"/>
        <v>17665.156145032764</v>
      </c>
    </row>
    <row r="1638" spans="1:27" x14ac:dyDescent="0.25">
      <c r="A1638" s="102" t="s">
        <v>3634</v>
      </c>
      <c r="B1638" s="98" t="s">
        <v>3635</v>
      </c>
      <c r="C1638" s="99" t="s">
        <v>226</v>
      </c>
      <c r="D1638" s="100" t="s">
        <v>296</v>
      </c>
      <c r="E1638" s="101">
        <f t="shared" si="317"/>
        <v>4969</v>
      </c>
      <c r="F1638" s="90">
        <f t="shared" si="318"/>
        <v>4175.5157459026514</v>
      </c>
      <c r="G1638" s="91">
        <v>0.19</v>
      </c>
      <c r="H1638" s="91" t="s">
        <v>228</v>
      </c>
      <c r="I1638" s="91"/>
      <c r="J1638" s="91" t="s">
        <v>228</v>
      </c>
      <c r="K1638" s="91"/>
      <c r="L1638" s="92" t="s">
        <v>1262</v>
      </c>
      <c r="M1638" s="91" t="str">
        <f t="shared" si="319"/>
        <v>VER ARCHIVO ANEXO</v>
      </c>
      <c r="N1638" s="93">
        <v>41608</v>
      </c>
      <c r="O1638" s="109"/>
      <c r="P1638" s="109"/>
      <c r="Q1638" s="94">
        <v>1489</v>
      </c>
      <c r="R1638" s="95">
        <f t="shared" si="310"/>
        <v>4175.5157459026514</v>
      </c>
      <c r="S1638" s="109">
        <v>2732.4775999999997</v>
      </c>
      <c r="T1638" s="94">
        <f t="shared" si="320"/>
        <v>2917.4663335199998</v>
      </c>
      <c r="U1638" s="94">
        <f t="shared" si="315"/>
        <v>3085.2206476974002</v>
      </c>
      <c r="V1638" s="94">
        <f t="shared" si="316"/>
        <v>3211.4061721882235</v>
      </c>
      <c r="W1638" s="97">
        <f t="shared" si="313"/>
        <v>3313.5288884638094</v>
      </c>
      <c r="X1638" s="97">
        <f t="shared" si="314"/>
        <v>3439.4429862254342</v>
      </c>
      <c r="Y1638" s="97">
        <f t="shared" si="309"/>
        <v>3494.8180183036638</v>
      </c>
      <c r="Z1638" s="97">
        <f t="shared" si="311"/>
        <v>3691.22679093233</v>
      </c>
      <c r="AA1638" s="97">
        <f t="shared" si="312"/>
        <v>4175.5157459026514</v>
      </c>
    </row>
    <row r="1639" spans="1:27" x14ac:dyDescent="0.25">
      <c r="A1639" s="102" t="s">
        <v>3636</v>
      </c>
      <c r="B1639" s="87" t="s">
        <v>3637</v>
      </c>
      <c r="C1639" s="88" t="s">
        <v>226</v>
      </c>
      <c r="D1639" s="89" t="s">
        <v>262</v>
      </c>
      <c r="E1639" s="90">
        <f t="shared" si="317"/>
        <v>257075</v>
      </c>
      <c r="F1639" s="90">
        <f t="shared" si="318"/>
        <v>216029.08266709326</v>
      </c>
      <c r="G1639" s="91">
        <v>0.19</v>
      </c>
      <c r="H1639" s="91" t="s">
        <v>228</v>
      </c>
      <c r="I1639" s="91"/>
      <c r="J1639" s="91" t="s">
        <v>228</v>
      </c>
      <c r="K1639" s="91"/>
      <c r="L1639" s="92" t="s">
        <v>1262</v>
      </c>
      <c r="M1639" s="91" t="str">
        <f t="shared" si="319"/>
        <v>VER ARCHIVO ANEXO</v>
      </c>
      <c r="N1639" s="93">
        <v>41608</v>
      </c>
      <c r="O1639" s="109"/>
      <c r="P1639" s="109"/>
      <c r="Q1639" s="94">
        <v>1490</v>
      </c>
      <c r="R1639" s="95">
        <f t="shared" si="310"/>
        <v>216029.08266709326</v>
      </c>
      <c r="S1639" s="109">
        <v>141370.47140000001</v>
      </c>
      <c r="T1639" s="94">
        <f t="shared" si="320"/>
        <v>150941.25231378002</v>
      </c>
      <c r="U1639" s="94">
        <f t="shared" si="315"/>
        <v>159620.3743218224</v>
      </c>
      <c r="V1639" s="94">
        <f t="shared" si="316"/>
        <v>166148.84763158491</v>
      </c>
      <c r="W1639" s="97">
        <f t="shared" si="313"/>
        <v>171432.38098626933</v>
      </c>
      <c r="X1639" s="97">
        <f t="shared" si="314"/>
        <v>177946.81146374758</v>
      </c>
      <c r="Y1639" s="97">
        <f t="shared" si="309"/>
        <v>180811.7551283139</v>
      </c>
      <c r="Z1639" s="97">
        <f t="shared" si="311"/>
        <v>190973.37576652516</v>
      </c>
      <c r="AA1639" s="97">
        <f t="shared" si="312"/>
        <v>216029.08266709326</v>
      </c>
    </row>
    <row r="1640" spans="1:27" x14ac:dyDescent="0.25">
      <c r="A1640" s="102" t="s">
        <v>3638</v>
      </c>
      <c r="B1640" s="87" t="s">
        <v>3639</v>
      </c>
      <c r="C1640" s="88" t="s">
        <v>226</v>
      </c>
      <c r="D1640" s="89" t="s">
        <v>262</v>
      </c>
      <c r="E1640" s="90">
        <f t="shared" si="317"/>
        <v>8910</v>
      </c>
      <c r="F1640" s="90">
        <f t="shared" si="318"/>
        <v>7487.7325230962961</v>
      </c>
      <c r="G1640" s="91">
        <v>0.19</v>
      </c>
      <c r="H1640" s="91" t="s">
        <v>228</v>
      </c>
      <c r="I1640" s="91"/>
      <c r="J1640" s="91" t="s">
        <v>228</v>
      </c>
      <c r="K1640" s="91"/>
      <c r="L1640" s="92" t="s">
        <v>1262</v>
      </c>
      <c r="M1640" s="91" t="str">
        <f t="shared" si="319"/>
        <v>VER ARCHIVO ANEXO</v>
      </c>
      <c r="N1640" s="93">
        <v>41608</v>
      </c>
      <c r="O1640" s="109"/>
      <c r="P1640" s="109"/>
      <c r="Q1640" s="94">
        <v>1491</v>
      </c>
      <c r="R1640" s="95">
        <f t="shared" si="310"/>
        <v>7487.7325230962961</v>
      </c>
      <c r="S1640" s="109">
        <v>4900.0082000000002</v>
      </c>
      <c r="T1640" s="94">
        <f t="shared" si="320"/>
        <v>5231.7387551400006</v>
      </c>
      <c r="U1640" s="94">
        <f t="shared" si="315"/>
        <v>5532.5637335605516</v>
      </c>
      <c r="V1640" s="94">
        <f t="shared" si="316"/>
        <v>5758.8455902631777</v>
      </c>
      <c r="W1640" s="97">
        <f t="shared" si="313"/>
        <v>5941.9768800335469</v>
      </c>
      <c r="X1640" s="97">
        <f t="shared" si="314"/>
        <v>6167.772001474822</v>
      </c>
      <c r="Y1640" s="97">
        <f t="shared" si="309"/>
        <v>6267.0731306985663</v>
      </c>
      <c r="Z1640" s="97">
        <f t="shared" si="311"/>
        <v>6619.2826406438262</v>
      </c>
      <c r="AA1640" s="97">
        <f t="shared" si="312"/>
        <v>7487.7325230962961</v>
      </c>
    </row>
    <row r="1641" spans="1:27" x14ac:dyDescent="0.25">
      <c r="A1641" s="102" t="s">
        <v>3640</v>
      </c>
      <c r="B1641" s="98" t="s">
        <v>3641</v>
      </c>
      <c r="C1641" s="99" t="s">
        <v>226</v>
      </c>
      <c r="D1641" s="100" t="s">
        <v>255</v>
      </c>
      <c r="E1641" s="101">
        <f t="shared" si="317"/>
        <v>51070</v>
      </c>
      <c r="F1641" s="90">
        <f t="shared" si="318"/>
        <v>42916.254971070019</v>
      </c>
      <c r="G1641" s="91">
        <v>0.19</v>
      </c>
      <c r="H1641" s="91" t="s">
        <v>228</v>
      </c>
      <c r="I1641" s="91"/>
      <c r="J1641" s="91" t="s">
        <v>228</v>
      </c>
      <c r="K1641" s="91"/>
      <c r="L1641" s="92" t="s">
        <v>1262</v>
      </c>
      <c r="M1641" s="91" t="str">
        <f t="shared" si="319"/>
        <v>VER ARCHIVO ANEXO</v>
      </c>
      <c r="N1641" s="93">
        <v>41608</v>
      </c>
      <c r="O1641" s="109"/>
      <c r="P1641" s="109"/>
      <c r="Q1641" s="94">
        <v>1492</v>
      </c>
      <c r="R1641" s="95">
        <f t="shared" si="310"/>
        <v>42916.254971070019</v>
      </c>
      <c r="S1641" s="109">
        <v>28084.603800000001</v>
      </c>
      <c r="T1641" s="94">
        <f t="shared" si="320"/>
        <v>29985.931477260005</v>
      </c>
      <c r="U1641" s="94">
        <f t="shared" si="315"/>
        <v>31710.122537202456</v>
      </c>
      <c r="V1641" s="94">
        <f t="shared" si="316"/>
        <v>33007.066548974035</v>
      </c>
      <c r="W1641" s="97">
        <f t="shared" si="313"/>
        <v>34056.691265231413</v>
      </c>
      <c r="X1641" s="97">
        <f t="shared" si="314"/>
        <v>35350.84553331021</v>
      </c>
      <c r="Y1641" s="97">
        <f t="shared" si="309"/>
        <v>35919.994146396508</v>
      </c>
      <c r="Z1641" s="97">
        <f t="shared" si="311"/>
        <v>37938.697817423992</v>
      </c>
      <c r="AA1641" s="97">
        <f t="shared" si="312"/>
        <v>42916.254971070019</v>
      </c>
    </row>
    <row r="1642" spans="1:27" x14ac:dyDescent="0.25">
      <c r="A1642" s="102" t="s">
        <v>3642</v>
      </c>
      <c r="B1642" s="87" t="s">
        <v>3643</v>
      </c>
      <c r="C1642" s="88" t="s">
        <v>226</v>
      </c>
      <c r="D1642" s="89" t="s">
        <v>262</v>
      </c>
      <c r="E1642" s="90">
        <f t="shared" si="317"/>
        <v>8224</v>
      </c>
      <c r="F1642" s="90">
        <f t="shared" si="318"/>
        <v>6911.1438540869776</v>
      </c>
      <c r="G1642" s="91">
        <v>0.19</v>
      </c>
      <c r="H1642" s="91" t="s">
        <v>228</v>
      </c>
      <c r="I1642" s="91"/>
      <c r="J1642" s="91" t="s">
        <v>228</v>
      </c>
      <c r="K1642" s="91"/>
      <c r="L1642" s="92" t="s">
        <v>1262</v>
      </c>
      <c r="M1642" s="91" t="str">
        <f t="shared" si="319"/>
        <v>VER ARCHIVO ANEXO</v>
      </c>
      <c r="N1642" s="93">
        <v>41608</v>
      </c>
      <c r="O1642" s="109"/>
      <c r="P1642" s="109"/>
      <c r="Q1642" s="94">
        <v>1493</v>
      </c>
      <c r="R1642" s="95">
        <f t="shared" si="310"/>
        <v>6911.1438540869776</v>
      </c>
      <c r="S1642" s="109">
        <v>4522.6858000000002</v>
      </c>
      <c r="T1642" s="94">
        <f t="shared" si="320"/>
        <v>4828.8716286600011</v>
      </c>
      <c r="U1642" s="94">
        <f t="shared" si="315"/>
        <v>5106.5317473079513</v>
      </c>
      <c r="V1642" s="94">
        <f t="shared" si="316"/>
        <v>5315.3888957728459</v>
      </c>
      <c r="W1642" s="97">
        <f t="shared" si="313"/>
        <v>5484.4182626584225</v>
      </c>
      <c r="X1642" s="97">
        <f t="shared" si="314"/>
        <v>5692.8261566394431</v>
      </c>
      <c r="Y1642" s="97">
        <f t="shared" si="309"/>
        <v>5784.4806577613381</v>
      </c>
      <c r="Z1642" s="97">
        <f t="shared" si="311"/>
        <v>6109.5684707275259</v>
      </c>
      <c r="AA1642" s="97">
        <f t="shared" si="312"/>
        <v>6911.1438540869776</v>
      </c>
    </row>
    <row r="1643" spans="1:27" x14ac:dyDescent="0.25">
      <c r="A1643" s="102" t="s">
        <v>3644</v>
      </c>
      <c r="B1643" s="87" t="s">
        <v>3645</v>
      </c>
      <c r="C1643" s="88" t="s">
        <v>226</v>
      </c>
      <c r="D1643" s="89" t="s">
        <v>262</v>
      </c>
      <c r="E1643" s="90">
        <f t="shared" si="317"/>
        <v>12852</v>
      </c>
      <c r="F1643" s="90">
        <f t="shared" si="318"/>
        <v>10799.949300289938</v>
      </c>
      <c r="G1643" s="91">
        <v>0.19</v>
      </c>
      <c r="H1643" s="91" t="s">
        <v>228</v>
      </c>
      <c r="I1643" s="91"/>
      <c r="J1643" s="91" t="s">
        <v>228</v>
      </c>
      <c r="K1643" s="91"/>
      <c r="L1643" s="92" t="s">
        <v>1262</v>
      </c>
      <c r="M1643" s="91" t="str">
        <f t="shared" si="319"/>
        <v>VER ARCHIVO ANEXO</v>
      </c>
      <c r="N1643" s="93">
        <v>41608</v>
      </c>
      <c r="O1643" s="109"/>
      <c r="P1643" s="109"/>
      <c r="Q1643" s="94">
        <v>1494</v>
      </c>
      <c r="R1643" s="95">
        <f t="shared" si="310"/>
        <v>10799.949300289938</v>
      </c>
      <c r="S1643" s="109">
        <v>7067.5387999999994</v>
      </c>
      <c r="T1643" s="94">
        <f t="shared" si="320"/>
        <v>7546.0111767600001</v>
      </c>
      <c r="U1643" s="94">
        <f t="shared" si="315"/>
        <v>7979.9068194237007</v>
      </c>
      <c r="V1643" s="94">
        <f t="shared" si="316"/>
        <v>8306.285008338129</v>
      </c>
      <c r="W1643" s="97">
        <f t="shared" si="313"/>
        <v>8570.4248716032816</v>
      </c>
      <c r="X1643" s="97">
        <f t="shared" si="314"/>
        <v>8896.1010167242075</v>
      </c>
      <c r="Y1643" s="97">
        <f t="shared" si="309"/>
        <v>9039.3282430934669</v>
      </c>
      <c r="Z1643" s="97">
        <f t="shared" si="311"/>
        <v>9547.3384903553197</v>
      </c>
      <c r="AA1643" s="97">
        <f t="shared" si="312"/>
        <v>10799.949300289938</v>
      </c>
    </row>
    <row r="1644" spans="1:27" x14ac:dyDescent="0.25">
      <c r="A1644" s="102" t="s">
        <v>3646</v>
      </c>
      <c r="B1644" s="119" t="s">
        <v>3647</v>
      </c>
      <c r="C1644" s="107" t="s">
        <v>226</v>
      </c>
      <c r="D1644" s="124" t="s">
        <v>262</v>
      </c>
      <c r="E1644" s="90">
        <f t="shared" si="317"/>
        <v>231367</v>
      </c>
      <c r="F1644" s="90">
        <f t="shared" si="318"/>
        <v>194426.01599690336</v>
      </c>
      <c r="G1644" s="91">
        <v>0.19</v>
      </c>
      <c r="H1644" s="91" t="s">
        <v>228</v>
      </c>
      <c r="I1644" s="91"/>
      <c r="J1644" s="91" t="s">
        <v>228</v>
      </c>
      <c r="K1644" s="91"/>
      <c r="L1644" s="92" t="s">
        <v>1262</v>
      </c>
      <c r="M1644" s="91" t="str">
        <f t="shared" si="319"/>
        <v>VER ARCHIVO ANEXO</v>
      </c>
      <c r="N1644" s="93">
        <v>41608</v>
      </c>
      <c r="O1644" s="109"/>
      <c r="P1644" s="109"/>
      <c r="Q1644" s="94">
        <v>1495</v>
      </c>
      <c r="R1644" s="95">
        <f t="shared" si="310"/>
        <v>194426.01599690336</v>
      </c>
      <c r="S1644" s="109">
        <v>127233.32059999999</v>
      </c>
      <c r="T1644" s="94">
        <f t="shared" si="320"/>
        <v>135847.01640461999</v>
      </c>
      <c r="U1644" s="94">
        <f t="shared" si="315"/>
        <v>143658.21984788566</v>
      </c>
      <c r="V1644" s="94">
        <f t="shared" si="316"/>
        <v>149533.84103966417</v>
      </c>
      <c r="W1644" s="97">
        <f t="shared" si="313"/>
        <v>154289.0171847255</v>
      </c>
      <c r="X1644" s="97">
        <f t="shared" si="314"/>
        <v>160151.99983774507</v>
      </c>
      <c r="Y1644" s="97">
        <f t="shared" si="309"/>
        <v>162730.44703513276</v>
      </c>
      <c r="Z1644" s="97">
        <f t="shared" si="311"/>
        <v>171875.89815850722</v>
      </c>
      <c r="AA1644" s="97">
        <f t="shared" si="312"/>
        <v>194426.01599690336</v>
      </c>
    </row>
    <row r="1645" spans="1:27" x14ac:dyDescent="0.25">
      <c r="A1645" s="102" t="s">
        <v>3648</v>
      </c>
      <c r="B1645" s="87" t="s">
        <v>3649</v>
      </c>
      <c r="C1645" s="107" t="s">
        <v>226</v>
      </c>
      <c r="D1645" s="124" t="s">
        <v>262</v>
      </c>
      <c r="E1645" s="90">
        <f t="shared" si="317"/>
        <v>171381</v>
      </c>
      <c r="F1645" s="90">
        <f t="shared" si="318"/>
        <v>144017.2763983222</v>
      </c>
      <c r="G1645" s="91">
        <v>0.19</v>
      </c>
      <c r="H1645" s="91" t="s">
        <v>228</v>
      </c>
      <c r="I1645" s="91"/>
      <c r="J1645" s="91" t="s">
        <v>228</v>
      </c>
      <c r="K1645" s="91"/>
      <c r="L1645" s="92" t="s">
        <v>1262</v>
      </c>
      <c r="M1645" s="91" t="str">
        <f t="shared" si="319"/>
        <v>VER ARCHIVO ANEXO</v>
      </c>
      <c r="N1645" s="93">
        <v>41608</v>
      </c>
      <c r="O1645" s="109"/>
      <c r="P1645" s="109"/>
      <c r="Q1645" s="94">
        <v>1496</v>
      </c>
      <c r="R1645" s="95">
        <f t="shared" si="310"/>
        <v>144017.2763983222</v>
      </c>
      <c r="S1645" s="109">
        <v>94245.598799999992</v>
      </c>
      <c r="T1645" s="94">
        <f t="shared" si="320"/>
        <v>100626.02583876</v>
      </c>
      <c r="U1645" s="94">
        <f t="shared" si="315"/>
        <v>106412.02232448872</v>
      </c>
      <c r="V1645" s="94">
        <f t="shared" si="316"/>
        <v>110764.2740375603</v>
      </c>
      <c r="W1645" s="97">
        <f t="shared" si="313"/>
        <v>114286.57795195472</v>
      </c>
      <c r="X1645" s="97">
        <f t="shared" si="314"/>
        <v>118629.46791412901</v>
      </c>
      <c r="Y1645" s="97">
        <f t="shared" si="309"/>
        <v>120539.40234754649</v>
      </c>
      <c r="Z1645" s="97">
        <f t="shared" si="311"/>
        <v>127313.71675947862</v>
      </c>
      <c r="AA1645" s="97">
        <f t="shared" si="312"/>
        <v>144017.2763983222</v>
      </c>
    </row>
    <row r="1646" spans="1:27" x14ac:dyDescent="0.25">
      <c r="A1646" s="102" t="s">
        <v>3650</v>
      </c>
      <c r="B1646" s="87" t="s">
        <v>3651</v>
      </c>
      <c r="C1646" s="107" t="s">
        <v>226</v>
      </c>
      <c r="D1646" s="124" t="s">
        <v>262</v>
      </c>
      <c r="E1646" s="90">
        <f t="shared" si="317"/>
        <v>226225</v>
      </c>
      <c r="F1646" s="90">
        <f t="shared" si="318"/>
        <v>190104.76904894348</v>
      </c>
      <c r="G1646" s="91">
        <v>0.19</v>
      </c>
      <c r="H1646" s="91" t="s">
        <v>228</v>
      </c>
      <c r="I1646" s="91"/>
      <c r="J1646" s="91" t="s">
        <v>228</v>
      </c>
      <c r="K1646" s="91"/>
      <c r="L1646" s="92" t="s">
        <v>1262</v>
      </c>
      <c r="M1646" s="91" t="str">
        <f t="shared" si="319"/>
        <v>VER ARCHIVO ANEXO</v>
      </c>
      <c r="N1646" s="93">
        <v>41608</v>
      </c>
      <c r="O1646" s="109"/>
      <c r="P1646" s="109"/>
      <c r="Q1646" s="94">
        <v>1497</v>
      </c>
      <c r="R1646" s="95">
        <f t="shared" si="310"/>
        <v>190104.76904894348</v>
      </c>
      <c r="S1646" s="109">
        <v>124405.4758</v>
      </c>
      <c r="T1646" s="94">
        <f t="shared" si="320"/>
        <v>132827.72651166</v>
      </c>
      <c r="U1646" s="94">
        <f t="shared" si="315"/>
        <v>140465.32078608047</v>
      </c>
      <c r="V1646" s="94">
        <f t="shared" si="316"/>
        <v>146210.35240623116</v>
      </c>
      <c r="W1646" s="97">
        <f t="shared" si="313"/>
        <v>150859.84161274933</v>
      </c>
      <c r="X1646" s="97">
        <f t="shared" si="314"/>
        <v>156592.51559403382</v>
      </c>
      <c r="Y1646" s="97">
        <f t="shared" si="309"/>
        <v>159113.65509509775</v>
      </c>
      <c r="Z1646" s="97">
        <f t="shared" si="311"/>
        <v>168055.84251144226</v>
      </c>
      <c r="AA1646" s="97">
        <f t="shared" si="312"/>
        <v>190104.76904894348</v>
      </c>
    </row>
    <row r="1647" spans="1:27" x14ac:dyDescent="0.25">
      <c r="A1647" s="102" t="s">
        <v>3652</v>
      </c>
      <c r="B1647" s="119" t="s">
        <v>3653</v>
      </c>
      <c r="C1647" s="107" t="s">
        <v>226</v>
      </c>
      <c r="D1647" s="124" t="s">
        <v>262</v>
      </c>
      <c r="E1647" s="90">
        <f t="shared" si="317"/>
        <v>274211</v>
      </c>
      <c r="F1647" s="90">
        <f t="shared" si="318"/>
        <v>230429.54307908143</v>
      </c>
      <c r="G1647" s="91">
        <v>0.19</v>
      </c>
      <c r="H1647" s="91" t="s">
        <v>228</v>
      </c>
      <c r="I1647" s="91"/>
      <c r="J1647" s="91" t="s">
        <v>228</v>
      </c>
      <c r="K1647" s="91"/>
      <c r="L1647" s="92" t="s">
        <v>1262</v>
      </c>
      <c r="M1647" s="91" t="str">
        <f t="shared" si="319"/>
        <v>VER ARCHIVO ANEXO</v>
      </c>
      <c r="N1647" s="93">
        <v>41608</v>
      </c>
      <c r="O1647" s="109"/>
      <c r="P1647" s="109"/>
      <c r="Q1647" s="94">
        <v>1498</v>
      </c>
      <c r="R1647" s="95">
        <f t="shared" si="310"/>
        <v>230429.54307908143</v>
      </c>
      <c r="S1647" s="109">
        <v>150794.20199999999</v>
      </c>
      <c r="T1647" s="94">
        <f t="shared" si="320"/>
        <v>161002.96947539999</v>
      </c>
      <c r="U1647" s="94">
        <f t="shared" si="315"/>
        <v>170260.64022023551</v>
      </c>
      <c r="V1647" s="94">
        <f t="shared" si="316"/>
        <v>177224.30040524312</v>
      </c>
      <c r="W1647" s="97">
        <f t="shared" si="313"/>
        <v>182860.03315812987</v>
      </c>
      <c r="X1647" s="97">
        <f t="shared" si="314"/>
        <v>189808.71441813881</v>
      </c>
      <c r="Y1647" s="97">
        <f t="shared" si="309"/>
        <v>192864.63472027084</v>
      </c>
      <c r="Z1647" s="97">
        <f t="shared" si="311"/>
        <v>203703.62719155007</v>
      </c>
      <c r="AA1647" s="97">
        <f t="shared" si="312"/>
        <v>230429.54307908143</v>
      </c>
    </row>
    <row r="1648" spans="1:27" x14ac:dyDescent="0.25">
      <c r="A1648" s="102" t="s">
        <v>3654</v>
      </c>
      <c r="B1648" s="119" t="s">
        <v>3655</v>
      </c>
      <c r="C1648" s="107" t="s">
        <v>226</v>
      </c>
      <c r="D1648" s="124" t="s">
        <v>262</v>
      </c>
      <c r="E1648" s="90">
        <f t="shared" si="317"/>
        <v>51413</v>
      </c>
      <c r="F1648" s="90">
        <f t="shared" si="318"/>
        <v>43204.549305574656</v>
      </c>
      <c r="G1648" s="91">
        <v>0.19</v>
      </c>
      <c r="H1648" s="91" t="s">
        <v>228</v>
      </c>
      <c r="I1648" s="91"/>
      <c r="J1648" s="91" t="s">
        <v>228</v>
      </c>
      <c r="K1648" s="91"/>
      <c r="L1648" s="92" t="s">
        <v>1262</v>
      </c>
      <c r="M1648" s="91" t="str">
        <f t="shared" si="319"/>
        <v>VER ARCHIVO ANEXO</v>
      </c>
      <c r="N1648" s="93">
        <v>41608</v>
      </c>
      <c r="O1648" s="109"/>
      <c r="P1648" s="109"/>
      <c r="Q1648" s="94">
        <v>1499</v>
      </c>
      <c r="R1648" s="95">
        <f t="shared" si="310"/>
        <v>43204.549305574656</v>
      </c>
      <c r="S1648" s="109">
        <v>28273.264999999999</v>
      </c>
      <c r="T1648" s="94">
        <f t="shared" si="320"/>
        <v>30187.365040500001</v>
      </c>
      <c r="U1648" s="94">
        <f t="shared" si="315"/>
        <v>31923.138530328753</v>
      </c>
      <c r="V1648" s="94">
        <f t="shared" si="316"/>
        <v>33228.794896219195</v>
      </c>
      <c r="W1648" s="97">
        <f t="shared" si="313"/>
        <v>34285.470573918967</v>
      </c>
      <c r="X1648" s="97">
        <f t="shared" si="314"/>
        <v>35588.318455727887</v>
      </c>
      <c r="Y1648" s="97">
        <f t="shared" si="309"/>
        <v>36161.290382865103</v>
      </c>
      <c r="Z1648" s="97">
        <f t="shared" si="311"/>
        <v>38193.554902382122</v>
      </c>
      <c r="AA1648" s="97">
        <f t="shared" si="312"/>
        <v>43204.549305574656</v>
      </c>
    </row>
    <row r="1649" spans="1:27" x14ac:dyDescent="0.25">
      <c r="A1649" s="102" t="s">
        <v>3656</v>
      </c>
      <c r="B1649" s="87" t="s">
        <v>3657</v>
      </c>
      <c r="C1649" s="107" t="s">
        <v>226</v>
      </c>
      <c r="D1649" s="124" t="s">
        <v>262</v>
      </c>
      <c r="E1649" s="90">
        <f t="shared" si="317"/>
        <v>11994</v>
      </c>
      <c r="F1649" s="90">
        <f t="shared" si="318"/>
        <v>10079.213464028289</v>
      </c>
      <c r="G1649" s="91">
        <v>0.19</v>
      </c>
      <c r="H1649" s="91" t="s">
        <v>228</v>
      </c>
      <c r="I1649" s="91"/>
      <c r="J1649" s="91" t="s">
        <v>228</v>
      </c>
      <c r="K1649" s="91"/>
      <c r="L1649" s="92" t="s">
        <v>1262</v>
      </c>
      <c r="M1649" s="91" t="str">
        <f t="shared" si="319"/>
        <v>VER ARCHIVO ANEXO</v>
      </c>
      <c r="N1649" s="93">
        <v>41608</v>
      </c>
      <c r="O1649" s="109"/>
      <c r="P1649" s="109"/>
      <c r="Q1649" s="94">
        <v>1500</v>
      </c>
      <c r="R1649" s="95">
        <f t="shared" si="310"/>
        <v>10079.213464028289</v>
      </c>
      <c r="S1649" s="109">
        <v>6595.8858</v>
      </c>
      <c r="T1649" s="94">
        <f t="shared" si="320"/>
        <v>7042.4272686600007</v>
      </c>
      <c r="U1649" s="94">
        <f t="shared" si="315"/>
        <v>7447.3668366079519</v>
      </c>
      <c r="V1649" s="94">
        <f t="shared" si="316"/>
        <v>7751.9641402252164</v>
      </c>
      <c r="W1649" s="97">
        <f t="shared" si="313"/>
        <v>7998.4765998843786</v>
      </c>
      <c r="X1649" s="97">
        <f t="shared" si="314"/>
        <v>8302.4187106799855</v>
      </c>
      <c r="Y1649" s="97">
        <f t="shared" si="309"/>
        <v>8436.0876519219328</v>
      </c>
      <c r="Z1649" s="97">
        <f t="shared" si="311"/>
        <v>8910.1957779599452</v>
      </c>
      <c r="AA1649" s="97">
        <f t="shared" si="312"/>
        <v>10079.213464028289</v>
      </c>
    </row>
    <row r="1650" spans="1:27" x14ac:dyDescent="0.25">
      <c r="A1650" s="102" t="s">
        <v>3658</v>
      </c>
      <c r="B1650" s="119" t="s">
        <v>3659</v>
      </c>
      <c r="C1650" s="107" t="s">
        <v>226</v>
      </c>
      <c r="D1650" s="124" t="s">
        <v>262</v>
      </c>
      <c r="E1650" s="90">
        <f t="shared" si="317"/>
        <v>7712</v>
      </c>
      <c r="F1650" s="90">
        <f t="shared" si="318"/>
        <v>6480.2863871349573</v>
      </c>
      <c r="G1650" s="91">
        <v>0.19</v>
      </c>
      <c r="H1650" s="91" t="s">
        <v>228</v>
      </c>
      <c r="I1650" s="91"/>
      <c r="J1650" s="91" t="s">
        <v>228</v>
      </c>
      <c r="K1650" s="91"/>
      <c r="L1650" s="92" t="s">
        <v>1262</v>
      </c>
      <c r="M1650" s="91" t="str">
        <f t="shared" si="319"/>
        <v>VER ARCHIVO ANEXO</v>
      </c>
      <c r="N1650" s="93">
        <v>41608</v>
      </c>
      <c r="O1650" s="109"/>
      <c r="P1650" s="109"/>
      <c r="Q1650" s="94">
        <v>1501</v>
      </c>
      <c r="R1650" s="95">
        <f t="shared" si="310"/>
        <v>6480.2863871349573</v>
      </c>
      <c r="S1650" s="109">
        <v>4240.7305999999999</v>
      </c>
      <c r="T1650" s="94">
        <f t="shared" si="320"/>
        <v>4527.82806162</v>
      </c>
      <c r="U1650" s="94">
        <f t="shared" si="315"/>
        <v>4788.1781751631506</v>
      </c>
      <c r="V1650" s="94">
        <f t="shared" si="316"/>
        <v>4984.0146625273228</v>
      </c>
      <c r="W1650" s="97">
        <f t="shared" si="313"/>
        <v>5142.5063287956918</v>
      </c>
      <c r="X1650" s="97">
        <f t="shared" si="314"/>
        <v>5337.9215692899279</v>
      </c>
      <c r="Y1650" s="97">
        <f t="shared" si="309"/>
        <v>5423.8621065554962</v>
      </c>
      <c r="Z1650" s="97">
        <f t="shared" si="311"/>
        <v>5728.6831569439155</v>
      </c>
      <c r="AA1650" s="97">
        <f t="shared" si="312"/>
        <v>6480.2863871349573</v>
      </c>
    </row>
    <row r="1651" spans="1:27" x14ac:dyDescent="0.25">
      <c r="A1651" s="102" t="s">
        <v>3660</v>
      </c>
      <c r="B1651" s="119" t="s">
        <v>3661</v>
      </c>
      <c r="C1651" s="107" t="s">
        <v>226</v>
      </c>
      <c r="D1651" s="124" t="s">
        <v>262</v>
      </c>
      <c r="E1651" s="90">
        <f t="shared" si="317"/>
        <v>4626</v>
      </c>
      <c r="F1651" s="90">
        <f t="shared" si="318"/>
        <v>3887.2214113979921</v>
      </c>
      <c r="G1651" s="91">
        <v>0.19</v>
      </c>
      <c r="H1651" s="91" t="s">
        <v>228</v>
      </c>
      <c r="I1651" s="91"/>
      <c r="J1651" s="91" t="s">
        <v>228</v>
      </c>
      <c r="K1651" s="91"/>
      <c r="L1651" s="92" t="s">
        <v>1262</v>
      </c>
      <c r="M1651" s="91" t="str">
        <f t="shared" si="319"/>
        <v>VER ARCHIVO ANEXO</v>
      </c>
      <c r="N1651" s="93">
        <v>41608</v>
      </c>
      <c r="O1651" s="109"/>
      <c r="P1651" s="109"/>
      <c r="Q1651" s="94">
        <v>1502</v>
      </c>
      <c r="R1651" s="95">
        <f t="shared" si="310"/>
        <v>3887.2214113979921</v>
      </c>
      <c r="S1651" s="109">
        <v>2543.8163999999997</v>
      </c>
      <c r="T1651" s="94">
        <f t="shared" si="320"/>
        <v>2716.03277028</v>
      </c>
      <c r="U1651" s="94">
        <f t="shared" si="315"/>
        <v>2872.2046545711005</v>
      </c>
      <c r="V1651" s="94">
        <f t="shared" si="316"/>
        <v>2989.6778249430581</v>
      </c>
      <c r="W1651" s="97">
        <f t="shared" si="313"/>
        <v>3084.7495797762476</v>
      </c>
      <c r="X1651" s="97">
        <f t="shared" si="314"/>
        <v>3201.9700638077452</v>
      </c>
      <c r="Y1651" s="97">
        <f t="shared" si="309"/>
        <v>3253.5217818350498</v>
      </c>
      <c r="Z1651" s="97">
        <f t="shared" si="311"/>
        <v>3436.3697059741799</v>
      </c>
      <c r="AA1651" s="97">
        <f t="shared" si="312"/>
        <v>3887.2214113979921</v>
      </c>
    </row>
    <row r="1652" spans="1:27" x14ac:dyDescent="0.25">
      <c r="A1652" s="102" t="s">
        <v>3662</v>
      </c>
      <c r="B1652" s="118" t="s">
        <v>3663</v>
      </c>
      <c r="C1652" s="144" t="s">
        <v>226</v>
      </c>
      <c r="D1652" s="145" t="s">
        <v>262</v>
      </c>
      <c r="E1652" s="101">
        <f t="shared" si="317"/>
        <v>71981</v>
      </c>
      <c r="F1652" s="90">
        <f t="shared" si="318"/>
        <v>60487.953062609507</v>
      </c>
      <c r="G1652" s="91">
        <v>0.19</v>
      </c>
      <c r="H1652" s="91" t="s">
        <v>228</v>
      </c>
      <c r="I1652" s="91"/>
      <c r="J1652" s="91" t="s">
        <v>228</v>
      </c>
      <c r="K1652" s="91"/>
      <c r="L1652" s="92" t="s">
        <v>1262</v>
      </c>
      <c r="M1652" s="91" t="str">
        <f t="shared" si="319"/>
        <v>VER ARCHIVO ANEXO</v>
      </c>
      <c r="N1652" s="93">
        <v>41608</v>
      </c>
      <c r="O1652" s="109"/>
      <c r="P1652" s="109"/>
      <c r="Q1652" s="94">
        <v>1503</v>
      </c>
      <c r="R1652" s="95">
        <f t="shared" si="310"/>
        <v>60487.953062609507</v>
      </c>
      <c r="S1652" s="109">
        <v>39583.607599999996</v>
      </c>
      <c r="T1652" s="94">
        <f t="shared" si="320"/>
        <v>42263.417834519998</v>
      </c>
      <c r="U1652" s="94">
        <f t="shared" si="315"/>
        <v>44693.564360004901</v>
      </c>
      <c r="V1652" s="94">
        <f t="shared" si="316"/>
        <v>46521.531142329099</v>
      </c>
      <c r="W1652" s="97">
        <f t="shared" si="313"/>
        <v>48000.91583265517</v>
      </c>
      <c r="X1652" s="97">
        <f t="shared" si="314"/>
        <v>49824.950634296067</v>
      </c>
      <c r="Y1652" s="97">
        <f t="shared" si="309"/>
        <v>50627.132339508236</v>
      </c>
      <c r="Z1652" s="97">
        <f t="shared" si="311"/>
        <v>53472.377176988601</v>
      </c>
      <c r="AA1652" s="97">
        <f t="shared" si="312"/>
        <v>60487.953062609507</v>
      </c>
    </row>
    <row r="1653" spans="1:27" x14ac:dyDescent="0.25">
      <c r="A1653" s="102" t="s">
        <v>3664</v>
      </c>
      <c r="B1653" s="119" t="s">
        <v>3665</v>
      </c>
      <c r="C1653" s="107" t="s">
        <v>226</v>
      </c>
      <c r="D1653" s="124" t="s">
        <v>262</v>
      </c>
      <c r="E1653" s="90">
        <f t="shared" si="317"/>
        <v>136763</v>
      </c>
      <c r="F1653" s="90">
        <f t="shared" si="318"/>
        <v>114926.47720503606</v>
      </c>
      <c r="G1653" s="91">
        <v>0.19</v>
      </c>
      <c r="H1653" s="91" t="s">
        <v>228</v>
      </c>
      <c r="I1653" s="91"/>
      <c r="J1653" s="91" t="s">
        <v>228</v>
      </c>
      <c r="K1653" s="91"/>
      <c r="L1653" s="92" t="s">
        <v>1262</v>
      </c>
      <c r="M1653" s="91" t="str">
        <f t="shared" si="319"/>
        <v>VER ARCHIVO ANEXO</v>
      </c>
      <c r="N1653" s="93">
        <v>41608</v>
      </c>
      <c r="O1653" s="109"/>
      <c r="P1653" s="109"/>
      <c r="Q1653" s="94">
        <v>1504</v>
      </c>
      <c r="R1653" s="95">
        <f t="shared" si="310"/>
        <v>114926.47720503606</v>
      </c>
      <c r="S1653" s="109">
        <v>75208.439799999993</v>
      </c>
      <c r="T1653" s="94">
        <f t="shared" si="320"/>
        <v>80300.051174459993</v>
      </c>
      <c r="U1653" s="94">
        <f t="shared" si="315"/>
        <v>84917.30411699145</v>
      </c>
      <c r="V1653" s="94">
        <f t="shared" si="316"/>
        <v>88390.421855376393</v>
      </c>
      <c r="W1653" s="97">
        <f t="shared" si="313"/>
        <v>91201.237270377373</v>
      </c>
      <c r="X1653" s="97">
        <f t="shared" si="314"/>
        <v>94666.884286651723</v>
      </c>
      <c r="Y1653" s="97">
        <f t="shared" si="309"/>
        <v>96191.021123666811</v>
      </c>
      <c r="Z1653" s="97">
        <f t="shared" si="311"/>
        <v>101596.95651081689</v>
      </c>
      <c r="AA1653" s="97">
        <f t="shared" si="312"/>
        <v>114926.47720503606</v>
      </c>
    </row>
    <row r="1654" spans="1:27" x14ac:dyDescent="0.25">
      <c r="A1654" s="102" t="s">
        <v>3666</v>
      </c>
      <c r="B1654" s="119" t="s">
        <v>3347</v>
      </c>
      <c r="C1654" s="107" t="s">
        <v>226</v>
      </c>
      <c r="D1654" s="124" t="s">
        <v>262</v>
      </c>
      <c r="E1654" s="90">
        <f t="shared" si="317"/>
        <v>2356252</v>
      </c>
      <c r="F1654" s="90">
        <f t="shared" si="318"/>
        <v>1980043.5062133214</v>
      </c>
      <c r="G1654" s="91">
        <v>0.19</v>
      </c>
      <c r="H1654" s="91" t="s">
        <v>228</v>
      </c>
      <c r="I1654" s="91"/>
      <c r="J1654" s="91" t="s">
        <v>228</v>
      </c>
      <c r="K1654" s="91"/>
      <c r="L1654" s="92" t="s">
        <v>1262</v>
      </c>
      <c r="M1654" s="91" t="str">
        <f t="shared" si="319"/>
        <v>VER ARCHIVO ANEXO</v>
      </c>
      <c r="N1654" s="93">
        <v>41608</v>
      </c>
      <c r="O1654" s="109"/>
      <c r="P1654" s="109"/>
      <c r="Q1654" s="94">
        <v>1505</v>
      </c>
      <c r="R1654" s="95">
        <f t="shared" si="310"/>
        <v>1980043.5062133214</v>
      </c>
      <c r="S1654" s="109">
        <v>1295750</v>
      </c>
      <c r="T1654" s="94">
        <f t="shared" si="320"/>
        <v>1383472.2750000001</v>
      </c>
      <c r="U1654" s="94">
        <f t="shared" si="315"/>
        <v>1463021.9308125002</v>
      </c>
      <c r="V1654" s="94">
        <f t="shared" si="316"/>
        <v>1522859.5277827315</v>
      </c>
      <c r="W1654" s="97">
        <f t="shared" si="313"/>
        <v>1571286.4607662223</v>
      </c>
      <c r="X1654" s="97">
        <f t="shared" si="314"/>
        <v>1630995.3462753389</v>
      </c>
      <c r="Y1654" s="97">
        <f t="shared" si="309"/>
        <v>1657254.371350372</v>
      </c>
      <c r="Z1654" s="97">
        <f t="shared" si="311"/>
        <v>1750392.0670202628</v>
      </c>
      <c r="AA1654" s="97">
        <f t="shared" si="312"/>
        <v>1980043.5062133214</v>
      </c>
    </row>
    <row r="1655" spans="1:27" x14ac:dyDescent="0.25">
      <c r="A1655" s="102" t="s">
        <v>3667</v>
      </c>
      <c r="B1655" s="126" t="s">
        <v>3668</v>
      </c>
      <c r="C1655" s="107" t="s">
        <v>226</v>
      </c>
      <c r="D1655" s="124" t="s">
        <v>262</v>
      </c>
      <c r="E1655" s="90">
        <f t="shared" si="317"/>
        <v>34124</v>
      </c>
      <c r="F1655" s="90">
        <f t="shared" si="318"/>
        <v>28675.782074383806</v>
      </c>
      <c r="G1655" s="91">
        <v>0.19</v>
      </c>
      <c r="H1655" s="91" t="s">
        <v>228</v>
      </c>
      <c r="I1655" s="91"/>
      <c r="J1655" s="91" t="s">
        <v>228</v>
      </c>
      <c r="K1655" s="91"/>
      <c r="L1655" s="92" t="s">
        <v>1262</v>
      </c>
      <c r="M1655" s="91" t="str">
        <f t="shared" si="319"/>
        <v>VER ARCHIVO ANEXO</v>
      </c>
      <c r="N1655" s="93">
        <v>41608</v>
      </c>
      <c r="O1655" s="109"/>
      <c r="P1655" s="109"/>
      <c r="Q1655" s="94">
        <v>1506</v>
      </c>
      <c r="R1655" s="95">
        <f t="shared" si="310"/>
        <v>28675.782074383806</v>
      </c>
      <c r="S1655" s="109">
        <v>18765.569800000001</v>
      </c>
      <c r="T1655" s="94">
        <f t="shared" si="320"/>
        <v>20035.998875460002</v>
      </c>
      <c r="U1655" s="94">
        <f t="shared" si="315"/>
        <v>21188.068810798955</v>
      </c>
      <c r="V1655" s="94">
        <f t="shared" si="316"/>
        <v>22054.66082516063</v>
      </c>
      <c r="W1655" s="97">
        <f t="shared" si="313"/>
        <v>22755.99903940074</v>
      </c>
      <c r="X1655" s="97">
        <f t="shared" si="314"/>
        <v>23620.727002897969</v>
      </c>
      <c r="Y1655" s="97">
        <f t="shared" si="309"/>
        <v>24001.020707644628</v>
      </c>
      <c r="Z1655" s="97">
        <f t="shared" si="311"/>
        <v>25349.878071414256</v>
      </c>
      <c r="AA1655" s="97">
        <f t="shared" si="312"/>
        <v>28675.782074383806</v>
      </c>
    </row>
    <row r="1656" spans="1:27" x14ac:dyDescent="0.25">
      <c r="A1656" s="102" t="s">
        <v>3669</v>
      </c>
      <c r="B1656" s="126" t="s">
        <v>3670</v>
      </c>
      <c r="C1656" s="107" t="s">
        <v>226</v>
      </c>
      <c r="D1656" s="124" t="s">
        <v>262</v>
      </c>
      <c r="E1656" s="90">
        <f t="shared" si="317"/>
        <v>666250</v>
      </c>
      <c r="F1656" s="90">
        <f t="shared" si="318"/>
        <v>559873.93374726875</v>
      </c>
      <c r="G1656" s="91">
        <v>0.19</v>
      </c>
      <c r="H1656" s="91" t="s">
        <v>228</v>
      </c>
      <c r="I1656" s="91"/>
      <c r="J1656" s="91" t="s">
        <v>228</v>
      </c>
      <c r="K1656" s="91"/>
      <c r="L1656" s="92" t="s">
        <v>1262</v>
      </c>
      <c r="M1656" s="91" t="str">
        <f t="shared" si="319"/>
        <v>VER ARCHIVO ANEXO</v>
      </c>
      <c r="N1656" s="93">
        <v>41608</v>
      </c>
      <c r="O1656" s="109"/>
      <c r="P1656" s="109"/>
      <c r="Q1656" s="94">
        <v>1507</v>
      </c>
      <c r="R1656" s="95">
        <f t="shared" si="310"/>
        <v>559873.93374726875</v>
      </c>
      <c r="S1656" s="109">
        <v>366384.19679999998</v>
      </c>
      <c r="T1656" s="94">
        <f t="shared" si="320"/>
        <v>391188.40692336002</v>
      </c>
      <c r="U1656" s="94">
        <f t="shared" si="315"/>
        <v>413681.74032145325</v>
      </c>
      <c r="V1656" s="94">
        <f t="shared" si="316"/>
        <v>430601.32350060064</v>
      </c>
      <c r="W1656" s="97">
        <f t="shared" si="313"/>
        <v>444294.44558791979</v>
      </c>
      <c r="X1656" s="97">
        <f t="shared" si="314"/>
        <v>461177.63452026073</v>
      </c>
      <c r="Y1656" s="97">
        <f t="shared" si="309"/>
        <v>468602.59443603695</v>
      </c>
      <c r="Z1656" s="97">
        <f t="shared" si="311"/>
        <v>494938.06024334225</v>
      </c>
      <c r="AA1656" s="97">
        <f t="shared" si="312"/>
        <v>559873.93374726875</v>
      </c>
    </row>
    <row r="1657" spans="1:27" x14ac:dyDescent="0.25">
      <c r="A1657" s="102" t="s">
        <v>3671</v>
      </c>
      <c r="B1657" s="87" t="s">
        <v>3672</v>
      </c>
      <c r="C1657" s="107" t="s">
        <v>226</v>
      </c>
      <c r="D1657" s="124" t="s">
        <v>262</v>
      </c>
      <c r="E1657" s="90">
        <f t="shared" si="317"/>
        <v>438749</v>
      </c>
      <c r="F1657" s="90">
        <f t="shared" si="318"/>
        <v>368696.77313536021</v>
      </c>
      <c r="G1657" s="91">
        <v>0.19</v>
      </c>
      <c r="H1657" s="91" t="s">
        <v>228</v>
      </c>
      <c r="I1657" s="91"/>
      <c r="J1657" s="91" t="s">
        <v>228</v>
      </c>
      <c r="K1657" s="91"/>
      <c r="L1657" s="92" t="s">
        <v>1262</v>
      </c>
      <c r="M1657" s="91" t="str">
        <f t="shared" si="319"/>
        <v>VER ARCHIVO ANEXO</v>
      </c>
      <c r="N1657" s="93">
        <v>41608</v>
      </c>
      <c r="O1657" s="109"/>
      <c r="P1657" s="109"/>
      <c r="Q1657" s="94">
        <v>1508</v>
      </c>
      <c r="R1657" s="95">
        <f t="shared" si="310"/>
        <v>368696.77313536021</v>
      </c>
      <c r="S1657" s="109">
        <v>241276.94279999999</v>
      </c>
      <c r="T1657" s="94">
        <f t="shared" si="320"/>
        <v>257611.39182756</v>
      </c>
      <c r="U1657" s="94">
        <f t="shared" si="315"/>
        <v>272424.04685764475</v>
      </c>
      <c r="V1657" s="94">
        <f t="shared" si="316"/>
        <v>283566.19037412241</v>
      </c>
      <c r="W1657" s="97">
        <f t="shared" si="313"/>
        <v>292583.59522801952</v>
      </c>
      <c r="X1657" s="97">
        <f t="shared" si="314"/>
        <v>303701.77184668428</v>
      </c>
      <c r="Y1657" s="97">
        <f t="shared" ref="Y1657:Y1720" si="321">+X1657*(1+$Y$4)</f>
        <v>308591.37037341588</v>
      </c>
      <c r="Z1657" s="97">
        <f t="shared" si="311"/>
        <v>325934.20538840187</v>
      </c>
      <c r="AA1657" s="97">
        <f t="shared" si="312"/>
        <v>368696.77313536021</v>
      </c>
    </row>
    <row r="1658" spans="1:27" x14ac:dyDescent="0.25">
      <c r="A1658" s="102" t="s">
        <v>3673</v>
      </c>
      <c r="B1658" s="126" t="s">
        <v>3674</v>
      </c>
      <c r="C1658" s="107" t="s">
        <v>226</v>
      </c>
      <c r="D1658" s="124" t="s">
        <v>262</v>
      </c>
      <c r="E1658" s="90">
        <f t="shared" si="317"/>
        <v>731250</v>
      </c>
      <c r="F1658" s="90">
        <f t="shared" si="318"/>
        <v>614496.20592707198</v>
      </c>
      <c r="G1658" s="91">
        <v>0.19</v>
      </c>
      <c r="H1658" s="91" t="s">
        <v>228</v>
      </c>
      <c r="I1658" s="91"/>
      <c r="J1658" s="91" t="s">
        <v>228</v>
      </c>
      <c r="K1658" s="91"/>
      <c r="L1658" s="92" t="s">
        <v>1262</v>
      </c>
      <c r="M1658" s="91" t="str">
        <f t="shared" si="319"/>
        <v>VER ARCHIVO ANEXO</v>
      </c>
      <c r="N1658" s="93">
        <v>41608</v>
      </c>
      <c r="O1658" s="109"/>
      <c r="P1658" s="109"/>
      <c r="Q1658" s="94">
        <v>1509</v>
      </c>
      <c r="R1658" s="95">
        <f t="shared" si="310"/>
        <v>614496.20592707198</v>
      </c>
      <c r="S1658" s="109">
        <v>402129.2746</v>
      </c>
      <c r="T1658" s="94">
        <f t="shared" si="320"/>
        <v>429353.42649042007</v>
      </c>
      <c r="U1658" s="94">
        <f t="shared" si="315"/>
        <v>454041.24851361924</v>
      </c>
      <c r="V1658" s="94">
        <f t="shared" si="316"/>
        <v>472611.53557782626</v>
      </c>
      <c r="W1658" s="97">
        <f t="shared" si="313"/>
        <v>487640.58240920113</v>
      </c>
      <c r="X1658" s="97">
        <f t="shared" si="314"/>
        <v>506170.9245407508</v>
      </c>
      <c r="Y1658" s="97">
        <f t="shared" si="321"/>
        <v>514320.27642585686</v>
      </c>
      <c r="Z1658" s="97">
        <f t="shared" si="311"/>
        <v>543225.07596099004</v>
      </c>
      <c r="AA1658" s="97">
        <f t="shared" si="312"/>
        <v>614496.20592707198</v>
      </c>
    </row>
    <row r="1659" spans="1:27" x14ac:dyDescent="0.25">
      <c r="A1659" s="102" t="s">
        <v>3675</v>
      </c>
      <c r="B1659" s="126" t="s">
        <v>3668</v>
      </c>
      <c r="C1659" s="107" t="s">
        <v>226</v>
      </c>
      <c r="D1659" s="124" t="s">
        <v>262</v>
      </c>
      <c r="E1659" s="90">
        <f t="shared" si="317"/>
        <v>34124</v>
      </c>
      <c r="F1659" s="90">
        <f t="shared" si="318"/>
        <v>28675.782074383806</v>
      </c>
      <c r="G1659" s="91">
        <v>0.19</v>
      </c>
      <c r="H1659" s="91" t="s">
        <v>228</v>
      </c>
      <c r="I1659" s="91"/>
      <c r="J1659" s="91" t="s">
        <v>228</v>
      </c>
      <c r="K1659" s="91"/>
      <c r="L1659" s="92" t="s">
        <v>1262</v>
      </c>
      <c r="M1659" s="91" t="str">
        <f t="shared" si="319"/>
        <v>VER ARCHIVO ANEXO</v>
      </c>
      <c r="N1659" s="93">
        <v>41608</v>
      </c>
      <c r="O1659" s="109"/>
      <c r="P1659" s="109"/>
      <c r="Q1659" s="94">
        <v>1510</v>
      </c>
      <c r="R1659" s="95">
        <f t="shared" si="310"/>
        <v>28675.782074383806</v>
      </c>
      <c r="S1659" s="109">
        <v>18765.569800000001</v>
      </c>
      <c r="T1659" s="94">
        <f t="shared" si="320"/>
        <v>20035.998875460002</v>
      </c>
      <c r="U1659" s="94">
        <f t="shared" si="315"/>
        <v>21188.068810798955</v>
      </c>
      <c r="V1659" s="94">
        <f t="shared" si="316"/>
        <v>22054.66082516063</v>
      </c>
      <c r="W1659" s="97">
        <f t="shared" si="313"/>
        <v>22755.99903940074</v>
      </c>
      <c r="X1659" s="97">
        <f t="shared" si="314"/>
        <v>23620.727002897969</v>
      </c>
      <c r="Y1659" s="97">
        <f t="shared" si="321"/>
        <v>24001.020707644628</v>
      </c>
      <c r="Z1659" s="97">
        <f t="shared" si="311"/>
        <v>25349.878071414256</v>
      </c>
      <c r="AA1659" s="97">
        <f t="shared" si="312"/>
        <v>28675.782074383806</v>
      </c>
    </row>
    <row r="1660" spans="1:27" x14ac:dyDescent="0.25">
      <c r="A1660" s="102" t="s">
        <v>3676</v>
      </c>
      <c r="B1660" s="126" t="s">
        <v>3677</v>
      </c>
      <c r="C1660" s="107" t="s">
        <v>226</v>
      </c>
      <c r="D1660" s="124" t="s">
        <v>4</v>
      </c>
      <c r="E1660" s="90">
        <f t="shared" si="317"/>
        <v>5655</v>
      </c>
      <c r="F1660" s="90">
        <f t="shared" si="318"/>
        <v>4752.1044149119698</v>
      </c>
      <c r="G1660" s="91">
        <v>0.19</v>
      </c>
      <c r="H1660" s="91" t="s">
        <v>228</v>
      </c>
      <c r="I1660" s="91"/>
      <c r="J1660" s="91" t="s">
        <v>228</v>
      </c>
      <c r="K1660" s="91"/>
      <c r="L1660" s="92" t="s">
        <v>1262</v>
      </c>
      <c r="M1660" s="91" t="str">
        <f t="shared" si="319"/>
        <v>VER ARCHIVO ANEXO</v>
      </c>
      <c r="N1660" s="93">
        <v>41608</v>
      </c>
      <c r="O1660" s="109"/>
      <c r="P1660" s="109"/>
      <c r="Q1660" s="94">
        <v>1511</v>
      </c>
      <c r="R1660" s="95">
        <f t="shared" si="310"/>
        <v>4752.1044149119698</v>
      </c>
      <c r="S1660" s="109">
        <v>3109.7999999999997</v>
      </c>
      <c r="T1660" s="94">
        <f t="shared" si="320"/>
        <v>3320.3334599999998</v>
      </c>
      <c r="U1660" s="94">
        <f t="shared" si="315"/>
        <v>3511.25263395</v>
      </c>
      <c r="V1660" s="94">
        <f t="shared" si="316"/>
        <v>3654.8628666785548</v>
      </c>
      <c r="W1660" s="97">
        <f t="shared" si="313"/>
        <v>3771.0875058389329</v>
      </c>
      <c r="X1660" s="97">
        <f t="shared" si="314"/>
        <v>3914.3888310608127</v>
      </c>
      <c r="Y1660" s="97">
        <f t="shared" si="321"/>
        <v>3977.4104912408916</v>
      </c>
      <c r="Z1660" s="97">
        <f t="shared" si="311"/>
        <v>4200.9409608486294</v>
      </c>
      <c r="AA1660" s="97">
        <f t="shared" si="312"/>
        <v>4752.1044149119698</v>
      </c>
    </row>
    <row r="1661" spans="1:27" x14ac:dyDescent="0.25">
      <c r="A1661" s="102" t="s">
        <v>3678</v>
      </c>
      <c r="B1661" s="126" t="s">
        <v>3679</v>
      </c>
      <c r="C1661" s="88" t="s">
        <v>226</v>
      </c>
      <c r="D1661" s="89" t="s">
        <v>262</v>
      </c>
      <c r="E1661" s="90">
        <f t="shared" si="317"/>
        <v>97500</v>
      </c>
      <c r="F1661" s="90">
        <f t="shared" si="318"/>
        <v>81932.616252302265</v>
      </c>
      <c r="G1661" s="91">
        <v>0.19</v>
      </c>
      <c r="H1661" s="91" t="s">
        <v>228</v>
      </c>
      <c r="I1661" s="91"/>
      <c r="J1661" s="91" t="s">
        <v>228</v>
      </c>
      <c r="K1661" s="91"/>
      <c r="L1661" s="92" t="s">
        <v>1262</v>
      </c>
      <c r="M1661" s="91" t="str">
        <f t="shared" si="319"/>
        <v>VER ARCHIVO ANEXO</v>
      </c>
      <c r="N1661" s="93">
        <v>41608</v>
      </c>
      <c r="O1661" s="109"/>
      <c r="P1661" s="109"/>
      <c r="Q1661" s="94">
        <v>1512</v>
      </c>
      <c r="R1661" s="95">
        <f t="shared" si="310"/>
        <v>81932.616252302265</v>
      </c>
      <c r="S1661" s="109">
        <v>53617.098399999995</v>
      </c>
      <c r="T1661" s="94">
        <f t="shared" si="320"/>
        <v>57246.97596168</v>
      </c>
      <c r="U1661" s="94">
        <f t="shared" si="315"/>
        <v>60538.677079476605</v>
      </c>
      <c r="V1661" s="94">
        <f t="shared" si="316"/>
        <v>63014.708972027198</v>
      </c>
      <c r="W1661" s="97">
        <f t="shared" si="313"/>
        <v>65018.576717337666</v>
      </c>
      <c r="X1661" s="97">
        <f t="shared" si="314"/>
        <v>67489.2826325965</v>
      </c>
      <c r="Y1661" s="97">
        <f t="shared" si="321"/>
        <v>68575.860082981308</v>
      </c>
      <c r="Z1661" s="97">
        <f t="shared" si="311"/>
        <v>72429.823419644861</v>
      </c>
      <c r="AA1661" s="97">
        <f t="shared" si="312"/>
        <v>81932.616252302265</v>
      </c>
    </row>
    <row r="1662" spans="1:27" x14ac:dyDescent="0.25">
      <c r="A1662" s="102" t="s">
        <v>3680</v>
      </c>
      <c r="B1662" s="126" t="s">
        <v>3681</v>
      </c>
      <c r="C1662" s="88" t="s">
        <v>226</v>
      </c>
      <c r="D1662" s="89" t="s">
        <v>255</v>
      </c>
      <c r="E1662" s="90">
        <f t="shared" si="317"/>
        <v>6499</v>
      </c>
      <c r="F1662" s="90">
        <f t="shared" si="318"/>
        <v>5461.7520075388256</v>
      </c>
      <c r="G1662" s="91">
        <v>0.19</v>
      </c>
      <c r="H1662" s="91" t="s">
        <v>228</v>
      </c>
      <c r="I1662" s="91"/>
      <c r="J1662" s="91" t="s">
        <v>228</v>
      </c>
      <c r="K1662" s="91"/>
      <c r="L1662" s="92" t="s">
        <v>1262</v>
      </c>
      <c r="M1662" s="91" t="str">
        <f t="shared" si="319"/>
        <v>VER ARCHIVO ANEXO</v>
      </c>
      <c r="N1662" s="93">
        <v>41608</v>
      </c>
      <c r="O1662" s="109"/>
      <c r="P1662" s="109"/>
      <c r="Q1662" s="94">
        <v>1513</v>
      </c>
      <c r="R1662" s="95">
        <f t="shared" si="310"/>
        <v>5461.7520075388256</v>
      </c>
      <c r="S1662" s="109">
        <v>3574.1967999999997</v>
      </c>
      <c r="T1662" s="94">
        <f t="shared" si="320"/>
        <v>3816.1699233600002</v>
      </c>
      <c r="U1662" s="94">
        <f t="shared" si="315"/>
        <v>4035.5996939532006</v>
      </c>
      <c r="V1662" s="94">
        <f t="shared" si="316"/>
        <v>4200.6557214358863</v>
      </c>
      <c r="W1662" s="97">
        <f t="shared" si="313"/>
        <v>4334.2365733775478</v>
      </c>
      <c r="X1662" s="97">
        <f t="shared" si="314"/>
        <v>4498.937563165895</v>
      </c>
      <c r="Y1662" s="97">
        <f t="shared" si="321"/>
        <v>4571.370457932866</v>
      </c>
      <c r="Z1662" s="97">
        <f t="shared" si="311"/>
        <v>4828.2814776686928</v>
      </c>
      <c r="AA1662" s="97">
        <f t="shared" si="312"/>
        <v>5461.7520075388256</v>
      </c>
    </row>
    <row r="1663" spans="1:27" x14ac:dyDescent="0.25">
      <c r="A1663" s="102" t="s">
        <v>3682</v>
      </c>
      <c r="B1663" s="126" t="s">
        <v>3683</v>
      </c>
      <c r="C1663" s="88" t="s">
        <v>226</v>
      </c>
      <c r="D1663" s="89" t="s">
        <v>262</v>
      </c>
      <c r="E1663" s="90">
        <f t="shared" si="317"/>
        <v>122687</v>
      </c>
      <c r="F1663" s="90">
        <f t="shared" si="318"/>
        <v>103098.48931632016</v>
      </c>
      <c r="G1663" s="91">
        <v>0.19</v>
      </c>
      <c r="H1663" s="91" t="s">
        <v>228</v>
      </c>
      <c r="I1663" s="91"/>
      <c r="J1663" s="91" t="s">
        <v>228</v>
      </c>
      <c r="K1663" s="91"/>
      <c r="L1663" s="92" t="s">
        <v>1262</v>
      </c>
      <c r="M1663" s="91" t="str">
        <f t="shared" si="319"/>
        <v>VER ARCHIVO ANEXO</v>
      </c>
      <c r="N1663" s="93">
        <v>41608</v>
      </c>
      <c r="O1663" s="109"/>
      <c r="P1663" s="109"/>
      <c r="Q1663" s="94">
        <v>1514</v>
      </c>
      <c r="R1663" s="95">
        <f t="shared" si="310"/>
        <v>103098.48931632016</v>
      </c>
      <c r="S1663" s="109">
        <v>67468.147599999997</v>
      </c>
      <c r="T1663" s="94">
        <f t="shared" si="320"/>
        <v>72035.741192519999</v>
      </c>
      <c r="U1663" s="94">
        <f t="shared" si="315"/>
        <v>76177.7963110899</v>
      </c>
      <c r="V1663" s="94">
        <f t="shared" si="316"/>
        <v>79293.468180213473</v>
      </c>
      <c r="W1663" s="97">
        <f t="shared" si="313"/>
        <v>81815.000468344268</v>
      </c>
      <c r="X1663" s="97">
        <f t="shared" si="314"/>
        <v>84923.970486141348</v>
      </c>
      <c r="Y1663" s="97">
        <f t="shared" si="321"/>
        <v>86291.246410968219</v>
      </c>
      <c r="Z1663" s="97">
        <f t="shared" si="311"/>
        <v>91140.814459264642</v>
      </c>
      <c r="AA1663" s="97">
        <f t="shared" si="312"/>
        <v>103098.48931632016</v>
      </c>
    </row>
    <row r="1664" spans="1:27" x14ac:dyDescent="0.25">
      <c r="A1664" s="102" t="s">
        <v>3684</v>
      </c>
      <c r="B1664" s="126" t="s">
        <v>3685</v>
      </c>
      <c r="C1664" s="88" t="s">
        <v>226</v>
      </c>
      <c r="D1664" s="89" t="s">
        <v>262</v>
      </c>
      <c r="E1664" s="90">
        <f t="shared" si="317"/>
        <v>324999</v>
      </c>
      <c r="F1664" s="90">
        <f t="shared" si="318"/>
        <v>273108.19282940589</v>
      </c>
      <c r="G1664" s="91">
        <v>0.19</v>
      </c>
      <c r="H1664" s="91" t="s">
        <v>228</v>
      </c>
      <c r="I1664" s="91"/>
      <c r="J1664" s="91" t="s">
        <v>228</v>
      </c>
      <c r="K1664" s="91"/>
      <c r="L1664" s="92" t="s">
        <v>1262</v>
      </c>
      <c r="M1664" s="91" t="str">
        <f t="shared" si="319"/>
        <v>VER ARCHIVO ANEXO</v>
      </c>
      <c r="N1664" s="93">
        <v>41608</v>
      </c>
      <c r="O1664" s="109"/>
      <c r="P1664" s="109"/>
      <c r="Q1664" s="94">
        <v>1515</v>
      </c>
      <c r="R1664" s="95">
        <f t="shared" si="310"/>
        <v>273108.19282940589</v>
      </c>
      <c r="S1664" s="109">
        <v>178723.31579999998</v>
      </c>
      <c r="T1664" s="94">
        <f t="shared" si="320"/>
        <v>190822.88427966001</v>
      </c>
      <c r="U1664" s="94">
        <f t="shared" si="315"/>
        <v>201795.20012574049</v>
      </c>
      <c r="V1664" s="94">
        <f t="shared" si="316"/>
        <v>210048.62381088326</v>
      </c>
      <c r="W1664" s="97">
        <f t="shared" si="313"/>
        <v>216728.17004806935</v>
      </c>
      <c r="X1664" s="97">
        <f t="shared" si="314"/>
        <v>224963.84050989599</v>
      </c>
      <c r="Y1664" s="97">
        <f t="shared" si="321"/>
        <v>228585.75834210531</v>
      </c>
      <c r="Z1664" s="97">
        <f t="shared" si="311"/>
        <v>241432.27796093165</v>
      </c>
      <c r="AA1664" s="97">
        <f t="shared" si="312"/>
        <v>273108.19282940589</v>
      </c>
    </row>
    <row r="1665" spans="1:27" x14ac:dyDescent="0.25">
      <c r="A1665" s="146" t="s">
        <v>3686</v>
      </c>
      <c r="B1665" s="126" t="s">
        <v>3687</v>
      </c>
      <c r="C1665" s="88" t="s">
        <v>226</v>
      </c>
      <c r="D1665" s="89" t="s">
        <v>262</v>
      </c>
      <c r="E1665" s="90">
        <f t="shared" si="317"/>
        <v>53625</v>
      </c>
      <c r="F1665" s="90">
        <f t="shared" si="318"/>
        <v>45063.05910692388</v>
      </c>
      <c r="G1665" s="91">
        <v>0.19</v>
      </c>
      <c r="H1665" s="91" t="s">
        <v>228</v>
      </c>
      <c r="I1665" s="91"/>
      <c r="J1665" s="91" t="s">
        <v>228</v>
      </c>
      <c r="K1665" s="91"/>
      <c r="L1665" s="92" t="s">
        <v>1262</v>
      </c>
      <c r="M1665" s="91" t="str">
        <f t="shared" si="319"/>
        <v>VER ARCHIVO ANEXO</v>
      </c>
      <c r="N1665" s="93">
        <v>41608</v>
      </c>
      <c r="O1665" s="109"/>
      <c r="P1665" s="109"/>
      <c r="Q1665" s="94">
        <v>1516</v>
      </c>
      <c r="R1665" s="95">
        <f t="shared" si="310"/>
        <v>45063.05910692388</v>
      </c>
      <c r="S1665" s="109">
        <v>29489.482758620692</v>
      </c>
      <c r="T1665" s="94">
        <f t="shared" si="320"/>
        <v>31485.920741379316</v>
      </c>
      <c r="U1665" s="94">
        <f t="shared" si="315"/>
        <v>33296.361184008631</v>
      </c>
      <c r="V1665" s="94">
        <f t="shared" si="316"/>
        <v>34658.182356434583</v>
      </c>
      <c r="W1665" s="97">
        <f t="shared" si="313"/>
        <v>35760.312555369208</v>
      </c>
      <c r="X1665" s="97">
        <f t="shared" si="314"/>
        <v>37119.204432473241</v>
      </c>
      <c r="Y1665" s="97">
        <f t="shared" si="321"/>
        <v>37716.823623836062</v>
      </c>
      <c r="Z1665" s="97">
        <f t="shared" si="311"/>
        <v>39836.509111495652</v>
      </c>
      <c r="AA1665" s="97">
        <f t="shared" si="312"/>
        <v>45063.05910692388</v>
      </c>
    </row>
    <row r="1666" spans="1:27" x14ac:dyDescent="0.25">
      <c r="A1666" s="146" t="s">
        <v>3688</v>
      </c>
      <c r="B1666" s="126" t="s">
        <v>3689</v>
      </c>
      <c r="C1666" s="88" t="s">
        <v>226</v>
      </c>
      <c r="D1666" s="89" t="s">
        <v>262</v>
      </c>
      <c r="E1666" s="90">
        <f t="shared" si="317"/>
        <v>17908</v>
      </c>
      <c r="F1666" s="90">
        <f t="shared" si="318"/>
        <v>15048.330647221239</v>
      </c>
      <c r="G1666" s="91">
        <v>0.19</v>
      </c>
      <c r="H1666" s="91" t="s">
        <v>228</v>
      </c>
      <c r="I1666" s="91"/>
      <c r="J1666" s="91" t="s">
        <v>228</v>
      </c>
      <c r="K1666" s="91"/>
      <c r="L1666" s="92" t="s">
        <v>1262</v>
      </c>
      <c r="M1666" s="91" t="str">
        <f t="shared" si="319"/>
        <v>VER ARCHIVO ANEXO</v>
      </c>
      <c r="N1666" s="93">
        <v>41608</v>
      </c>
      <c r="O1666" s="109"/>
      <c r="P1666" s="109"/>
      <c r="Q1666" s="94">
        <v>1517</v>
      </c>
      <c r="R1666" s="95">
        <f t="shared" si="310"/>
        <v>15048.330647221239</v>
      </c>
      <c r="S1666" s="109">
        <v>9847.6999999999989</v>
      </c>
      <c r="T1666" s="94">
        <f t="shared" si="320"/>
        <v>10514.389289999999</v>
      </c>
      <c r="U1666" s="94">
        <f t="shared" si="315"/>
        <v>11118.966674175001</v>
      </c>
      <c r="V1666" s="94">
        <f t="shared" si="316"/>
        <v>11573.732411148758</v>
      </c>
      <c r="W1666" s="97">
        <f t="shared" si="313"/>
        <v>11941.777101823289</v>
      </c>
      <c r="X1666" s="97">
        <f t="shared" si="314"/>
        <v>12395.564631692574</v>
      </c>
      <c r="Y1666" s="97">
        <f t="shared" si="321"/>
        <v>12595.133222262824</v>
      </c>
      <c r="Z1666" s="97">
        <f t="shared" si="311"/>
        <v>13302.979709353995</v>
      </c>
      <c r="AA1666" s="97">
        <f t="shared" si="312"/>
        <v>15048.330647221239</v>
      </c>
    </row>
    <row r="1667" spans="1:27" x14ac:dyDescent="0.25">
      <c r="A1667" s="146" t="s">
        <v>3690</v>
      </c>
      <c r="B1667" s="126" t="s">
        <v>3691</v>
      </c>
      <c r="C1667" s="88" t="s">
        <v>226</v>
      </c>
      <c r="D1667" s="89" t="s">
        <v>262</v>
      </c>
      <c r="E1667" s="90">
        <f t="shared" si="317"/>
        <v>160225</v>
      </c>
      <c r="F1667" s="90">
        <f t="shared" si="318"/>
        <v>134642.95842250585</v>
      </c>
      <c r="G1667" s="91">
        <v>0.19</v>
      </c>
      <c r="H1667" s="91" t="s">
        <v>228</v>
      </c>
      <c r="I1667" s="91"/>
      <c r="J1667" s="91" t="s">
        <v>228</v>
      </c>
      <c r="K1667" s="91"/>
      <c r="L1667" s="92" t="s">
        <v>1262</v>
      </c>
      <c r="M1667" s="91" t="str">
        <f t="shared" si="319"/>
        <v>VER ARCHIVO ANEXO</v>
      </c>
      <c r="N1667" s="93">
        <v>41608</v>
      </c>
      <c r="O1667" s="109"/>
      <c r="P1667" s="109"/>
      <c r="Q1667" s="94">
        <v>1518</v>
      </c>
      <c r="R1667" s="95">
        <f t="shared" si="310"/>
        <v>134642.95842250585</v>
      </c>
      <c r="S1667" s="109">
        <v>88111</v>
      </c>
      <c r="T1667" s="94">
        <f t="shared" si="320"/>
        <v>94076.114700000006</v>
      </c>
      <c r="U1667" s="94">
        <f t="shared" si="315"/>
        <v>99485.491295250016</v>
      </c>
      <c r="V1667" s="94">
        <f t="shared" si="316"/>
        <v>103554.44788922573</v>
      </c>
      <c r="W1667" s="97">
        <f t="shared" si="313"/>
        <v>106847.47933210312</v>
      </c>
      <c r="X1667" s="97">
        <f t="shared" si="314"/>
        <v>110907.68354672304</v>
      </c>
      <c r="Y1667" s="97">
        <f t="shared" si="321"/>
        <v>112693.29725182528</v>
      </c>
      <c r="Z1667" s="97">
        <f t="shared" si="311"/>
        <v>119026.66055737787</v>
      </c>
      <c r="AA1667" s="97">
        <f t="shared" si="312"/>
        <v>134642.95842250585</v>
      </c>
    </row>
    <row r="1668" spans="1:27" x14ac:dyDescent="0.25">
      <c r="A1668" s="146" t="s">
        <v>3692</v>
      </c>
      <c r="B1668" s="126" t="s">
        <v>3693</v>
      </c>
      <c r="C1668" s="88" t="s">
        <v>226</v>
      </c>
      <c r="D1668" s="89" t="s">
        <v>262</v>
      </c>
      <c r="E1668" s="90">
        <f t="shared" si="317"/>
        <v>99905</v>
      </c>
      <c r="F1668" s="90">
        <f t="shared" si="318"/>
        <v>83953.844663444819</v>
      </c>
      <c r="G1668" s="91">
        <v>0.19</v>
      </c>
      <c r="H1668" s="91" t="s">
        <v>228</v>
      </c>
      <c r="I1668" s="91"/>
      <c r="J1668" s="91" t="s">
        <v>228</v>
      </c>
      <c r="K1668" s="91"/>
      <c r="L1668" s="92" t="s">
        <v>1262</v>
      </c>
      <c r="M1668" s="91" t="str">
        <f t="shared" si="319"/>
        <v>VER ARCHIVO ANEXO</v>
      </c>
      <c r="N1668" s="93">
        <v>41608</v>
      </c>
      <c r="O1668" s="109"/>
      <c r="P1668" s="109"/>
      <c r="Q1668" s="94">
        <v>1519</v>
      </c>
      <c r="R1668" s="95">
        <f t="shared" si="310"/>
        <v>83953.844663444819</v>
      </c>
      <c r="S1668" s="109">
        <v>54939.799999999996</v>
      </c>
      <c r="T1668" s="94">
        <f t="shared" si="320"/>
        <v>58659.224459999998</v>
      </c>
      <c r="U1668" s="94">
        <f t="shared" si="315"/>
        <v>62032.129866450006</v>
      </c>
      <c r="V1668" s="94">
        <f t="shared" si="316"/>
        <v>64569.243977987804</v>
      </c>
      <c r="W1668" s="97">
        <f t="shared" si="313"/>
        <v>66622.545936487819</v>
      </c>
      <c r="X1668" s="97">
        <f t="shared" si="314"/>
        <v>69154.202682074363</v>
      </c>
      <c r="Y1668" s="97">
        <f t="shared" si="321"/>
        <v>70267.585345255764</v>
      </c>
      <c r="Z1668" s="97">
        <f t="shared" si="311"/>
        <v>74216.623641659142</v>
      </c>
      <c r="AA1668" s="97">
        <f t="shared" si="312"/>
        <v>83953.844663444819</v>
      </c>
    </row>
    <row r="1669" spans="1:27" x14ac:dyDescent="0.25">
      <c r="A1669" s="146" t="s">
        <v>3694</v>
      </c>
      <c r="B1669" s="126" t="s">
        <v>3695</v>
      </c>
      <c r="C1669" s="88" t="s">
        <v>226</v>
      </c>
      <c r="D1669" s="89" t="s">
        <v>262</v>
      </c>
      <c r="E1669" s="90">
        <f t="shared" si="317"/>
        <v>5655</v>
      </c>
      <c r="F1669" s="90">
        <f t="shared" si="318"/>
        <v>4752.1044149119698</v>
      </c>
      <c r="G1669" s="91">
        <v>0.19</v>
      </c>
      <c r="H1669" s="91" t="s">
        <v>228</v>
      </c>
      <c r="I1669" s="91"/>
      <c r="J1669" s="91" t="s">
        <v>228</v>
      </c>
      <c r="K1669" s="91"/>
      <c r="L1669" s="92" t="s">
        <v>1262</v>
      </c>
      <c r="M1669" s="91" t="str">
        <f t="shared" si="319"/>
        <v>VER ARCHIVO ANEXO</v>
      </c>
      <c r="N1669" s="93">
        <v>41608</v>
      </c>
      <c r="O1669" s="109"/>
      <c r="P1669" s="109"/>
      <c r="Q1669" s="94">
        <v>1520</v>
      </c>
      <c r="R1669" s="95">
        <f t="shared" si="310"/>
        <v>4752.1044149119698</v>
      </c>
      <c r="S1669" s="109">
        <v>3109.7999999999997</v>
      </c>
      <c r="T1669" s="94">
        <f t="shared" si="320"/>
        <v>3320.3334599999998</v>
      </c>
      <c r="U1669" s="94">
        <f t="shared" si="315"/>
        <v>3511.25263395</v>
      </c>
      <c r="V1669" s="94">
        <f t="shared" si="316"/>
        <v>3654.8628666785548</v>
      </c>
      <c r="W1669" s="97">
        <f t="shared" si="313"/>
        <v>3771.0875058389329</v>
      </c>
      <c r="X1669" s="97">
        <f t="shared" si="314"/>
        <v>3914.3888310608127</v>
      </c>
      <c r="Y1669" s="97">
        <f t="shared" si="321"/>
        <v>3977.4104912408916</v>
      </c>
      <c r="Z1669" s="97">
        <f t="shared" si="311"/>
        <v>4200.9409608486294</v>
      </c>
      <c r="AA1669" s="97">
        <f t="shared" si="312"/>
        <v>4752.1044149119698</v>
      </c>
    </row>
    <row r="1670" spans="1:27" x14ac:dyDescent="0.25">
      <c r="A1670" s="146" t="s">
        <v>3696</v>
      </c>
      <c r="B1670" s="126" t="s">
        <v>3697</v>
      </c>
      <c r="C1670" s="88" t="s">
        <v>226</v>
      </c>
      <c r="D1670" s="89" t="s">
        <v>262</v>
      </c>
      <c r="E1670" s="90">
        <f t="shared" si="317"/>
        <v>414700</v>
      </c>
      <c r="F1670" s="90">
        <f t="shared" si="318"/>
        <v>348487.65709354461</v>
      </c>
      <c r="G1670" s="91">
        <v>0.19</v>
      </c>
      <c r="H1670" s="91" t="s">
        <v>228</v>
      </c>
      <c r="I1670" s="91"/>
      <c r="J1670" s="91" t="s">
        <v>228</v>
      </c>
      <c r="K1670" s="91"/>
      <c r="L1670" s="92" t="s">
        <v>1262</v>
      </c>
      <c r="M1670" s="91" t="str">
        <f t="shared" si="319"/>
        <v>VER ARCHIVO ANEXO</v>
      </c>
      <c r="N1670" s="93">
        <v>41608</v>
      </c>
      <c r="O1670" s="109"/>
      <c r="P1670" s="109"/>
      <c r="Q1670" s="94">
        <v>1521</v>
      </c>
      <c r="R1670" s="95">
        <f t="shared" si="310"/>
        <v>348487.65709354461</v>
      </c>
      <c r="S1670" s="109">
        <v>228052</v>
      </c>
      <c r="T1670" s="94">
        <f t="shared" si="320"/>
        <v>243491.12040000001</v>
      </c>
      <c r="U1670" s="94">
        <f t="shared" si="315"/>
        <v>257491.85982300004</v>
      </c>
      <c r="V1670" s="94">
        <f t="shared" si="316"/>
        <v>268023.27688976075</v>
      </c>
      <c r="W1670" s="97">
        <f t="shared" si="313"/>
        <v>276546.41709485516</v>
      </c>
      <c r="X1670" s="97">
        <f t="shared" si="314"/>
        <v>287055.18094445969</v>
      </c>
      <c r="Y1670" s="97">
        <f t="shared" si="321"/>
        <v>291676.7693576655</v>
      </c>
      <c r="Z1670" s="97">
        <f t="shared" si="311"/>
        <v>308069.00379556633</v>
      </c>
      <c r="AA1670" s="97">
        <f t="shared" si="312"/>
        <v>348487.65709354461</v>
      </c>
    </row>
    <row r="1671" spans="1:27" x14ac:dyDescent="0.25">
      <c r="A1671" s="146" t="s">
        <v>3698</v>
      </c>
      <c r="B1671" s="126" t="s">
        <v>3699</v>
      </c>
      <c r="C1671" s="88" t="s">
        <v>226</v>
      </c>
      <c r="D1671" s="89" t="s">
        <v>262</v>
      </c>
      <c r="E1671" s="90">
        <f t="shared" si="317"/>
        <v>527800</v>
      </c>
      <c r="F1671" s="90">
        <f t="shared" si="318"/>
        <v>443529.74539178394</v>
      </c>
      <c r="G1671" s="91">
        <v>0.19</v>
      </c>
      <c r="H1671" s="91" t="s">
        <v>228</v>
      </c>
      <c r="I1671" s="91"/>
      <c r="J1671" s="91" t="s">
        <v>228</v>
      </c>
      <c r="K1671" s="91"/>
      <c r="L1671" s="92" t="s">
        <v>1262</v>
      </c>
      <c r="M1671" s="91" t="str">
        <f t="shared" si="319"/>
        <v>VER ARCHIVO ANEXO</v>
      </c>
      <c r="N1671" s="93">
        <v>41608</v>
      </c>
      <c r="O1671" s="109"/>
      <c r="P1671" s="109"/>
      <c r="Q1671" s="94">
        <v>1522</v>
      </c>
      <c r="R1671" s="95">
        <f t="shared" ref="R1671:R1734" si="322">+AA1671</f>
        <v>443529.74539178394</v>
      </c>
      <c r="S1671" s="109">
        <v>290248</v>
      </c>
      <c r="T1671" s="94">
        <f t="shared" si="320"/>
        <v>309897.78960000002</v>
      </c>
      <c r="U1671" s="94">
        <f t="shared" si="315"/>
        <v>327716.91250200005</v>
      </c>
      <c r="V1671" s="94">
        <f t="shared" si="316"/>
        <v>341120.53422333184</v>
      </c>
      <c r="W1671" s="97">
        <f t="shared" si="313"/>
        <v>351968.16721163382</v>
      </c>
      <c r="X1671" s="97">
        <f t="shared" si="314"/>
        <v>365342.9575656759</v>
      </c>
      <c r="Y1671" s="97">
        <f t="shared" si="321"/>
        <v>371224.97918248328</v>
      </c>
      <c r="Z1671" s="97">
        <f t="shared" ref="Z1671:Z1734" si="323">+Y1671*(1+$Z$4)</f>
        <v>392087.82301253884</v>
      </c>
      <c r="AA1671" s="97">
        <f t="shared" ref="AA1671:AA1734" si="324">+Z1671*(1+$AA$4)</f>
        <v>443529.74539178394</v>
      </c>
    </row>
    <row r="1672" spans="1:27" x14ac:dyDescent="0.25">
      <c r="A1672" s="146" t="s">
        <v>3700</v>
      </c>
      <c r="B1672" s="126" t="s">
        <v>3701</v>
      </c>
      <c r="C1672" s="88" t="s">
        <v>226</v>
      </c>
      <c r="D1672" s="89" t="s">
        <v>262</v>
      </c>
      <c r="E1672" s="90">
        <f t="shared" si="317"/>
        <v>169650</v>
      </c>
      <c r="F1672" s="90">
        <f t="shared" si="318"/>
        <v>142563.13244735912</v>
      </c>
      <c r="G1672" s="91">
        <v>0.19</v>
      </c>
      <c r="H1672" s="91" t="s">
        <v>228</v>
      </c>
      <c r="I1672" s="91"/>
      <c r="J1672" s="91" t="s">
        <v>228</v>
      </c>
      <c r="K1672" s="91"/>
      <c r="L1672" s="92" t="s">
        <v>1262</v>
      </c>
      <c r="M1672" s="91" t="str">
        <f t="shared" si="319"/>
        <v>VER ARCHIVO ANEXO</v>
      </c>
      <c r="N1672" s="93">
        <v>41608</v>
      </c>
      <c r="O1672" s="109"/>
      <c r="P1672" s="109"/>
      <c r="Q1672" s="94">
        <v>1523</v>
      </c>
      <c r="R1672" s="95">
        <f t="shared" si="322"/>
        <v>142563.13244735912</v>
      </c>
      <c r="S1672" s="109">
        <v>93294</v>
      </c>
      <c r="T1672" s="94">
        <f t="shared" si="320"/>
        <v>99610.003800000006</v>
      </c>
      <c r="U1672" s="94">
        <f t="shared" si="315"/>
        <v>105337.57901850002</v>
      </c>
      <c r="V1672" s="94">
        <f t="shared" si="316"/>
        <v>109645.88600035667</v>
      </c>
      <c r="W1672" s="97">
        <f t="shared" ref="W1672:W1741" si="325">+V1672*(1+$W$4)</f>
        <v>113132.62517516801</v>
      </c>
      <c r="X1672" s="97">
        <f t="shared" ref="X1672:X1741" si="326">+W1672*(1+$X$4)</f>
        <v>117431.6649318244</v>
      </c>
      <c r="Y1672" s="97">
        <f t="shared" si="321"/>
        <v>119322.31473722677</v>
      </c>
      <c r="Z1672" s="97">
        <f t="shared" si="323"/>
        <v>126028.22882545892</v>
      </c>
      <c r="AA1672" s="97">
        <f t="shared" si="324"/>
        <v>142563.13244735912</v>
      </c>
    </row>
    <row r="1673" spans="1:27" x14ac:dyDescent="0.25">
      <c r="A1673" s="146" t="s">
        <v>3702</v>
      </c>
      <c r="B1673" s="126" t="s">
        <v>3703</v>
      </c>
      <c r="C1673" s="88" t="s">
        <v>226</v>
      </c>
      <c r="D1673" s="89" t="s">
        <v>262</v>
      </c>
      <c r="E1673" s="90">
        <f t="shared" si="317"/>
        <v>216775</v>
      </c>
      <c r="F1673" s="90">
        <f t="shared" si="318"/>
        <v>182164.00257162552</v>
      </c>
      <c r="G1673" s="91">
        <v>0.19</v>
      </c>
      <c r="H1673" s="91" t="s">
        <v>228</v>
      </c>
      <c r="I1673" s="91"/>
      <c r="J1673" s="91" t="s">
        <v>228</v>
      </c>
      <c r="K1673" s="91"/>
      <c r="L1673" s="92" t="s">
        <v>1262</v>
      </c>
      <c r="M1673" s="91" t="str">
        <f t="shared" si="319"/>
        <v>VER ARCHIVO ANEXO</v>
      </c>
      <c r="N1673" s="93">
        <v>41608</v>
      </c>
      <c r="O1673" s="109"/>
      <c r="P1673" s="109"/>
      <c r="Q1673" s="94">
        <v>1524</v>
      </c>
      <c r="R1673" s="95">
        <f t="shared" si="322"/>
        <v>182164.00257162552</v>
      </c>
      <c r="S1673" s="109">
        <v>119209</v>
      </c>
      <c r="T1673" s="94">
        <f t="shared" si="320"/>
        <v>127279.44930000001</v>
      </c>
      <c r="U1673" s="94">
        <f t="shared" si="315"/>
        <v>134598.01763475002</v>
      </c>
      <c r="V1673" s="94">
        <f t="shared" si="316"/>
        <v>140103.07655601128</v>
      </c>
      <c r="W1673" s="97">
        <f t="shared" si="325"/>
        <v>144558.35439049243</v>
      </c>
      <c r="X1673" s="97">
        <f t="shared" si="326"/>
        <v>150051.57185733115</v>
      </c>
      <c r="Y1673" s="97">
        <f t="shared" si="321"/>
        <v>152467.40216423417</v>
      </c>
      <c r="Z1673" s="97">
        <f t="shared" si="323"/>
        <v>161036.07016586413</v>
      </c>
      <c r="AA1673" s="97">
        <f t="shared" si="324"/>
        <v>182164.00257162552</v>
      </c>
    </row>
    <row r="1674" spans="1:27" x14ac:dyDescent="0.25">
      <c r="A1674" s="146" t="s">
        <v>3704</v>
      </c>
      <c r="B1674" s="126" t="s">
        <v>3705</v>
      </c>
      <c r="C1674" s="88" t="s">
        <v>226</v>
      </c>
      <c r="D1674" s="89" t="s">
        <v>262</v>
      </c>
      <c r="E1674" s="90">
        <f t="shared" si="317"/>
        <v>11310</v>
      </c>
      <c r="F1674" s="90">
        <f t="shared" si="318"/>
        <v>9504.2088298239396</v>
      </c>
      <c r="G1674" s="91">
        <v>0.19</v>
      </c>
      <c r="H1674" s="91" t="s">
        <v>228</v>
      </c>
      <c r="I1674" s="91"/>
      <c r="J1674" s="91" t="s">
        <v>228</v>
      </c>
      <c r="K1674" s="91"/>
      <c r="L1674" s="92" t="s">
        <v>1262</v>
      </c>
      <c r="M1674" s="91" t="str">
        <f t="shared" si="319"/>
        <v>VER ARCHIVO ANEXO</v>
      </c>
      <c r="N1674" s="93">
        <v>41608</v>
      </c>
      <c r="O1674" s="109"/>
      <c r="P1674" s="109"/>
      <c r="Q1674" s="94">
        <v>1525</v>
      </c>
      <c r="R1674" s="95">
        <f t="shared" si="322"/>
        <v>9504.2088298239396</v>
      </c>
      <c r="S1674" s="109">
        <v>6219.5999999999995</v>
      </c>
      <c r="T1674" s="94">
        <f t="shared" si="320"/>
        <v>6640.6669199999997</v>
      </c>
      <c r="U1674" s="94">
        <f t="shared" si="315"/>
        <v>7022.5052679</v>
      </c>
      <c r="V1674" s="94">
        <f t="shared" si="316"/>
        <v>7309.7257333571097</v>
      </c>
      <c r="W1674" s="97">
        <f t="shared" si="325"/>
        <v>7542.1750116778658</v>
      </c>
      <c r="X1674" s="97">
        <f t="shared" si="326"/>
        <v>7828.7776621216253</v>
      </c>
      <c r="Y1674" s="97">
        <f t="shared" si="321"/>
        <v>7954.8209824817832</v>
      </c>
      <c r="Z1674" s="97">
        <f t="shared" si="323"/>
        <v>8401.8819216972588</v>
      </c>
      <c r="AA1674" s="97">
        <f t="shared" si="324"/>
        <v>9504.2088298239396</v>
      </c>
    </row>
    <row r="1675" spans="1:27" x14ac:dyDescent="0.25">
      <c r="A1675" s="146" t="s">
        <v>3706</v>
      </c>
      <c r="B1675" s="126" t="s">
        <v>3707</v>
      </c>
      <c r="C1675" s="88" t="s">
        <v>226</v>
      </c>
      <c r="D1675" s="89" t="s">
        <v>262</v>
      </c>
      <c r="E1675" s="90">
        <f t="shared" si="317"/>
        <v>28275</v>
      </c>
      <c r="F1675" s="90">
        <f t="shared" si="318"/>
        <v>23760.522074559856</v>
      </c>
      <c r="G1675" s="91">
        <v>0.19</v>
      </c>
      <c r="H1675" s="91" t="s">
        <v>228</v>
      </c>
      <c r="I1675" s="91"/>
      <c r="J1675" s="91" t="s">
        <v>228</v>
      </c>
      <c r="K1675" s="91"/>
      <c r="L1675" s="92" t="s">
        <v>1262</v>
      </c>
      <c r="M1675" s="91" t="str">
        <f t="shared" si="319"/>
        <v>VER ARCHIVO ANEXO</v>
      </c>
      <c r="N1675" s="93">
        <v>41608</v>
      </c>
      <c r="O1675" s="109"/>
      <c r="P1675" s="109"/>
      <c r="Q1675" s="94">
        <v>1526</v>
      </c>
      <c r="R1675" s="95">
        <f t="shared" si="322"/>
        <v>23760.522074559856</v>
      </c>
      <c r="S1675" s="109">
        <v>15549</v>
      </c>
      <c r="T1675" s="94">
        <f t="shared" si="320"/>
        <v>16601.667300000001</v>
      </c>
      <c r="U1675" s="94">
        <f t="shared" ref="U1675:U1744" si="327">+T1675*(1+$U$4)</f>
        <v>17556.263169750004</v>
      </c>
      <c r="V1675" s="94">
        <f t="shared" ref="V1675:V1744" si="328">+U1675*(1+$V$4)</f>
        <v>18274.314333392776</v>
      </c>
      <c r="W1675" s="97">
        <f t="shared" si="325"/>
        <v>18855.437529194667</v>
      </c>
      <c r="X1675" s="97">
        <f t="shared" si="326"/>
        <v>19571.944155304067</v>
      </c>
      <c r="Y1675" s="97">
        <f t="shared" si="321"/>
        <v>19887.052456204463</v>
      </c>
      <c r="Z1675" s="97">
        <f t="shared" si="323"/>
        <v>21004.704804243156</v>
      </c>
      <c r="AA1675" s="97">
        <f t="shared" si="324"/>
        <v>23760.522074559856</v>
      </c>
    </row>
    <row r="1676" spans="1:27" x14ac:dyDescent="0.25">
      <c r="A1676" s="146" t="s">
        <v>3708</v>
      </c>
      <c r="B1676" s="126" t="s">
        <v>3709</v>
      </c>
      <c r="C1676" s="88" t="s">
        <v>226</v>
      </c>
      <c r="D1676" s="89" t="s">
        <v>262</v>
      </c>
      <c r="E1676" s="90">
        <f t="shared" si="317"/>
        <v>54665</v>
      </c>
      <c r="F1676" s="90">
        <f t="shared" si="318"/>
        <v>45937.009344149046</v>
      </c>
      <c r="G1676" s="91">
        <v>0.19</v>
      </c>
      <c r="H1676" s="91" t="s">
        <v>228</v>
      </c>
      <c r="I1676" s="91"/>
      <c r="J1676" s="91" t="s">
        <v>228</v>
      </c>
      <c r="K1676" s="91"/>
      <c r="L1676" s="92" t="s">
        <v>1262</v>
      </c>
      <c r="M1676" s="91" t="str">
        <f t="shared" si="319"/>
        <v>VER ARCHIVO ANEXO</v>
      </c>
      <c r="N1676" s="93">
        <v>41608</v>
      </c>
      <c r="O1676" s="109"/>
      <c r="P1676" s="109"/>
      <c r="Q1676" s="94">
        <v>1527</v>
      </c>
      <c r="R1676" s="95">
        <f t="shared" si="322"/>
        <v>45937.009344149046</v>
      </c>
      <c r="S1676" s="109">
        <v>30061.399999999998</v>
      </c>
      <c r="T1676" s="94">
        <f t="shared" si="320"/>
        <v>32096.556779999999</v>
      </c>
      <c r="U1676" s="94">
        <f t="shared" si="327"/>
        <v>33942.108794849999</v>
      </c>
      <c r="V1676" s="94">
        <f t="shared" si="328"/>
        <v>35330.341044559362</v>
      </c>
      <c r="W1676" s="97">
        <f t="shared" si="325"/>
        <v>36453.845889776348</v>
      </c>
      <c r="X1676" s="97">
        <f t="shared" si="326"/>
        <v>37839.092033587855</v>
      </c>
      <c r="Y1676" s="97">
        <f t="shared" si="321"/>
        <v>38448.30141532862</v>
      </c>
      <c r="Z1676" s="97">
        <f t="shared" si="323"/>
        <v>40609.095954870092</v>
      </c>
      <c r="AA1676" s="97">
        <f t="shared" si="324"/>
        <v>45937.009344149046</v>
      </c>
    </row>
    <row r="1677" spans="1:27" x14ac:dyDescent="0.25">
      <c r="A1677" s="146" t="s">
        <v>3710</v>
      </c>
      <c r="B1677" s="126" t="s">
        <v>3711</v>
      </c>
      <c r="C1677" s="88" t="s">
        <v>226</v>
      </c>
      <c r="D1677" s="89" t="s">
        <v>262</v>
      </c>
      <c r="E1677" s="90">
        <f t="shared" ref="E1677:E1746" si="329">+ROUND(F1677*(1+G1677),0)</f>
        <v>2074</v>
      </c>
      <c r="F1677" s="90">
        <f t="shared" si="318"/>
        <v>1742.4382854677224</v>
      </c>
      <c r="G1677" s="91">
        <v>0.19</v>
      </c>
      <c r="H1677" s="91" t="s">
        <v>228</v>
      </c>
      <c r="I1677" s="91"/>
      <c r="J1677" s="91" t="s">
        <v>228</v>
      </c>
      <c r="K1677" s="91"/>
      <c r="L1677" s="92" t="s">
        <v>1262</v>
      </c>
      <c r="M1677" s="91" t="str">
        <f t="shared" si="319"/>
        <v>VER ARCHIVO ANEXO</v>
      </c>
      <c r="N1677" s="93">
        <v>41608</v>
      </c>
      <c r="O1677" s="109"/>
      <c r="P1677" s="109"/>
      <c r="Q1677" s="94">
        <v>1528</v>
      </c>
      <c r="R1677" s="95">
        <f t="shared" si="322"/>
        <v>1742.4382854677224</v>
      </c>
      <c r="S1677" s="109">
        <v>1140.26</v>
      </c>
      <c r="T1677" s="94">
        <f t="shared" si="320"/>
        <v>1217.455602</v>
      </c>
      <c r="U1677" s="94">
        <f t="shared" si="327"/>
        <v>1287.459299115</v>
      </c>
      <c r="V1677" s="94">
        <f t="shared" si="328"/>
        <v>1340.1163844488035</v>
      </c>
      <c r="W1677" s="97">
        <f t="shared" si="325"/>
        <v>1382.7320854742754</v>
      </c>
      <c r="X1677" s="97">
        <f t="shared" si="326"/>
        <v>1435.275904722298</v>
      </c>
      <c r="Y1677" s="97">
        <f t="shared" si="321"/>
        <v>1458.383846788327</v>
      </c>
      <c r="Z1677" s="97">
        <f t="shared" si="323"/>
        <v>1540.3450189778309</v>
      </c>
      <c r="AA1677" s="97">
        <f t="shared" si="324"/>
        <v>1742.4382854677224</v>
      </c>
    </row>
    <row r="1678" spans="1:27" x14ac:dyDescent="0.25">
      <c r="A1678" s="146" t="s">
        <v>3712</v>
      </c>
      <c r="B1678" s="126" t="s">
        <v>3713</v>
      </c>
      <c r="C1678" s="88" t="s">
        <v>226</v>
      </c>
      <c r="D1678" s="89" t="s">
        <v>262</v>
      </c>
      <c r="E1678" s="90">
        <f t="shared" si="329"/>
        <v>1697</v>
      </c>
      <c r="F1678" s="90">
        <f t="shared" si="318"/>
        <v>1425.6313244735913</v>
      </c>
      <c r="G1678" s="91">
        <v>0.19</v>
      </c>
      <c r="H1678" s="91" t="s">
        <v>228</v>
      </c>
      <c r="I1678" s="91"/>
      <c r="J1678" s="91" t="s">
        <v>228</v>
      </c>
      <c r="K1678" s="91"/>
      <c r="L1678" s="92" t="s">
        <v>1262</v>
      </c>
      <c r="M1678" s="91" t="str">
        <f t="shared" si="319"/>
        <v>VER ARCHIVO ANEXO</v>
      </c>
      <c r="N1678" s="93">
        <v>41608</v>
      </c>
      <c r="O1678" s="109"/>
      <c r="P1678" s="109"/>
      <c r="Q1678" s="94">
        <v>1529</v>
      </c>
      <c r="R1678" s="95">
        <f t="shared" si="322"/>
        <v>1425.6313244735913</v>
      </c>
      <c r="S1678" s="109">
        <v>932.93999999999994</v>
      </c>
      <c r="T1678" s="94">
        <f t="shared" si="320"/>
        <v>996.10003800000004</v>
      </c>
      <c r="U1678" s="94">
        <f t="shared" si="327"/>
        <v>1053.3757901850001</v>
      </c>
      <c r="V1678" s="94">
        <f t="shared" si="328"/>
        <v>1096.4588600035665</v>
      </c>
      <c r="W1678" s="97">
        <f t="shared" si="325"/>
        <v>1131.32625175168</v>
      </c>
      <c r="X1678" s="97">
        <f t="shared" si="326"/>
        <v>1174.3166493182439</v>
      </c>
      <c r="Y1678" s="97">
        <f t="shared" si="321"/>
        <v>1193.2231473722677</v>
      </c>
      <c r="Z1678" s="97">
        <f t="shared" si="323"/>
        <v>1260.2822882545893</v>
      </c>
      <c r="AA1678" s="97">
        <f t="shared" si="324"/>
        <v>1425.6313244735913</v>
      </c>
    </row>
    <row r="1679" spans="1:27" x14ac:dyDescent="0.25">
      <c r="A1679" s="146" t="s">
        <v>3714</v>
      </c>
      <c r="B1679" s="126" t="s">
        <v>3715</v>
      </c>
      <c r="C1679" s="88" t="s">
        <v>226</v>
      </c>
      <c r="D1679" s="89" t="s">
        <v>262</v>
      </c>
      <c r="E1679" s="90">
        <f t="shared" si="329"/>
        <v>131950</v>
      </c>
      <c r="F1679" s="90">
        <f t="shared" si="318"/>
        <v>110882.43634794599</v>
      </c>
      <c r="G1679" s="91">
        <v>0.19</v>
      </c>
      <c r="H1679" s="91" t="s">
        <v>228</v>
      </c>
      <c r="I1679" s="91"/>
      <c r="J1679" s="91" t="s">
        <v>228</v>
      </c>
      <c r="K1679" s="91"/>
      <c r="L1679" s="92" t="s">
        <v>1262</v>
      </c>
      <c r="M1679" s="91" t="str">
        <f t="shared" si="319"/>
        <v>VER ARCHIVO ANEXO</v>
      </c>
      <c r="N1679" s="93">
        <v>41608</v>
      </c>
      <c r="O1679" s="109"/>
      <c r="P1679" s="109"/>
      <c r="Q1679" s="94">
        <v>1530</v>
      </c>
      <c r="R1679" s="95">
        <f t="shared" si="322"/>
        <v>110882.43634794599</v>
      </c>
      <c r="S1679" s="109">
        <v>72562</v>
      </c>
      <c r="T1679" s="94">
        <f t="shared" si="320"/>
        <v>77474.447400000005</v>
      </c>
      <c r="U1679" s="94">
        <f t="shared" si="327"/>
        <v>81929.228125500013</v>
      </c>
      <c r="V1679" s="94">
        <f t="shared" si="328"/>
        <v>85280.133555832959</v>
      </c>
      <c r="W1679" s="97">
        <f t="shared" si="325"/>
        <v>87992.041802908454</v>
      </c>
      <c r="X1679" s="97">
        <f t="shared" si="326"/>
        <v>91335.739391418974</v>
      </c>
      <c r="Y1679" s="97">
        <f t="shared" si="321"/>
        <v>92806.24479562082</v>
      </c>
      <c r="Z1679" s="97">
        <f t="shared" si="323"/>
        <v>98021.955753134709</v>
      </c>
      <c r="AA1679" s="97">
        <f t="shared" si="324"/>
        <v>110882.43634794599</v>
      </c>
    </row>
    <row r="1680" spans="1:27" x14ac:dyDescent="0.25">
      <c r="A1680" s="146" t="s">
        <v>3716</v>
      </c>
      <c r="B1680" s="126" t="s">
        <v>3717</v>
      </c>
      <c r="C1680" s="88" t="s">
        <v>226</v>
      </c>
      <c r="D1680" s="89" t="s">
        <v>292</v>
      </c>
      <c r="E1680" s="90">
        <f t="shared" si="329"/>
        <v>17908</v>
      </c>
      <c r="F1680" s="90">
        <f t="shared" si="318"/>
        <v>15048.330647221239</v>
      </c>
      <c r="G1680" s="91">
        <v>0.19</v>
      </c>
      <c r="H1680" s="91" t="s">
        <v>228</v>
      </c>
      <c r="I1680" s="91"/>
      <c r="J1680" s="91" t="s">
        <v>228</v>
      </c>
      <c r="K1680" s="91"/>
      <c r="L1680" s="92" t="s">
        <v>1262</v>
      </c>
      <c r="M1680" s="91" t="str">
        <f t="shared" si="319"/>
        <v>VER ARCHIVO ANEXO</v>
      </c>
      <c r="N1680" s="93">
        <v>41608</v>
      </c>
      <c r="O1680" s="109"/>
      <c r="P1680" s="109"/>
      <c r="Q1680" s="94">
        <v>1531</v>
      </c>
      <c r="R1680" s="95">
        <f t="shared" si="322"/>
        <v>15048.330647221239</v>
      </c>
      <c r="S1680" s="109">
        <v>9847.6999999999989</v>
      </c>
      <c r="T1680" s="94">
        <f t="shared" si="320"/>
        <v>10514.389289999999</v>
      </c>
      <c r="U1680" s="94">
        <f t="shared" si="327"/>
        <v>11118.966674175001</v>
      </c>
      <c r="V1680" s="94">
        <f t="shared" si="328"/>
        <v>11573.732411148758</v>
      </c>
      <c r="W1680" s="97">
        <f t="shared" si="325"/>
        <v>11941.777101823289</v>
      </c>
      <c r="X1680" s="97">
        <f t="shared" si="326"/>
        <v>12395.564631692574</v>
      </c>
      <c r="Y1680" s="97">
        <f t="shared" si="321"/>
        <v>12595.133222262824</v>
      </c>
      <c r="Z1680" s="97">
        <f t="shared" si="323"/>
        <v>13302.979709353995</v>
      </c>
      <c r="AA1680" s="97">
        <f t="shared" si="324"/>
        <v>15048.330647221239</v>
      </c>
    </row>
    <row r="1681" spans="1:27" x14ac:dyDescent="0.25">
      <c r="A1681" s="146" t="s">
        <v>3718</v>
      </c>
      <c r="B1681" s="126" t="s">
        <v>3719</v>
      </c>
      <c r="C1681" s="88" t="s">
        <v>226</v>
      </c>
      <c r="D1681" s="89" t="s">
        <v>262</v>
      </c>
      <c r="E1681" s="90">
        <f t="shared" si="329"/>
        <v>3204502</v>
      </c>
      <c r="F1681" s="90">
        <f t="shared" si="318"/>
        <v>2692859.1684501166</v>
      </c>
      <c r="G1681" s="91">
        <v>0.19</v>
      </c>
      <c r="H1681" s="91" t="s">
        <v>228</v>
      </c>
      <c r="I1681" s="91"/>
      <c r="J1681" s="91" t="s">
        <v>228</v>
      </c>
      <c r="K1681" s="91"/>
      <c r="L1681" s="92" t="s">
        <v>1262</v>
      </c>
      <c r="M1681" s="91" t="str">
        <f t="shared" si="319"/>
        <v>VER ARCHIVO ANEXO</v>
      </c>
      <c r="N1681" s="93">
        <v>41608</v>
      </c>
      <c r="O1681" s="109"/>
      <c r="P1681" s="109"/>
      <c r="Q1681" s="94">
        <v>1532</v>
      </c>
      <c r="R1681" s="95">
        <f t="shared" si="322"/>
        <v>2692859.1684501166</v>
      </c>
      <c r="S1681" s="109">
        <v>1762220</v>
      </c>
      <c r="T1681" s="94">
        <f t="shared" si="320"/>
        <v>1881522.2940000002</v>
      </c>
      <c r="U1681" s="94">
        <f t="shared" si="327"/>
        <v>1989709.8259050003</v>
      </c>
      <c r="V1681" s="94">
        <f t="shared" si="328"/>
        <v>2071088.9577845146</v>
      </c>
      <c r="W1681" s="97">
        <f t="shared" si="325"/>
        <v>2136949.5866420623</v>
      </c>
      <c r="X1681" s="97">
        <f t="shared" si="326"/>
        <v>2218153.6709344606</v>
      </c>
      <c r="Y1681" s="97">
        <f t="shared" si="321"/>
        <v>2253865.9450365053</v>
      </c>
      <c r="Z1681" s="97">
        <f t="shared" si="323"/>
        <v>2380533.211147557</v>
      </c>
      <c r="AA1681" s="97">
        <f t="shared" si="324"/>
        <v>2692859.1684501166</v>
      </c>
    </row>
    <row r="1682" spans="1:27" x14ac:dyDescent="0.25">
      <c r="A1682" s="146" t="s">
        <v>3720</v>
      </c>
      <c r="B1682" s="126" t="s">
        <v>3721</v>
      </c>
      <c r="C1682" s="88" t="s">
        <v>226</v>
      </c>
      <c r="D1682" s="89" t="s">
        <v>262</v>
      </c>
      <c r="E1682" s="90">
        <f t="shared" si="329"/>
        <v>640900</v>
      </c>
      <c r="F1682" s="90">
        <f t="shared" si="318"/>
        <v>538571.8336900234</v>
      </c>
      <c r="G1682" s="91">
        <v>0.19</v>
      </c>
      <c r="H1682" s="91" t="s">
        <v>228</v>
      </c>
      <c r="I1682" s="91"/>
      <c r="J1682" s="91" t="s">
        <v>228</v>
      </c>
      <c r="K1682" s="91"/>
      <c r="L1682" s="92" t="s">
        <v>1262</v>
      </c>
      <c r="M1682" s="91" t="str">
        <f t="shared" si="319"/>
        <v>VER ARCHIVO ANEXO</v>
      </c>
      <c r="N1682" s="93">
        <v>41608</v>
      </c>
      <c r="O1682" s="109"/>
      <c r="P1682" s="109"/>
      <c r="Q1682" s="94">
        <v>1533</v>
      </c>
      <c r="R1682" s="95">
        <f t="shared" si="322"/>
        <v>538571.8336900234</v>
      </c>
      <c r="S1682" s="109">
        <v>352444</v>
      </c>
      <c r="T1682" s="94">
        <f t="shared" si="320"/>
        <v>376304.45880000002</v>
      </c>
      <c r="U1682" s="94">
        <f t="shared" si="327"/>
        <v>397941.96518100007</v>
      </c>
      <c r="V1682" s="94">
        <f t="shared" si="328"/>
        <v>414217.79155690293</v>
      </c>
      <c r="W1682" s="97">
        <f t="shared" si="325"/>
        <v>427389.91732841247</v>
      </c>
      <c r="X1682" s="97">
        <f t="shared" si="326"/>
        <v>443630.73418689216</v>
      </c>
      <c r="Y1682" s="97">
        <f t="shared" si="321"/>
        <v>450773.18900730112</v>
      </c>
      <c r="Z1682" s="97">
        <f t="shared" si="323"/>
        <v>476106.64222951146</v>
      </c>
      <c r="AA1682" s="97">
        <f t="shared" si="324"/>
        <v>538571.8336900234</v>
      </c>
    </row>
    <row r="1683" spans="1:27" x14ac:dyDescent="0.25">
      <c r="A1683" s="146" t="s">
        <v>3722</v>
      </c>
      <c r="B1683" s="126" t="s">
        <v>3723</v>
      </c>
      <c r="C1683" s="88" t="s">
        <v>226</v>
      </c>
      <c r="D1683" s="89" t="s">
        <v>292</v>
      </c>
      <c r="E1683" s="90">
        <f t="shared" si="329"/>
        <v>9425</v>
      </c>
      <c r="F1683" s="90">
        <f t="shared" si="318"/>
        <v>7920.1740248532842</v>
      </c>
      <c r="G1683" s="91">
        <v>0.19</v>
      </c>
      <c r="H1683" s="91" t="s">
        <v>228</v>
      </c>
      <c r="I1683" s="91"/>
      <c r="J1683" s="91" t="s">
        <v>228</v>
      </c>
      <c r="K1683" s="91"/>
      <c r="L1683" s="92" t="s">
        <v>1262</v>
      </c>
      <c r="M1683" s="91" t="str">
        <f t="shared" si="319"/>
        <v>VER ARCHIVO ANEXO</v>
      </c>
      <c r="N1683" s="93">
        <v>41608</v>
      </c>
      <c r="O1683" s="109"/>
      <c r="P1683" s="109"/>
      <c r="Q1683" s="94">
        <v>1534</v>
      </c>
      <c r="R1683" s="95">
        <f t="shared" si="322"/>
        <v>7920.1740248532842</v>
      </c>
      <c r="S1683" s="109">
        <v>5183</v>
      </c>
      <c r="T1683" s="94">
        <f t="shared" si="320"/>
        <v>5533.8891000000003</v>
      </c>
      <c r="U1683" s="94">
        <f t="shared" si="327"/>
        <v>5852.0877232500006</v>
      </c>
      <c r="V1683" s="94">
        <f t="shared" si="328"/>
        <v>6091.4381111309249</v>
      </c>
      <c r="W1683" s="97">
        <f t="shared" si="325"/>
        <v>6285.145843064889</v>
      </c>
      <c r="X1683" s="97">
        <f t="shared" si="326"/>
        <v>6523.981385101355</v>
      </c>
      <c r="Y1683" s="97">
        <f t="shared" si="321"/>
        <v>6629.0174854014867</v>
      </c>
      <c r="Z1683" s="97">
        <f t="shared" si="323"/>
        <v>7001.5682680810505</v>
      </c>
      <c r="AA1683" s="97">
        <f t="shared" si="324"/>
        <v>7920.1740248532842</v>
      </c>
    </row>
    <row r="1684" spans="1:27" x14ac:dyDescent="0.25">
      <c r="A1684" s="146" t="s">
        <v>3724</v>
      </c>
      <c r="B1684" s="126" t="s">
        <v>3725</v>
      </c>
      <c r="C1684" s="88" t="s">
        <v>226</v>
      </c>
      <c r="D1684" s="89" t="s">
        <v>262</v>
      </c>
      <c r="E1684" s="90">
        <f t="shared" si="329"/>
        <v>22620</v>
      </c>
      <c r="F1684" s="90">
        <f t="shared" si="318"/>
        <v>19008.417659647879</v>
      </c>
      <c r="G1684" s="91">
        <v>0.19</v>
      </c>
      <c r="H1684" s="91" t="s">
        <v>228</v>
      </c>
      <c r="I1684" s="91"/>
      <c r="J1684" s="91" t="s">
        <v>228</v>
      </c>
      <c r="K1684" s="91"/>
      <c r="L1684" s="92" t="s">
        <v>1262</v>
      </c>
      <c r="M1684" s="91" t="str">
        <f t="shared" si="319"/>
        <v>VER ARCHIVO ANEXO</v>
      </c>
      <c r="N1684" s="93">
        <v>41608</v>
      </c>
      <c r="O1684" s="109"/>
      <c r="P1684" s="109"/>
      <c r="Q1684" s="94">
        <v>1535</v>
      </c>
      <c r="R1684" s="95">
        <f t="shared" si="322"/>
        <v>19008.417659647879</v>
      </c>
      <c r="S1684" s="109">
        <v>12439.199999999999</v>
      </c>
      <c r="T1684" s="94">
        <f t="shared" si="320"/>
        <v>13281.333839999999</v>
      </c>
      <c r="U1684" s="94">
        <f t="shared" si="327"/>
        <v>14045.0105358</v>
      </c>
      <c r="V1684" s="94">
        <f t="shared" si="328"/>
        <v>14619.451466714219</v>
      </c>
      <c r="W1684" s="97">
        <f t="shared" si="325"/>
        <v>15084.350023355732</v>
      </c>
      <c r="X1684" s="97">
        <f t="shared" si="326"/>
        <v>15657.555324243251</v>
      </c>
      <c r="Y1684" s="97">
        <f t="shared" si="321"/>
        <v>15909.641964963566</v>
      </c>
      <c r="Z1684" s="97">
        <f t="shared" si="323"/>
        <v>16803.763843394518</v>
      </c>
      <c r="AA1684" s="97">
        <f t="shared" si="324"/>
        <v>19008.417659647879</v>
      </c>
    </row>
    <row r="1685" spans="1:27" x14ac:dyDescent="0.25">
      <c r="A1685" s="146" t="s">
        <v>3726</v>
      </c>
      <c r="B1685" s="126" t="s">
        <v>3727</v>
      </c>
      <c r="C1685" s="88" t="s">
        <v>226</v>
      </c>
      <c r="D1685" s="89" t="s">
        <v>262</v>
      </c>
      <c r="E1685" s="90">
        <f t="shared" si="329"/>
        <v>3582</v>
      </c>
      <c r="F1685" s="90">
        <f t="shared" si="318"/>
        <v>3009.6661294442483</v>
      </c>
      <c r="G1685" s="91">
        <v>0.19</v>
      </c>
      <c r="H1685" s="91" t="s">
        <v>228</v>
      </c>
      <c r="I1685" s="91"/>
      <c r="J1685" s="91" t="s">
        <v>228</v>
      </c>
      <c r="K1685" s="91"/>
      <c r="L1685" s="92" t="s">
        <v>1262</v>
      </c>
      <c r="M1685" s="91" t="str">
        <f t="shared" si="319"/>
        <v>VER ARCHIVO ANEXO</v>
      </c>
      <c r="N1685" s="93">
        <v>41608</v>
      </c>
      <c r="O1685" s="109"/>
      <c r="P1685" s="109"/>
      <c r="Q1685" s="94">
        <v>1536</v>
      </c>
      <c r="R1685" s="95">
        <f t="shared" si="322"/>
        <v>3009.6661294442483</v>
      </c>
      <c r="S1685" s="109">
        <v>1969.54</v>
      </c>
      <c r="T1685" s="94">
        <f t="shared" si="320"/>
        <v>2102.8778580000003</v>
      </c>
      <c r="U1685" s="94">
        <f t="shared" si="327"/>
        <v>2223.7933348350007</v>
      </c>
      <c r="V1685" s="94">
        <f t="shared" si="328"/>
        <v>2314.746482229752</v>
      </c>
      <c r="W1685" s="97">
        <f t="shared" si="325"/>
        <v>2388.3554203646581</v>
      </c>
      <c r="X1685" s="97">
        <f t="shared" si="326"/>
        <v>2479.1129263385151</v>
      </c>
      <c r="Y1685" s="97">
        <f t="shared" si="321"/>
        <v>2519.0266444525651</v>
      </c>
      <c r="Z1685" s="97">
        <f t="shared" si="323"/>
        <v>2660.5959418707994</v>
      </c>
      <c r="AA1685" s="97">
        <f t="shared" si="324"/>
        <v>3009.6661294442483</v>
      </c>
    </row>
    <row r="1686" spans="1:27" x14ac:dyDescent="0.25">
      <c r="A1686" s="146" t="s">
        <v>3728</v>
      </c>
      <c r="B1686" s="126" t="s">
        <v>3729</v>
      </c>
      <c r="C1686" s="88" t="s">
        <v>226</v>
      </c>
      <c r="D1686" s="89" t="s">
        <v>262</v>
      </c>
      <c r="E1686" s="90">
        <f t="shared" si="329"/>
        <v>2074</v>
      </c>
      <c r="F1686" s="90">
        <f t="shared" si="318"/>
        <v>1742.4382854677224</v>
      </c>
      <c r="G1686" s="91">
        <v>0.19</v>
      </c>
      <c r="H1686" s="91" t="s">
        <v>228</v>
      </c>
      <c r="I1686" s="91"/>
      <c r="J1686" s="91" t="s">
        <v>228</v>
      </c>
      <c r="K1686" s="91"/>
      <c r="L1686" s="92" t="s">
        <v>1262</v>
      </c>
      <c r="M1686" s="91" t="str">
        <f t="shared" si="319"/>
        <v>VER ARCHIVO ANEXO</v>
      </c>
      <c r="N1686" s="93">
        <v>41608</v>
      </c>
      <c r="O1686" s="109"/>
      <c r="P1686" s="109"/>
      <c r="Q1686" s="94">
        <v>1537</v>
      </c>
      <c r="R1686" s="95">
        <f t="shared" si="322"/>
        <v>1742.4382854677224</v>
      </c>
      <c r="S1686" s="109">
        <v>1140.26</v>
      </c>
      <c r="T1686" s="94">
        <f t="shared" si="320"/>
        <v>1217.455602</v>
      </c>
      <c r="U1686" s="94">
        <f t="shared" si="327"/>
        <v>1287.459299115</v>
      </c>
      <c r="V1686" s="94">
        <f t="shared" si="328"/>
        <v>1340.1163844488035</v>
      </c>
      <c r="W1686" s="97">
        <f t="shared" si="325"/>
        <v>1382.7320854742754</v>
      </c>
      <c r="X1686" s="97">
        <f t="shared" si="326"/>
        <v>1435.275904722298</v>
      </c>
      <c r="Y1686" s="97">
        <f t="shared" si="321"/>
        <v>1458.383846788327</v>
      </c>
      <c r="Z1686" s="97">
        <f t="shared" si="323"/>
        <v>1540.3450189778309</v>
      </c>
      <c r="AA1686" s="97">
        <f t="shared" si="324"/>
        <v>1742.4382854677224</v>
      </c>
    </row>
    <row r="1687" spans="1:27" x14ac:dyDescent="0.25">
      <c r="A1687" s="146" t="s">
        <v>3730</v>
      </c>
      <c r="B1687" s="126" t="s">
        <v>3731</v>
      </c>
      <c r="C1687" s="88" t="s">
        <v>226</v>
      </c>
      <c r="D1687" s="89" t="s">
        <v>262</v>
      </c>
      <c r="E1687" s="90">
        <f t="shared" si="329"/>
        <v>18850</v>
      </c>
      <c r="F1687" s="90">
        <f t="shared" si="318"/>
        <v>15840.348049706568</v>
      </c>
      <c r="G1687" s="91">
        <v>0.19</v>
      </c>
      <c r="H1687" s="91" t="s">
        <v>228</v>
      </c>
      <c r="I1687" s="91"/>
      <c r="J1687" s="91" t="s">
        <v>228</v>
      </c>
      <c r="K1687" s="91"/>
      <c r="L1687" s="92" t="s">
        <v>1262</v>
      </c>
      <c r="M1687" s="91" t="str">
        <f t="shared" si="319"/>
        <v>VER ARCHIVO ANEXO</v>
      </c>
      <c r="N1687" s="93">
        <v>41608</v>
      </c>
      <c r="O1687" s="109"/>
      <c r="P1687" s="109"/>
      <c r="Q1687" s="94">
        <v>1538</v>
      </c>
      <c r="R1687" s="95">
        <f t="shared" si="322"/>
        <v>15840.348049706568</v>
      </c>
      <c r="S1687" s="109">
        <v>10366</v>
      </c>
      <c r="T1687" s="94">
        <f t="shared" si="320"/>
        <v>11067.778200000001</v>
      </c>
      <c r="U1687" s="94">
        <f t="shared" si="327"/>
        <v>11704.175446500001</v>
      </c>
      <c r="V1687" s="94">
        <f t="shared" si="328"/>
        <v>12182.87622226185</v>
      </c>
      <c r="W1687" s="97">
        <f t="shared" si="325"/>
        <v>12570.291686129778</v>
      </c>
      <c r="X1687" s="97">
        <f t="shared" si="326"/>
        <v>13047.96277020271</v>
      </c>
      <c r="Y1687" s="97">
        <f t="shared" si="321"/>
        <v>13258.034970802973</v>
      </c>
      <c r="Z1687" s="97">
        <f t="shared" si="323"/>
        <v>14003.136536162101</v>
      </c>
      <c r="AA1687" s="97">
        <f t="shared" si="324"/>
        <v>15840.348049706568</v>
      </c>
    </row>
    <row r="1688" spans="1:27" x14ac:dyDescent="0.25">
      <c r="A1688" s="76" t="s">
        <v>3732</v>
      </c>
      <c r="B1688" s="77" t="s">
        <v>3733</v>
      </c>
      <c r="C1688" s="88"/>
      <c r="D1688" s="89"/>
      <c r="E1688" s="90">
        <f t="shared" si="329"/>
        <v>0</v>
      </c>
      <c r="F1688" s="90">
        <f t="shared" ref="F1688:F1757" si="330">R1688</f>
        <v>0</v>
      </c>
      <c r="G1688" s="91"/>
      <c r="H1688" s="91"/>
      <c r="I1688" s="91"/>
      <c r="J1688" s="91"/>
      <c r="K1688" s="91"/>
      <c r="L1688" s="91"/>
      <c r="M1688" s="91"/>
      <c r="N1688" s="93"/>
      <c r="O1688" s="94"/>
      <c r="P1688" s="94"/>
      <c r="Q1688" s="109">
        <v>0</v>
      </c>
      <c r="R1688" s="95">
        <f t="shared" si="322"/>
        <v>0</v>
      </c>
      <c r="S1688" s="94">
        <v>0</v>
      </c>
      <c r="T1688" s="94">
        <f t="shared" si="320"/>
        <v>0</v>
      </c>
      <c r="U1688" s="94">
        <f t="shared" si="327"/>
        <v>0</v>
      </c>
      <c r="V1688" s="94">
        <f t="shared" si="328"/>
        <v>0</v>
      </c>
      <c r="W1688" s="97">
        <f t="shared" si="325"/>
        <v>0</v>
      </c>
      <c r="X1688" s="97">
        <f t="shared" si="326"/>
        <v>0</v>
      </c>
      <c r="Y1688" s="97">
        <f t="shared" si="321"/>
        <v>0</v>
      </c>
      <c r="Z1688" s="97">
        <f t="shared" si="323"/>
        <v>0</v>
      </c>
      <c r="AA1688" s="97">
        <f t="shared" si="324"/>
        <v>0</v>
      </c>
    </row>
    <row r="1689" spans="1:27" x14ac:dyDescent="0.25">
      <c r="A1689" s="86" t="s">
        <v>3734</v>
      </c>
      <c r="B1689" s="126" t="s">
        <v>3735</v>
      </c>
      <c r="C1689" s="88" t="s">
        <v>226</v>
      </c>
      <c r="D1689" s="89" t="s">
        <v>4</v>
      </c>
      <c r="E1689" s="90">
        <f t="shared" si="329"/>
        <v>95042</v>
      </c>
      <c r="F1689" s="90">
        <f t="shared" si="330"/>
        <v>95042.088298239425</v>
      </c>
      <c r="G1689" s="91">
        <v>0</v>
      </c>
      <c r="H1689" s="91" t="s">
        <v>228</v>
      </c>
      <c r="I1689" s="91" t="s">
        <v>228</v>
      </c>
      <c r="J1689" s="91" t="s">
        <v>228</v>
      </c>
      <c r="K1689" s="91" t="s">
        <v>228</v>
      </c>
      <c r="L1689" s="92" t="s">
        <v>3736</v>
      </c>
      <c r="M1689" s="91" t="str">
        <f t="shared" ref="M1689:M1705" si="331">+IF(L1689="no aplica","no aplica","VER ARCHIVO ANEXO")</f>
        <v>VER ARCHIVO ANEXO</v>
      </c>
      <c r="N1689" s="93">
        <v>41608</v>
      </c>
      <c r="O1689" s="109"/>
      <c r="P1689" s="94"/>
      <c r="Q1689" s="94">
        <v>1539</v>
      </c>
      <c r="R1689" s="95">
        <f t="shared" si="322"/>
        <v>95042.088298239425</v>
      </c>
      <c r="S1689" s="109">
        <v>62196</v>
      </c>
      <c r="T1689" s="94">
        <f t="shared" si="320"/>
        <v>66406.669200000004</v>
      </c>
      <c r="U1689" s="94">
        <f t="shared" si="327"/>
        <v>70225.052679000015</v>
      </c>
      <c r="V1689" s="94">
        <f t="shared" si="328"/>
        <v>73097.257333571106</v>
      </c>
      <c r="W1689" s="97">
        <f t="shared" si="325"/>
        <v>75421.750116778669</v>
      </c>
      <c r="X1689" s="97">
        <f t="shared" si="326"/>
        <v>78287.776621216268</v>
      </c>
      <c r="Y1689" s="97">
        <f t="shared" si="321"/>
        <v>79548.209824817852</v>
      </c>
      <c r="Z1689" s="97">
        <f t="shared" si="323"/>
        <v>84018.819216972624</v>
      </c>
      <c r="AA1689" s="97">
        <f t="shared" si="324"/>
        <v>95042.088298239425</v>
      </c>
    </row>
    <row r="1690" spans="1:27" x14ac:dyDescent="0.25">
      <c r="A1690" s="86" t="s">
        <v>3737</v>
      </c>
      <c r="B1690" s="126" t="s">
        <v>3738</v>
      </c>
      <c r="C1690" s="88" t="s">
        <v>226</v>
      </c>
      <c r="D1690" s="89" t="s">
        <v>292</v>
      </c>
      <c r="E1690" s="90">
        <f t="shared" si="329"/>
        <v>11088</v>
      </c>
      <c r="F1690" s="90">
        <f t="shared" si="330"/>
        <v>11088.2436347946</v>
      </c>
      <c r="G1690" s="91">
        <v>0</v>
      </c>
      <c r="H1690" s="91" t="s">
        <v>228</v>
      </c>
      <c r="I1690" s="91" t="s">
        <v>228</v>
      </c>
      <c r="J1690" s="91" t="s">
        <v>228</v>
      </c>
      <c r="K1690" s="91" t="s">
        <v>228</v>
      </c>
      <c r="L1690" s="92" t="s">
        <v>3736</v>
      </c>
      <c r="M1690" s="91" t="str">
        <f t="shared" si="331"/>
        <v>VER ARCHIVO ANEXO</v>
      </c>
      <c r="N1690" s="93">
        <v>41608</v>
      </c>
      <c r="O1690" s="109"/>
      <c r="P1690" s="94"/>
      <c r="Q1690" s="94">
        <v>1540</v>
      </c>
      <c r="R1690" s="95">
        <f t="shared" si="322"/>
        <v>11088.2436347946</v>
      </c>
      <c r="S1690" s="109">
        <v>7256.2</v>
      </c>
      <c r="T1690" s="94">
        <f t="shared" si="320"/>
        <v>7747.4447400000008</v>
      </c>
      <c r="U1690" s="94">
        <f t="shared" si="327"/>
        <v>8192.9228125500013</v>
      </c>
      <c r="V1690" s="94">
        <f t="shared" si="328"/>
        <v>8528.0133555832963</v>
      </c>
      <c r="W1690" s="97">
        <f t="shared" si="325"/>
        <v>8799.2041802908461</v>
      </c>
      <c r="X1690" s="97">
        <f t="shared" si="326"/>
        <v>9133.5739391418992</v>
      </c>
      <c r="Y1690" s="97">
        <f t="shared" si="321"/>
        <v>9280.6244795620842</v>
      </c>
      <c r="Z1690" s="97">
        <f t="shared" si="323"/>
        <v>9802.1955753134735</v>
      </c>
      <c r="AA1690" s="97">
        <f t="shared" si="324"/>
        <v>11088.2436347946</v>
      </c>
    </row>
    <row r="1691" spans="1:27" x14ac:dyDescent="0.25">
      <c r="A1691" s="86" t="s">
        <v>3739</v>
      </c>
      <c r="B1691" s="126" t="s">
        <v>3740</v>
      </c>
      <c r="C1691" s="88" t="s">
        <v>226</v>
      </c>
      <c r="D1691" s="89" t="s">
        <v>4</v>
      </c>
      <c r="E1691" s="90">
        <f t="shared" si="329"/>
        <v>30995</v>
      </c>
      <c r="F1691" s="90">
        <f t="shared" si="330"/>
        <v>30994.809028860847</v>
      </c>
      <c r="G1691" s="91">
        <v>0</v>
      </c>
      <c r="H1691" s="91" t="s">
        <v>228</v>
      </c>
      <c r="I1691" s="91" t="s">
        <v>228</v>
      </c>
      <c r="J1691" s="91" t="s">
        <v>228</v>
      </c>
      <c r="K1691" s="91" t="s">
        <v>228</v>
      </c>
      <c r="L1691" s="92" t="s">
        <v>3736</v>
      </c>
      <c r="M1691" s="91" t="str">
        <f t="shared" si="331"/>
        <v>VER ARCHIVO ANEXO</v>
      </c>
      <c r="N1691" s="93">
        <v>41608</v>
      </c>
      <c r="O1691" s="109"/>
      <c r="P1691" s="94"/>
      <c r="Q1691" s="94">
        <v>1541</v>
      </c>
      <c r="R1691" s="95">
        <f t="shared" si="322"/>
        <v>30994.809028860847</v>
      </c>
      <c r="S1691" s="109">
        <v>20283.1522</v>
      </c>
      <c r="T1691" s="94">
        <f t="shared" si="320"/>
        <v>21656.321603940003</v>
      </c>
      <c r="U1691" s="94">
        <f t="shared" si="327"/>
        <v>22901.560096166555</v>
      </c>
      <c r="V1691" s="94">
        <f t="shared" si="328"/>
        <v>23838.233904099765</v>
      </c>
      <c r="W1691" s="97">
        <f t="shared" si="325"/>
        <v>24596.289742250137</v>
      </c>
      <c r="X1691" s="97">
        <f t="shared" si="326"/>
        <v>25530.948752455643</v>
      </c>
      <c r="Y1691" s="97">
        <f t="shared" si="321"/>
        <v>25941.99702737018</v>
      </c>
      <c r="Z1691" s="97">
        <f t="shared" si="323"/>
        <v>27399.937260308387</v>
      </c>
      <c r="AA1691" s="97">
        <f t="shared" si="324"/>
        <v>30994.809028860847</v>
      </c>
    </row>
    <row r="1692" spans="1:27" x14ac:dyDescent="0.25">
      <c r="A1692" s="86" t="s">
        <v>3741</v>
      </c>
      <c r="B1692" s="126" t="s">
        <v>3742</v>
      </c>
      <c r="C1692" s="88" t="s">
        <v>226</v>
      </c>
      <c r="D1692" s="89" t="s">
        <v>292</v>
      </c>
      <c r="E1692" s="90">
        <f t="shared" si="329"/>
        <v>2595</v>
      </c>
      <c r="F1692" s="90">
        <f t="shared" si="330"/>
        <v>2594.6490105419357</v>
      </c>
      <c r="G1692" s="91">
        <v>0</v>
      </c>
      <c r="H1692" s="91" t="s">
        <v>228</v>
      </c>
      <c r="I1692" s="91" t="s">
        <v>228</v>
      </c>
      <c r="J1692" s="91" t="s">
        <v>228</v>
      </c>
      <c r="K1692" s="91" t="s">
        <v>228</v>
      </c>
      <c r="L1692" s="92" t="s">
        <v>3736</v>
      </c>
      <c r="M1692" s="91" t="str">
        <f t="shared" si="331"/>
        <v>VER ARCHIVO ANEXO</v>
      </c>
      <c r="N1692" s="93">
        <v>41608</v>
      </c>
      <c r="O1692" s="109"/>
      <c r="P1692" s="94"/>
      <c r="Q1692" s="94">
        <v>1542</v>
      </c>
      <c r="R1692" s="95">
        <f t="shared" si="322"/>
        <v>2594.6490105419357</v>
      </c>
      <c r="S1692" s="109">
        <v>1697.9507999999998</v>
      </c>
      <c r="T1692" s="94">
        <f t="shared" si="320"/>
        <v>1812.9020691599999</v>
      </c>
      <c r="U1692" s="94">
        <f t="shared" si="327"/>
        <v>1917.1439381367002</v>
      </c>
      <c r="V1692" s="94">
        <f t="shared" si="328"/>
        <v>1995.5551252064911</v>
      </c>
      <c r="W1692" s="97">
        <f t="shared" si="325"/>
        <v>2059.0137781880576</v>
      </c>
      <c r="X1692" s="97">
        <f t="shared" si="326"/>
        <v>2137.2563017592038</v>
      </c>
      <c r="Y1692" s="97">
        <f t="shared" si="321"/>
        <v>2171.6661282175269</v>
      </c>
      <c r="Z1692" s="97">
        <f t="shared" si="323"/>
        <v>2293.7137646233518</v>
      </c>
      <c r="AA1692" s="97">
        <f t="shared" si="324"/>
        <v>2594.6490105419357</v>
      </c>
    </row>
    <row r="1693" spans="1:27" x14ac:dyDescent="0.25">
      <c r="A1693" s="86" t="s">
        <v>3743</v>
      </c>
      <c r="B1693" s="126" t="s">
        <v>3744</v>
      </c>
      <c r="C1693" s="88" t="s">
        <v>226</v>
      </c>
      <c r="D1693" s="89" t="s">
        <v>292</v>
      </c>
      <c r="E1693" s="90">
        <f t="shared" si="329"/>
        <v>11057</v>
      </c>
      <c r="F1693" s="90">
        <f t="shared" si="330"/>
        <v>11056.562938695186</v>
      </c>
      <c r="G1693" s="91">
        <v>0</v>
      </c>
      <c r="H1693" s="91" t="s">
        <v>228</v>
      </c>
      <c r="I1693" s="91" t="s">
        <v>228</v>
      </c>
      <c r="J1693" s="91" t="s">
        <v>228</v>
      </c>
      <c r="K1693" s="91" t="s">
        <v>228</v>
      </c>
      <c r="L1693" s="92" t="s">
        <v>3736</v>
      </c>
      <c r="M1693" s="91" t="str">
        <f t="shared" si="331"/>
        <v>VER ARCHIVO ANEXO</v>
      </c>
      <c r="N1693" s="93">
        <v>41608</v>
      </c>
      <c r="O1693" s="109"/>
      <c r="P1693" s="94"/>
      <c r="Q1693" s="94">
        <v>1543</v>
      </c>
      <c r="R1693" s="95">
        <f t="shared" si="322"/>
        <v>11056.562938695186</v>
      </c>
      <c r="S1693" s="109">
        <v>7235.4679999999998</v>
      </c>
      <c r="T1693" s="94">
        <f t="shared" si="320"/>
        <v>7725.3091836000003</v>
      </c>
      <c r="U1693" s="94">
        <f t="shared" si="327"/>
        <v>8169.5144616570014</v>
      </c>
      <c r="V1693" s="94">
        <f t="shared" si="328"/>
        <v>8503.647603138772</v>
      </c>
      <c r="W1693" s="97">
        <f t="shared" si="325"/>
        <v>8774.063596918586</v>
      </c>
      <c r="X1693" s="97">
        <f t="shared" si="326"/>
        <v>9107.4780136014924</v>
      </c>
      <c r="Y1693" s="97">
        <f t="shared" si="321"/>
        <v>9254.1084096204759</v>
      </c>
      <c r="Z1693" s="97">
        <f t="shared" si="323"/>
        <v>9774.1893022411477</v>
      </c>
      <c r="AA1693" s="97">
        <f t="shared" si="324"/>
        <v>11056.562938695186</v>
      </c>
    </row>
    <row r="1694" spans="1:27" x14ac:dyDescent="0.25">
      <c r="A1694" s="86" t="s">
        <v>3745</v>
      </c>
      <c r="B1694" s="126" t="s">
        <v>3746</v>
      </c>
      <c r="C1694" s="88" t="s">
        <v>226</v>
      </c>
      <c r="D1694" s="124" t="s">
        <v>262</v>
      </c>
      <c r="E1694" s="90">
        <f t="shared" si="329"/>
        <v>560907</v>
      </c>
      <c r="F1694" s="90">
        <f t="shared" si="330"/>
        <v>560906.72444010968</v>
      </c>
      <c r="G1694" s="91">
        <v>0</v>
      </c>
      <c r="H1694" s="91" t="s">
        <v>228</v>
      </c>
      <c r="I1694" s="91" t="s">
        <v>228</v>
      </c>
      <c r="J1694" s="91" t="s">
        <v>228</v>
      </c>
      <c r="K1694" s="91" t="s">
        <v>228</v>
      </c>
      <c r="L1694" s="92" t="s">
        <v>3736</v>
      </c>
      <c r="M1694" s="91" t="str">
        <f t="shared" si="331"/>
        <v>VER ARCHIVO ANEXO</v>
      </c>
      <c r="N1694" s="93">
        <v>41608</v>
      </c>
      <c r="O1694" s="109"/>
      <c r="P1694" s="94"/>
      <c r="Q1694" s="94">
        <v>1544</v>
      </c>
      <c r="R1694" s="95">
        <f t="shared" si="322"/>
        <v>560906.72444010968</v>
      </c>
      <c r="S1694" s="109">
        <v>367060.06</v>
      </c>
      <c r="T1694" s="94">
        <f t="shared" si="320"/>
        <v>391910.02606200002</v>
      </c>
      <c r="U1694" s="94">
        <f t="shared" si="327"/>
        <v>414444.85256056505</v>
      </c>
      <c r="V1694" s="94">
        <f t="shared" si="328"/>
        <v>431395.64703029214</v>
      </c>
      <c r="W1694" s="97">
        <f t="shared" si="325"/>
        <v>445114.02860585548</v>
      </c>
      <c r="X1694" s="97">
        <f t="shared" si="326"/>
        <v>462028.36169287801</v>
      </c>
      <c r="Y1694" s="97">
        <f t="shared" si="321"/>
        <v>469467.01831613336</v>
      </c>
      <c r="Z1694" s="97">
        <f t="shared" si="323"/>
        <v>495851.06474550004</v>
      </c>
      <c r="AA1694" s="97">
        <f t="shared" si="324"/>
        <v>560906.72444010968</v>
      </c>
    </row>
    <row r="1695" spans="1:27" x14ac:dyDescent="0.25">
      <c r="A1695" s="86" t="s">
        <v>3747</v>
      </c>
      <c r="B1695" s="126" t="s">
        <v>3748</v>
      </c>
      <c r="C1695" s="88" t="s">
        <v>226</v>
      </c>
      <c r="D1695" s="124" t="s">
        <v>262</v>
      </c>
      <c r="E1695" s="90">
        <f t="shared" si="329"/>
        <v>626232</v>
      </c>
      <c r="F1695" s="90">
        <f t="shared" si="330"/>
        <v>626232.31979709945</v>
      </c>
      <c r="G1695" s="91">
        <v>0</v>
      </c>
      <c r="H1695" s="91" t="s">
        <v>228</v>
      </c>
      <c r="I1695" s="91" t="s">
        <v>228</v>
      </c>
      <c r="J1695" s="91" t="s">
        <v>228</v>
      </c>
      <c r="K1695" s="91" t="s">
        <v>228</v>
      </c>
      <c r="L1695" s="92" t="s">
        <v>3736</v>
      </c>
      <c r="M1695" s="91" t="str">
        <f t="shared" si="331"/>
        <v>VER ARCHIVO ANEXO</v>
      </c>
      <c r="N1695" s="93">
        <v>41608</v>
      </c>
      <c r="O1695" s="109"/>
      <c r="P1695" s="94"/>
      <c r="Q1695" s="94">
        <v>1545</v>
      </c>
      <c r="R1695" s="95">
        <f t="shared" si="322"/>
        <v>626232.31979709945</v>
      </c>
      <c r="S1695" s="109">
        <v>409809.44399999996</v>
      </c>
      <c r="T1695" s="94">
        <f t="shared" si="320"/>
        <v>437553.5433588</v>
      </c>
      <c r="U1695" s="94">
        <f t="shared" si="327"/>
        <v>462712.87210193108</v>
      </c>
      <c r="V1695" s="94">
        <f t="shared" si="328"/>
        <v>481637.82857090002</v>
      </c>
      <c r="W1695" s="97">
        <f t="shared" si="325"/>
        <v>496953.91151945468</v>
      </c>
      <c r="X1695" s="97">
        <f t="shared" si="326"/>
        <v>515838.16015719395</v>
      </c>
      <c r="Y1695" s="97">
        <f t="shared" si="321"/>
        <v>524143.15453572478</v>
      </c>
      <c r="Z1695" s="97">
        <f t="shared" si="323"/>
        <v>553599.99982063251</v>
      </c>
      <c r="AA1695" s="97">
        <f t="shared" si="324"/>
        <v>626232.31979709945</v>
      </c>
    </row>
    <row r="1696" spans="1:27" x14ac:dyDescent="0.25">
      <c r="A1696" s="86" t="s">
        <v>3749</v>
      </c>
      <c r="B1696" s="126" t="s">
        <v>3750</v>
      </c>
      <c r="C1696" s="88" t="s">
        <v>226</v>
      </c>
      <c r="D1696" s="124" t="s">
        <v>262</v>
      </c>
      <c r="E1696" s="90">
        <f t="shared" si="329"/>
        <v>286568</v>
      </c>
      <c r="F1696" s="90">
        <f t="shared" si="330"/>
        <v>286567.73656724149</v>
      </c>
      <c r="G1696" s="91">
        <v>0</v>
      </c>
      <c r="H1696" s="91" t="s">
        <v>228</v>
      </c>
      <c r="I1696" s="91" t="s">
        <v>228</v>
      </c>
      <c r="J1696" s="91" t="s">
        <v>228</v>
      </c>
      <c r="K1696" s="91" t="s">
        <v>228</v>
      </c>
      <c r="L1696" s="92" t="s">
        <v>3736</v>
      </c>
      <c r="M1696" s="91" t="str">
        <f t="shared" si="331"/>
        <v>VER ARCHIVO ANEXO</v>
      </c>
      <c r="N1696" s="93">
        <v>41608</v>
      </c>
      <c r="O1696" s="109"/>
      <c r="P1696" s="94"/>
      <c r="Q1696" s="94">
        <v>1546</v>
      </c>
      <c r="R1696" s="95">
        <f t="shared" si="322"/>
        <v>286567.73656724149</v>
      </c>
      <c r="S1696" s="109">
        <v>187531.30599999998</v>
      </c>
      <c r="T1696" s="94">
        <f t="shared" si="320"/>
        <v>200227.17541619999</v>
      </c>
      <c r="U1696" s="94">
        <f t="shared" si="327"/>
        <v>211740.23800263149</v>
      </c>
      <c r="V1696" s="94">
        <f t="shared" si="328"/>
        <v>220400.41373693911</v>
      </c>
      <c r="W1696" s="97">
        <f t="shared" si="325"/>
        <v>227409.14689377378</v>
      </c>
      <c r="X1696" s="97">
        <f t="shared" si="326"/>
        <v>236050.6944757372</v>
      </c>
      <c r="Y1696" s="97">
        <f t="shared" si="321"/>
        <v>239851.11065679658</v>
      </c>
      <c r="Z1696" s="97">
        <f t="shared" si="323"/>
        <v>253330.74307570854</v>
      </c>
      <c r="AA1696" s="97">
        <f t="shared" si="324"/>
        <v>286567.73656724149</v>
      </c>
    </row>
    <row r="1697" spans="1:27" x14ac:dyDescent="0.25">
      <c r="A1697" s="86" t="s">
        <v>3751</v>
      </c>
      <c r="B1697" s="126" t="s">
        <v>3752</v>
      </c>
      <c r="C1697" s="88" t="s">
        <v>226</v>
      </c>
      <c r="D1697" s="124" t="s">
        <v>262</v>
      </c>
      <c r="E1697" s="90">
        <f t="shared" si="329"/>
        <v>397423</v>
      </c>
      <c r="F1697" s="90">
        <f t="shared" si="330"/>
        <v>397423.24432350288</v>
      </c>
      <c r="G1697" s="91">
        <v>0</v>
      </c>
      <c r="H1697" s="91" t="s">
        <v>228</v>
      </c>
      <c r="I1697" s="91" t="s">
        <v>228</v>
      </c>
      <c r="J1697" s="91" t="s">
        <v>228</v>
      </c>
      <c r="K1697" s="91" t="s">
        <v>228</v>
      </c>
      <c r="L1697" s="92" t="s">
        <v>3736</v>
      </c>
      <c r="M1697" s="91" t="str">
        <f t="shared" si="331"/>
        <v>VER ARCHIVO ANEXO</v>
      </c>
      <c r="N1697" s="93">
        <v>41608</v>
      </c>
      <c r="O1697" s="109"/>
      <c r="P1697" s="94"/>
      <c r="Q1697" s="94">
        <v>1547</v>
      </c>
      <c r="R1697" s="95">
        <f t="shared" si="322"/>
        <v>397423.24432350288</v>
      </c>
      <c r="S1697" s="109">
        <v>260075.6838</v>
      </c>
      <c r="T1697" s="94">
        <f t="shared" si="320"/>
        <v>277682.80759326002</v>
      </c>
      <c r="U1697" s="94">
        <f t="shared" si="327"/>
        <v>293649.56902987248</v>
      </c>
      <c r="V1697" s="94">
        <f t="shared" si="328"/>
        <v>305659.83640319423</v>
      </c>
      <c r="W1697" s="97">
        <f t="shared" si="325"/>
        <v>315379.81920081581</v>
      </c>
      <c r="X1697" s="97">
        <f t="shared" si="326"/>
        <v>327364.25233044679</v>
      </c>
      <c r="Y1697" s="97">
        <f t="shared" si="321"/>
        <v>332634.81679296697</v>
      </c>
      <c r="Z1697" s="97">
        <f t="shared" si="323"/>
        <v>351328.8934967317</v>
      </c>
      <c r="AA1697" s="97">
        <f t="shared" si="324"/>
        <v>397423.24432350288</v>
      </c>
    </row>
    <row r="1698" spans="1:27" x14ac:dyDescent="0.25">
      <c r="A1698" s="86" t="s">
        <v>3753</v>
      </c>
      <c r="B1698" s="126" t="s">
        <v>3754</v>
      </c>
      <c r="C1698" s="88" t="s">
        <v>226</v>
      </c>
      <c r="D1698" s="124" t="s">
        <v>262</v>
      </c>
      <c r="E1698" s="90">
        <f t="shared" si="329"/>
        <v>286568</v>
      </c>
      <c r="F1698" s="90">
        <f t="shared" si="330"/>
        <v>286567.73656724149</v>
      </c>
      <c r="G1698" s="91">
        <v>0</v>
      </c>
      <c r="H1698" s="91" t="s">
        <v>228</v>
      </c>
      <c r="I1698" s="91" t="s">
        <v>228</v>
      </c>
      <c r="J1698" s="91" t="s">
        <v>228</v>
      </c>
      <c r="K1698" s="91" t="s">
        <v>228</v>
      </c>
      <c r="L1698" s="92" t="s">
        <v>3736</v>
      </c>
      <c r="M1698" s="91" t="str">
        <f t="shared" si="331"/>
        <v>VER ARCHIVO ANEXO</v>
      </c>
      <c r="N1698" s="93">
        <v>41608</v>
      </c>
      <c r="O1698" s="109"/>
      <c r="P1698" s="94"/>
      <c r="Q1698" s="94">
        <v>1548</v>
      </c>
      <c r="R1698" s="95">
        <f t="shared" si="322"/>
        <v>286567.73656724149</v>
      </c>
      <c r="S1698" s="109">
        <v>187531.30599999998</v>
      </c>
      <c r="T1698" s="94">
        <f t="shared" ref="T1698:T1767" si="332">+S1698*1.0677</f>
        <v>200227.17541619999</v>
      </c>
      <c r="U1698" s="94">
        <f t="shared" si="327"/>
        <v>211740.23800263149</v>
      </c>
      <c r="V1698" s="94">
        <f t="shared" si="328"/>
        <v>220400.41373693911</v>
      </c>
      <c r="W1698" s="97">
        <f t="shared" si="325"/>
        <v>227409.14689377378</v>
      </c>
      <c r="X1698" s="97">
        <f t="shared" si="326"/>
        <v>236050.6944757372</v>
      </c>
      <c r="Y1698" s="97">
        <f t="shared" si="321"/>
        <v>239851.11065679658</v>
      </c>
      <c r="Z1698" s="97">
        <f t="shared" si="323"/>
        <v>253330.74307570854</v>
      </c>
      <c r="AA1698" s="97">
        <f t="shared" si="324"/>
        <v>286567.73656724149</v>
      </c>
    </row>
    <row r="1699" spans="1:27" x14ac:dyDescent="0.25">
      <c r="A1699" s="86" t="s">
        <v>3755</v>
      </c>
      <c r="B1699" s="126" t="s">
        <v>3756</v>
      </c>
      <c r="C1699" s="88" t="s">
        <v>226</v>
      </c>
      <c r="D1699" s="124" t="s">
        <v>262</v>
      </c>
      <c r="E1699" s="90">
        <f t="shared" si="329"/>
        <v>397423</v>
      </c>
      <c r="F1699" s="90">
        <f t="shared" si="330"/>
        <v>397423.24432350288</v>
      </c>
      <c r="G1699" s="91">
        <v>0</v>
      </c>
      <c r="H1699" s="91" t="s">
        <v>228</v>
      </c>
      <c r="I1699" s="91" t="s">
        <v>228</v>
      </c>
      <c r="J1699" s="91" t="s">
        <v>228</v>
      </c>
      <c r="K1699" s="91" t="s">
        <v>228</v>
      </c>
      <c r="L1699" s="92" t="s">
        <v>3736</v>
      </c>
      <c r="M1699" s="91" t="str">
        <f t="shared" si="331"/>
        <v>VER ARCHIVO ANEXO</v>
      </c>
      <c r="N1699" s="93">
        <v>41608</v>
      </c>
      <c r="O1699" s="109"/>
      <c r="P1699" s="94"/>
      <c r="Q1699" s="94">
        <v>1549</v>
      </c>
      <c r="R1699" s="95">
        <f t="shared" si="322"/>
        <v>397423.24432350288</v>
      </c>
      <c r="S1699" s="109">
        <v>260075.6838</v>
      </c>
      <c r="T1699" s="94">
        <f t="shared" si="332"/>
        <v>277682.80759326002</v>
      </c>
      <c r="U1699" s="94">
        <f t="shared" si="327"/>
        <v>293649.56902987248</v>
      </c>
      <c r="V1699" s="94">
        <f t="shared" si="328"/>
        <v>305659.83640319423</v>
      </c>
      <c r="W1699" s="97">
        <f t="shared" si="325"/>
        <v>315379.81920081581</v>
      </c>
      <c r="X1699" s="97">
        <f t="shared" si="326"/>
        <v>327364.25233044679</v>
      </c>
      <c r="Y1699" s="97">
        <f t="shared" si="321"/>
        <v>332634.81679296697</v>
      </c>
      <c r="Z1699" s="97">
        <f t="shared" si="323"/>
        <v>351328.8934967317</v>
      </c>
      <c r="AA1699" s="97">
        <f t="shared" si="324"/>
        <v>397423.24432350288</v>
      </c>
    </row>
    <row r="1700" spans="1:27" x14ac:dyDescent="0.25">
      <c r="A1700" s="86" t="s">
        <v>3757</v>
      </c>
      <c r="B1700" s="126" t="s">
        <v>3758</v>
      </c>
      <c r="C1700" s="88" t="s">
        <v>226</v>
      </c>
      <c r="D1700" s="89" t="s">
        <v>292</v>
      </c>
      <c r="E1700" s="90">
        <f t="shared" si="329"/>
        <v>498179</v>
      </c>
      <c r="F1700" s="90">
        <f t="shared" si="330"/>
        <v>498178.94616327161</v>
      </c>
      <c r="G1700" s="91">
        <v>0</v>
      </c>
      <c r="H1700" s="91" t="s">
        <v>228</v>
      </c>
      <c r="I1700" s="91" t="s">
        <v>228</v>
      </c>
      <c r="J1700" s="91" t="s">
        <v>228</v>
      </c>
      <c r="K1700" s="91" t="s">
        <v>228</v>
      </c>
      <c r="L1700" s="92" t="s">
        <v>3736</v>
      </c>
      <c r="M1700" s="91" t="str">
        <f t="shared" si="331"/>
        <v>VER ARCHIVO ANEXO</v>
      </c>
      <c r="N1700" s="93">
        <v>41608</v>
      </c>
      <c r="O1700" s="109"/>
      <c r="P1700" s="94"/>
      <c r="Q1700" s="94">
        <v>1550</v>
      </c>
      <c r="R1700" s="95">
        <f t="shared" si="322"/>
        <v>498178.94616327161</v>
      </c>
      <c r="S1700" s="109">
        <v>326010.7</v>
      </c>
      <c r="T1700" s="94">
        <f t="shared" si="332"/>
        <v>348081.62439000007</v>
      </c>
      <c r="U1700" s="94">
        <f t="shared" si="327"/>
        <v>368096.31779242511</v>
      </c>
      <c r="V1700" s="94">
        <f t="shared" si="328"/>
        <v>383151.45719013526</v>
      </c>
      <c r="W1700" s="97">
        <f t="shared" si="325"/>
        <v>395335.67352878157</v>
      </c>
      <c r="X1700" s="97">
        <f t="shared" si="326"/>
        <v>410358.42912287527</v>
      </c>
      <c r="Y1700" s="97">
        <f t="shared" si="321"/>
        <v>416965.19983175356</v>
      </c>
      <c r="Z1700" s="97">
        <f t="shared" si="323"/>
        <v>440398.64406229812</v>
      </c>
      <c r="AA1700" s="97">
        <f t="shared" si="324"/>
        <v>498178.94616327161</v>
      </c>
    </row>
    <row r="1701" spans="1:27" x14ac:dyDescent="0.25">
      <c r="A1701" s="86" t="s">
        <v>3759</v>
      </c>
      <c r="B1701" s="126" t="s">
        <v>3760</v>
      </c>
      <c r="C1701" s="88" t="s">
        <v>226</v>
      </c>
      <c r="D1701" s="89" t="s">
        <v>292</v>
      </c>
      <c r="E1701" s="90">
        <f t="shared" si="329"/>
        <v>291858</v>
      </c>
      <c r="F1701" s="90">
        <f t="shared" si="330"/>
        <v>291858.41281584353</v>
      </c>
      <c r="G1701" s="91">
        <v>0</v>
      </c>
      <c r="H1701" s="91" t="s">
        <v>228</v>
      </c>
      <c r="I1701" s="91" t="s">
        <v>228</v>
      </c>
      <c r="J1701" s="91" t="s">
        <v>228</v>
      </c>
      <c r="K1701" s="91" t="s">
        <v>228</v>
      </c>
      <c r="L1701" s="92" t="s">
        <v>3736</v>
      </c>
      <c r="M1701" s="91" t="str">
        <f t="shared" si="331"/>
        <v>VER ARCHIVO ANEXO</v>
      </c>
      <c r="N1701" s="93">
        <v>41608</v>
      </c>
      <c r="O1701" s="109"/>
      <c r="P1701" s="94"/>
      <c r="Q1701" s="94">
        <v>1551</v>
      </c>
      <c r="R1701" s="95">
        <f t="shared" si="322"/>
        <v>291858.41281584353</v>
      </c>
      <c r="S1701" s="109">
        <v>190993.55</v>
      </c>
      <c r="T1701" s="94">
        <f t="shared" si="332"/>
        <v>203923.81333500001</v>
      </c>
      <c r="U1701" s="94">
        <f t="shared" si="327"/>
        <v>215649.43260176253</v>
      </c>
      <c r="V1701" s="94">
        <f t="shared" si="328"/>
        <v>224469.49439517461</v>
      </c>
      <c r="W1701" s="97">
        <f t="shared" si="325"/>
        <v>231607.62431694116</v>
      </c>
      <c r="X1701" s="97">
        <f t="shared" si="326"/>
        <v>240408.71404098492</v>
      </c>
      <c r="Y1701" s="97">
        <f t="shared" si="321"/>
        <v>244279.29433704479</v>
      </c>
      <c r="Z1701" s="97">
        <f t="shared" si="323"/>
        <v>258007.79067878673</v>
      </c>
      <c r="AA1701" s="97">
        <f t="shared" si="324"/>
        <v>291858.41281584353</v>
      </c>
    </row>
    <row r="1702" spans="1:27" x14ac:dyDescent="0.25">
      <c r="A1702" s="86" t="s">
        <v>3761</v>
      </c>
      <c r="B1702" s="126" t="s">
        <v>3762</v>
      </c>
      <c r="C1702" s="88" t="s">
        <v>226</v>
      </c>
      <c r="D1702" s="124" t="s">
        <v>262</v>
      </c>
      <c r="E1702" s="90">
        <f t="shared" si="329"/>
        <v>12181</v>
      </c>
      <c r="F1702" s="90">
        <f t="shared" si="330"/>
        <v>12181.227650224351</v>
      </c>
      <c r="G1702" s="91">
        <v>0</v>
      </c>
      <c r="H1702" s="91" t="s">
        <v>228</v>
      </c>
      <c r="I1702" s="91" t="s">
        <v>228</v>
      </c>
      <c r="J1702" s="91" t="s">
        <v>228</v>
      </c>
      <c r="K1702" s="91" t="s">
        <v>228</v>
      </c>
      <c r="L1702" s="92" t="s">
        <v>3736</v>
      </c>
      <c r="M1702" s="91" t="str">
        <f t="shared" si="331"/>
        <v>VER ARCHIVO ANEXO</v>
      </c>
      <c r="N1702" s="93">
        <v>41608</v>
      </c>
      <c r="O1702" s="109"/>
      <c r="P1702" s="94"/>
      <c r="Q1702" s="94">
        <v>1552</v>
      </c>
      <c r="R1702" s="95">
        <f t="shared" si="322"/>
        <v>12181.227650224351</v>
      </c>
      <c r="S1702" s="109">
        <v>7971.4539999999997</v>
      </c>
      <c r="T1702" s="94">
        <f t="shared" si="332"/>
        <v>8511.1214357999997</v>
      </c>
      <c r="U1702" s="94">
        <f t="shared" si="327"/>
        <v>9000.5109183585009</v>
      </c>
      <c r="V1702" s="94">
        <f t="shared" si="328"/>
        <v>9368.631814919363</v>
      </c>
      <c r="W1702" s="97">
        <f t="shared" si="325"/>
        <v>9666.5543066337996</v>
      </c>
      <c r="X1702" s="97">
        <f t="shared" si="326"/>
        <v>10033.883370285885</v>
      </c>
      <c r="Y1702" s="97">
        <f t="shared" si="321"/>
        <v>10195.428892547487</v>
      </c>
      <c r="Z1702" s="97">
        <f t="shared" si="323"/>
        <v>10768.411996308656</v>
      </c>
      <c r="AA1702" s="97">
        <f t="shared" si="324"/>
        <v>12181.227650224351</v>
      </c>
    </row>
    <row r="1703" spans="1:27" x14ac:dyDescent="0.25">
      <c r="A1703" s="86" t="s">
        <v>3763</v>
      </c>
      <c r="B1703" s="126" t="s">
        <v>3764</v>
      </c>
      <c r="C1703" s="88" t="s">
        <v>226</v>
      </c>
      <c r="D1703" s="124" t="s">
        <v>262</v>
      </c>
      <c r="E1703" s="90">
        <f t="shared" si="329"/>
        <v>475210</v>
      </c>
      <c r="F1703" s="90">
        <f t="shared" si="330"/>
        <v>475210.4414911971</v>
      </c>
      <c r="G1703" s="91">
        <v>0</v>
      </c>
      <c r="H1703" s="91" t="s">
        <v>228</v>
      </c>
      <c r="I1703" s="91" t="s">
        <v>228</v>
      </c>
      <c r="J1703" s="91" t="s">
        <v>228</v>
      </c>
      <c r="K1703" s="91" t="s">
        <v>228</v>
      </c>
      <c r="L1703" s="92" t="s">
        <v>3736</v>
      </c>
      <c r="M1703" s="91" t="str">
        <f t="shared" si="331"/>
        <v>VER ARCHIVO ANEXO</v>
      </c>
      <c r="N1703" s="93">
        <v>41608</v>
      </c>
      <c r="O1703" s="109"/>
      <c r="P1703" s="94"/>
      <c r="Q1703" s="94">
        <v>1553</v>
      </c>
      <c r="R1703" s="95">
        <f t="shared" si="322"/>
        <v>475210.4414911971</v>
      </c>
      <c r="S1703" s="109">
        <v>310980</v>
      </c>
      <c r="T1703" s="94">
        <f t="shared" si="332"/>
        <v>332033.34600000002</v>
      </c>
      <c r="U1703" s="94">
        <f t="shared" si="327"/>
        <v>351125.26339500007</v>
      </c>
      <c r="V1703" s="94">
        <f t="shared" si="328"/>
        <v>365486.28666785557</v>
      </c>
      <c r="W1703" s="97">
        <f t="shared" si="325"/>
        <v>377108.75058389339</v>
      </c>
      <c r="X1703" s="97">
        <f t="shared" si="326"/>
        <v>391438.88310608134</v>
      </c>
      <c r="Y1703" s="97">
        <f t="shared" si="321"/>
        <v>397741.04912408924</v>
      </c>
      <c r="Z1703" s="97">
        <f t="shared" si="323"/>
        <v>420094.09608486306</v>
      </c>
      <c r="AA1703" s="97">
        <f t="shared" si="324"/>
        <v>475210.4414911971</v>
      </c>
    </row>
    <row r="1704" spans="1:27" x14ac:dyDescent="0.25">
      <c r="A1704" s="86" t="s">
        <v>3765</v>
      </c>
      <c r="B1704" s="126" t="s">
        <v>3766</v>
      </c>
      <c r="C1704" s="88" t="s">
        <v>226</v>
      </c>
      <c r="D1704" s="124" t="s">
        <v>262</v>
      </c>
      <c r="E1704" s="90">
        <f t="shared" si="329"/>
        <v>12511</v>
      </c>
      <c r="F1704" s="90">
        <f t="shared" si="330"/>
        <v>12510.706889658248</v>
      </c>
      <c r="G1704" s="91">
        <v>0</v>
      </c>
      <c r="H1704" s="91" t="s">
        <v>228</v>
      </c>
      <c r="I1704" s="91" t="s">
        <v>228</v>
      </c>
      <c r="J1704" s="91" t="s">
        <v>228</v>
      </c>
      <c r="K1704" s="91" t="s">
        <v>228</v>
      </c>
      <c r="L1704" s="92" t="s">
        <v>3736</v>
      </c>
      <c r="M1704" s="91" t="str">
        <f t="shared" si="331"/>
        <v>VER ARCHIVO ANEXO</v>
      </c>
      <c r="N1704" s="93">
        <v>41608</v>
      </c>
      <c r="O1704" s="109"/>
      <c r="P1704" s="94"/>
      <c r="Q1704" s="94">
        <v>1554</v>
      </c>
      <c r="R1704" s="95">
        <f t="shared" si="322"/>
        <v>12510.706889658248</v>
      </c>
      <c r="S1704" s="109">
        <v>8187.0667999999996</v>
      </c>
      <c r="T1704" s="94">
        <f t="shared" si="332"/>
        <v>8741.3312223600005</v>
      </c>
      <c r="U1704" s="94">
        <f t="shared" si="327"/>
        <v>9243.9577676457011</v>
      </c>
      <c r="V1704" s="94">
        <f t="shared" si="328"/>
        <v>9622.0356403424103</v>
      </c>
      <c r="W1704" s="97">
        <f t="shared" si="325"/>
        <v>9928.016373705299</v>
      </c>
      <c r="X1704" s="97">
        <f t="shared" si="326"/>
        <v>10305.280995906101</v>
      </c>
      <c r="Y1704" s="97">
        <f t="shared" si="321"/>
        <v>10471.196019940189</v>
      </c>
      <c r="Z1704" s="97">
        <f t="shared" si="323"/>
        <v>11059.677236260828</v>
      </c>
      <c r="AA1704" s="97">
        <f t="shared" si="324"/>
        <v>12510.706889658248</v>
      </c>
    </row>
    <row r="1705" spans="1:27" x14ac:dyDescent="0.25">
      <c r="A1705" s="86" t="s">
        <v>3767</v>
      </c>
      <c r="B1705" s="126" t="s">
        <v>3768</v>
      </c>
      <c r="C1705" s="88" t="s">
        <v>226</v>
      </c>
      <c r="D1705" s="124" t="s">
        <v>262</v>
      </c>
      <c r="E1705" s="90">
        <f t="shared" si="329"/>
        <v>80152</v>
      </c>
      <c r="F1705" s="90">
        <f t="shared" si="330"/>
        <v>80152.161131515255</v>
      </c>
      <c r="G1705" s="91">
        <v>0</v>
      </c>
      <c r="H1705" s="91" t="s">
        <v>228</v>
      </c>
      <c r="I1705" s="91" t="s">
        <v>228</v>
      </c>
      <c r="J1705" s="91" t="s">
        <v>228</v>
      </c>
      <c r="K1705" s="91" t="s">
        <v>228</v>
      </c>
      <c r="L1705" s="92" t="s">
        <v>3736</v>
      </c>
      <c r="M1705" s="91" t="str">
        <f t="shared" si="331"/>
        <v>VER ARCHIVO ANEXO</v>
      </c>
      <c r="N1705" s="93">
        <v>41608</v>
      </c>
      <c r="O1705" s="109"/>
      <c r="P1705" s="94"/>
      <c r="Q1705" s="94">
        <v>1555</v>
      </c>
      <c r="R1705" s="95">
        <f t="shared" si="322"/>
        <v>80152.161131515255</v>
      </c>
      <c r="S1705" s="109">
        <v>52451.96</v>
      </c>
      <c r="T1705" s="94">
        <f t="shared" si="332"/>
        <v>56002.957692000004</v>
      </c>
      <c r="U1705" s="94">
        <f t="shared" si="327"/>
        <v>59223.127759290008</v>
      </c>
      <c r="V1705" s="94">
        <f t="shared" si="328"/>
        <v>61645.353684644964</v>
      </c>
      <c r="W1705" s="97">
        <f t="shared" si="325"/>
        <v>63605.675931816681</v>
      </c>
      <c r="X1705" s="97">
        <f t="shared" si="326"/>
        <v>66022.691617225719</v>
      </c>
      <c r="Y1705" s="97">
        <f t="shared" si="321"/>
        <v>67085.65695226306</v>
      </c>
      <c r="Z1705" s="97">
        <f t="shared" si="323"/>
        <v>70855.870872980246</v>
      </c>
      <c r="AA1705" s="97">
        <f t="shared" si="324"/>
        <v>80152.161131515255</v>
      </c>
    </row>
    <row r="1706" spans="1:27" x14ac:dyDescent="0.25">
      <c r="A1706" s="63" t="s">
        <v>577</v>
      </c>
      <c r="B1706" s="147" t="s">
        <v>3769</v>
      </c>
      <c r="C1706" s="88"/>
      <c r="D1706" s="89"/>
      <c r="E1706" s="90">
        <f t="shared" si="329"/>
        <v>0</v>
      </c>
      <c r="F1706" s="90">
        <f t="shared" si="330"/>
        <v>0</v>
      </c>
      <c r="G1706" s="91"/>
      <c r="H1706" s="91"/>
      <c r="I1706" s="91"/>
      <c r="J1706" s="91"/>
      <c r="K1706" s="91"/>
      <c r="L1706" s="148"/>
      <c r="M1706" s="149"/>
      <c r="N1706" s="93">
        <v>41608</v>
      </c>
      <c r="O1706" s="94"/>
      <c r="P1706" s="94"/>
      <c r="Q1706" s="109">
        <v>0</v>
      </c>
      <c r="R1706" s="95">
        <f t="shared" si="322"/>
        <v>0</v>
      </c>
      <c r="S1706" s="94">
        <v>0</v>
      </c>
      <c r="T1706" s="94">
        <f t="shared" si="332"/>
        <v>0</v>
      </c>
      <c r="U1706" s="94">
        <f t="shared" si="327"/>
        <v>0</v>
      </c>
      <c r="V1706" s="94">
        <f t="shared" si="328"/>
        <v>0</v>
      </c>
      <c r="W1706" s="97">
        <f t="shared" si="325"/>
        <v>0</v>
      </c>
      <c r="X1706" s="97">
        <f t="shared" si="326"/>
        <v>0</v>
      </c>
      <c r="Y1706" s="97">
        <f t="shared" si="321"/>
        <v>0</v>
      </c>
      <c r="Z1706" s="97">
        <f t="shared" si="323"/>
        <v>0</v>
      </c>
      <c r="AA1706" s="97">
        <f t="shared" si="324"/>
        <v>0</v>
      </c>
    </row>
    <row r="1707" spans="1:27" x14ac:dyDescent="0.25">
      <c r="A1707" s="86" t="s">
        <v>3770</v>
      </c>
      <c r="B1707" s="126" t="s">
        <v>3771</v>
      </c>
      <c r="C1707" s="107" t="s">
        <v>1031</v>
      </c>
      <c r="D1707" s="124" t="s">
        <v>262</v>
      </c>
      <c r="E1707" s="90">
        <f t="shared" si="329"/>
        <v>43892</v>
      </c>
      <c r="F1707" s="90">
        <f t="shared" si="330"/>
        <v>36883.897441227811</v>
      </c>
      <c r="G1707" s="91">
        <v>0.19</v>
      </c>
      <c r="H1707" s="91" t="s">
        <v>228</v>
      </c>
      <c r="I1707" s="91" t="s">
        <v>228</v>
      </c>
      <c r="J1707" s="91" t="s">
        <v>228</v>
      </c>
      <c r="K1707" s="91" t="s">
        <v>228</v>
      </c>
      <c r="L1707" s="92" t="s">
        <v>302</v>
      </c>
      <c r="M1707" s="91" t="str">
        <f t="shared" ref="M1707:M1715" si="333">+IF(L1707="no aplica","no aplica","VER ARCHIVO ANEXO")</f>
        <v>no aplica</v>
      </c>
      <c r="N1707" s="93">
        <v>41608</v>
      </c>
      <c r="O1707" s="109"/>
      <c r="P1707" s="94"/>
      <c r="Q1707" s="94">
        <v>118</v>
      </c>
      <c r="R1707" s="95">
        <f t="shared" si="322"/>
        <v>36883.897441227811</v>
      </c>
      <c r="S1707" s="94">
        <v>24137</v>
      </c>
      <c r="T1707" s="94">
        <f t="shared" si="332"/>
        <v>25771.074900000003</v>
      </c>
      <c r="U1707" s="94">
        <f t="shared" si="327"/>
        <v>27252.911706750005</v>
      </c>
      <c r="V1707" s="94">
        <f t="shared" si="328"/>
        <v>28367.55579555608</v>
      </c>
      <c r="W1707" s="97">
        <f t="shared" si="325"/>
        <v>29269.644069854763</v>
      </c>
      <c r="X1707" s="97">
        <f t="shared" si="326"/>
        <v>30381.890544509246</v>
      </c>
      <c r="Y1707" s="97">
        <f t="shared" si="321"/>
        <v>30871.038982275844</v>
      </c>
      <c r="Z1707" s="97">
        <f t="shared" si="323"/>
        <v>32605.991373079749</v>
      </c>
      <c r="AA1707" s="97">
        <f t="shared" si="324"/>
        <v>36883.897441227811</v>
      </c>
    </row>
    <row r="1708" spans="1:27" x14ac:dyDescent="0.25">
      <c r="A1708" s="86" t="s">
        <v>3772</v>
      </c>
      <c r="B1708" s="126" t="s">
        <v>3773</v>
      </c>
      <c r="C1708" s="107" t="s">
        <v>1031</v>
      </c>
      <c r="D1708" s="124" t="s">
        <v>262</v>
      </c>
      <c r="E1708" s="90">
        <f t="shared" si="329"/>
        <v>145788</v>
      </c>
      <c r="F1708" s="90">
        <f t="shared" si="330"/>
        <v>122511.3239283306</v>
      </c>
      <c r="G1708" s="91">
        <v>0.19</v>
      </c>
      <c r="H1708" s="91" t="s">
        <v>228</v>
      </c>
      <c r="I1708" s="91" t="s">
        <v>228</v>
      </c>
      <c r="J1708" s="91" t="s">
        <v>228</v>
      </c>
      <c r="K1708" s="91" t="s">
        <v>228</v>
      </c>
      <c r="L1708" s="92" t="s">
        <v>302</v>
      </c>
      <c r="M1708" s="91" t="str">
        <f t="shared" si="333"/>
        <v>no aplica</v>
      </c>
      <c r="N1708" s="93">
        <v>41608</v>
      </c>
      <c r="O1708" s="109"/>
      <c r="P1708" s="94"/>
      <c r="Q1708" s="94">
        <v>119</v>
      </c>
      <c r="R1708" s="95">
        <f t="shared" si="322"/>
        <v>122511.3239283306</v>
      </c>
      <c r="S1708" s="94">
        <v>80172</v>
      </c>
      <c r="T1708" s="94">
        <f t="shared" si="332"/>
        <v>85599.644400000005</v>
      </c>
      <c r="U1708" s="94">
        <f t="shared" si="327"/>
        <v>90521.623953000017</v>
      </c>
      <c r="V1708" s="94">
        <f t="shared" si="328"/>
        <v>94223.958372677705</v>
      </c>
      <c r="W1708" s="97">
        <f t="shared" si="325"/>
        <v>97220.280248928859</v>
      </c>
      <c r="X1708" s="97">
        <f t="shared" si="326"/>
        <v>100914.65089838816</v>
      </c>
      <c r="Y1708" s="97">
        <f t="shared" si="321"/>
        <v>102539.37677785222</v>
      </c>
      <c r="Z1708" s="97">
        <f t="shared" si="323"/>
        <v>108302.08975276751</v>
      </c>
      <c r="AA1708" s="97">
        <f t="shared" si="324"/>
        <v>122511.3239283306</v>
      </c>
    </row>
    <row r="1709" spans="1:27" x14ac:dyDescent="0.25">
      <c r="A1709" s="86" t="s">
        <v>3774</v>
      </c>
      <c r="B1709" s="126" t="s">
        <v>3775</v>
      </c>
      <c r="C1709" s="107" t="s">
        <v>1031</v>
      </c>
      <c r="D1709" s="124" t="s">
        <v>262</v>
      </c>
      <c r="E1709" s="90">
        <f t="shared" si="329"/>
        <v>38187</v>
      </c>
      <c r="F1709" s="90">
        <f t="shared" si="330"/>
        <v>32090.228539826159</v>
      </c>
      <c r="G1709" s="91">
        <v>0.19</v>
      </c>
      <c r="H1709" s="91" t="s">
        <v>228</v>
      </c>
      <c r="I1709" s="91" t="s">
        <v>228</v>
      </c>
      <c r="J1709" s="91" t="s">
        <v>228</v>
      </c>
      <c r="K1709" s="91" t="s">
        <v>228</v>
      </c>
      <c r="L1709" s="92" t="s">
        <v>302</v>
      </c>
      <c r="M1709" s="91" t="str">
        <f t="shared" si="333"/>
        <v>no aplica</v>
      </c>
      <c r="N1709" s="93">
        <v>41608</v>
      </c>
      <c r="O1709" s="109"/>
      <c r="P1709" s="94"/>
      <c r="Q1709" s="94">
        <v>120</v>
      </c>
      <c r="R1709" s="95">
        <f t="shared" si="322"/>
        <v>32090.228539826159</v>
      </c>
      <c r="S1709" s="94">
        <v>21000</v>
      </c>
      <c r="T1709" s="94">
        <f t="shared" si="332"/>
        <v>22421.7</v>
      </c>
      <c r="U1709" s="94">
        <f t="shared" si="327"/>
        <v>23710.947750000003</v>
      </c>
      <c r="V1709" s="94">
        <f t="shared" si="328"/>
        <v>24680.725512975001</v>
      </c>
      <c r="W1709" s="97">
        <f t="shared" si="325"/>
        <v>25465.572584287609</v>
      </c>
      <c r="X1709" s="97">
        <f t="shared" si="326"/>
        <v>26433.26434249054</v>
      </c>
      <c r="Y1709" s="97">
        <f t="shared" si="321"/>
        <v>26858.839898404636</v>
      </c>
      <c r="Z1709" s="97">
        <f t="shared" si="323"/>
        <v>28368.306700694979</v>
      </c>
      <c r="AA1709" s="97">
        <f t="shared" si="324"/>
        <v>32090.228539826159</v>
      </c>
    </row>
    <row r="1710" spans="1:27" x14ac:dyDescent="0.25">
      <c r="A1710" s="86" t="s">
        <v>3776</v>
      </c>
      <c r="B1710" s="126" t="s">
        <v>3777</v>
      </c>
      <c r="C1710" s="107" t="s">
        <v>1031</v>
      </c>
      <c r="D1710" s="124" t="s">
        <v>262</v>
      </c>
      <c r="E1710" s="90">
        <f t="shared" si="329"/>
        <v>327320</v>
      </c>
      <c r="F1710" s="90">
        <f t="shared" si="330"/>
        <v>275059.10176993854</v>
      </c>
      <c r="G1710" s="91">
        <v>0.19</v>
      </c>
      <c r="H1710" s="91" t="s">
        <v>228</v>
      </c>
      <c r="I1710" s="91" t="s">
        <v>228</v>
      </c>
      <c r="J1710" s="91" t="s">
        <v>228</v>
      </c>
      <c r="K1710" s="91" t="s">
        <v>228</v>
      </c>
      <c r="L1710" s="92" t="s">
        <v>302</v>
      </c>
      <c r="M1710" s="91" t="str">
        <f t="shared" si="333"/>
        <v>no aplica</v>
      </c>
      <c r="N1710" s="93">
        <v>41608</v>
      </c>
      <c r="O1710" s="109"/>
      <c r="P1710" s="94"/>
      <c r="Q1710" s="94">
        <v>121</v>
      </c>
      <c r="R1710" s="95">
        <f t="shared" si="322"/>
        <v>275059.10176993854</v>
      </c>
      <c r="S1710" s="94">
        <v>180000</v>
      </c>
      <c r="T1710" s="94">
        <f t="shared" si="332"/>
        <v>192186.00000000003</v>
      </c>
      <c r="U1710" s="94">
        <f t="shared" si="327"/>
        <v>203236.69500000007</v>
      </c>
      <c r="V1710" s="94">
        <f t="shared" si="328"/>
        <v>211549.07582550007</v>
      </c>
      <c r="W1710" s="97">
        <f t="shared" si="325"/>
        <v>218276.33643675098</v>
      </c>
      <c r="X1710" s="97">
        <f t="shared" si="326"/>
        <v>226570.83722134752</v>
      </c>
      <c r="Y1710" s="97">
        <f t="shared" si="321"/>
        <v>230218.62770061122</v>
      </c>
      <c r="Z1710" s="97">
        <f t="shared" si="323"/>
        <v>243156.91457738559</v>
      </c>
      <c r="AA1710" s="97">
        <f t="shared" si="324"/>
        <v>275059.10176993854</v>
      </c>
    </row>
    <row r="1711" spans="1:27" x14ac:dyDescent="0.25">
      <c r="A1711" s="86" t="s">
        <v>3778</v>
      </c>
      <c r="B1711" s="126" t="s">
        <v>3779</v>
      </c>
      <c r="C1711" s="107" t="s">
        <v>1031</v>
      </c>
      <c r="D1711" s="124" t="s">
        <v>262</v>
      </c>
      <c r="E1711" s="90">
        <f t="shared" si="329"/>
        <v>21821</v>
      </c>
      <c r="F1711" s="90">
        <f t="shared" si="330"/>
        <v>18337.273451329234</v>
      </c>
      <c r="G1711" s="91">
        <v>0.19</v>
      </c>
      <c r="H1711" s="91" t="s">
        <v>228</v>
      </c>
      <c r="I1711" s="91" t="s">
        <v>228</v>
      </c>
      <c r="J1711" s="91" t="s">
        <v>228</v>
      </c>
      <c r="K1711" s="91" t="s">
        <v>228</v>
      </c>
      <c r="L1711" s="92" t="s">
        <v>302</v>
      </c>
      <c r="M1711" s="91" t="str">
        <f t="shared" si="333"/>
        <v>no aplica</v>
      </c>
      <c r="N1711" s="93">
        <v>41608</v>
      </c>
      <c r="O1711" s="109"/>
      <c r="P1711" s="94"/>
      <c r="Q1711" s="94">
        <v>122</v>
      </c>
      <c r="R1711" s="95">
        <f t="shared" si="322"/>
        <v>18337.273451329234</v>
      </c>
      <c r="S1711" s="94">
        <v>12000</v>
      </c>
      <c r="T1711" s="94">
        <f t="shared" si="332"/>
        <v>12812.400000000001</v>
      </c>
      <c r="U1711" s="94">
        <f t="shared" si="327"/>
        <v>13549.113000000003</v>
      </c>
      <c r="V1711" s="94">
        <f t="shared" si="328"/>
        <v>14103.271721700003</v>
      </c>
      <c r="W1711" s="97">
        <f t="shared" si="325"/>
        <v>14551.755762450064</v>
      </c>
      <c r="X1711" s="97">
        <f t="shared" si="326"/>
        <v>15104.722481423167</v>
      </c>
      <c r="Y1711" s="97">
        <f t="shared" si="321"/>
        <v>15347.908513374079</v>
      </c>
      <c r="Z1711" s="97">
        <f t="shared" si="323"/>
        <v>16210.460971825703</v>
      </c>
      <c r="AA1711" s="97">
        <f t="shared" si="324"/>
        <v>18337.273451329234</v>
      </c>
    </row>
    <row r="1712" spans="1:27" x14ac:dyDescent="0.25">
      <c r="A1712" s="86" t="s">
        <v>3780</v>
      </c>
      <c r="B1712" s="126" t="s">
        <v>3781</v>
      </c>
      <c r="C1712" s="107" t="s">
        <v>1031</v>
      </c>
      <c r="D1712" s="124" t="s">
        <v>255</v>
      </c>
      <c r="E1712" s="90">
        <f t="shared" si="329"/>
        <v>45461</v>
      </c>
      <c r="F1712" s="90">
        <f t="shared" si="330"/>
        <v>38202.653023602579</v>
      </c>
      <c r="G1712" s="91">
        <v>0.19</v>
      </c>
      <c r="H1712" s="91" t="s">
        <v>228</v>
      </c>
      <c r="I1712" s="91" t="s">
        <v>228</v>
      </c>
      <c r="J1712" s="91" t="s">
        <v>228</v>
      </c>
      <c r="K1712" s="91" t="s">
        <v>228</v>
      </c>
      <c r="L1712" s="92" t="s">
        <v>302</v>
      </c>
      <c r="M1712" s="91" t="str">
        <f t="shared" si="333"/>
        <v>no aplica</v>
      </c>
      <c r="N1712" s="93">
        <v>41608</v>
      </c>
      <c r="O1712" s="109"/>
      <c r="P1712" s="94"/>
      <c r="Q1712" s="94">
        <v>123</v>
      </c>
      <c r="R1712" s="95">
        <f t="shared" si="322"/>
        <v>38202.653023602579</v>
      </c>
      <c r="S1712" s="94">
        <v>25000</v>
      </c>
      <c r="T1712" s="94">
        <f t="shared" si="332"/>
        <v>26692.500000000004</v>
      </c>
      <c r="U1712" s="94">
        <f t="shared" si="327"/>
        <v>28227.318750000006</v>
      </c>
      <c r="V1712" s="94">
        <f t="shared" si="328"/>
        <v>29381.816086875006</v>
      </c>
      <c r="W1712" s="97">
        <f t="shared" si="325"/>
        <v>30316.157838437633</v>
      </c>
      <c r="X1712" s="97">
        <f t="shared" si="326"/>
        <v>31468.171836298265</v>
      </c>
      <c r="Y1712" s="97">
        <f t="shared" si="321"/>
        <v>31974.809402862666</v>
      </c>
      <c r="Z1712" s="97">
        <f t="shared" si="323"/>
        <v>33771.793691303552</v>
      </c>
      <c r="AA1712" s="97">
        <f t="shared" si="324"/>
        <v>38202.653023602579</v>
      </c>
    </row>
    <row r="1713" spans="1:27" x14ac:dyDescent="0.25">
      <c r="A1713" s="86" t="s">
        <v>3782</v>
      </c>
      <c r="B1713" s="126" t="s">
        <v>3783</v>
      </c>
      <c r="C1713" s="107" t="s">
        <v>1031</v>
      </c>
      <c r="D1713" s="124" t="s">
        <v>262</v>
      </c>
      <c r="E1713" s="90">
        <f t="shared" si="329"/>
        <v>136383</v>
      </c>
      <c r="F1713" s="90">
        <f t="shared" si="330"/>
        <v>114607.95907080769</v>
      </c>
      <c r="G1713" s="91">
        <v>0.19</v>
      </c>
      <c r="H1713" s="91" t="s">
        <v>228</v>
      </c>
      <c r="I1713" s="91" t="s">
        <v>228</v>
      </c>
      <c r="J1713" s="91" t="s">
        <v>228</v>
      </c>
      <c r="K1713" s="91" t="s">
        <v>228</v>
      </c>
      <c r="L1713" s="92" t="s">
        <v>302</v>
      </c>
      <c r="M1713" s="91" t="str">
        <f t="shared" si="333"/>
        <v>no aplica</v>
      </c>
      <c r="N1713" s="93">
        <v>41608</v>
      </c>
      <c r="O1713" s="109"/>
      <c r="P1713" s="94"/>
      <c r="Q1713" s="94">
        <v>124</v>
      </c>
      <c r="R1713" s="95">
        <f t="shared" si="322"/>
        <v>114607.95907080769</v>
      </c>
      <c r="S1713" s="94">
        <v>75000</v>
      </c>
      <c r="T1713" s="94">
        <f t="shared" si="332"/>
        <v>80077.5</v>
      </c>
      <c r="U1713" s="94">
        <f t="shared" si="327"/>
        <v>84681.956250000003</v>
      </c>
      <c r="V1713" s="94">
        <f t="shared" si="328"/>
        <v>88145.448260624995</v>
      </c>
      <c r="W1713" s="97">
        <f t="shared" si="325"/>
        <v>90948.473515312871</v>
      </c>
      <c r="X1713" s="97">
        <f t="shared" si="326"/>
        <v>94404.515508894765</v>
      </c>
      <c r="Y1713" s="97">
        <f t="shared" si="321"/>
        <v>95924.428208587968</v>
      </c>
      <c r="Z1713" s="97">
        <f t="shared" si="323"/>
        <v>101315.38107391061</v>
      </c>
      <c r="AA1713" s="97">
        <f t="shared" si="324"/>
        <v>114607.95907080769</v>
      </c>
    </row>
    <row r="1714" spans="1:27" x14ac:dyDescent="0.25">
      <c r="A1714" s="86" t="s">
        <v>3784</v>
      </c>
      <c r="B1714" s="126" t="s">
        <v>3785</v>
      </c>
      <c r="C1714" s="107" t="s">
        <v>1031</v>
      </c>
      <c r="D1714" s="124" t="s">
        <v>262</v>
      </c>
      <c r="E1714" s="90">
        <f t="shared" si="329"/>
        <v>36369</v>
      </c>
      <c r="F1714" s="90">
        <f t="shared" si="330"/>
        <v>30562.122418882056</v>
      </c>
      <c r="G1714" s="91">
        <v>0.19</v>
      </c>
      <c r="H1714" s="91" t="s">
        <v>228</v>
      </c>
      <c r="I1714" s="91" t="s">
        <v>228</v>
      </c>
      <c r="J1714" s="91" t="s">
        <v>228</v>
      </c>
      <c r="K1714" s="91" t="s">
        <v>228</v>
      </c>
      <c r="L1714" s="92" t="s">
        <v>302</v>
      </c>
      <c r="M1714" s="91" t="str">
        <f t="shared" si="333"/>
        <v>no aplica</v>
      </c>
      <c r="N1714" s="93">
        <v>41608</v>
      </c>
      <c r="O1714" s="109"/>
      <c r="P1714" s="94"/>
      <c r="Q1714" s="94">
        <v>125</v>
      </c>
      <c r="R1714" s="95">
        <f t="shared" si="322"/>
        <v>30562.122418882056</v>
      </c>
      <c r="S1714" s="94">
        <v>20000</v>
      </c>
      <c r="T1714" s="94">
        <f t="shared" si="332"/>
        <v>21354.000000000004</v>
      </c>
      <c r="U1714" s="94">
        <f t="shared" si="327"/>
        <v>22581.855000000007</v>
      </c>
      <c r="V1714" s="94">
        <f t="shared" si="328"/>
        <v>23505.452869500004</v>
      </c>
      <c r="W1714" s="97">
        <f t="shared" si="325"/>
        <v>24252.926270750108</v>
      </c>
      <c r="X1714" s="97">
        <f t="shared" si="326"/>
        <v>25174.537469038612</v>
      </c>
      <c r="Y1714" s="97">
        <f t="shared" si="321"/>
        <v>25579.847522290132</v>
      </c>
      <c r="Z1714" s="97">
        <f t="shared" si="323"/>
        <v>27017.434953042837</v>
      </c>
      <c r="AA1714" s="97">
        <f t="shared" si="324"/>
        <v>30562.122418882056</v>
      </c>
    </row>
    <row r="1715" spans="1:27" x14ac:dyDescent="0.25">
      <c r="A1715" s="86" t="s">
        <v>3786</v>
      </c>
      <c r="B1715" s="126" t="s">
        <v>3787</v>
      </c>
      <c r="C1715" s="107" t="s">
        <v>1031</v>
      </c>
      <c r="D1715" s="124" t="s">
        <v>262</v>
      </c>
      <c r="E1715" s="90">
        <f t="shared" si="329"/>
        <v>45461</v>
      </c>
      <c r="F1715" s="90">
        <f t="shared" si="330"/>
        <v>38202.653023602579</v>
      </c>
      <c r="G1715" s="91">
        <v>0.19</v>
      </c>
      <c r="H1715" s="91" t="s">
        <v>228</v>
      </c>
      <c r="I1715" s="91" t="s">
        <v>228</v>
      </c>
      <c r="J1715" s="91" t="s">
        <v>228</v>
      </c>
      <c r="K1715" s="91" t="s">
        <v>228</v>
      </c>
      <c r="L1715" s="92" t="s">
        <v>302</v>
      </c>
      <c r="M1715" s="91" t="str">
        <f t="shared" si="333"/>
        <v>no aplica</v>
      </c>
      <c r="N1715" s="93">
        <v>41608</v>
      </c>
      <c r="O1715" s="109"/>
      <c r="P1715" s="94"/>
      <c r="Q1715" s="94">
        <v>126</v>
      </c>
      <c r="R1715" s="95">
        <f t="shared" si="322"/>
        <v>38202.653023602579</v>
      </c>
      <c r="S1715" s="94">
        <v>25000</v>
      </c>
      <c r="T1715" s="94">
        <f t="shared" si="332"/>
        <v>26692.500000000004</v>
      </c>
      <c r="U1715" s="94">
        <f t="shared" si="327"/>
        <v>28227.318750000006</v>
      </c>
      <c r="V1715" s="94">
        <f t="shared" si="328"/>
        <v>29381.816086875006</v>
      </c>
      <c r="W1715" s="97">
        <f t="shared" si="325"/>
        <v>30316.157838437633</v>
      </c>
      <c r="X1715" s="97">
        <f t="shared" si="326"/>
        <v>31468.171836298265</v>
      </c>
      <c r="Y1715" s="97">
        <f t="shared" si="321"/>
        <v>31974.809402862666</v>
      </c>
      <c r="Z1715" s="97">
        <f t="shared" si="323"/>
        <v>33771.793691303552</v>
      </c>
      <c r="AA1715" s="97">
        <f t="shared" si="324"/>
        <v>38202.653023602579</v>
      </c>
    </row>
    <row r="1716" spans="1:27" x14ac:dyDescent="0.25">
      <c r="A1716" s="105" t="s">
        <v>3788</v>
      </c>
      <c r="B1716" s="106" t="s">
        <v>3789</v>
      </c>
      <c r="C1716" s="107"/>
      <c r="D1716" s="108"/>
      <c r="E1716" s="90">
        <f t="shared" si="329"/>
        <v>0</v>
      </c>
      <c r="F1716" s="90">
        <f t="shared" si="330"/>
        <v>0</v>
      </c>
      <c r="G1716" s="81"/>
      <c r="H1716" s="81"/>
      <c r="I1716" s="81"/>
      <c r="J1716" s="81"/>
      <c r="K1716" s="81"/>
      <c r="L1716" s="92"/>
      <c r="M1716" s="91"/>
      <c r="N1716" s="93">
        <v>41608</v>
      </c>
      <c r="O1716" s="109"/>
      <c r="P1716" s="109"/>
      <c r="Q1716" s="109">
        <v>0</v>
      </c>
      <c r="R1716" s="95">
        <f t="shared" si="322"/>
        <v>0</v>
      </c>
      <c r="S1716" s="109">
        <v>0</v>
      </c>
      <c r="T1716" s="94">
        <f t="shared" si="332"/>
        <v>0</v>
      </c>
      <c r="U1716" s="94">
        <f t="shared" si="327"/>
        <v>0</v>
      </c>
      <c r="V1716" s="94">
        <f t="shared" si="328"/>
        <v>0</v>
      </c>
      <c r="W1716" s="97">
        <f t="shared" si="325"/>
        <v>0</v>
      </c>
      <c r="X1716" s="97">
        <f t="shared" si="326"/>
        <v>0</v>
      </c>
      <c r="Y1716" s="97">
        <f t="shared" si="321"/>
        <v>0</v>
      </c>
      <c r="Z1716" s="97">
        <f t="shared" si="323"/>
        <v>0</v>
      </c>
      <c r="AA1716" s="97">
        <f t="shared" si="324"/>
        <v>0</v>
      </c>
    </row>
    <row r="1717" spans="1:27" x14ac:dyDescent="0.25">
      <c r="A1717" s="102" t="s">
        <v>3790</v>
      </c>
      <c r="B1717" s="127" t="s">
        <v>3791</v>
      </c>
      <c r="C1717" s="107" t="s">
        <v>1031</v>
      </c>
      <c r="D1717" s="124" t="s">
        <v>89</v>
      </c>
      <c r="E1717" s="90">
        <f t="shared" si="329"/>
        <v>436291</v>
      </c>
      <c r="F1717" s="90">
        <f t="shared" si="330"/>
        <v>366630.80629996804</v>
      </c>
      <c r="G1717" s="91">
        <v>0.19</v>
      </c>
      <c r="H1717" s="91" t="s">
        <v>228</v>
      </c>
      <c r="I1717" s="91" t="s">
        <v>228</v>
      </c>
      <c r="J1717" s="91" t="s">
        <v>228</v>
      </c>
      <c r="K1717" s="91" t="s">
        <v>228</v>
      </c>
      <c r="L1717" s="92" t="s">
        <v>302</v>
      </c>
      <c r="M1717" s="91" t="str">
        <f t="shared" ref="M1717:M1784" si="334">+IF(L1717="no aplica","no aplica","VER ARCHIVO ANEXO")</f>
        <v>no aplica</v>
      </c>
      <c r="N1717" s="93">
        <v>43937</v>
      </c>
      <c r="O1717" s="94"/>
      <c r="P1717" s="94"/>
      <c r="Q1717" s="94"/>
      <c r="R1717" s="95">
        <f t="shared" si="322"/>
        <v>366630.80629996804</v>
      </c>
      <c r="S1717" s="94"/>
      <c r="T1717" s="94"/>
      <c r="U1717" s="94"/>
      <c r="V1717" s="94"/>
      <c r="W1717" s="97"/>
      <c r="X1717" s="97">
        <v>302000</v>
      </c>
      <c r="Y1717" s="97">
        <f t="shared" si="321"/>
        <v>306862.2</v>
      </c>
      <c r="Z1717" s="97">
        <f t="shared" si="323"/>
        <v>324107.85564000002</v>
      </c>
      <c r="AA1717" s="97">
        <f t="shared" si="324"/>
        <v>366630.80629996804</v>
      </c>
    </row>
    <row r="1718" spans="1:27" x14ac:dyDescent="0.25">
      <c r="A1718" s="102" t="s">
        <v>3792</v>
      </c>
      <c r="B1718" s="127" t="s">
        <v>3793</v>
      </c>
      <c r="C1718" s="107" t="s">
        <v>1031</v>
      </c>
      <c r="D1718" s="124" t="s">
        <v>1545</v>
      </c>
      <c r="E1718" s="90">
        <f t="shared" si="329"/>
        <v>80902</v>
      </c>
      <c r="F1718" s="90">
        <f t="shared" si="330"/>
        <v>67984.520373503998</v>
      </c>
      <c r="G1718" s="91">
        <v>0.19</v>
      </c>
      <c r="H1718" s="91" t="s">
        <v>228</v>
      </c>
      <c r="I1718" s="91" t="s">
        <v>228</v>
      </c>
      <c r="J1718" s="91" t="s">
        <v>228</v>
      </c>
      <c r="K1718" s="91" t="s">
        <v>228</v>
      </c>
      <c r="L1718" s="92" t="s">
        <v>302</v>
      </c>
      <c r="M1718" s="91" t="str">
        <f>+IF(L1718="no aplica","no aplica","VER ARCHIVO ANEXO")</f>
        <v>no aplica</v>
      </c>
      <c r="N1718" s="93">
        <v>43937</v>
      </c>
      <c r="O1718" s="94"/>
      <c r="P1718" s="94"/>
      <c r="Q1718" s="94"/>
      <c r="R1718" s="95">
        <f t="shared" si="322"/>
        <v>67984.520373503998</v>
      </c>
      <c r="S1718" s="94"/>
      <c r="T1718" s="94"/>
      <c r="U1718" s="94"/>
      <c r="V1718" s="94"/>
      <c r="W1718" s="97"/>
      <c r="X1718" s="97">
        <v>56000</v>
      </c>
      <c r="Y1718" s="97">
        <f t="shared" si="321"/>
        <v>56901.599999999999</v>
      </c>
      <c r="Z1718" s="97">
        <f t="shared" si="323"/>
        <v>60099.469920000003</v>
      </c>
      <c r="AA1718" s="97">
        <f t="shared" si="324"/>
        <v>67984.520373503998</v>
      </c>
    </row>
    <row r="1719" spans="1:27" x14ac:dyDescent="0.25">
      <c r="A1719" s="102" t="s">
        <v>3794</v>
      </c>
      <c r="B1719" s="127" t="s">
        <v>3795</v>
      </c>
      <c r="C1719" s="107" t="s">
        <v>1031</v>
      </c>
      <c r="D1719" s="124" t="s">
        <v>1545</v>
      </c>
      <c r="E1719" s="90">
        <f t="shared" si="329"/>
        <v>62121</v>
      </c>
      <c r="F1719" s="90">
        <f t="shared" si="330"/>
        <v>52202.399572512004</v>
      </c>
      <c r="G1719" s="91">
        <v>0.19</v>
      </c>
      <c r="H1719" s="91" t="s">
        <v>228</v>
      </c>
      <c r="I1719" s="91" t="s">
        <v>228</v>
      </c>
      <c r="J1719" s="91" t="s">
        <v>228</v>
      </c>
      <c r="K1719" s="91" t="s">
        <v>228</v>
      </c>
      <c r="L1719" s="92" t="s">
        <v>302</v>
      </c>
      <c r="M1719" s="91" t="str">
        <f>+IF(L1719="no aplica","no aplica","VER ARCHIVO ANEXO")</f>
        <v>no aplica</v>
      </c>
      <c r="N1719" s="93">
        <v>43938</v>
      </c>
      <c r="O1719" s="94"/>
      <c r="P1719" s="94"/>
      <c r="Q1719" s="94"/>
      <c r="R1719" s="95">
        <f t="shared" si="322"/>
        <v>52202.399572512004</v>
      </c>
      <c r="S1719" s="94"/>
      <c r="T1719" s="94"/>
      <c r="U1719" s="94"/>
      <c r="V1719" s="94"/>
      <c r="W1719" s="97"/>
      <c r="X1719" s="97">
        <v>43000</v>
      </c>
      <c r="Y1719" s="97">
        <f t="shared" si="321"/>
        <v>43692.3</v>
      </c>
      <c r="Z1719" s="97">
        <f t="shared" si="323"/>
        <v>46147.807260000001</v>
      </c>
      <c r="AA1719" s="97">
        <f t="shared" si="324"/>
        <v>52202.399572512004</v>
      </c>
    </row>
    <row r="1720" spans="1:27" x14ac:dyDescent="0.25">
      <c r="A1720" s="102" t="s">
        <v>3796</v>
      </c>
      <c r="B1720" s="127" t="s">
        <v>3797</v>
      </c>
      <c r="C1720" s="107" t="s">
        <v>1031</v>
      </c>
      <c r="D1720" s="124" t="s">
        <v>1545</v>
      </c>
      <c r="E1720" s="90">
        <f t="shared" si="329"/>
        <v>558445</v>
      </c>
      <c r="F1720" s="90">
        <f t="shared" si="330"/>
        <v>469281.36201749707</v>
      </c>
      <c r="G1720" s="91">
        <v>0.19</v>
      </c>
      <c r="H1720" s="91" t="s">
        <v>228</v>
      </c>
      <c r="I1720" s="91" t="s">
        <v>228</v>
      </c>
      <c r="J1720" s="91" t="s">
        <v>228</v>
      </c>
      <c r="K1720" s="91" t="s">
        <v>228</v>
      </c>
      <c r="L1720" s="92" t="s">
        <v>302</v>
      </c>
      <c r="M1720" s="91" t="str">
        <f>+IF(L1720="no aplica","no aplica","VER ARCHIVO ANEXO")</f>
        <v>no aplica</v>
      </c>
      <c r="N1720" s="93">
        <v>43937</v>
      </c>
      <c r="O1720" s="94"/>
      <c r="P1720" s="94"/>
      <c r="Q1720" s="94"/>
      <c r="R1720" s="95">
        <f t="shared" si="322"/>
        <v>469281.36201749707</v>
      </c>
      <c r="S1720" s="94"/>
      <c r="T1720" s="94"/>
      <c r="U1720" s="94"/>
      <c r="V1720" s="94"/>
      <c r="W1720" s="97"/>
      <c r="X1720" s="97">
        <v>386555</v>
      </c>
      <c r="Y1720" s="97">
        <f t="shared" si="321"/>
        <v>392778.5355</v>
      </c>
      <c r="Z1720" s="97">
        <f t="shared" si="323"/>
        <v>414852.68919509999</v>
      </c>
      <c r="AA1720" s="97">
        <f t="shared" si="324"/>
        <v>469281.36201749707</v>
      </c>
    </row>
    <row r="1721" spans="1:27" x14ac:dyDescent="0.25">
      <c r="A1721" s="102" t="s">
        <v>3798</v>
      </c>
      <c r="B1721" s="127" t="s">
        <v>3799</v>
      </c>
      <c r="C1721" s="107" t="s">
        <v>1031</v>
      </c>
      <c r="D1721" s="124" t="s">
        <v>1545</v>
      </c>
      <c r="E1721" s="90">
        <f t="shared" si="329"/>
        <v>145631</v>
      </c>
      <c r="F1721" s="90">
        <f t="shared" si="330"/>
        <v>122379.27790343888</v>
      </c>
      <c r="G1721" s="91">
        <v>0.19</v>
      </c>
      <c r="H1721" s="91" t="s">
        <v>228</v>
      </c>
      <c r="I1721" s="91" t="s">
        <v>228</v>
      </c>
      <c r="J1721" s="91" t="s">
        <v>228</v>
      </c>
      <c r="K1721" s="91" t="s">
        <v>228</v>
      </c>
      <c r="L1721" s="92" t="s">
        <v>302</v>
      </c>
      <c r="M1721" s="91" t="str">
        <f>+IF(L1721="no aplica","no aplica","VER ARCHIVO ANEXO")</f>
        <v>no aplica</v>
      </c>
      <c r="N1721" s="93">
        <v>43937</v>
      </c>
      <c r="O1721" s="94"/>
      <c r="P1721" s="94"/>
      <c r="Q1721" s="94"/>
      <c r="R1721" s="95">
        <f t="shared" si="322"/>
        <v>122379.27790343888</v>
      </c>
      <c r="S1721" s="94"/>
      <c r="T1721" s="94"/>
      <c r="U1721" s="94"/>
      <c r="V1721" s="94"/>
      <c r="W1721" s="97"/>
      <c r="X1721" s="97">
        <v>100805.88235294117</v>
      </c>
      <c r="Y1721" s="97">
        <f t="shared" ref="Y1721:Y1784" si="335">+X1721*(1+$Y$4)</f>
        <v>102428.85705882353</v>
      </c>
      <c r="Z1721" s="97">
        <f t="shared" si="323"/>
        <v>108185.35882552942</v>
      </c>
      <c r="AA1721" s="97">
        <f t="shared" si="324"/>
        <v>122379.27790343888</v>
      </c>
    </row>
    <row r="1722" spans="1:27" x14ac:dyDescent="0.25">
      <c r="A1722" s="102" t="s">
        <v>3800</v>
      </c>
      <c r="B1722" s="127" t="s">
        <v>3801</v>
      </c>
      <c r="C1722" s="107" t="s">
        <v>1031</v>
      </c>
      <c r="D1722" s="124" t="s">
        <v>1545</v>
      </c>
      <c r="E1722" s="90">
        <f t="shared" si="329"/>
        <v>24272</v>
      </c>
      <c r="F1722" s="90">
        <f t="shared" si="330"/>
        <v>20396.376287927153</v>
      </c>
      <c r="G1722" s="91">
        <v>0.19</v>
      </c>
      <c r="H1722" s="91" t="s">
        <v>228</v>
      </c>
      <c r="I1722" s="91" t="s">
        <v>228</v>
      </c>
      <c r="J1722" s="91" t="s">
        <v>228</v>
      </c>
      <c r="K1722" s="91" t="s">
        <v>228</v>
      </c>
      <c r="L1722" s="92" t="s">
        <v>302</v>
      </c>
      <c r="M1722" s="91" t="str">
        <f>+IF(L1722="no aplica","no aplica","VER ARCHIVO ANEXO")</f>
        <v>no aplica</v>
      </c>
      <c r="N1722" s="93">
        <v>43937</v>
      </c>
      <c r="O1722" s="94"/>
      <c r="P1722" s="94"/>
      <c r="Q1722" s="94"/>
      <c r="R1722" s="95">
        <f t="shared" si="322"/>
        <v>20396.376287927153</v>
      </c>
      <c r="S1722" s="94"/>
      <c r="T1722" s="94"/>
      <c r="U1722" s="94"/>
      <c r="V1722" s="94"/>
      <c r="W1722" s="97"/>
      <c r="X1722" s="97">
        <v>16800.840336134454</v>
      </c>
      <c r="Y1722" s="97">
        <f t="shared" si="335"/>
        <v>17071.333865546218</v>
      </c>
      <c r="Z1722" s="97">
        <f t="shared" si="323"/>
        <v>18030.742828789917</v>
      </c>
      <c r="AA1722" s="97">
        <f t="shared" si="324"/>
        <v>20396.376287927153</v>
      </c>
    </row>
    <row r="1723" spans="1:27" x14ac:dyDescent="0.25">
      <c r="A1723" s="102" t="s">
        <v>3802</v>
      </c>
      <c r="B1723" s="127" t="s">
        <v>3803</v>
      </c>
      <c r="C1723" s="112" t="s">
        <v>1522</v>
      </c>
      <c r="D1723" s="89" t="s">
        <v>262</v>
      </c>
      <c r="E1723" s="90">
        <f t="shared" si="329"/>
        <v>751783</v>
      </c>
      <c r="F1723" s="90">
        <f t="shared" si="330"/>
        <v>751782.91843907384</v>
      </c>
      <c r="G1723" s="91">
        <v>0</v>
      </c>
      <c r="H1723" s="91" t="s">
        <v>228</v>
      </c>
      <c r="I1723" s="91" t="s">
        <v>228</v>
      </c>
      <c r="J1723" s="91" t="s">
        <v>228</v>
      </c>
      <c r="K1723" s="91" t="s">
        <v>228</v>
      </c>
      <c r="L1723" s="92" t="s">
        <v>302</v>
      </c>
      <c r="M1723" s="91" t="str">
        <f t="shared" si="334"/>
        <v>no aplica</v>
      </c>
      <c r="N1723" s="93">
        <v>41608</v>
      </c>
      <c r="O1723" s="94"/>
      <c r="P1723" s="94"/>
      <c r="Q1723" s="94">
        <v>1556</v>
      </c>
      <c r="R1723" s="95">
        <f t="shared" si="322"/>
        <v>751782.91843907384</v>
      </c>
      <c r="S1723" s="94">
        <v>491970.36</v>
      </c>
      <c r="T1723" s="94">
        <f t="shared" si="332"/>
        <v>525276.75337200006</v>
      </c>
      <c r="U1723" s="94">
        <f t="shared" si="327"/>
        <v>555480.1666908901</v>
      </c>
      <c r="V1723" s="94">
        <f t="shared" si="328"/>
        <v>578199.30550854746</v>
      </c>
      <c r="W1723" s="97">
        <f t="shared" si="325"/>
        <v>596586.04342371935</v>
      </c>
      <c r="X1723" s="97">
        <f t="shared" si="326"/>
        <v>619256.31307382067</v>
      </c>
      <c r="Y1723" s="97">
        <f t="shared" si="335"/>
        <v>629226.3397143092</v>
      </c>
      <c r="Z1723" s="97">
        <f t="shared" si="323"/>
        <v>664588.86000625335</v>
      </c>
      <c r="AA1723" s="97">
        <f t="shared" si="324"/>
        <v>751782.91843907384</v>
      </c>
    </row>
    <row r="1724" spans="1:27" x14ac:dyDescent="0.25">
      <c r="A1724" s="86" t="s">
        <v>3804</v>
      </c>
      <c r="B1724" s="127" t="s">
        <v>3805</v>
      </c>
      <c r="C1724" s="112" t="s">
        <v>1522</v>
      </c>
      <c r="D1724" s="89" t="s">
        <v>262</v>
      </c>
      <c r="E1724" s="90">
        <f t="shared" si="329"/>
        <v>4524</v>
      </c>
      <c r="F1724" s="90">
        <f t="shared" si="330"/>
        <v>3801.6835319295778</v>
      </c>
      <c r="G1724" s="91">
        <v>0.19</v>
      </c>
      <c r="H1724" s="91" t="s">
        <v>228</v>
      </c>
      <c r="I1724" s="91" t="s">
        <v>228</v>
      </c>
      <c r="J1724" s="91" t="s">
        <v>228</v>
      </c>
      <c r="K1724" s="91" t="s">
        <v>228</v>
      </c>
      <c r="L1724" s="92" t="s">
        <v>302</v>
      </c>
      <c r="M1724" s="91" t="str">
        <f t="shared" si="334"/>
        <v>no aplica</v>
      </c>
      <c r="N1724" s="93">
        <v>41608</v>
      </c>
      <c r="O1724" s="94"/>
      <c r="P1724" s="94"/>
      <c r="Q1724" s="94">
        <v>1557</v>
      </c>
      <c r="R1724" s="95">
        <f t="shared" si="322"/>
        <v>3801.6835319295778</v>
      </c>
      <c r="S1724" s="94">
        <v>2487.84</v>
      </c>
      <c r="T1724" s="94">
        <f t="shared" si="332"/>
        <v>2656.2667680000004</v>
      </c>
      <c r="U1724" s="94">
        <f t="shared" si="327"/>
        <v>2809.0021071600008</v>
      </c>
      <c r="V1724" s="94">
        <f t="shared" si="328"/>
        <v>2923.8902933428449</v>
      </c>
      <c r="W1724" s="97">
        <f t="shared" si="325"/>
        <v>3016.8700046711474</v>
      </c>
      <c r="X1724" s="97">
        <f t="shared" si="326"/>
        <v>3131.5110648486511</v>
      </c>
      <c r="Y1724" s="97">
        <f t="shared" si="335"/>
        <v>3181.9283929927146</v>
      </c>
      <c r="Z1724" s="97">
        <f t="shared" si="323"/>
        <v>3360.7527686789053</v>
      </c>
      <c r="AA1724" s="97">
        <f t="shared" si="324"/>
        <v>3801.6835319295778</v>
      </c>
    </row>
    <row r="1725" spans="1:27" x14ac:dyDescent="0.25">
      <c r="A1725" s="86" t="s">
        <v>3806</v>
      </c>
      <c r="B1725" s="127" t="s">
        <v>3807</v>
      </c>
      <c r="C1725" s="112" t="s">
        <v>1031</v>
      </c>
      <c r="D1725" s="89" t="s">
        <v>1545</v>
      </c>
      <c r="E1725" s="90">
        <f t="shared" si="329"/>
        <v>289329</v>
      </c>
      <c r="F1725" s="90">
        <f t="shared" si="330"/>
        <v>243133.90869117429</v>
      </c>
      <c r="G1725" s="91">
        <v>0.19</v>
      </c>
      <c r="H1725" s="91" t="s">
        <v>228</v>
      </c>
      <c r="I1725" s="91" t="s">
        <v>228</v>
      </c>
      <c r="J1725" s="91" t="s">
        <v>228</v>
      </c>
      <c r="K1725" s="91" t="s">
        <v>228</v>
      </c>
      <c r="L1725" s="92" t="s">
        <v>302</v>
      </c>
      <c r="M1725" s="91" t="str">
        <f t="shared" si="334"/>
        <v>no aplica</v>
      </c>
      <c r="N1725" s="93">
        <v>41608</v>
      </c>
      <c r="O1725" s="94"/>
      <c r="P1725" s="94"/>
      <c r="Q1725" s="94">
        <v>127</v>
      </c>
      <c r="R1725" s="95">
        <f t="shared" si="322"/>
        <v>243133.90869117429</v>
      </c>
      <c r="S1725" s="94">
        <v>159108</v>
      </c>
      <c r="T1725" s="94">
        <f t="shared" si="332"/>
        <v>169879.6116</v>
      </c>
      <c r="U1725" s="94">
        <f t="shared" si="327"/>
        <v>179647.68926700001</v>
      </c>
      <c r="V1725" s="94">
        <f t="shared" si="328"/>
        <v>186995.2797580203</v>
      </c>
      <c r="W1725" s="97">
        <f t="shared" si="325"/>
        <v>192941.72965432535</v>
      </c>
      <c r="X1725" s="97">
        <f t="shared" si="326"/>
        <v>200273.5153811897</v>
      </c>
      <c r="Y1725" s="97">
        <f t="shared" si="335"/>
        <v>203497.91897882687</v>
      </c>
      <c r="Z1725" s="97">
        <f t="shared" si="323"/>
        <v>214934.50202543696</v>
      </c>
      <c r="AA1725" s="97">
        <f t="shared" si="324"/>
        <v>243133.90869117429</v>
      </c>
    </row>
    <row r="1726" spans="1:27" x14ac:dyDescent="0.25">
      <c r="A1726" s="102" t="s">
        <v>3808</v>
      </c>
      <c r="B1726" s="127" t="s">
        <v>3809</v>
      </c>
      <c r="C1726" s="112" t="s">
        <v>1031</v>
      </c>
      <c r="D1726" s="89" t="s">
        <v>1545</v>
      </c>
      <c r="E1726" s="90">
        <f t="shared" si="329"/>
        <v>396796</v>
      </c>
      <c r="F1726" s="90">
        <f t="shared" si="330"/>
        <v>333441.92422672891</v>
      </c>
      <c r="G1726" s="91">
        <v>0.19</v>
      </c>
      <c r="H1726" s="91" t="s">
        <v>228</v>
      </c>
      <c r="I1726" s="91" t="s">
        <v>228</v>
      </c>
      <c r="J1726" s="91" t="s">
        <v>228</v>
      </c>
      <c r="K1726" s="91" t="s">
        <v>228</v>
      </c>
      <c r="L1726" s="92" t="s">
        <v>302</v>
      </c>
      <c r="M1726" s="91" t="str">
        <f t="shared" si="334"/>
        <v>no aplica</v>
      </c>
      <c r="N1726" s="93">
        <v>41608</v>
      </c>
      <c r="O1726" s="94"/>
      <c r="P1726" s="94"/>
      <c r="Q1726" s="94">
        <v>128</v>
      </c>
      <c r="R1726" s="95">
        <f t="shared" si="322"/>
        <v>333441.92422672891</v>
      </c>
      <c r="S1726" s="94">
        <v>218206</v>
      </c>
      <c r="T1726" s="94">
        <f t="shared" si="332"/>
        <v>232978.54620000001</v>
      </c>
      <c r="U1726" s="94">
        <f t="shared" si="327"/>
        <v>246374.81260650003</v>
      </c>
      <c r="V1726" s="94">
        <f t="shared" si="328"/>
        <v>256451.54244210586</v>
      </c>
      <c r="W1726" s="97">
        <f t="shared" si="325"/>
        <v>264606.70149176486</v>
      </c>
      <c r="X1726" s="97">
        <f t="shared" si="326"/>
        <v>274661.75614845194</v>
      </c>
      <c r="Y1726" s="97">
        <f t="shared" si="335"/>
        <v>279083.81042244204</v>
      </c>
      <c r="Z1726" s="97">
        <f t="shared" si="323"/>
        <v>294768.32056818326</v>
      </c>
      <c r="AA1726" s="97">
        <f t="shared" si="324"/>
        <v>333441.92422672891</v>
      </c>
    </row>
    <row r="1727" spans="1:27" x14ac:dyDescent="0.25">
      <c r="A1727" s="86" t="s">
        <v>3810</v>
      </c>
      <c r="B1727" s="127" t="s">
        <v>3811</v>
      </c>
      <c r="C1727" s="112" t="s">
        <v>1522</v>
      </c>
      <c r="D1727" s="89" t="s">
        <v>1545</v>
      </c>
      <c r="E1727" s="90">
        <f t="shared" si="329"/>
        <v>75178</v>
      </c>
      <c r="F1727" s="90">
        <f t="shared" si="330"/>
        <v>75178.291843907384</v>
      </c>
      <c r="G1727" s="91">
        <v>0</v>
      </c>
      <c r="H1727" s="91" t="s">
        <v>228</v>
      </c>
      <c r="I1727" s="91" t="s">
        <v>228</v>
      </c>
      <c r="J1727" s="91" t="s">
        <v>228</v>
      </c>
      <c r="K1727" s="91" t="s">
        <v>228</v>
      </c>
      <c r="L1727" s="92" t="s">
        <v>302</v>
      </c>
      <c r="M1727" s="91" t="str">
        <f t="shared" si="334"/>
        <v>no aplica</v>
      </c>
      <c r="N1727" s="93">
        <v>41608</v>
      </c>
      <c r="O1727" s="94"/>
      <c r="P1727" s="94"/>
      <c r="Q1727" s="94">
        <v>1558</v>
      </c>
      <c r="R1727" s="95">
        <f t="shared" si="322"/>
        <v>75178.291843907384</v>
      </c>
      <c r="S1727" s="94">
        <v>49197.036</v>
      </c>
      <c r="T1727" s="94">
        <f t="shared" si="332"/>
        <v>52527.675337200002</v>
      </c>
      <c r="U1727" s="94">
        <f t="shared" si="327"/>
        <v>55548.016669089011</v>
      </c>
      <c r="V1727" s="94">
        <f t="shared" si="328"/>
        <v>57819.930550854748</v>
      </c>
      <c r="W1727" s="97">
        <f t="shared" si="325"/>
        <v>59658.604342371931</v>
      </c>
      <c r="X1727" s="97">
        <f t="shared" si="326"/>
        <v>61925.631307382064</v>
      </c>
      <c r="Y1727" s="97">
        <f t="shared" si="335"/>
        <v>62922.633971430914</v>
      </c>
      <c r="Z1727" s="97">
        <f t="shared" si="323"/>
        <v>66458.886000625338</v>
      </c>
      <c r="AA1727" s="97">
        <f t="shared" si="324"/>
        <v>75178.291843907384</v>
      </c>
    </row>
    <row r="1728" spans="1:27" x14ac:dyDescent="0.25">
      <c r="A1728" s="86" t="s">
        <v>3812</v>
      </c>
      <c r="B1728" s="127" t="s">
        <v>3813</v>
      </c>
      <c r="C1728" s="112" t="s">
        <v>1522</v>
      </c>
      <c r="D1728" s="89" t="s">
        <v>1545</v>
      </c>
      <c r="E1728" s="90">
        <f t="shared" si="329"/>
        <v>66824</v>
      </c>
      <c r="F1728" s="90">
        <f t="shared" si="330"/>
        <v>66824.092282492129</v>
      </c>
      <c r="G1728" s="91">
        <v>0</v>
      </c>
      <c r="H1728" s="91" t="s">
        <v>228</v>
      </c>
      <c r="I1728" s="91" t="s">
        <v>228</v>
      </c>
      <c r="J1728" s="91" t="s">
        <v>228</v>
      </c>
      <c r="K1728" s="91" t="s">
        <v>228</v>
      </c>
      <c r="L1728" s="92" t="s">
        <v>302</v>
      </c>
      <c r="M1728" s="91" t="str">
        <f t="shared" si="334"/>
        <v>no aplica</v>
      </c>
      <c r="N1728" s="93">
        <v>41608</v>
      </c>
      <c r="O1728" s="94"/>
      <c r="P1728" s="94"/>
      <c r="Q1728" s="94">
        <v>1559</v>
      </c>
      <c r="R1728" s="95">
        <f t="shared" si="322"/>
        <v>66824.092282492129</v>
      </c>
      <c r="S1728" s="94">
        <v>43730.007599999997</v>
      </c>
      <c r="T1728" s="94">
        <f t="shared" si="332"/>
        <v>46690.529114520003</v>
      </c>
      <c r="U1728" s="94">
        <f t="shared" si="327"/>
        <v>49375.234538604906</v>
      </c>
      <c r="V1728" s="94">
        <f t="shared" si="328"/>
        <v>51394.681631233841</v>
      </c>
      <c r="W1728" s="97">
        <f t="shared" si="325"/>
        <v>53029.032507107084</v>
      </c>
      <c r="X1728" s="97">
        <f t="shared" si="326"/>
        <v>55044.135742377155</v>
      </c>
      <c r="Y1728" s="97">
        <f t="shared" si="335"/>
        <v>55930.346327829429</v>
      </c>
      <c r="Z1728" s="97">
        <f t="shared" si="323"/>
        <v>59073.631791453445</v>
      </c>
      <c r="AA1728" s="97">
        <f t="shared" si="324"/>
        <v>66824.092282492129</v>
      </c>
    </row>
    <row r="1729" spans="1:27" x14ac:dyDescent="0.25">
      <c r="A1729" s="86" t="s">
        <v>3814</v>
      </c>
      <c r="B1729" s="127" t="s">
        <v>3815</v>
      </c>
      <c r="C1729" s="112" t="s">
        <v>1522</v>
      </c>
      <c r="D1729" s="89" t="s">
        <v>301</v>
      </c>
      <c r="E1729" s="90">
        <f t="shared" si="329"/>
        <v>835</v>
      </c>
      <c r="F1729" s="90">
        <f t="shared" si="330"/>
        <v>834.78634221953632</v>
      </c>
      <c r="G1729" s="91">
        <v>0</v>
      </c>
      <c r="H1729" s="91" t="s">
        <v>228</v>
      </c>
      <c r="I1729" s="91" t="s">
        <v>228</v>
      </c>
      <c r="J1729" s="91" t="s">
        <v>228</v>
      </c>
      <c r="K1729" s="91" t="s">
        <v>228</v>
      </c>
      <c r="L1729" s="92" t="s">
        <v>302</v>
      </c>
      <c r="M1729" s="91" t="str">
        <f t="shared" si="334"/>
        <v>no aplica</v>
      </c>
      <c r="N1729" s="93">
        <v>41608</v>
      </c>
      <c r="O1729" s="94"/>
      <c r="P1729" s="94"/>
      <c r="Q1729" s="94">
        <v>1560</v>
      </c>
      <c r="R1729" s="95">
        <f t="shared" si="322"/>
        <v>834.78634221953632</v>
      </c>
      <c r="S1729" s="94">
        <v>546.28819999999996</v>
      </c>
      <c r="T1729" s="94">
        <f t="shared" si="332"/>
        <v>583.27191114000004</v>
      </c>
      <c r="U1729" s="94">
        <f t="shared" si="327"/>
        <v>616.8100460305501</v>
      </c>
      <c r="V1729" s="94">
        <f t="shared" si="328"/>
        <v>642.03757691319959</v>
      </c>
      <c r="W1729" s="97">
        <f t="shared" si="325"/>
        <v>662.45437185903938</v>
      </c>
      <c r="X1729" s="97">
        <f t="shared" si="326"/>
        <v>687.62763798968285</v>
      </c>
      <c r="Y1729" s="97">
        <f t="shared" si="335"/>
        <v>698.6984429613168</v>
      </c>
      <c r="Z1729" s="97">
        <f t="shared" si="323"/>
        <v>737.96529545574288</v>
      </c>
      <c r="AA1729" s="97">
        <f t="shared" si="324"/>
        <v>834.78634221953632</v>
      </c>
    </row>
    <row r="1730" spans="1:27" x14ac:dyDescent="0.25">
      <c r="A1730" s="86" t="s">
        <v>3816</v>
      </c>
      <c r="B1730" s="87" t="s">
        <v>3817</v>
      </c>
      <c r="C1730" s="88" t="s">
        <v>3818</v>
      </c>
      <c r="D1730" s="89" t="s">
        <v>4</v>
      </c>
      <c r="E1730" s="90">
        <f t="shared" si="329"/>
        <v>1901</v>
      </c>
      <c r="F1730" s="90">
        <f t="shared" si="330"/>
        <v>1900.8417659647889</v>
      </c>
      <c r="G1730" s="91"/>
      <c r="H1730" s="91" t="s">
        <v>228</v>
      </c>
      <c r="I1730" s="91" t="s">
        <v>228</v>
      </c>
      <c r="J1730" s="91" t="s">
        <v>228</v>
      </c>
      <c r="K1730" s="91" t="s">
        <v>228</v>
      </c>
      <c r="L1730" s="92" t="s">
        <v>302</v>
      </c>
      <c r="M1730" s="91" t="str">
        <f t="shared" si="334"/>
        <v>no aplica</v>
      </c>
      <c r="N1730" s="93">
        <v>41608</v>
      </c>
      <c r="O1730" s="94"/>
      <c r="P1730" s="94"/>
      <c r="Q1730" s="94">
        <v>1561</v>
      </c>
      <c r="R1730" s="95">
        <f t="shared" si="322"/>
        <v>1900.8417659647889</v>
      </c>
      <c r="S1730" s="94">
        <v>1243.92</v>
      </c>
      <c r="T1730" s="94">
        <f t="shared" si="332"/>
        <v>1328.1333840000002</v>
      </c>
      <c r="U1730" s="94">
        <f t="shared" si="327"/>
        <v>1404.5010535800004</v>
      </c>
      <c r="V1730" s="94">
        <f t="shared" si="328"/>
        <v>1461.9451466714224</v>
      </c>
      <c r="W1730" s="97">
        <f t="shared" si="325"/>
        <v>1508.4350023355737</v>
      </c>
      <c r="X1730" s="97">
        <f t="shared" si="326"/>
        <v>1565.7555324243256</v>
      </c>
      <c r="Y1730" s="97">
        <f t="shared" si="335"/>
        <v>1590.9641964963573</v>
      </c>
      <c r="Z1730" s="97">
        <f t="shared" si="323"/>
        <v>1680.3763843394527</v>
      </c>
      <c r="AA1730" s="97">
        <f t="shared" si="324"/>
        <v>1900.8417659647889</v>
      </c>
    </row>
    <row r="1731" spans="1:27" x14ac:dyDescent="0.25">
      <c r="A1731" s="86" t="s">
        <v>3819</v>
      </c>
      <c r="B1731" s="87" t="s">
        <v>3820</v>
      </c>
      <c r="C1731" s="88" t="s">
        <v>3818</v>
      </c>
      <c r="D1731" s="89" t="s">
        <v>1032</v>
      </c>
      <c r="E1731" s="90">
        <f t="shared" si="329"/>
        <v>601933</v>
      </c>
      <c r="F1731" s="90">
        <f t="shared" si="330"/>
        <v>601933.22588884959</v>
      </c>
      <c r="G1731" s="91"/>
      <c r="H1731" s="91" t="s">
        <v>228</v>
      </c>
      <c r="I1731" s="91" t="s">
        <v>228</v>
      </c>
      <c r="J1731" s="91" t="s">
        <v>228</v>
      </c>
      <c r="K1731" s="91" t="s">
        <v>228</v>
      </c>
      <c r="L1731" s="92" t="s">
        <v>302</v>
      </c>
      <c r="M1731" s="91" t="str">
        <f t="shared" si="334"/>
        <v>no aplica</v>
      </c>
      <c r="N1731" s="93">
        <v>41608</v>
      </c>
      <c r="O1731" s="94"/>
      <c r="P1731" s="94"/>
      <c r="Q1731" s="94">
        <v>1562</v>
      </c>
      <c r="R1731" s="95">
        <f t="shared" si="322"/>
        <v>601933.22588884959</v>
      </c>
      <c r="S1731" s="94">
        <v>393908</v>
      </c>
      <c r="T1731" s="94">
        <f t="shared" si="332"/>
        <v>420575.57160000002</v>
      </c>
      <c r="U1731" s="94">
        <f t="shared" si="327"/>
        <v>444758.66696700006</v>
      </c>
      <c r="V1731" s="94">
        <f t="shared" si="328"/>
        <v>462949.29644595034</v>
      </c>
      <c r="W1731" s="97">
        <f t="shared" si="325"/>
        <v>477671.08407293161</v>
      </c>
      <c r="X1731" s="97">
        <f t="shared" si="326"/>
        <v>495822.58526770305</v>
      </c>
      <c r="Y1731" s="97">
        <f t="shared" si="335"/>
        <v>503805.32889051305</v>
      </c>
      <c r="Z1731" s="97">
        <f t="shared" si="323"/>
        <v>532119.18837415986</v>
      </c>
      <c r="AA1731" s="97">
        <f t="shared" si="324"/>
        <v>601933.22588884959</v>
      </c>
    </row>
    <row r="1732" spans="1:27" x14ac:dyDescent="0.25">
      <c r="A1732" s="102" t="s">
        <v>3821</v>
      </c>
      <c r="B1732" s="87" t="s">
        <v>3822</v>
      </c>
      <c r="C1732" s="88" t="s">
        <v>3818</v>
      </c>
      <c r="D1732" s="89" t="s">
        <v>262</v>
      </c>
      <c r="E1732" s="90">
        <f t="shared" si="329"/>
        <v>27721</v>
      </c>
      <c r="F1732" s="90">
        <f t="shared" si="330"/>
        <v>27720.609086986497</v>
      </c>
      <c r="G1732" s="91"/>
      <c r="H1732" s="91" t="s">
        <v>228</v>
      </c>
      <c r="I1732" s="91" t="s">
        <v>228</v>
      </c>
      <c r="J1732" s="91" t="s">
        <v>228</v>
      </c>
      <c r="K1732" s="91" t="s">
        <v>228</v>
      </c>
      <c r="L1732" s="92" t="s">
        <v>302</v>
      </c>
      <c r="M1732" s="91" t="str">
        <f t="shared" si="334"/>
        <v>no aplica</v>
      </c>
      <c r="N1732" s="93">
        <v>41608</v>
      </c>
      <c r="O1732" s="94"/>
      <c r="P1732" s="94"/>
      <c r="Q1732" s="94">
        <v>1563</v>
      </c>
      <c r="R1732" s="95">
        <f t="shared" si="322"/>
        <v>27720.609086986497</v>
      </c>
      <c r="S1732" s="94">
        <v>18140.5</v>
      </c>
      <c r="T1732" s="94">
        <f t="shared" si="332"/>
        <v>19368.611850000001</v>
      </c>
      <c r="U1732" s="94">
        <f t="shared" si="327"/>
        <v>20482.307031375003</v>
      </c>
      <c r="V1732" s="94">
        <f t="shared" si="328"/>
        <v>21320.03338895824</v>
      </c>
      <c r="W1732" s="97">
        <f t="shared" si="325"/>
        <v>21998.010450727113</v>
      </c>
      <c r="X1732" s="97">
        <f t="shared" si="326"/>
        <v>22833.934847854744</v>
      </c>
      <c r="Y1732" s="97">
        <f t="shared" si="335"/>
        <v>23201.561198905205</v>
      </c>
      <c r="Z1732" s="97">
        <f t="shared" si="323"/>
        <v>24505.488938283677</v>
      </c>
      <c r="AA1732" s="97">
        <f t="shared" si="324"/>
        <v>27720.609086986497</v>
      </c>
    </row>
    <row r="1733" spans="1:27" x14ac:dyDescent="0.25">
      <c r="A1733" s="86" t="s">
        <v>3823</v>
      </c>
      <c r="B1733" s="87" t="s">
        <v>3824</v>
      </c>
      <c r="C1733" s="88" t="s">
        <v>3818</v>
      </c>
      <c r="D1733" s="89" t="s">
        <v>262</v>
      </c>
      <c r="E1733" s="90">
        <f t="shared" si="329"/>
        <v>6336</v>
      </c>
      <c r="F1733" s="90">
        <f t="shared" si="330"/>
        <v>6336.139219882627</v>
      </c>
      <c r="G1733" s="91"/>
      <c r="H1733" s="91" t="s">
        <v>228</v>
      </c>
      <c r="I1733" s="91" t="s">
        <v>228</v>
      </c>
      <c r="J1733" s="91" t="s">
        <v>228</v>
      </c>
      <c r="K1733" s="91" t="s">
        <v>228</v>
      </c>
      <c r="L1733" s="92" t="s">
        <v>302</v>
      </c>
      <c r="M1733" s="91" t="str">
        <f t="shared" si="334"/>
        <v>no aplica</v>
      </c>
      <c r="N1733" s="93">
        <v>41608</v>
      </c>
      <c r="O1733" s="94"/>
      <c r="P1733" s="94"/>
      <c r="Q1733" s="94">
        <v>1564</v>
      </c>
      <c r="R1733" s="95">
        <f t="shared" si="322"/>
        <v>6336.139219882627</v>
      </c>
      <c r="S1733" s="94">
        <v>4146.3999999999996</v>
      </c>
      <c r="T1733" s="94">
        <f t="shared" si="332"/>
        <v>4427.1112800000001</v>
      </c>
      <c r="U1733" s="94">
        <f t="shared" si="327"/>
        <v>4681.6701786000003</v>
      </c>
      <c r="V1733" s="94">
        <f t="shared" si="328"/>
        <v>4873.1504889047401</v>
      </c>
      <c r="W1733" s="97">
        <f t="shared" si="325"/>
        <v>5028.1166744519114</v>
      </c>
      <c r="X1733" s="97">
        <f t="shared" si="326"/>
        <v>5219.1851080810839</v>
      </c>
      <c r="Y1733" s="97">
        <f t="shared" si="335"/>
        <v>5303.2139883211894</v>
      </c>
      <c r="Z1733" s="97">
        <f t="shared" si="323"/>
        <v>5601.2546144648404</v>
      </c>
      <c r="AA1733" s="97">
        <f t="shared" si="324"/>
        <v>6336.139219882627</v>
      </c>
    </row>
    <row r="1734" spans="1:27" x14ac:dyDescent="0.25">
      <c r="A1734" s="86" t="s">
        <v>7</v>
      </c>
      <c r="B1734" s="87" t="s">
        <v>18</v>
      </c>
      <c r="C1734" s="88" t="s">
        <v>3818</v>
      </c>
      <c r="D1734" s="89" t="s">
        <v>262</v>
      </c>
      <c r="E1734" s="90">
        <f t="shared" si="329"/>
        <v>1584</v>
      </c>
      <c r="F1734" s="90">
        <f t="shared" si="330"/>
        <v>1584.0348049706568</v>
      </c>
      <c r="G1734" s="91"/>
      <c r="H1734" s="91" t="s">
        <v>228</v>
      </c>
      <c r="I1734" s="91" t="s">
        <v>228</v>
      </c>
      <c r="J1734" s="91" t="s">
        <v>228</v>
      </c>
      <c r="K1734" s="91" t="s">
        <v>228</v>
      </c>
      <c r="L1734" s="92" t="s">
        <v>302</v>
      </c>
      <c r="M1734" s="91" t="str">
        <f t="shared" si="334"/>
        <v>no aplica</v>
      </c>
      <c r="N1734" s="93">
        <v>41608</v>
      </c>
      <c r="O1734" s="94"/>
      <c r="P1734" s="94"/>
      <c r="Q1734" s="94">
        <v>1565</v>
      </c>
      <c r="R1734" s="95">
        <f t="shared" si="322"/>
        <v>1584.0348049706568</v>
      </c>
      <c r="S1734" s="94">
        <v>1036.5999999999999</v>
      </c>
      <c r="T1734" s="94">
        <f t="shared" si="332"/>
        <v>1106.77782</v>
      </c>
      <c r="U1734" s="94">
        <f t="shared" si="327"/>
        <v>1170.4175446500001</v>
      </c>
      <c r="V1734" s="94">
        <f t="shared" si="328"/>
        <v>1218.287622226185</v>
      </c>
      <c r="W1734" s="97">
        <f t="shared" si="325"/>
        <v>1257.0291686129779</v>
      </c>
      <c r="X1734" s="97">
        <f t="shared" si="326"/>
        <v>1304.796277020271</v>
      </c>
      <c r="Y1734" s="97">
        <f t="shared" si="335"/>
        <v>1325.8034970802973</v>
      </c>
      <c r="Z1734" s="97">
        <f t="shared" si="323"/>
        <v>1400.3136536162101</v>
      </c>
      <c r="AA1734" s="97">
        <f t="shared" si="324"/>
        <v>1584.0348049706568</v>
      </c>
    </row>
    <row r="1735" spans="1:27" x14ac:dyDescent="0.25">
      <c r="A1735" s="102" t="s">
        <v>3825</v>
      </c>
      <c r="B1735" s="87" t="s">
        <v>3826</v>
      </c>
      <c r="C1735" s="88" t="s">
        <v>3818</v>
      </c>
      <c r="D1735" s="89" t="s">
        <v>301</v>
      </c>
      <c r="E1735" s="90">
        <f t="shared" si="329"/>
        <v>2443</v>
      </c>
      <c r="F1735" s="90">
        <f t="shared" si="330"/>
        <v>2442.5816692647531</v>
      </c>
      <c r="G1735" s="91"/>
      <c r="H1735" s="91" t="s">
        <v>228</v>
      </c>
      <c r="I1735" s="91" t="s">
        <v>228</v>
      </c>
      <c r="J1735" s="91" t="s">
        <v>228</v>
      </c>
      <c r="K1735" s="91" t="s">
        <v>228</v>
      </c>
      <c r="L1735" s="92" t="s">
        <v>302</v>
      </c>
      <c r="M1735" s="91" t="str">
        <f t="shared" si="334"/>
        <v>no aplica</v>
      </c>
      <c r="N1735" s="93">
        <v>41608</v>
      </c>
      <c r="O1735" s="94"/>
      <c r="P1735" s="94"/>
      <c r="Q1735" s="94">
        <v>1566</v>
      </c>
      <c r="R1735" s="95">
        <f t="shared" ref="R1735:R1798" si="336">+AA1735</f>
        <v>2442.5816692647531</v>
      </c>
      <c r="S1735" s="94">
        <v>1598.4371999999998</v>
      </c>
      <c r="T1735" s="94">
        <f t="shared" si="332"/>
        <v>1706.6513984400001</v>
      </c>
      <c r="U1735" s="94">
        <f t="shared" si="327"/>
        <v>1804.7838538503004</v>
      </c>
      <c r="V1735" s="94">
        <f t="shared" si="328"/>
        <v>1878.5995134727775</v>
      </c>
      <c r="W1735" s="97">
        <f t="shared" si="325"/>
        <v>1938.3389780012119</v>
      </c>
      <c r="X1735" s="97">
        <f t="shared" si="326"/>
        <v>2011.995859165258</v>
      </c>
      <c r="Y1735" s="97">
        <f t="shared" si="335"/>
        <v>2044.3889924978187</v>
      </c>
      <c r="Z1735" s="97">
        <f t="shared" ref="Z1735:Z1798" si="337">+Y1735*(1+$Z$4)</f>
        <v>2159.2836538761962</v>
      </c>
      <c r="AA1735" s="97">
        <f t="shared" ref="AA1735:AA1798" si="338">+Z1735*(1+$AA$4)</f>
        <v>2442.5816692647531</v>
      </c>
    </row>
    <row r="1736" spans="1:27" x14ac:dyDescent="0.25">
      <c r="A1736" s="102" t="s">
        <v>3827</v>
      </c>
      <c r="B1736" s="87" t="s">
        <v>3828</v>
      </c>
      <c r="C1736" s="88" t="s">
        <v>3818</v>
      </c>
      <c r="D1736" s="89" t="s">
        <v>255</v>
      </c>
      <c r="E1736" s="90">
        <f t="shared" si="329"/>
        <v>24808</v>
      </c>
      <c r="F1736" s="90">
        <f t="shared" si="330"/>
        <v>24807.569080645459</v>
      </c>
      <c r="G1736" s="91"/>
      <c r="H1736" s="91"/>
      <c r="I1736" s="91" t="s">
        <v>228</v>
      </c>
      <c r="J1736" s="91"/>
      <c r="K1736" s="91"/>
      <c r="L1736" s="92" t="s">
        <v>302</v>
      </c>
      <c r="M1736" s="91" t="str">
        <f t="shared" si="334"/>
        <v>no aplica</v>
      </c>
      <c r="N1736" s="93">
        <v>41608</v>
      </c>
      <c r="O1736" s="94"/>
      <c r="P1736" s="94"/>
      <c r="Q1736" s="94">
        <v>1567</v>
      </c>
      <c r="R1736" s="95">
        <f t="shared" si="336"/>
        <v>24807.569080645459</v>
      </c>
      <c r="S1736" s="94">
        <v>16234.1926</v>
      </c>
      <c r="T1736" s="94">
        <f t="shared" si="332"/>
        <v>17333.24743902</v>
      </c>
      <c r="U1736" s="94">
        <f t="shared" si="327"/>
        <v>18329.909166763653</v>
      </c>
      <c r="V1736" s="94">
        <f t="shared" si="328"/>
        <v>19079.602451684284</v>
      </c>
      <c r="W1736" s="97">
        <f t="shared" si="325"/>
        <v>19686.333809647847</v>
      </c>
      <c r="X1736" s="97">
        <f t="shared" si="326"/>
        <v>20434.414494414465</v>
      </c>
      <c r="Y1736" s="97">
        <f t="shared" si="335"/>
        <v>20763.408567774539</v>
      </c>
      <c r="Z1736" s="97">
        <f t="shared" si="337"/>
        <v>21930.312129283469</v>
      </c>
      <c r="AA1736" s="97">
        <f t="shared" si="338"/>
        <v>24807.569080645459</v>
      </c>
    </row>
    <row r="1737" spans="1:27" x14ac:dyDescent="0.25">
      <c r="A1737" s="102" t="s">
        <v>3829</v>
      </c>
      <c r="B1737" s="87" t="s">
        <v>3830</v>
      </c>
      <c r="C1737" s="88" t="s">
        <v>3818</v>
      </c>
      <c r="D1737" s="89" t="s">
        <v>255</v>
      </c>
      <c r="E1737" s="90">
        <f t="shared" si="329"/>
        <v>36265</v>
      </c>
      <c r="F1737" s="90">
        <f t="shared" si="330"/>
        <v>36264.89282499822</v>
      </c>
      <c r="G1737" s="91"/>
      <c r="H1737" s="91"/>
      <c r="I1737" s="91" t="s">
        <v>228</v>
      </c>
      <c r="J1737" s="91"/>
      <c r="K1737" s="91"/>
      <c r="L1737" s="92" t="s">
        <v>302</v>
      </c>
      <c r="M1737" s="91" t="str">
        <f t="shared" si="334"/>
        <v>no aplica</v>
      </c>
      <c r="N1737" s="93">
        <v>41608</v>
      </c>
      <c r="O1737" s="94"/>
      <c r="P1737" s="94"/>
      <c r="Q1737" s="94">
        <v>1568</v>
      </c>
      <c r="R1737" s="95">
        <f t="shared" si="336"/>
        <v>36264.89282499822</v>
      </c>
      <c r="S1737" s="94">
        <v>23731.920399999999</v>
      </c>
      <c r="T1737" s="94">
        <f t="shared" si="332"/>
        <v>25338.57141108</v>
      </c>
      <c r="U1737" s="94">
        <f t="shared" si="327"/>
        <v>26795.539267217104</v>
      </c>
      <c r="V1737" s="94">
        <f t="shared" si="328"/>
        <v>27891.476823246281</v>
      </c>
      <c r="W1737" s="97">
        <f t="shared" si="325"/>
        <v>28778.425786225514</v>
      </c>
      <c r="X1737" s="97">
        <f t="shared" si="326"/>
        <v>29872.005966102086</v>
      </c>
      <c r="Y1737" s="97">
        <f t="shared" si="335"/>
        <v>30352.945262156329</v>
      </c>
      <c r="Z1737" s="97">
        <f t="shared" si="337"/>
        <v>32058.780785889514</v>
      </c>
      <c r="AA1737" s="97">
        <f t="shared" si="338"/>
        <v>36264.89282499822</v>
      </c>
    </row>
    <row r="1738" spans="1:27" x14ac:dyDescent="0.25">
      <c r="A1738" s="102" t="s">
        <v>3831</v>
      </c>
      <c r="B1738" s="87" t="s">
        <v>3832</v>
      </c>
      <c r="C1738" s="88" t="s">
        <v>3818</v>
      </c>
      <c r="D1738" s="89" t="s">
        <v>255</v>
      </c>
      <c r="E1738" s="90">
        <f t="shared" si="329"/>
        <v>52834</v>
      </c>
      <c r="F1738" s="90">
        <f t="shared" si="330"/>
        <v>52833.8968849913</v>
      </c>
      <c r="G1738" s="91"/>
      <c r="H1738" s="91"/>
      <c r="I1738" s="91" t="s">
        <v>228</v>
      </c>
      <c r="J1738" s="91"/>
      <c r="K1738" s="91"/>
      <c r="L1738" s="92" t="s">
        <v>302</v>
      </c>
      <c r="M1738" s="91" t="str">
        <f t="shared" si="334"/>
        <v>no aplica</v>
      </c>
      <c r="N1738" s="93">
        <v>41608</v>
      </c>
      <c r="O1738" s="94"/>
      <c r="P1738" s="94"/>
      <c r="Q1738" s="94">
        <v>1569</v>
      </c>
      <c r="R1738" s="95">
        <f t="shared" si="336"/>
        <v>52833.8968849913</v>
      </c>
      <c r="S1738" s="94">
        <v>34574.756399999998</v>
      </c>
      <c r="T1738" s="94">
        <f t="shared" si="332"/>
        <v>36915.467408280005</v>
      </c>
      <c r="U1738" s="94">
        <f t="shared" si="327"/>
        <v>39038.10678425611</v>
      </c>
      <c r="V1738" s="94">
        <f t="shared" si="328"/>
        <v>40634.765351732181</v>
      </c>
      <c r="W1738" s="97">
        <f t="shared" si="325"/>
        <v>41926.950889917265</v>
      </c>
      <c r="X1738" s="97">
        <f t="shared" si="326"/>
        <v>43520.175023734126</v>
      </c>
      <c r="Y1738" s="97">
        <f t="shared" si="335"/>
        <v>44220.849841616247</v>
      </c>
      <c r="Z1738" s="97">
        <f t="shared" si="337"/>
        <v>46706.061602715083</v>
      </c>
      <c r="AA1738" s="97">
        <f t="shared" si="338"/>
        <v>52833.8968849913</v>
      </c>
    </row>
    <row r="1739" spans="1:27" x14ac:dyDescent="0.25">
      <c r="A1739" s="102" t="s">
        <v>3833</v>
      </c>
      <c r="B1739" s="87" t="s">
        <v>3834</v>
      </c>
      <c r="C1739" s="88" t="s">
        <v>3818</v>
      </c>
      <c r="D1739" s="89" t="s">
        <v>255</v>
      </c>
      <c r="E1739" s="90">
        <f t="shared" si="329"/>
        <v>78178</v>
      </c>
      <c r="F1739" s="90">
        <f t="shared" si="330"/>
        <v>78178.453764521793</v>
      </c>
      <c r="G1739" s="91"/>
      <c r="H1739" s="91"/>
      <c r="I1739" s="91" t="s">
        <v>228</v>
      </c>
      <c r="J1739" s="91"/>
      <c r="K1739" s="91"/>
      <c r="L1739" s="92" t="s">
        <v>302</v>
      </c>
      <c r="M1739" s="91" t="str">
        <f t="shared" si="334"/>
        <v>no aplica</v>
      </c>
      <c r="N1739" s="93">
        <v>41608</v>
      </c>
      <c r="O1739" s="94"/>
      <c r="P1739" s="94"/>
      <c r="Q1739" s="94">
        <v>1570</v>
      </c>
      <c r="R1739" s="95">
        <f t="shared" si="336"/>
        <v>78178.453764521793</v>
      </c>
      <c r="S1739" s="94">
        <v>51160.356399999997</v>
      </c>
      <c r="T1739" s="94">
        <f t="shared" si="332"/>
        <v>54623.912528280001</v>
      </c>
      <c r="U1739" s="94">
        <f t="shared" si="327"/>
        <v>57764.787498656107</v>
      </c>
      <c r="V1739" s="94">
        <f t="shared" si="328"/>
        <v>60127.367307351138</v>
      </c>
      <c r="W1739" s="97">
        <f t="shared" si="325"/>
        <v>62039.417587724907</v>
      </c>
      <c r="X1739" s="97">
        <f t="shared" si="326"/>
        <v>64396.915456058457</v>
      </c>
      <c r="Y1739" s="97">
        <f t="shared" si="335"/>
        <v>65433.705794900998</v>
      </c>
      <c r="Z1739" s="97">
        <f t="shared" si="337"/>
        <v>69111.08006057443</v>
      </c>
      <c r="AA1739" s="97">
        <f t="shared" si="338"/>
        <v>78178.453764521793</v>
      </c>
    </row>
    <row r="1740" spans="1:27" x14ac:dyDescent="0.25">
      <c r="A1740" s="102" t="s">
        <v>3835</v>
      </c>
      <c r="B1740" s="87" t="s">
        <v>3836</v>
      </c>
      <c r="C1740" s="88" t="s">
        <v>3818</v>
      </c>
      <c r="D1740" s="89" t="s">
        <v>255</v>
      </c>
      <c r="E1740" s="90">
        <f t="shared" si="329"/>
        <v>90307</v>
      </c>
      <c r="F1740" s="90">
        <f t="shared" si="330"/>
        <v>90307.408266182145</v>
      </c>
      <c r="G1740" s="91"/>
      <c r="H1740" s="91"/>
      <c r="I1740" s="91" t="s">
        <v>228</v>
      </c>
      <c r="J1740" s="91"/>
      <c r="K1740" s="91"/>
      <c r="L1740" s="92" t="s">
        <v>302</v>
      </c>
      <c r="M1740" s="91" t="str">
        <f t="shared" si="334"/>
        <v>no aplica</v>
      </c>
      <c r="N1740" s="93">
        <v>41608</v>
      </c>
      <c r="O1740" s="94"/>
      <c r="P1740" s="94"/>
      <c r="Q1740" s="94">
        <v>1571</v>
      </c>
      <c r="R1740" s="95">
        <f t="shared" si="336"/>
        <v>90307.408266182145</v>
      </c>
      <c r="S1740" s="94">
        <v>59097.602599999998</v>
      </c>
      <c r="T1740" s="94">
        <f t="shared" si="332"/>
        <v>63098.510296020002</v>
      </c>
      <c r="U1740" s="94">
        <f t="shared" si="327"/>
        <v>66726.674638041164</v>
      </c>
      <c r="V1740" s="94">
        <f t="shared" si="328"/>
        <v>69455.795630737048</v>
      </c>
      <c r="W1740" s="97">
        <f t="shared" si="325"/>
        <v>71664.489931794495</v>
      </c>
      <c r="X1740" s="97">
        <f t="shared" si="326"/>
        <v>74387.740549202688</v>
      </c>
      <c r="Y1740" s="97">
        <f t="shared" si="335"/>
        <v>75585.383172044851</v>
      </c>
      <c r="Z1740" s="97">
        <f t="shared" si="337"/>
        <v>79833.281706313777</v>
      </c>
      <c r="AA1740" s="97">
        <f t="shared" si="338"/>
        <v>90307.408266182145</v>
      </c>
    </row>
    <row r="1741" spans="1:27" x14ac:dyDescent="0.25">
      <c r="A1741" s="102" t="s">
        <v>3837</v>
      </c>
      <c r="B1741" s="87" t="s">
        <v>3838</v>
      </c>
      <c r="C1741" s="88" t="s">
        <v>3818</v>
      </c>
      <c r="D1741" s="89" t="s">
        <v>255</v>
      </c>
      <c r="E1741" s="90">
        <f t="shared" si="329"/>
        <v>121104</v>
      </c>
      <c r="F1741" s="90">
        <f t="shared" si="330"/>
        <v>121104.21294442164</v>
      </c>
      <c r="G1741" s="91"/>
      <c r="H1741" s="91"/>
      <c r="I1741" s="91" t="s">
        <v>228</v>
      </c>
      <c r="J1741" s="91"/>
      <c r="K1741" s="91"/>
      <c r="L1741" s="92" t="s">
        <v>302</v>
      </c>
      <c r="M1741" s="91" t="str">
        <f t="shared" si="334"/>
        <v>no aplica</v>
      </c>
      <c r="N1741" s="93">
        <v>41608</v>
      </c>
      <c r="O1741" s="94"/>
      <c r="P1741" s="94"/>
      <c r="Q1741" s="94">
        <v>1572</v>
      </c>
      <c r="R1741" s="95">
        <f t="shared" si="336"/>
        <v>121104.21294442164</v>
      </c>
      <c r="S1741" s="94">
        <v>79251.179799999998</v>
      </c>
      <c r="T1741" s="94">
        <f t="shared" si="332"/>
        <v>84616.484672460007</v>
      </c>
      <c r="U1741" s="94">
        <f t="shared" si="327"/>
        <v>89481.932541126473</v>
      </c>
      <c r="V1741" s="94">
        <f t="shared" si="328"/>
        <v>93141.743582058538</v>
      </c>
      <c r="W1741" s="97">
        <f t="shared" si="325"/>
        <v>96103.651027968008</v>
      </c>
      <c r="X1741" s="97">
        <f t="shared" si="326"/>
        <v>99755.58976703079</v>
      </c>
      <c r="Y1741" s="97">
        <f t="shared" si="335"/>
        <v>101361.65476227998</v>
      </c>
      <c r="Z1741" s="97">
        <f t="shared" si="337"/>
        <v>107058.17975992012</v>
      </c>
      <c r="AA1741" s="97">
        <f t="shared" si="338"/>
        <v>121104.21294442164</v>
      </c>
    </row>
    <row r="1742" spans="1:27" x14ac:dyDescent="0.25">
      <c r="A1742" s="102" t="s">
        <v>3839</v>
      </c>
      <c r="B1742" s="87" t="s">
        <v>3840</v>
      </c>
      <c r="C1742" s="88" t="s">
        <v>3818</v>
      </c>
      <c r="D1742" s="89" t="s">
        <v>255</v>
      </c>
      <c r="E1742" s="90">
        <f t="shared" si="329"/>
        <v>159256</v>
      </c>
      <c r="F1742" s="90">
        <f t="shared" si="330"/>
        <v>159255.6912221399</v>
      </c>
      <c r="G1742" s="91"/>
      <c r="H1742" s="91"/>
      <c r="I1742" s="91" t="s">
        <v>228</v>
      </c>
      <c r="J1742" s="91"/>
      <c r="K1742" s="91"/>
      <c r="L1742" s="92" t="s">
        <v>302</v>
      </c>
      <c r="M1742" s="91" t="str">
        <f t="shared" si="334"/>
        <v>no aplica</v>
      </c>
      <c r="N1742" s="93">
        <v>41608</v>
      </c>
      <c r="O1742" s="94"/>
      <c r="P1742" s="94"/>
      <c r="Q1742" s="94">
        <v>1573</v>
      </c>
      <c r="R1742" s="95">
        <f t="shared" si="336"/>
        <v>159255.6912221399</v>
      </c>
      <c r="S1742" s="94">
        <v>104217.6908</v>
      </c>
      <c r="T1742" s="94">
        <f t="shared" si="332"/>
        <v>111273.22846716001</v>
      </c>
      <c r="U1742" s="94">
        <f t="shared" si="327"/>
        <v>117671.43910402172</v>
      </c>
      <c r="V1742" s="94">
        <f t="shared" si="328"/>
        <v>122484.20096337619</v>
      </c>
      <c r="W1742" s="97">
        <f t="shared" ref="W1742:W1806" si="339">+V1742*(1+$W$4)</f>
        <v>126379.19855401156</v>
      </c>
      <c r="X1742" s="97">
        <f t="shared" ref="X1742:X1806" si="340">+W1742*(1+$X$4)</f>
        <v>131181.608099064</v>
      </c>
      <c r="Y1742" s="97">
        <f t="shared" si="335"/>
        <v>133293.63198945893</v>
      </c>
      <c r="Z1742" s="97">
        <f t="shared" si="337"/>
        <v>140784.73410726653</v>
      </c>
      <c r="AA1742" s="97">
        <f t="shared" si="338"/>
        <v>159255.6912221399</v>
      </c>
    </row>
    <row r="1743" spans="1:27" x14ac:dyDescent="0.25">
      <c r="A1743" s="102" t="s">
        <v>3841</v>
      </c>
      <c r="B1743" s="87" t="s">
        <v>3842</v>
      </c>
      <c r="C1743" s="88" t="s">
        <v>3818</v>
      </c>
      <c r="D1743" s="89" t="s">
        <v>255</v>
      </c>
      <c r="E1743" s="90">
        <f t="shared" si="329"/>
        <v>197681</v>
      </c>
      <c r="F1743" s="90">
        <f t="shared" si="330"/>
        <v>197681.20752111811</v>
      </c>
      <c r="G1743" s="91"/>
      <c r="H1743" s="91"/>
      <c r="I1743" s="91" t="s">
        <v>228</v>
      </c>
      <c r="J1743" s="91"/>
      <c r="K1743" s="91"/>
      <c r="L1743" s="92" t="s">
        <v>302</v>
      </c>
      <c r="M1743" s="91" t="str">
        <f t="shared" si="334"/>
        <v>no aplica</v>
      </c>
      <c r="N1743" s="93">
        <v>41608</v>
      </c>
      <c r="O1743" s="94"/>
      <c r="P1743" s="94"/>
      <c r="Q1743" s="94">
        <v>1574</v>
      </c>
      <c r="R1743" s="95">
        <f t="shared" si="336"/>
        <v>197681.20752111811</v>
      </c>
      <c r="S1743" s="94">
        <v>129363.5336</v>
      </c>
      <c r="T1743" s="94">
        <f t="shared" si="332"/>
        <v>138121.44482472001</v>
      </c>
      <c r="U1743" s="94">
        <f t="shared" si="327"/>
        <v>146063.42790214141</v>
      </c>
      <c r="V1743" s="94">
        <f t="shared" si="328"/>
        <v>152037.42210333899</v>
      </c>
      <c r="W1743" s="97">
        <f t="shared" si="339"/>
        <v>156872.21212622517</v>
      </c>
      <c r="X1743" s="97">
        <f t="shared" si="340"/>
        <v>162833.35618702174</v>
      </c>
      <c r="Y1743" s="97">
        <f t="shared" si="335"/>
        <v>165454.9732216328</v>
      </c>
      <c r="Z1743" s="97">
        <f t="shared" si="337"/>
        <v>174753.54271668856</v>
      </c>
      <c r="AA1743" s="97">
        <f t="shared" si="338"/>
        <v>197681.20752111811</v>
      </c>
    </row>
    <row r="1744" spans="1:27" x14ac:dyDescent="0.25">
      <c r="A1744" s="102" t="s">
        <v>3843</v>
      </c>
      <c r="B1744" s="87" t="s">
        <v>3844</v>
      </c>
      <c r="C1744" s="88" t="s">
        <v>3818</v>
      </c>
      <c r="D1744" s="89" t="s">
        <v>255</v>
      </c>
      <c r="E1744" s="90">
        <f t="shared" si="329"/>
        <v>387742</v>
      </c>
      <c r="F1744" s="90">
        <f t="shared" si="330"/>
        <v>387741.62359552243</v>
      </c>
      <c r="G1744" s="91"/>
      <c r="H1744" s="91"/>
      <c r="I1744" s="91" t="s">
        <v>228</v>
      </c>
      <c r="J1744" s="91"/>
      <c r="K1744" s="91"/>
      <c r="L1744" s="92" t="s">
        <v>302</v>
      </c>
      <c r="M1744" s="91" t="str">
        <f t="shared" si="334"/>
        <v>no aplica</v>
      </c>
      <c r="N1744" s="93">
        <v>41608</v>
      </c>
      <c r="O1744" s="94"/>
      <c r="P1744" s="94"/>
      <c r="Q1744" s="94">
        <v>1575</v>
      </c>
      <c r="R1744" s="95">
        <f t="shared" si="336"/>
        <v>387741.62359552243</v>
      </c>
      <c r="S1744" s="94">
        <v>253739.9846</v>
      </c>
      <c r="T1744" s="94">
        <f t="shared" si="332"/>
        <v>270918.18155742</v>
      </c>
      <c r="U1744" s="94">
        <f t="shared" si="327"/>
        <v>286495.9769969717</v>
      </c>
      <c r="V1744" s="94">
        <f t="shared" si="328"/>
        <v>298213.66245614784</v>
      </c>
      <c r="W1744" s="97">
        <f t="shared" si="339"/>
        <v>307696.85692225333</v>
      </c>
      <c r="X1744" s="97">
        <f t="shared" si="340"/>
        <v>319389.33748529898</v>
      </c>
      <c r="Y1744" s="97">
        <f t="shared" si="335"/>
        <v>324531.50581881229</v>
      </c>
      <c r="Z1744" s="97">
        <f t="shared" si="337"/>
        <v>342770.17644582957</v>
      </c>
      <c r="AA1744" s="97">
        <f t="shared" si="338"/>
        <v>387741.62359552243</v>
      </c>
    </row>
    <row r="1745" spans="1:27" x14ac:dyDescent="0.25">
      <c r="A1745" s="102" t="s">
        <v>3845</v>
      </c>
      <c r="B1745" s="87" t="s">
        <v>3846</v>
      </c>
      <c r="C1745" s="88" t="s">
        <v>3818</v>
      </c>
      <c r="D1745" s="89" t="s">
        <v>255</v>
      </c>
      <c r="E1745" s="90">
        <f t="shared" si="329"/>
        <v>1024430</v>
      </c>
      <c r="F1745" s="90">
        <f t="shared" si="330"/>
        <v>1024430.1571402333</v>
      </c>
      <c r="G1745" s="91"/>
      <c r="H1745" s="91"/>
      <c r="I1745" s="91" t="s">
        <v>228</v>
      </c>
      <c r="J1745" s="91"/>
      <c r="K1745" s="91"/>
      <c r="L1745" s="92" t="s">
        <v>302</v>
      </c>
      <c r="M1745" s="91" t="str">
        <f t="shared" si="334"/>
        <v>no aplica</v>
      </c>
      <c r="N1745" s="93">
        <v>41608</v>
      </c>
      <c r="O1745" s="94"/>
      <c r="P1745" s="94"/>
      <c r="Q1745" s="94">
        <v>1576</v>
      </c>
      <c r="R1745" s="95">
        <f t="shared" si="336"/>
        <v>1024430.1571402333</v>
      </c>
      <c r="S1745" s="94">
        <v>670392.02520000003</v>
      </c>
      <c r="T1745" s="94">
        <f t="shared" si="332"/>
        <v>715777.56530604011</v>
      </c>
      <c r="U1745" s="94">
        <f t="shared" ref="U1745:U1811" si="341">+T1745*(1+$U$4)</f>
        <v>756934.77531113755</v>
      </c>
      <c r="V1745" s="94">
        <f t="shared" ref="V1745:V1811" si="342">+U1745*(1+$V$4)</f>
        <v>787893.40762136306</v>
      </c>
      <c r="W1745" s="97">
        <f t="shared" si="339"/>
        <v>812948.41798372241</v>
      </c>
      <c r="X1745" s="97">
        <f t="shared" si="340"/>
        <v>843840.45786710386</v>
      </c>
      <c r="Y1745" s="97">
        <f t="shared" si="335"/>
        <v>857426.28923876421</v>
      </c>
      <c r="Z1745" s="97">
        <f t="shared" si="337"/>
        <v>905613.64669398277</v>
      </c>
      <c r="AA1745" s="97">
        <f t="shared" si="338"/>
        <v>1024430.1571402333</v>
      </c>
    </row>
    <row r="1746" spans="1:27" x14ac:dyDescent="0.25">
      <c r="A1746" s="102" t="s">
        <v>3847</v>
      </c>
      <c r="B1746" s="87" t="s">
        <v>3848</v>
      </c>
      <c r="C1746" s="88" t="s">
        <v>3818</v>
      </c>
      <c r="D1746" s="89" t="s">
        <v>255</v>
      </c>
      <c r="E1746" s="90">
        <f t="shared" si="329"/>
        <v>139538</v>
      </c>
      <c r="F1746" s="90">
        <f t="shared" si="330"/>
        <v>139537.62596986516</v>
      </c>
      <c r="G1746" s="91"/>
      <c r="H1746" s="91"/>
      <c r="I1746" s="91" t="s">
        <v>228</v>
      </c>
      <c r="J1746" s="91"/>
      <c r="K1746" s="91"/>
      <c r="L1746" s="92" t="s">
        <v>302</v>
      </c>
      <c r="M1746" s="91" t="str">
        <f t="shared" si="334"/>
        <v>no aplica</v>
      </c>
      <c r="N1746" s="93">
        <v>41608</v>
      </c>
      <c r="O1746" s="94"/>
      <c r="P1746" s="94"/>
      <c r="Q1746" s="94">
        <v>1577</v>
      </c>
      <c r="R1746" s="95">
        <f t="shared" si="336"/>
        <v>139537.62596986516</v>
      </c>
      <c r="S1746" s="94">
        <v>91314.093999999997</v>
      </c>
      <c r="T1746" s="94">
        <f t="shared" si="332"/>
        <v>97496.0581638</v>
      </c>
      <c r="U1746" s="94">
        <f t="shared" si="341"/>
        <v>103102.08150821851</v>
      </c>
      <c r="V1746" s="94">
        <f t="shared" si="342"/>
        <v>107318.95664190465</v>
      </c>
      <c r="W1746" s="97">
        <f t="shared" si="339"/>
        <v>110731.69946311721</v>
      </c>
      <c r="X1746" s="97">
        <f t="shared" si="340"/>
        <v>114939.50404271566</v>
      </c>
      <c r="Y1746" s="97">
        <f t="shared" si="335"/>
        <v>116790.03005780339</v>
      </c>
      <c r="Z1746" s="97">
        <f t="shared" si="337"/>
        <v>123353.62974705195</v>
      </c>
      <c r="AA1746" s="97">
        <f t="shared" si="338"/>
        <v>139537.62596986516</v>
      </c>
    </row>
    <row r="1747" spans="1:27" x14ac:dyDescent="0.25">
      <c r="A1747" s="102" t="s">
        <v>3849</v>
      </c>
      <c r="B1747" s="87" t="s">
        <v>3850</v>
      </c>
      <c r="C1747" s="88" t="s">
        <v>3818</v>
      </c>
      <c r="D1747" s="89" t="s">
        <v>255</v>
      </c>
      <c r="E1747" s="90">
        <f t="shared" ref="E1747:E1813" si="343">+ROUND(F1747*(1+G1747),0)</f>
        <v>190084</v>
      </c>
      <c r="F1747" s="90">
        <f t="shared" si="330"/>
        <v>190084.17659647885</v>
      </c>
      <c r="G1747" s="91"/>
      <c r="H1747" s="91"/>
      <c r="I1747" s="91" t="s">
        <v>228</v>
      </c>
      <c r="J1747" s="91"/>
      <c r="K1747" s="91"/>
      <c r="L1747" s="92" t="s">
        <v>302</v>
      </c>
      <c r="M1747" s="91" t="str">
        <f t="shared" si="334"/>
        <v>no aplica</v>
      </c>
      <c r="N1747" s="93">
        <v>41608</v>
      </c>
      <c r="O1747" s="94"/>
      <c r="P1747" s="94"/>
      <c r="Q1747" s="94">
        <v>1578</v>
      </c>
      <c r="R1747" s="95">
        <f t="shared" si="336"/>
        <v>190084.17659647885</v>
      </c>
      <c r="S1747" s="94">
        <v>124392</v>
      </c>
      <c r="T1747" s="94">
        <f t="shared" si="332"/>
        <v>132813.33840000001</v>
      </c>
      <c r="U1747" s="94">
        <f t="shared" si="341"/>
        <v>140450.10535800003</v>
      </c>
      <c r="V1747" s="94">
        <f t="shared" si="342"/>
        <v>146194.51466714221</v>
      </c>
      <c r="W1747" s="97">
        <f t="shared" si="339"/>
        <v>150843.50023355734</v>
      </c>
      <c r="X1747" s="97">
        <f t="shared" si="340"/>
        <v>156575.55324243254</v>
      </c>
      <c r="Y1747" s="97">
        <f t="shared" si="335"/>
        <v>159096.4196496357</v>
      </c>
      <c r="Z1747" s="97">
        <f t="shared" si="337"/>
        <v>168037.63843394525</v>
      </c>
      <c r="AA1747" s="97">
        <f t="shared" si="338"/>
        <v>190084.17659647885</v>
      </c>
    </row>
    <row r="1748" spans="1:27" x14ac:dyDescent="0.25">
      <c r="A1748" s="102" t="s">
        <v>3851</v>
      </c>
      <c r="B1748" s="87" t="s">
        <v>3852</v>
      </c>
      <c r="C1748" s="88" t="s">
        <v>3818</v>
      </c>
      <c r="D1748" s="89" t="s">
        <v>255</v>
      </c>
      <c r="E1748" s="90">
        <f t="shared" si="343"/>
        <v>233976</v>
      </c>
      <c r="F1748" s="90">
        <f t="shared" si="330"/>
        <v>233976.19700741078</v>
      </c>
      <c r="G1748" s="91"/>
      <c r="H1748" s="91"/>
      <c r="I1748" s="91" t="s">
        <v>228</v>
      </c>
      <c r="J1748" s="91"/>
      <c r="K1748" s="91"/>
      <c r="L1748" s="92" t="s">
        <v>302</v>
      </c>
      <c r="M1748" s="91" t="str">
        <f t="shared" si="334"/>
        <v>no aplica</v>
      </c>
      <c r="N1748" s="93">
        <v>41608</v>
      </c>
      <c r="O1748" s="94"/>
      <c r="P1748" s="94"/>
      <c r="Q1748" s="94">
        <v>1579</v>
      </c>
      <c r="R1748" s="95">
        <f t="shared" si="336"/>
        <v>233976.19700741078</v>
      </c>
      <c r="S1748" s="94">
        <v>153115.14939999999</v>
      </c>
      <c r="T1748" s="94">
        <f t="shared" si="332"/>
        <v>163481.04501438001</v>
      </c>
      <c r="U1748" s="94">
        <f t="shared" si="341"/>
        <v>172881.20510270688</v>
      </c>
      <c r="V1748" s="94">
        <f t="shared" si="342"/>
        <v>179952.04639140758</v>
      </c>
      <c r="W1748" s="97">
        <f t="shared" si="339"/>
        <v>185674.52146665435</v>
      </c>
      <c r="X1748" s="97">
        <f t="shared" si="340"/>
        <v>192730.15328238721</v>
      </c>
      <c r="Y1748" s="97">
        <f t="shared" si="335"/>
        <v>195833.10875023366</v>
      </c>
      <c r="Z1748" s="97">
        <f t="shared" si="337"/>
        <v>206838.9294619968</v>
      </c>
      <c r="AA1748" s="97">
        <f t="shared" si="338"/>
        <v>233976.19700741078</v>
      </c>
    </row>
    <row r="1749" spans="1:27" x14ac:dyDescent="0.25">
      <c r="A1749" s="102" t="s">
        <v>3853</v>
      </c>
      <c r="B1749" s="87" t="s">
        <v>3854</v>
      </c>
      <c r="C1749" s="88" t="s">
        <v>3818</v>
      </c>
      <c r="D1749" s="89" t="s">
        <v>255</v>
      </c>
      <c r="E1749" s="90">
        <f t="shared" si="343"/>
        <v>250265</v>
      </c>
      <c r="F1749" s="90">
        <f t="shared" si="330"/>
        <v>250264.82690692399</v>
      </c>
      <c r="G1749" s="91"/>
      <c r="H1749" s="91"/>
      <c r="I1749" s="91" t="s">
        <v>228</v>
      </c>
      <c r="J1749" s="91"/>
      <c r="K1749" s="91"/>
      <c r="L1749" s="92" t="s">
        <v>302</v>
      </c>
      <c r="M1749" s="91" t="str">
        <f t="shared" si="334"/>
        <v>no aplica</v>
      </c>
      <c r="N1749" s="93">
        <v>41608</v>
      </c>
      <c r="O1749" s="94"/>
      <c r="P1749" s="94"/>
      <c r="Q1749" s="94">
        <v>1580</v>
      </c>
      <c r="R1749" s="95">
        <f t="shared" si="336"/>
        <v>250264.82690692399</v>
      </c>
      <c r="S1749" s="94">
        <v>163774.50719999999</v>
      </c>
      <c r="T1749" s="94">
        <f t="shared" si="332"/>
        <v>174862.04133743999</v>
      </c>
      <c r="U1749" s="94">
        <f t="shared" si="341"/>
        <v>184916.60871434282</v>
      </c>
      <c r="V1749" s="94">
        <f t="shared" si="342"/>
        <v>192479.69801075943</v>
      </c>
      <c r="W1749" s="97">
        <f t="shared" si="339"/>
        <v>198600.55240750159</v>
      </c>
      <c r="X1749" s="97">
        <f t="shared" si="340"/>
        <v>206147.37339898665</v>
      </c>
      <c r="Y1749" s="97">
        <f t="shared" si="335"/>
        <v>209466.34611071032</v>
      </c>
      <c r="Z1749" s="97">
        <f t="shared" si="337"/>
        <v>221238.35476213225</v>
      </c>
      <c r="AA1749" s="97">
        <f t="shared" si="338"/>
        <v>250264.82690692399</v>
      </c>
    </row>
    <row r="1750" spans="1:27" x14ac:dyDescent="0.25">
      <c r="A1750" s="102" t="s">
        <v>3855</v>
      </c>
      <c r="B1750" s="87" t="s">
        <v>3856</v>
      </c>
      <c r="C1750" s="88" t="s">
        <v>3818</v>
      </c>
      <c r="D1750" s="89" t="s">
        <v>255</v>
      </c>
      <c r="E1750" s="90">
        <f t="shared" si="343"/>
        <v>381786</v>
      </c>
      <c r="F1750" s="90">
        <f t="shared" si="330"/>
        <v>381785.65272883262</v>
      </c>
      <c r="G1750" s="91"/>
      <c r="H1750" s="91"/>
      <c r="I1750" s="91" t="s">
        <v>228</v>
      </c>
      <c r="J1750" s="91"/>
      <c r="K1750" s="91"/>
      <c r="L1750" s="92" t="s">
        <v>302</v>
      </c>
      <c r="M1750" s="91" t="str">
        <f t="shared" si="334"/>
        <v>no aplica</v>
      </c>
      <c r="N1750" s="93">
        <v>41608</v>
      </c>
      <c r="O1750" s="94"/>
      <c r="P1750" s="94"/>
      <c r="Q1750" s="94">
        <v>1581</v>
      </c>
      <c r="R1750" s="95">
        <f t="shared" si="336"/>
        <v>381785.65272883262</v>
      </c>
      <c r="S1750" s="94">
        <v>249842.36859999999</v>
      </c>
      <c r="T1750" s="94">
        <f t="shared" si="332"/>
        <v>266756.69695422001</v>
      </c>
      <c r="U1750" s="94">
        <f t="shared" si="341"/>
        <v>282095.2070290877</v>
      </c>
      <c r="V1750" s="94">
        <f t="shared" si="342"/>
        <v>293632.90099657734</v>
      </c>
      <c r="W1750" s="97">
        <f t="shared" si="339"/>
        <v>302970.4272482685</v>
      </c>
      <c r="X1750" s="97">
        <f t="shared" si="340"/>
        <v>314483.30348370271</v>
      </c>
      <c r="Y1750" s="97">
        <f t="shared" si="335"/>
        <v>319546.48466979031</v>
      </c>
      <c r="Z1750" s="97">
        <f t="shared" si="337"/>
        <v>337504.99710823252</v>
      </c>
      <c r="AA1750" s="97">
        <f t="shared" si="338"/>
        <v>381785.65272883262</v>
      </c>
    </row>
    <row r="1751" spans="1:27" x14ac:dyDescent="0.25">
      <c r="A1751" s="102" t="s">
        <v>3857</v>
      </c>
      <c r="B1751" s="87" t="s">
        <v>3858</v>
      </c>
      <c r="C1751" s="88" t="s">
        <v>3818</v>
      </c>
      <c r="D1751" s="89" t="s">
        <v>255</v>
      </c>
      <c r="E1751" s="90">
        <f t="shared" si="343"/>
        <v>27447</v>
      </c>
      <c r="F1751" s="90">
        <f t="shared" si="330"/>
        <v>27446.571065726577</v>
      </c>
      <c r="G1751" s="91"/>
      <c r="H1751" s="91"/>
      <c r="I1751" s="91" t="s">
        <v>228</v>
      </c>
      <c r="J1751" s="91"/>
      <c r="K1751" s="91"/>
      <c r="L1751" s="92" t="s">
        <v>302</v>
      </c>
      <c r="M1751" s="91" t="str">
        <f t="shared" si="334"/>
        <v>no aplica</v>
      </c>
      <c r="N1751" s="93">
        <v>41608</v>
      </c>
      <c r="O1751" s="94"/>
      <c r="P1751" s="94"/>
      <c r="Q1751" s="94">
        <v>1582</v>
      </c>
      <c r="R1751" s="95">
        <f t="shared" si="336"/>
        <v>27446.571065726577</v>
      </c>
      <c r="S1751" s="94">
        <v>17961.1682</v>
      </c>
      <c r="T1751" s="94">
        <f t="shared" si="332"/>
        <v>19177.139287140002</v>
      </c>
      <c r="U1751" s="94">
        <f t="shared" si="341"/>
        <v>20279.824796150555</v>
      </c>
      <c r="V1751" s="94">
        <f t="shared" si="342"/>
        <v>21109.269630313112</v>
      </c>
      <c r="W1751" s="97">
        <f t="shared" si="339"/>
        <v>21780.544404557069</v>
      </c>
      <c r="X1751" s="97">
        <f t="shared" si="340"/>
        <v>22608.205091930238</v>
      </c>
      <c r="Y1751" s="97">
        <f t="shared" si="335"/>
        <v>22972.197193910317</v>
      </c>
      <c r="Z1751" s="97">
        <f t="shared" si="337"/>
        <v>24263.234676208078</v>
      </c>
      <c r="AA1751" s="97">
        <f t="shared" si="338"/>
        <v>27446.571065726577</v>
      </c>
    </row>
    <row r="1752" spans="1:27" x14ac:dyDescent="0.25">
      <c r="A1752" s="102" t="s">
        <v>3859</v>
      </c>
      <c r="B1752" s="87" t="s">
        <v>3860</v>
      </c>
      <c r="C1752" s="88" t="s">
        <v>3818</v>
      </c>
      <c r="D1752" s="89" t="s">
        <v>255</v>
      </c>
      <c r="E1752" s="90">
        <f t="shared" si="343"/>
        <v>101548</v>
      </c>
      <c r="F1752" s="90">
        <f t="shared" si="330"/>
        <v>101547.71924225389</v>
      </c>
      <c r="G1752" s="91"/>
      <c r="H1752" s="91"/>
      <c r="I1752" s="91" t="s">
        <v>228</v>
      </c>
      <c r="J1752" s="91"/>
      <c r="K1752" s="91"/>
      <c r="L1752" s="92" t="s">
        <v>302</v>
      </c>
      <c r="M1752" s="91" t="str">
        <f t="shared" si="334"/>
        <v>no aplica</v>
      </c>
      <c r="N1752" s="93">
        <v>41608</v>
      </c>
      <c r="O1752" s="94"/>
      <c r="P1752" s="94"/>
      <c r="Q1752" s="94">
        <v>1583</v>
      </c>
      <c r="R1752" s="95">
        <f t="shared" si="336"/>
        <v>101547.71924225389</v>
      </c>
      <c r="S1752" s="94">
        <v>66453.316200000001</v>
      </c>
      <c r="T1752" s="94">
        <f t="shared" si="332"/>
        <v>70952.205706740002</v>
      </c>
      <c r="U1752" s="94">
        <f t="shared" si="341"/>
        <v>75031.957534877554</v>
      </c>
      <c r="V1752" s="94">
        <f t="shared" si="342"/>
        <v>78100.76459805404</v>
      </c>
      <c r="W1752" s="97">
        <f t="shared" si="339"/>
        <v>80584.368912272155</v>
      </c>
      <c r="X1752" s="97">
        <f t="shared" si="340"/>
        <v>83646.574930938499</v>
      </c>
      <c r="Y1752" s="97">
        <f t="shared" si="335"/>
        <v>84993.284787326615</v>
      </c>
      <c r="Z1752" s="97">
        <f t="shared" si="337"/>
        <v>89769.907392374371</v>
      </c>
      <c r="AA1752" s="97">
        <f t="shared" si="338"/>
        <v>101547.71924225389</v>
      </c>
    </row>
    <row r="1753" spans="1:27" x14ac:dyDescent="0.25">
      <c r="A1753" s="102" t="s">
        <v>3861</v>
      </c>
      <c r="B1753" s="87" t="s">
        <v>3862</v>
      </c>
      <c r="C1753" s="88" t="s">
        <v>3818</v>
      </c>
      <c r="D1753" s="89" t="s">
        <v>255</v>
      </c>
      <c r="E1753" s="90">
        <f t="shared" si="343"/>
        <v>159866</v>
      </c>
      <c r="F1753" s="90">
        <f t="shared" si="330"/>
        <v>159865.54462205363</v>
      </c>
      <c r="G1753" s="91"/>
      <c r="H1753" s="91"/>
      <c r="I1753" s="91" t="s">
        <v>228</v>
      </c>
      <c r="J1753" s="91"/>
      <c r="K1753" s="91"/>
      <c r="L1753" s="92" t="s">
        <v>302</v>
      </c>
      <c r="M1753" s="91" t="str">
        <f t="shared" si="334"/>
        <v>no aplica</v>
      </c>
      <c r="N1753" s="93">
        <v>41608</v>
      </c>
      <c r="O1753" s="94"/>
      <c r="P1753" s="94"/>
      <c r="Q1753" s="94">
        <v>1584</v>
      </c>
      <c r="R1753" s="95">
        <f t="shared" si="336"/>
        <v>159865.54462205363</v>
      </c>
      <c r="S1753" s="94">
        <v>104616.7818</v>
      </c>
      <c r="T1753" s="94">
        <f t="shared" si="332"/>
        <v>111699.33792786</v>
      </c>
      <c r="U1753" s="94">
        <f t="shared" si="341"/>
        <v>118122.04985871197</v>
      </c>
      <c r="V1753" s="94">
        <f t="shared" si="342"/>
        <v>122953.24169793328</v>
      </c>
      <c r="W1753" s="97">
        <f t="shared" si="339"/>
        <v>126863.15478392756</v>
      </c>
      <c r="X1753" s="97">
        <f t="shared" si="340"/>
        <v>131683.95466571682</v>
      </c>
      <c r="Y1753" s="97">
        <f t="shared" si="335"/>
        <v>133804.06633583485</v>
      </c>
      <c r="Z1753" s="97">
        <f t="shared" si="337"/>
        <v>141323.85486390878</v>
      </c>
      <c r="AA1753" s="97">
        <f t="shared" si="338"/>
        <v>159865.54462205363</v>
      </c>
    </row>
    <row r="1754" spans="1:27" x14ac:dyDescent="0.25">
      <c r="A1754" s="102" t="s">
        <v>3863</v>
      </c>
      <c r="B1754" s="87" t="s">
        <v>3864</v>
      </c>
      <c r="C1754" s="88" t="s">
        <v>3818</v>
      </c>
      <c r="D1754" s="89" t="s">
        <v>255</v>
      </c>
      <c r="E1754" s="90">
        <f t="shared" si="343"/>
        <v>223683</v>
      </c>
      <c r="F1754" s="90">
        <f t="shared" si="330"/>
        <v>223683.13884471142</v>
      </c>
      <c r="G1754" s="91"/>
      <c r="H1754" s="91"/>
      <c r="I1754" s="91" t="s">
        <v>228</v>
      </c>
      <c r="J1754" s="91"/>
      <c r="K1754" s="91"/>
      <c r="L1754" s="92" t="s">
        <v>302</v>
      </c>
      <c r="M1754" s="91" t="str">
        <f t="shared" si="334"/>
        <v>no aplica</v>
      </c>
      <c r="N1754" s="93">
        <v>41608</v>
      </c>
      <c r="O1754" s="94"/>
      <c r="P1754" s="94"/>
      <c r="Q1754" s="94">
        <v>1585</v>
      </c>
      <c r="R1754" s="95">
        <f t="shared" si="336"/>
        <v>223683.13884471142</v>
      </c>
      <c r="S1754" s="94">
        <v>146379.32259999998</v>
      </c>
      <c r="T1754" s="94">
        <f t="shared" si="332"/>
        <v>156289.20274002</v>
      </c>
      <c r="U1754" s="94">
        <f t="shared" si="341"/>
        <v>165275.83189757116</v>
      </c>
      <c r="V1754" s="94">
        <f t="shared" si="342"/>
        <v>172035.61342218181</v>
      </c>
      <c r="W1754" s="97">
        <f t="shared" si="339"/>
        <v>177506.34592900719</v>
      </c>
      <c r="X1754" s="97">
        <f t="shared" si="340"/>
        <v>184251.58707430947</v>
      </c>
      <c r="Y1754" s="97">
        <f t="shared" si="335"/>
        <v>187218.03762620586</v>
      </c>
      <c r="Z1754" s="97">
        <f t="shared" si="337"/>
        <v>197739.69134079863</v>
      </c>
      <c r="AA1754" s="97">
        <f t="shared" si="338"/>
        <v>223683.13884471142</v>
      </c>
    </row>
    <row r="1755" spans="1:27" x14ac:dyDescent="0.25">
      <c r="A1755" s="102" t="s">
        <v>3865</v>
      </c>
      <c r="B1755" s="87" t="s">
        <v>3866</v>
      </c>
      <c r="C1755" s="88" t="s">
        <v>3818</v>
      </c>
      <c r="D1755" s="89" t="s">
        <v>255</v>
      </c>
      <c r="E1755" s="90">
        <f t="shared" si="343"/>
        <v>277401</v>
      </c>
      <c r="F1755" s="90">
        <f t="shared" si="330"/>
        <v>277400.92715087632</v>
      </c>
      <c r="G1755" s="91"/>
      <c r="H1755" s="91"/>
      <c r="I1755" s="91" t="s">
        <v>228</v>
      </c>
      <c r="J1755" s="91"/>
      <c r="K1755" s="91"/>
      <c r="L1755" s="92" t="s">
        <v>302</v>
      </c>
      <c r="M1755" s="91" t="str">
        <f t="shared" si="334"/>
        <v>no aplica</v>
      </c>
      <c r="N1755" s="93">
        <v>41608</v>
      </c>
      <c r="O1755" s="94"/>
      <c r="P1755" s="94"/>
      <c r="Q1755" s="94">
        <v>1586</v>
      </c>
      <c r="R1755" s="95">
        <f t="shared" si="336"/>
        <v>277400.92715087632</v>
      </c>
      <c r="S1755" s="94">
        <v>181532.5018</v>
      </c>
      <c r="T1755" s="94">
        <f t="shared" si="332"/>
        <v>193822.25217186002</v>
      </c>
      <c r="U1755" s="94">
        <f t="shared" si="341"/>
        <v>204967.03167174198</v>
      </c>
      <c r="V1755" s="94">
        <f t="shared" si="342"/>
        <v>213350.1832671162</v>
      </c>
      <c r="W1755" s="97">
        <f t="shared" si="339"/>
        <v>220134.71909501051</v>
      </c>
      <c r="X1755" s="97">
        <f t="shared" si="340"/>
        <v>228499.83842062092</v>
      </c>
      <c r="Y1755" s="97">
        <f t="shared" si="335"/>
        <v>232178.68581919291</v>
      </c>
      <c r="Z1755" s="97">
        <f t="shared" si="337"/>
        <v>245227.12796223155</v>
      </c>
      <c r="AA1755" s="97">
        <f t="shared" si="338"/>
        <v>277400.92715087632</v>
      </c>
    </row>
    <row r="1756" spans="1:27" x14ac:dyDescent="0.25">
      <c r="A1756" s="102" t="s">
        <v>3867</v>
      </c>
      <c r="B1756" s="87" t="s">
        <v>3868</v>
      </c>
      <c r="C1756" s="88" t="s">
        <v>3818</v>
      </c>
      <c r="D1756" s="89" t="s">
        <v>255</v>
      </c>
      <c r="E1756" s="90">
        <f t="shared" si="343"/>
        <v>364071</v>
      </c>
      <c r="F1756" s="90">
        <f t="shared" si="330"/>
        <v>364071.39150484581</v>
      </c>
      <c r="G1756" s="91"/>
      <c r="H1756" s="91"/>
      <c r="I1756" s="91" t="s">
        <v>228</v>
      </c>
      <c r="J1756" s="91"/>
      <c r="K1756" s="91"/>
      <c r="L1756" s="92" t="s">
        <v>302</v>
      </c>
      <c r="M1756" s="91" t="str">
        <f t="shared" si="334"/>
        <v>no aplica</v>
      </c>
      <c r="N1756" s="93">
        <v>41608</v>
      </c>
      <c r="O1756" s="94"/>
      <c r="P1756" s="94"/>
      <c r="Q1756" s="94">
        <v>1587</v>
      </c>
      <c r="R1756" s="95">
        <f t="shared" si="336"/>
        <v>364071.39150484581</v>
      </c>
      <c r="S1756" s="94">
        <v>238250.07079999999</v>
      </c>
      <c r="T1756" s="94">
        <f t="shared" si="332"/>
        <v>254379.60059315999</v>
      </c>
      <c r="U1756" s="94">
        <f t="shared" si="341"/>
        <v>269006.42762726673</v>
      </c>
      <c r="V1756" s="94">
        <f t="shared" si="342"/>
        <v>280008.7905172219</v>
      </c>
      <c r="W1756" s="97">
        <f t="shared" si="339"/>
        <v>288913.07005566958</v>
      </c>
      <c r="X1756" s="97">
        <f t="shared" si="340"/>
        <v>299891.76671778504</v>
      </c>
      <c r="Y1756" s="97">
        <f t="shared" si="335"/>
        <v>304720.02416194137</v>
      </c>
      <c r="Z1756" s="97">
        <f t="shared" si="337"/>
        <v>321845.28951984248</v>
      </c>
      <c r="AA1756" s="97">
        <f t="shared" si="338"/>
        <v>364071.39150484581</v>
      </c>
    </row>
    <row r="1757" spans="1:27" x14ac:dyDescent="0.25">
      <c r="A1757" s="102" t="s">
        <v>3869</v>
      </c>
      <c r="B1757" s="87" t="s">
        <v>3870</v>
      </c>
      <c r="C1757" s="88" t="s">
        <v>3818</v>
      </c>
      <c r="D1757" s="89" t="s">
        <v>255</v>
      </c>
      <c r="E1757" s="90">
        <f t="shared" si="343"/>
        <v>17076</v>
      </c>
      <c r="F1757" s="90">
        <f t="shared" si="330"/>
        <v>17075.895197583683</v>
      </c>
      <c r="G1757" s="91"/>
      <c r="H1757" s="91"/>
      <c r="I1757" s="91" t="s">
        <v>228</v>
      </c>
      <c r="J1757" s="91"/>
      <c r="K1757" s="91"/>
      <c r="L1757" s="92" t="s">
        <v>302</v>
      </c>
      <c r="M1757" s="91" t="str">
        <f t="shared" si="334"/>
        <v>no aplica</v>
      </c>
      <c r="N1757" s="93">
        <v>41608</v>
      </c>
      <c r="O1757" s="94"/>
      <c r="P1757" s="94"/>
      <c r="Q1757" s="94">
        <v>1588</v>
      </c>
      <c r="R1757" s="95">
        <f t="shared" si="336"/>
        <v>17075.895197583683</v>
      </c>
      <c r="S1757" s="94">
        <v>11174.547999999999</v>
      </c>
      <c r="T1757" s="94">
        <f t="shared" si="332"/>
        <v>11931.0648996</v>
      </c>
      <c r="U1757" s="94">
        <f t="shared" si="341"/>
        <v>12617.101131327001</v>
      </c>
      <c r="V1757" s="94">
        <f t="shared" si="342"/>
        <v>13133.140567598275</v>
      </c>
      <c r="W1757" s="97">
        <f t="shared" si="339"/>
        <v>13550.7744376479</v>
      </c>
      <c r="X1757" s="97">
        <f t="shared" si="340"/>
        <v>14065.703866278522</v>
      </c>
      <c r="Y1757" s="97">
        <f t="shared" si="335"/>
        <v>14292.161698525606</v>
      </c>
      <c r="Z1757" s="97">
        <f t="shared" si="337"/>
        <v>15095.381185982746</v>
      </c>
      <c r="AA1757" s="97">
        <f t="shared" si="338"/>
        <v>17075.895197583683</v>
      </c>
    </row>
    <row r="1758" spans="1:27" x14ac:dyDescent="0.25">
      <c r="A1758" s="102" t="s">
        <v>3871</v>
      </c>
      <c r="B1758" s="87" t="s">
        <v>3872</v>
      </c>
      <c r="C1758" s="88" t="s">
        <v>3818</v>
      </c>
      <c r="D1758" s="89" t="s">
        <v>255</v>
      </c>
      <c r="E1758" s="90">
        <f t="shared" si="343"/>
        <v>28174</v>
      </c>
      <c r="F1758" s="90">
        <f t="shared" ref="F1758:F1785" si="344">R1758</f>
        <v>28173.643041208099</v>
      </c>
      <c r="G1758" s="91"/>
      <c r="H1758" s="91"/>
      <c r="I1758" s="91" t="s">
        <v>228</v>
      </c>
      <c r="J1758" s="91"/>
      <c r="K1758" s="91"/>
      <c r="L1758" s="92" t="s">
        <v>302</v>
      </c>
      <c r="M1758" s="91" t="str">
        <f t="shared" si="334"/>
        <v>no aplica</v>
      </c>
      <c r="N1758" s="93">
        <v>41608</v>
      </c>
      <c r="O1758" s="94"/>
      <c r="P1758" s="94"/>
      <c r="Q1758" s="94">
        <v>1589</v>
      </c>
      <c r="R1758" s="95">
        <f t="shared" si="336"/>
        <v>28173.643041208099</v>
      </c>
      <c r="S1758" s="94">
        <v>18436.9676</v>
      </c>
      <c r="T1758" s="94">
        <f t="shared" si="332"/>
        <v>19685.150306520001</v>
      </c>
      <c r="U1758" s="94">
        <f t="shared" si="341"/>
        <v>20817.046449144902</v>
      </c>
      <c r="V1758" s="94">
        <f t="shared" si="342"/>
        <v>21668.463648914927</v>
      </c>
      <c r="W1758" s="97">
        <f t="shared" si="339"/>
        <v>22357.520792950421</v>
      </c>
      <c r="X1758" s="97">
        <f t="shared" si="340"/>
        <v>23207.106583082539</v>
      </c>
      <c r="Y1758" s="97">
        <f t="shared" si="335"/>
        <v>23580.740999070167</v>
      </c>
      <c r="Z1758" s="97">
        <f t="shared" si="337"/>
        <v>24905.97864321791</v>
      </c>
      <c r="AA1758" s="97">
        <f t="shared" si="338"/>
        <v>28173.643041208099</v>
      </c>
    </row>
    <row r="1759" spans="1:27" x14ac:dyDescent="0.25">
      <c r="A1759" s="102" t="s">
        <v>3873</v>
      </c>
      <c r="B1759" s="87" t="s">
        <v>3874</v>
      </c>
      <c r="C1759" s="88" t="s">
        <v>3818</v>
      </c>
      <c r="D1759" s="89" t="s">
        <v>255</v>
      </c>
      <c r="E1759" s="90">
        <f t="shared" si="343"/>
        <v>59778</v>
      </c>
      <c r="F1759" s="90">
        <f t="shared" si="344"/>
        <v>59778.305469982668</v>
      </c>
      <c r="G1759" s="91"/>
      <c r="H1759" s="91"/>
      <c r="I1759" s="91" t="s">
        <v>228</v>
      </c>
      <c r="J1759" s="91"/>
      <c r="K1759" s="91"/>
      <c r="L1759" s="92" t="s">
        <v>302</v>
      </c>
      <c r="M1759" s="91" t="str">
        <f t="shared" si="334"/>
        <v>no aplica</v>
      </c>
      <c r="N1759" s="93">
        <v>41608</v>
      </c>
      <c r="O1759" s="94"/>
      <c r="P1759" s="94"/>
      <c r="Q1759" s="94">
        <v>1590</v>
      </c>
      <c r="R1759" s="95">
        <f t="shared" si="336"/>
        <v>59778.305469982668</v>
      </c>
      <c r="S1759" s="94">
        <v>39119.210800000001</v>
      </c>
      <c r="T1759" s="94">
        <f t="shared" si="332"/>
        <v>41767.581371160006</v>
      </c>
      <c r="U1759" s="94">
        <f t="shared" si="341"/>
        <v>44169.217300001714</v>
      </c>
      <c r="V1759" s="94">
        <f t="shared" si="342"/>
        <v>45975.738287571781</v>
      </c>
      <c r="W1759" s="97">
        <f t="shared" si="339"/>
        <v>47437.766765116568</v>
      </c>
      <c r="X1759" s="97">
        <f t="shared" si="340"/>
        <v>49240.401902190999</v>
      </c>
      <c r="Y1759" s="97">
        <f t="shared" si="335"/>
        <v>50033.172372816276</v>
      </c>
      <c r="Z1759" s="97">
        <f t="shared" si="337"/>
        <v>52845.036660168553</v>
      </c>
      <c r="AA1759" s="97">
        <f t="shared" si="338"/>
        <v>59778.305469982668</v>
      </c>
    </row>
    <row r="1760" spans="1:27" x14ac:dyDescent="0.25">
      <c r="A1760" s="102" t="s">
        <v>3875</v>
      </c>
      <c r="B1760" s="87" t="s">
        <v>3876</v>
      </c>
      <c r="C1760" s="88" t="s">
        <v>3818</v>
      </c>
      <c r="D1760" s="89" t="s">
        <v>255</v>
      </c>
      <c r="E1760" s="90">
        <f t="shared" si="343"/>
        <v>101548</v>
      </c>
      <c r="F1760" s="90">
        <f t="shared" si="344"/>
        <v>101547.71924225389</v>
      </c>
      <c r="G1760" s="91"/>
      <c r="H1760" s="91"/>
      <c r="I1760" s="91" t="s">
        <v>228</v>
      </c>
      <c r="J1760" s="91"/>
      <c r="K1760" s="91"/>
      <c r="L1760" s="92" t="s">
        <v>302</v>
      </c>
      <c r="M1760" s="91" t="str">
        <f t="shared" si="334"/>
        <v>no aplica</v>
      </c>
      <c r="N1760" s="93">
        <v>41608</v>
      </c>
      <c r="O1760" s="94"/>
      <c r="P1760" s="94"/>
      <c r="Q1760" s="94">
        <v>1591</v>
      </c>
      <c r="R1760" s="95">
        <f t="shared" si="336"/>
        <v>101547.71924225389</v>
      </c>
      <c r="S1760" s="94">
        <v>66453.316200000001</v>
      </c>
      <c r="T1760" s="94">
        <f t="shared" si="332"/>
        <v>70952.205706740002</v>
      </c>
      <c r="U1760" s="94">
        <f t="shared" si="341"/>
        <v>75031.957534877554</v>
      </c>
      <c r="V1760" s="94">
        <f t="shared" si="342"/>
        <v>78100.76459805404</v>
      </c>
      <c r="W1760" s="97">
        <f t="shared" si="339"/>
        <v>80584.368912272155</v>
      </c>
      <c r="X1760" s="97">
        <f t="shared" si="340"/>
        <v>83646.574930938499</v>
      </c>
      <c r="Y1760" s="97">
        <f t="shared" si="335"/>
        <v>84993.284787326615</v>
      </c>
      <c r="Z1760" s="97">
        <f t="shared" si="337"/>
        <v>89769.907392374371</v>
      </c>
      <c r="AA1760" s="97">
        <f t="shared" si="338"/>
        <v>101547.71924225389</v>
      </c>
    </row>
    <row r="1761" spans="1:27" x14ac:dyDescent="0.25">
      <c r="A1761" s="102" t="s">
        <v>3877</v>
      </c>
      <c r="B1761" s="87" t="s">
        <v>3878</v>
      </c>
      <c r="C1761" s="88" t="s">
        <v>3818</v>
      </c>
      <c r="D1761" s="89" t="s">
        <v>255</v>
      </c>
      <c r="E1761" s="90">
        <f t="shared" si="343"/>
        <v>159866</v>
      </c>
      <c r="F1761" s="90">
        <f t="shared" si="344"/>
        <v>159865.54462205363</v>
      </c>
      <c r="G1761" s="91"/>
      <c r="H1761" s="91"/>
      <c r="I1761" s="91" t="s">
        <v>228</v>
      </c>
      <c r="J1761" s="91"/>
      <c r="K1761" s="91"/>
      <c r="L1761" s="92" t="s">
        <v>302</v>
      </c>
      <c r="M1761" s="91" t="str">
        <f t="shared" si="334"/>
        <v>no aplica</v>
      </c>
      <c r="N1761" s="93">
        <v>41608</v>
      </c>
      <c r="O1761" s="94"/>
      <c r="P1761" s="94"/>
      <c r="Q1761" s="94">
        <v>1592</v>
      </c>
      <c r="R1761" s="95">
        <f t="shared" si="336"/>
        <v>159865.54462205363</v>
      </c>
      <c r="S1761" s="94">
        <v>104616.7818</v>
      </c>
      <c r="T1761" s="94">
        <f t="shared" si="332"/>
        <v>111699.33792786</v>
      </c>
      <c r="U1761" s="94">
        <f t="shared" si="341"/>
        <v>118122.04985871197</v>
      </c>
      <c r="V1761" s="94">
        <f t="shared" si="342"/>
        <v>122953.24169793328</v>
      </c>
      <c r="W1761" s="97">
        <f t="shared" si="339"/>
        <v>126863.15478392756</v>
      </c>
      <c r="X1761" s="97">
        <f t="shared" si="340"/>
        <v>131683.95466571682</v>
      </c>
      <c r="Y1761" s="97">
        <f t="shared" si="335"/>
        <v>133804.06633583485</v>
      </c>
      <c r="Z1761" s="97">
        <f t="shared" si="337"/>
        <v>141323.85486390878</v>
      </c>
      <c r="AA1761" s="97">
        <f t="shared" si="338"/>
        <v>159865.54462205363</v>
      </c>
    </row>
    <row r="1762" spans="1:27" x14ac:dyDescent="0.25">
      <c r="A1762" s="102" t="s">
        <v>3879</v>
      </c>
      <c r="B1762" s="87" t="s">
        <v>3880</v>
      </c>
      <c r="C1762" s="88" t="s">
        <v>3818</v>
      </c>
      <c r="D1762" s="89" t="s">
        <v>255</v>
      </c>
      <c r="E1762" s="90">
        <f t="shared" si="343"/>
        <v>223683</v>
      </c>
      <c r="F1762" s="90">
        <f t="shared" si="344"/>
        <v>223683.13884471142</v>
      </c>
      <c r="G1762" s="91"/>
      <c r="H1762" s="91"/>
      <c r="I1762" s="91" t="s">
        <v>228</v>
      </c>
      <c r="J1762" s="91"/>
      <c r="K1762" s="91"/>
      <c r="L1762" s="92" t="s">
        <v>302</v>
      </c>
      <c r="M1762" s="91" t="str">
        <f t="shared" si="334"/>
        <v>no aplica</v>
      </c>
      <c r="N1762" s="93">
        <v>41608</v>
      </c>
      <c r="O1762" s="94"/>
      <c r="P1762" s="94"/>
      <c r="Q1762" s="94">
        <v>1593</v>
      </c>
      <c r="R1762" s="95">
        <f t="shared" si="336"/>
        <v>223683.13884471142</v>
      </c>
      <c r="S1762" s="94">
        <v>146379.32259999998</v>
      </c>
      <c r="T1762" s="94">
        <f t="shared" si="332"/>
        <v>156289.20274002</v>
      </c>
      <c r="U1762" s="94">
        <f t="shared" si="341"/>
        <v>165275.83189757116</v>
      </c>
      <c r="V1762" s="94">
        <f t="shared" si="342"/>
        <v>172035.61342218181</v>
      </c>
      <c r="W1762" s="97">
        <f t="shared" si="339"/>
        <v>177506.34592900719</v>
      </c>
      <c r="X1762" s="97">
        <f t="shared" si="340"/>
        <v>184251.58707430947</v>
      </c>
      <c r="Y1762" s="97">
        <f t="shared" si="335"/>
        <v>187218.03762620586</v>
      </c>
      <c r="Z1762" s="97">
        <f t="shared" si="337"/>
        <v>197739.69134079863</v>
      </c>
      <c r="AA1762" s="97">
        <f t="shared" si="338"/>
        <v>223683.13884471142</v>
      </c>
    </row>
    <row r="1763" spans="1:27" x14ac:dyDescent="0.25">
      <c r="A1763" s="102" t="s">
        <v>3881</v>
      </c>
      <c r="B1763" s="87" t="s">
        <v>3882</v>
      </c>
      <c r="C1763" s="88" t="s">
        <v>3818</v>
      </c>
      <c r="D1763" s="89" t="s">
        <v>255</v>
      </c>
      <c r="E1763" s="90">
        <f t="shared" si="343"/>
        <v>277401</v>
      </c>
      <c r="F1763" s="90">
        <f t="shared" si="344"/>
        <v>277400.92715087632</v>
      </c>
      <c r="G1763" s="91"/>
      <c r="H1763" s="91"/>
      <c r="I1763" s="91" t="s">
        <v>228</v>
      </c>
      <c r="J1763" s="91"/>
      <c r="K1763" s="91"/>
      <c r="L1763" s="92" t="s">
        <v>302</v>
      </c>
      <c r="M1763" s="91" t="str">
        <f t="shared" si="334"/>
        <v>no aplica</v>
      </c>
      <c r="N1763" s="93">
        <v>41608</v>
      </c>
      <c r="O1763" s="94"/>
      <c r="P1763" s="94"/>
      <c r="Q1763" s="94">
        <v>1594</v>
      </c>
      <c r="R1763" s="95">
        <f t="shared" si="336"/>
        <v>277400.92715087632</v>
      </c>
      <c r="S1763" s="94">
        <v>181532.5018</v>
      </c>
      <c r="T1763" s="94">
        <f t="shared" si="332"/>
        <v>193822.25217186002</v>
      </c>
      <c r="U1763" s="94">
        <f t="shared" si="341"/>
        <v>204967.03167174198</v>
      </c>
      <c r="V1763" s="94">
        <f t="shared" si="342"/>
        <v>213350.1832671162</v>
      </c>
      <c r="W1763" s="97">
        <f t="shared" si="339"/>
        <v>220134.71909501051</v>
      </c>
      <c r="X1763" s="97">
        <f t="shared" si="340"/>
        <v>228499.83842062092</v>
      </c>
      <c r="Y1763" s="97">
        <f t="shared" si="335"/>
        <v>232178.68581919291</v>
      </c>
      <c r="Z1763" s="97">
        <f t="shared" si="337"/>
        <v>245227.12796223155</v>
      </c>
      <c r="AA1763" s="97">
        <f t="shared" si="338"/>
        <v>277400.92715087632</v>
      </c>
    </row>
    <row r="1764" spans="1:27" x14ac:dyDescent="0.25">
      <c r="A1764" s="102" t="s">
        <v>3883</v>
      </c>
      <c r="B1764" s="87" t="s">
        <v>3884</v>
      </c>
      <c r="C1764" s="88" t="s">
        <v>3818</v>
      </c>
      <c r="D1764" s="89" t="s">
        <v>255</v>
      </c>
      <c r="E1764" s="90">
        <f t="shared" si="343"/>
        <v>364071</v>
      </c>
      <c r="F1764" s="90">
        <f t="shared" si="344"/>
        <v>364071.39150484581</v>
      </c>
      <c r="G1764" s="91"/>
      <c r="H1764" s="91"/>
      <c r="I1764" s="91" t="s">
        <v>228</v>
      </c>
      <c r="J1764" s="91"/>
      <c r="K1764" s="91"/>
      <c r="L1764" s="92" t="s">
        <v>302</v>
      </c>
      <c r="M1764" s="91" t="str">
        <f t="shared" si="334"/>
        <v>no aplica</v>
      </c>
      <c r="N1764" s="93">
        <v>41608</v>
      </c>
      <c r="O1764" s="94"/>
      <c r="P1764" s="94"/>
      <c r="Q1764" s="94">
        <v>1595</v>
      </c>
      <c r="R1764" s="95">
        <f t="shared" si="336"/>
        <v>364071.39150484581</v>
      </c>
      <c r="S1764" s="94">
        <v>238250.07079999999</v>
      </c>
      <c r="T1764" s="94">
        <f t="shared" si="332"/>
        <v>254379.60059315999</v>
      </c>
      <c r="U1764" s="94">
        <f t="shared" si="341"/>
        <v>269006.42762726673</v>
      </c>
      <c r="V1764" s="94">
        <f t="shared" si="342"/>
        <v>280008.7905172219</v>
      </c>
      <c r="W1764" s="97">
        <f t="shared" si="339"/>
        <v>288913.07005566958</v>
      </c>
      <c r="X1764" s="97">
        <f t="shared" si="340"/>
        <v>299891.76671778504</v>
      </c>
      <c r="Y1764" s="97">
        <f t="shared" si="335"/>
        <v>304720.02416194137</v>
      </c>
      <c r="Z1764" s="97">
        <f t="shared" si="337"/>
        <v>321845.28951984248</v>
      </c>
      <c r="AA1764" s="97">
        <f t="shared" si="338"/>
        <v>364071.39150484581</v>
      </c>
    </row>
    <row r="1765" spans="1:27" x14ac:dyDescent="0.25">
      <c r="A1765" s="102" t="s">
        <v>3885</v>
      </c>
      <c r="B1765" s="87" t="s">
        <v>3886</v>
      </c>
      <c r="C1765" s="88" t="s">
        <v>3818</v>
      </c>
      <c r="D1765" s="89" t="s">
        <v>255</v>
      </c>
      <c r="E1765" s="90">
        <f t="shared" si="343"/>
        <v>479505</v>
      </c>
      <c r="F1765" s="90">
        <f t="shared" si="344"/>
        <v>479504.75984747248</v>
      </c>
      <c r="G1765" s="91"/>
      <c r="H1765" s="91"/>
      <c r="I1765" s="91" t="s">
        <v>228</v>
      </c>
      <c r="J1765" s="91"/>
      <c r="K1765" s="91"/>
      <c r="L1765" s="92" t="s">
        <v>302</v>
      </c>
      <c r="M1765" s="91" t="str">
        <f t="shared" si="334"/>
        <v>no aplica</v>
      </c>
      <c r="N1765" s="93">
        <v>41608</v>
      </c>
      <c r="O1765" s="94"/>
      <c r="P1765" s="94"/>
      <c r="Q1765" s="94">
        <v>1596</v>
      </c>
      <c r="R1765" s="95">
        <f t="shared" si="336"/>
        <v>479504.75984747248</v>
      </c>
      <c r="S1765" s="94">
        <v>313790.22259999998</v>
      </c>
      <c r="T1765" s="94">
        <f t="shared" si="332"/>
        <v>335033.82067002001</v>
      </c>
      <c r="U1765" s="94">
        <f t="shared" si="341"/>
        <v>354298.26535854622</v>
      </c>
      <c r="V1765" s="94">
        <f t="shared" si="342"/>
        <v>368789.06441171071</v>
      </c>
      <c r="W1765" s="97">
        <f t="shared" si="339"/>
        <v>380516.55666000315</v>
      </c>
      <c r="X1765" s="97">
        <f t="shared" si="340"/>
        <v>394976.18581308326</v>
      </c>
      <c r="Y1765" s="97">
        <f t="shared" si="335"/>
        <v>401335.30240467389</v>
      </c>
      <c r="Z1765" s="97">
        <f t="shared" si="337"/>
        <v>423890.34639981657</v>
      </c>
      <c r="AA1765" s="97">
        <f t="shared" si="338"/>
        <v>479504.75984747248</v>
      </c>
    </row>
    <row r="1766" spans="1:27" x14ac:dyDescent="0.25">
      <c r="A1766" s="102" t="s">
        <v>3887</v>
      </c>
      <c r="B1766" s="87" t="s">
        <v>3888</v>
      </c>
      <c r="C1766" s="88" t="s">
        <v>3818</v>
      </c>
      <c r="D1766" s="89" t="s">
        <v>255</v>
      </c>
      <c r="E1766" s="90">
        <f t="shared" si="343"/>
        <v>404773</v>
      </c>
      <c r="F1766" s="90">
        <f t="shared" si="344"/>
        <v>404773.16581856686</v>
      </c>
      <c r="G1766" s="91"/>
      <c r="H1766" s="91"/>
      <c r="I1766" s="91" t="s">
        <v>228</v>
      </c>
      <c r="J1766" s="91"/>
      <c r="K1766" s="91"/>
      <c r="L1766" s="92" t="s">
        <v>302</v>
      </c>
      <c r="M1766" s="91" t="str">
        <f t="shared" si="334"/>
        <v>no aplica</v>
      </c>
      <c r="N1766" s="93">
        <v>41608</v>
      </c>
      <c r="O1766" s="94"/>
      <c r="P1766" s="94"/>
      <c r="Q1766" s="94">
        <v>1597</v>
      </c>
      <c r="R1766" s="95">
        <f t="shared" si="336"/>
        <v>404773.16581856686</v>
      </c>
      <c r="S1766" s="94">
        <v>264885.50779999996</v>
      </c>
      <c r="T1766" s="94">
        <f t="shared" si="332"/>
        <v>282818.25667805999</v>
      </c>
      <c r="U1766" s="94">
        <f t="shared" si="341"/>
        <v>299080.30643704848</v>
      </c>
      <c r="V1766" s="94">
        <f t="shared" si="342"/>
        <v>311312.69097032375</v>
      </c>
      <c r="W1766" s="97">
        <f t="shared" si="339"/>
        <v>321212.43454318005</v>
      </c>
      <c r="X1766" s="97">
        <f t="shared" si="340"/>
        <v>333418.5070558209</v>
      </c>
      <c r="Y1766" s="97">
        <f t="shared" si="335"/>
        <v>338786.54501941963</v>
      </c>
      <c r="Z1766" s="97">
        <f t="shared" si="337"/>
        <v>357826.34884951101</v>
      </c>
      <c r="AA1766" s="97">
        <f t="shared" si="338"/>
        <v>404773.16581856686</v>
      </c>
    </row>
    <row r="1767" spans="1:27" x14ac:dyDescent="0.25">
      <c r="A1767" s="102" t="s">
        <v>3889</v>
      </c>
      <c r="B1767" s="87" t="s">
        <v>3890</v>
      </c>
      <c r="C1767" s="88" t="s">
        <v>3818</v>
      </c>
      <c r="D1767" s="89" t="s">
        <v>255</v>
      </c>
      <c r="E1767" s="90">
        <f t="shared" si="343"/>
        <v>200675</v>
      </c>
      <c r="F1767" s="90">
        <f t="shared" si="344"/>
        <v>200675.03330251266</v>
      </c>
      <c r="G1767" s="91"/>
      <c r="H1767" s="91"/>
      <c r="I1767" s="91" t="s">
        <v>228</v>
      </c>
      <c r="J1767" s="91"/>
      <c r="K1767" s="91"/>
      <c r="L1767" s="92" t="s">
        <v>302</v>
      </c>
      <c r="M1767" s="91" t="str">
        <f t="shared" si="334"/>
        <v>no aplica</v>
      </c>
      <c r="N1767" s="93">
        <v>41608</v>
      </c>
      <c r="O1767" s="94"/>
      <c r="P1767" s="94"/>
      <c r="Q1767" s="94">
        <v>1598</v>
      </c>
      <c r="R1767" s="95">
        <f t="shared" si="336"/>
        <v>200675.03330251266</v>
      </c>
      <c r="S1767" s="94">
        <v>131322.70759999999</v>
      </c>
      <c r="T1767" s="94">
        <f t="shared" si="332"/>
        <v>140213.25490452</v>
      </c>
      <c r="U1767" s="94">
        <f t="shared" si="341"/>
        <v>148275.51706152991</v>
      </c>
      <c r="V1767" s="94">
        <f t="shared" si="342"/>
        <v>154339.98570934648</v>
      </c>
      <c r="W1767" s="97">
        <f t="shared" si="339"/>
        <v>159247.99725490372</v>
      </c>
      <c r="X1767" s="97">
        <f t="shared" si="340"/>
        <v>165299.42115059006</v>
      </c>
      <c r="Y1767" s="97">
        <f t="shared" si="335"/>
        <v>167960.74183111457</v>
      </c>
      <c r="Z1767" s="97">
        <f t="shared" si="337"/>
        <v>177400.13552202322</v>
      </c>
      <c r="AA1767" s="97">
        <f t="shared" si="338"/>
        <v>200675.03330251266</v>
      </c>
    </row>
    <row r="1768" spans="1:27" x14ac:dyDescent="0.25">
      <c r="A1768" s="102" t="s">
        <v>3891</v>
      </c>
      <c r="B1768" s="87" t="s">
        <v>3892</v>
      </c>
      <c r="C1768" s="88" t="s">
        <v>3818</v>
      </c>
      <c r="D1768" s="89" t="s">
        <v>255</v>
      </c>
      <c r="E1768" s="90">
        <f t="shared" si="343"/>
        <v>25541</v>
      </c>
      <c r="F1768" s="90">
        <f t="shared" si="344"/>
        <v>25540.977195346873</v>
      </c>
      <c r="G1768" s="91"/>
      <c r="H1768" s="91"/>
      <c r="I1768" s="91" t="s">
        <v>228</v>
      </c>
      <c r="J1768" s="91"/>
      <c r="K1768" s="91"/>
      <c r="L1768" s="92" t="s">
        <v>302</v>
      </c>
      <c r="M1768" s="91" t="str">
        <f t="shared" si="334"/>
        <v>no aplica</v>
      </c>
      <c r="N1768" s="93">
        <v>41608</v>
      </c>
      <c r="O1768" s="94"/>
      <c r="P1768" s="94"/>
      <c r="Q1768" s="94">
        <v>1599</v>
      </c>
      <c r="R1768" s="95">
        <f t="shared" si="336"/>
        <v>25540.977195346873</v>
      </c>
      <c r="S1768" s="94">
        <v>16714.1384</v>
      </c>
      <c r="T1768" s="94">
        <f t="shared" ref="T1768:T1834" si="345">+S1768*1.0677</f>
        <v>17845.685569680001</v>
      </c>
      <c r="U1768" s="94">
        <f t="shared" si="341"/>
        <v>18871.812489936605</v>
      </c>
      <c r="V1768" s="94">
        <f t="shared" si="342"/>
        <v>19643.66962077501</v>
      </c>
      <c r="W1768" s="97">
        <f t="shared" si="339"/>
        <v>20268.338314715656</v>
      </c>
      <c r="X1768" s="97">
        <f t="shared" si="340"/>
        <v>21038.535170674852</v>
      </c>
      <c r="Y1768" s="97">
        <f t="shared" si="335"/>
        <v>21377.255586922718</v>
      </c>
      <c r="Z1768" s="97">
        <f t="shared" si="337"/>
        <v>22578.657350907775</v>
      </c>
      <c r="AA1768" s="97">
        <f t="shared" si="338"/>
        <v>25540.977195346873</v>
      </c>
    </row>
    <row r="1769" spans="1:27" x14ac:dyDescent="0.25">
      <c r="A1769" s="102" t="s">
        <v>3893</v>
      </c>
      <c r="B1769" s="87" t="s">
        <v>3894</v>
      </c>
      <c r="C1769" s="88" t="s">
        <v>3818</v>
      </c>
      <c r="D1769" s="89" t="s">
        <v>255</v>
      </c>
      <c r="E1769" s="90">
        <f t="shared" si="343"/>
        <v>21598</v>
      </c>
      <c r="F1769" s="90">
        <f t="shared" si="344"/>
        <v>21598.314565774908</v>
      </c>
      <c r="G1769" s="91"/>
      <c r="H1769" s="91"/>
      <c r="I1769" s="91" t="s">
        <v>228</v>
      </c>
      <c r="J1769" s="91"/>
      <c r="K1769" s="91"/>
      <c r="L1769" s="92" t="s">
        <v>302</v>
      </c>
      <c r="M1769" s="91" t="str">
        <f t="shared" si="334"/>
        <v>no aplica</v>
      </c>
      <c r="N1769" s="93">
        <v>41608</v>
      </c>
      <c r="O1769" s="94"/>
      <c r="P1769" s="94"/>
      <c r="Q1769" s="94">
        <v>1600</v>
      </c>
      <c r="R1769" s="95">
        <f t="shared" si="336"/>
        <v>21598.314565774908</v>
      </c>
      <c r="S1769" s="94">
        <v>14134.040999999999</v>
      </c>
      <c r="T1769" s="94">
        <f t="shared" si="345"/>
        <v>15090.915575700001</v>
      </c>
      <c r="U1769" s="94">
        <f t="shared" si="341"/>
        <v>15958.643221302753</v>
      </c>
      <c r="V1769" s="94">
        <f t="shared" si="342"/>
        <v>16611.351729054033</v>
      </c>
      <c r="W1769" s="97">
        <f t="shared" si="339"/>
        <v>17139.592714037954</v>
      </c>
      <c r="X1769" s="97">
        <f t="shared" si="340"/>
        <v>17790.897237171397</v>
      </c>
      <c r="Y1769" s="97">
        <f t="shared" si="335"/>
        <v>18077.330682689855</v>
      </c>
      <c r="Z1769" s="97">
        <f t="shared" si="337"/>
        <v>19093.276667057027</v>
      </c>
      <c r="AA1769" s="97">
        <f t="shared" si="338"/>
        <v>21598.314565774908</v>
      </c>
    </row>
    <row r="1770" spans="1:27" x14ac:dyDescent="0.25">
      <c r="A1770" s="102" t="s">
        <v>3895</v>
      </c>
      <c r="B1770" s="87" t="s">
        <v>3896</v>
      </c>
      <c r="C1770" s="88" t="s">
        <v>3818</v>
      </c>
      <c r="D1770" s="89" t="s">
        <v>255</v>
      </c>
      <c r="E1770" s="90">
        <f t="shared" si="343"/>
        <v>13724</v>
      </c>
      <c r="F1770" s="90">
        <f t="shared" si="344"/>
        <v>13724.077550265769</v>
      </c>
      <c r="G1770" s="91"/>
      <c r="H1770" s="91"/>
      <c r="I1770" s="91" t="s">
        <v>228</v>
      </c>
      <c r="J1770" s="91"/>
      <c r="K1770" s="91"/>
      <c r="L1770" s="92" t="s">
        <v>302</v>
      </c>
      <c r="M1770" s="91" t="str">
        <f t="shared" si="334"/>
        <v>no aplica</v>
      </c>
      <c r="N1770" s="93">
        <v>41608</v>
      </c>
      <c r="O1770" s="94"/>
      <c r="P1770" s="94"/>
      <c r="Q1770" s="94">
        <v>1601</v>
      </c>
      <c r="R1770" s="95">
        <f t="shared" si="336"/>
        <v>13724.077550265769</v>
      </c>
      <c r="S1770" s="94">
        <v>8981.1023999999998</v>
      </c>
      <c r="T1770" s="94">
        <f t="shared" si="345"/>
        <v>9589.1230324799999</v>
      </c>
      <c r="U1770" s="94">
        <f t="shared" si="341"/>
        <v>10140.497606847601</v>
      </c>
      <c r="V1770" s="94">
        <f t="shared" si="342"/>
        <v>10555.243958967667</v>
      </c>
      <c r="W1770" s="97">
        <f t="shared" si="339"/>
        <v>10890.90071686284</v>
      </c>
      <c r="X1770" s="97">
        <f t="shared" si="340"/>
        <v>11304.754944103628</v>
      </c>
      <c r="Y1770" s="97">
        <f t="shared" si="335"/>
        <v>11486.761498703696</v>
      </c>
      <c r="Z1770" s="97">
        <f t="shared" si="337"/>
        <v>12132.317494930843</v>
      </c>
      <c r="AA1770" s="97">
        <f t="shared" si="338"/>
        <v>13724.077550265769</v>
      </c>
    </row>
    <row r="1771" spans="1:27" x14ac:dyDescent="0.25">
      <c r="A1771" s="102" t="s">
        <v>3897</v>
      </c>
      <c r="B1771" s="87" t="s">
        <v>3898</v>
      </c>
      <c r="C1771" s="88" t="s">
        <v>3818</v>
      </c>
      <c r="D1771" s="89" t="s">
        <v>262</v>
      </c>
      <c r="E1771" s="90">
        <f t="shared" si="343"/>
        <v>1393269</v>
      </c>
      <c r="F1771" s="90">
        <f t="shared" si="344"/>
        <v>1393269.4934080408</v>
      </c>
      <c r="G1771" s="91"/>
      <c r="H1771" s="91"/>
      <c r="I1771" s="91" t="s">
        <v>228</v>
      </c>
      <c r="J1771" s="91"/>
      <c r="K1771" s="91"/>
      <c r="L1771" s="92" t="s">
        <v>302</v>
      </c>
      <c r="M1771" s="91" t="str">
        <f t="shared" si="334"/>
        <v>no aplica</v>
      </c>
      <c r="N1771" s="93">
        <v>41608</v>
      </c>
      <c r="O1771" s="94"/>
      <c r="P1771" s="94"/>
      <c r="Q1771" s="94">
        <v>1602</v>
      </c>
      <c r="R1771" s="95">
        <f t="shared" si="336"/>
        <v>1393269.4934080408</v>
      </c>
      <c r="S1771" s="94">
        <v>911762.26199999999</v>
      </c>
      <c r="T1771" s="94">
        <f t="shared" si="345"/>
        <v>973488.56713740004</v>
      </c>
      <c r="U1771" s="94">
        <f t="shared" si="341"/>
        <v>1029464.1597478007</v>
      </c>
      <c r="V1771" s="94">
        <f t="shared" si="342"/>
        <v>1071569.2438814857</v>
      </c>
      <c r="W1771" s="97">
        <f t="shared" si="339"/>
        <v>1105645.145836917</v>
      </c>
      <c r="X1771" s="97">
        <f t="shared" si="340"/>
        <v>1147659.6613787198</v>
      </c>
      <c r="Y1771" s="97">
        <f t="shared" si="335"/>
        <v>1166136.9819269173</v>
      </c>
      <c r="Z1771" s="97">
        <f t="shared" si="337"/>
        <v>1231673.8803112102</v>
      </c>
      <c r="AA1771" s="97">
        <f t="shared" si="338"/>
        <v>1393269.4934080408</v>
      </c>
    </row>
    <row r="1772" spans="1:27" x14ac:dyDescent="0.25">
      <c r="A1772" s="102" t="s">
        <v>3899</v>
      </c>
      <c r="B1772" s="87" t="s">
        <v>3900</v>
      </c>
      <c r="C1772" s="88" t="s">
        <v>3818</v>
      </c>
      <c r="D1772" s="89" t="s">
        <v>262</v>
      </c>
      <c r="E1772" s="90">
        <f t="shared" si="343"/>
        <v>772293</v>
      </c>
      <c r="F1772" s="90">
        <f t="shared" si="344"/>
        <v>772293.00109383371</v>
      </c>
      <c r="G1772" s="91"/>
      <c r="H1772" s="91"/>
      <c r="I1772" s="91" t="s">
        <v>228</v>
      </c>
      <c r="J1772" s="91"/>
      <c r="K1772" s="91"/>
      <c r="L1772" s="92" t="s">
        <v>302</v>
      </c>
      <c r="M1772" s="91" t="str">
        <f t="shared" si="334"/>
        <v>no aplica</v>
      </c>
      <c r="N1772" s="93">
        <v>41608</v>
      </c>
      <c r="O1772" s="94"/>
      <c r="P1772" s="94"/>
      <c r="Q1772" s="94">
        <v>1603</v>
      </c>
      <c r="R1772" s="95">
        <f t="shared" si="336"/>
        <v>772293.00109383371</v>
      </c>
      <c r="S1772" s="94">
        <v>505392.25679999997</v>
      </c>
      <c r="T1772" s="94">
        <f t="shared" si="345"/>
        <v>539607.31258536002</v>
      </c>
      <c r="U1772" s="94">
        <f t="shared" si="341"/>
        <v>570634.73305901827</v>
      </c>
      <c r="V1772" s="94">
        <f t="shared" si="342"/>
        <v>593973.69364113209</v>
      </c>
      <c r="W1772" s="97">
        <f t="shared" si="339"/>
        <v>612862.05709892011</v>
      </c>
      <c r="X1772" s="97">
        <f t="shared" si="340"/>
        <v>636150.81526867906</v>
      </c>
      <c r="Y1772" s="97">
        <f t="shared" si="335"/>
        <v>646392.84339450474</v>
      </c>
      <c r="Z1772" s="97">
        <f t="shared" si="337"/>
        <v>682720.1211932759</v>
      </c>
      <c r="AA1772" s="97">
        <f t="shared" si="338"/>
        <v>772293.00109383371</v>
      </c>
    </row>
    <row r="1773" spans="1:27" x14ac:dyDescent="0.25">
      <c r="A1773" s="102" t="s">
        <v>3901</v>
      </c>
      <c r="B1773" s="87" t="s">
        <v>3902</v>
      </c>
      <c r="C1773" s="88" t="s">
        <v>3818</v>
      </c>
      <c r="D1773" s="89" t="s">
        <v>262</v>
      </c>
      <c r="E1773" s="90">
        <f t="shared" si="343"/>
        <v>595344</v>
      </c>
      <c r="F1773" s="90">
        <f t="shared" si="344"/>
        <v>595343.64110017172</v>
      </c>
      <c r="G1773" s="91"/>
      <c r="H1773" s="91"/>
      <c r="I1773" s="91" t="s">
        <v>228</v>
      </c>
      <c r="J1773" s="91"/>
      <c r="K1773" s="91"/>
      <c r="L1773" s="92" t="s">
        <v>302</v>
      </c>
      <c r="M1773" s="91" t="str">
        <f t="shared" si="334"/>
        <v>no aplica</v>
      </c>
      <c r="N1773" s="93">
        <v>41608</v>
      </c>
      <c r="O1773" s="94"/>
      <c r="P1773" s="94"/>
      <c r="Q1773" s="94">
        <v>1604</v>
      </c>
      <c r="R1773" s="95">
        <f t="shared" si="336"/>
        <v>595343.64110017172</v>
      </c>
      <c r="S1773" s="94">
        <v>389595.74400000001</v>
      </c>
      <c r="T1773" s="94">
        <f t="shared" si="345"/>
        <v>415971.37586880004</v>
      </c>
      <c r="U1773" s="94">
        <f t="shared" si="341"/>
        <v>439889.72998125607</v>
      </c>
      <c r="V1773" s="94">
        <f t="shared" si="342"/>
        <v>457881.21993748943</v>
      </c>
      <c r="W1773" s="97">
        <f t="shared" si="339"/>
        <v>472441.84273150162</v>
      </c>
      <c r="X1773" s="97">
        <f t="shared" si="340"/>
        <v>490394.63275529869</v>
      </c>
      <c r="Y1773" s="97">
        <f t="shared" si="335"/>
        <v>498289.98634265899</v>
      </c>
      <c r="Z1773" s="97">
        <f t="shared" si="337"/>
        <v>526293.8835751164</v>
      </c>
      <c r="AA1773" s="97">
        <f t="shared" si="338"/>
        <v>595343.64110017172</v>
      </c>
    </row>
    <row r="1774" spans="1:27" x14ac:dyDescent="0.25">
      <c r="A1774" s="102" t="s">
        <v>3903</v>
      </c>
      <c r="B1774" s="87" t="s">
        <v>3904</v>
      </c>
      <c r="C1774" s="88" t="s">
        <v>3818</v>
      </c>
      <c r="D1774" s="89" t="s">
        <v>262</v>
      </c>
      <c r="E1774" s="90">
        <f t="shared" si="343"/>
        <v>2288766</v>
      </c>
      <c r="F1774" s="90">
        <f t="shared" si="344"/>
        <v>2288765.5535628819</v>
      </c>
      <c r="G1774" s="91"/>
      <c r="H1774" s="91"/>
      <c r="I1774" s="91" t="s">
        <v>228</v>
      </c>
      <c r="J1774" s="91"/>
      <c r="K1774" s="91"/>
      <c r="L1774" s="92" t="s">
        <v>302</v>
      </c>
      <c r="M1774" s="91" t="str">
        <f t="shared" si="334"/>
        <v>no aplica</v>
      </c>
      <c r="N1774" s="93">
        <v>41608</v>
      </c>
      <c r="O1774" s="94"/>
      <c r="P1774" s="94"/>
      <c r="Q1774" s="94">
        <v>1605</v>
      </c>
      <c r="R1774" s="95">
        <f t="shared" si="336"/>
        <v>2288765.5535628819</v>
      </c>
      <c r="S1774" s="94">
        <v>1497779.1935999999</v>
      </c>
      <c r="T1774" s="94">
        <f t="shared" si="345"/>
        <v>1599178.8450067199</v>
      </c>
      <c r="U1774" s="94">
        <f t="shared" si="341"/>
        <v>1691131.6285946064</v>
      </c>
      <c r="V1774" s="94">
        <f t="shared" si="342"/>
        <v>1760298.9122041257</v>
      </c>
      <c r="W1774" s="97">
        <f t="shared" si="339"/>
        <v>1816276.4176122169</v>
      </c>
      <c r="X1774" s="97">
        <f t="shared" si="340"/>
        <v>1885294.9214814813</v>
      </c>
      <c r="Y1774" s="97">
        <f t="shared" si="335"/>
        <v>1915648.169717333</v>
      </c>
      <c r="Z1774" s="97">
        <f t="shared" si="337"/>
        <v>2023307.5968554472</v>
      </c>
      <c r="AA1774" s="97">
        <f t="shared" si="338"/>
        <v>2288765.5535628819</v>
      </c>
    </row>
    <row r="1775" spans="1:27" x14ac:dyDescent="0.25">
      <c r="A1775" s="102" t="s">
        <v>3905</v>
      </c>
      <c r="B1775" s="87" t="s">
        <v>3906</v>
      </c>
      <c r="C1775" s="88" t="s">
        <v>3818</v>
      </c>
      <c r="D1775" s="89" t="s">
        <v>262</v>
      </c>
      <c r="E1775" s="90">
        <f t="shared" si="343"/>
        <v>1630580</v>
      </c>
      <c r="F1775" s="90">
        <f t="shared" si="344"/>
        <v>1630580.0836799149</v>
      </c>
      <c r="G1775" s="91"/>
      <c r="H1775" s="91"/>
      <c r="I1775" s="91" t="s">
        <v>228</v>
      </c>
      <c r="J1775" s="91"/>
      <c r="K1775" s="91"/>
      <c r="L1775" s="92" t="s">
        <v>302</v>
      </c>
      <c r="M1775" s="91" t="str">
        <f t="shared" si="334"/>
        <v>no aplica</v>
      </c>
      <c r="N1775" s="93">
        <v>41608</v>
      </c>
      <c r="O1775" s="94"/>
      <c r="P1775" s="94"/>
      <c r="Q1775" s="94">
        <v>1606</v>
      </c>
      <c r="R1775" s="95">
        <f t="shared" si="336"/>
        <v>1630580.0836799149</v>
      </c>
      <c r="S1775" s="94">
        <v>1067059.4543999999</v>
      </c>
      <c r="T1775" s="94">
        <f t="shared" si="345"/>
        <v>1139299.3794628801</v>
      </c>
      <c r="U1775" s="94">
        <f t="shared" si="341"/>
        <v>1204809.0937819958</v>
      </c>
      <c r="V1775" s="94">
        <f t="shared" si="342"/>
        <v>1254085.7857176794</v>
      </c>
      <c r="W1775" s="97">
        <f t="shared" si="339"/>
        <v>1293965.7137035017</v>
      </c>
      <c r="X1775" s="97">
        <f t="shared" si="340"/>
        <v>1343136.4108242348</v>
      </c>
      <c r="Y1775" s="97">
        <f t="shared" si="335"/>
        <v>1364760.907038505</v>
      </c>
      <c r="Z1775" s="97">
        <f t="shared" si="337"/>
        <v>1441460.470014069</v>
      </c>
      <c r="AA1775" s="97">
        <f t="shared" si="338"/>
        <v>1630580.0836799149</v>
      </c>
    </row>
    <row r="1776" spans="1:27" x14ac:dyDescent="0.25">
      <c r="A1776" s="102" t="s">
        <v>3907</v>
      </c>
      <c r="B1776" s="87" t="s">
        <v>3908</v>
      </c>
      <c r="C1776" s="88" t="s">
        <v>3818</v>
      </c>
      <c r="D1776" s="89" t="s">
        <v>262</v>
      </c>
      <c r="E1776" s="90">
        <f t="shared" si="343"/>
        <v>871517</v>
      </c>
      <c r="F1776" s="90">
        <f t="shared" si="344"/>
        <v>871516.9412771957</v>
      </c>
      <c r="G1776" s="91"/>
      <c r="H1776" s="91"/>
      <c r="I1776" s="91" t="s">
        <v>228</v>
      </c>
      <c r="J1776" s="91"/>
      <c r="K1776" s="91"/>
      <c r="L1776" s="92" t="s">
        <v>302</v>
      </c>
      <c r="M1776" s="91" t="str">
        <f t="shared" si="334"/>
        <v>no aplica</v>
      </c>
      <c r="N1776" s="93">
        <v>41608</v>
      </c>
      <c r="O1776" s="94"/>
      <c r="P1776" s="94"/>
      <c r="Q1776" s="94">
        <v>1607</v>
      </c>
      <c r="R1776" s="95">
        <f t="shared" si="336"/>
        <v>871516.9412771957</v>
      </c>
      <c r="S1776" s="94">
        <v>570324.88079999993</v>
      </c>
      <c r="T1776" s="94">
        <f t="shared" si="345"/>
        <v>608935.87523015996</v>
      </c>
      <c r="U1776" s="94">
        <f t="shared" si="341"/>
        <v>643949.68805589422</v>
      </c>
      <c r="V1776" s="94">
        <f t="shared" si="342"/>
        <v>670287.23029738024</v>
      </c>
      <c r="W1776" s="97">
        <f t="shared" si="339"/>
        <v>691602.36422083701</v>
      </c>
      <c r="X1776" s="97">
        <f t="shared" si="340"/>
        <v>717883.25406122883</v>
      </c>
      <c r="Y1776" s="97">
        <f t="shared" si="335"/>
        <v>729441.17445161461</v>
      </c>
      <c r="Z1776" s="97">
        <f t="shared" si="337"/>
        <v>770435.76845579536</v>
      </c>
      <c r="AA1776" s="97">
        <f t="shared" si="338"/>
        <v>871516.9412771957</v>
      </c>
    </row>
    <row r="1777" spans="1:27" x14ac:dyDescent="0.25">
      <c r="A1777" s="102" t="s">
        <v>3909</v>
      </c>
      <c r="B1777" s="87" t="s">
        <v>3910</v>
      </c>
      <c r="C1777" s="88" t="s">
        <v>3818</v>
      </c>
      <c r="D1777" s="89" t="s">
        <v>262</v>
      </c>
      <c r="E1777" s="90">
        <f t="shared" si="343"/>
        <v>698702</v>
      </c>
      <c r="F1777" s="90">
        <f t="shared" si="344"/>
        <v>698701.9121245069</v>
      </c>
      <c r="G1777" s="91"/>
      <c r="H1777" s="91"/>
      <c r="I1777" s="91" t="s">
        <v>228</v>
      </c>
      <c r="J1777" s="91"/>
      <c r="K1777" s="91"/>
      <c r="L1777" s="92" t="s">
        <v>302</v>
      </c>
      <c r="M1777" s="91" t="str">
        <f t="shared" si="334"/>
        <v>no aplica</v>
      </c>
      <c r="N1777" s="93">
        <v>41608</v>
      </c>
      <c r="O1777" s="94"/>
      <c r="P1777" s="94"/>
      <c r="Q1777" s="94">
        <v>1608</v>
      </c>
      <c r="R1777" s="95">
        <f t="shared" si="336"/>
        <v>698701.9121245069</v>
      </c>
      <c r="S1777" s="94">
        <v>457233.89399999997</v>
      </c>
      <c r="T1777" s="94">
        <f t="shared" si="345"/>
        <v>488188.6286238</v>
      </c>
      <c r="U1777" s="94">
        <f t="shared" si="341"/>
        <v>516259.47476966854</v>
      </c>
      <c r="V1777" s="94">
        <f t="shared" si="342"/>
        <v>537374.48728774791</v>
      </c>
      <c r="W1777" s="97">
        <f t="shared" si="339"/>
        <v>554462.99598349829</v>
      </c>
      <c r="X1777" s="97">
        <f t="shared" si="340"/>
        <v>575532.58983087121</v>
      </c>
      <c r="Y1777" s="97">
        <f t="shared" si="335"/>
        <v>584798.66452714824</v>
      </c>
      <c r="Z1777" s="97">
        <f t="shared" si="337"/>
        <v>617664.34947357397</v>
      </c>
      <c r="AA1777" s="97">
        <f t="shared" si="338"/>
        <v>698701.9121245069</v>
      </c>
    </row>
    <row r="1778" spans="1:27" x14ac:dyDescent="0.25">
      <c r="A1778" s="102" t="s">
        <v>3911</v>
      </c>
      <c r="B1778" s="87" t="s">
        <v>3912</v>
      </c>
      <c r="C1778" s="88" t="s">
        <v>3818</v>
      </c>
      <c r="D1778" s="89" t="s">
        <v>262</v>
      </c>
      <c r="E1778" s="90">
        <f t="shared" si="343"/>
        <v>463872</v>
      </c>
      <c r="F1778" s="90">
        <f t="shared" si="344"/>
        <v>463871.92035721708</v>
      </c>
      <c r="G1778" s="91"/>
      <c r="H1778" s="91"/>
      <c r="I1778" s="91" t="s">
        <v>228</v>
      </c>
      <c r="J1778" s="91"/>
      <c r="K1778" s="91"/>
      <c r="L1778" s="92" t="s">
        <v>302</v>
      </c>
      <c r="M1778" s="91" t="str">
        <f t="shared" si="334"/>
        <v>no aplica</v>
      </c>
      <c r="N1778" s="93">
        <v>41608</v>
      </c>
      <c r="O1778" s="94"/>
      <c r="P1778" s="94"/>
      <c r="Q1778" s="94">
        <v>1609</v>
      </c>
      <c r="R1778" s="95">
        <f t="shared" si="336"/>
        <v>463871.92035721708</v>
      </c>
      <c r="S1778" s="94">
        <v>303560.0172</v>
      </c>
      <c r="T1778" s="94">
        <f t="shared" si="345"/>
        <v>324111.03036444006</v>
      </c>
      <c r="U1778" s="94">
        <f t="shared" si="341"/>
        <v>342747.41461039538</v>
      </c>
      <c r="V1778" s="94">
        <f t="shared" si="342"/>
        <v>356765.7838679605</v>
      </c>
      <c r="W1778" s="97">
        <f t="shared" si="339"/>
        <v>368110.93579496164</v>
      </c>
      <c r="X1778" s="97">
        <f t="shared" si="340"/>
        <v>382099.15135517018</v>
      </c>
      <c r="Y1778" s="97">
        <f t="shared" si="335"/>
        <v>388250.94769198843</v>
      </c>
      <c r="Z1778" s="97">
        <f t="shared" si="337"/>
        <v>410070.65095227817</v>
      </c>
      <c r="AA1778" s="97">
        <f t="shared" si="338"/>
        <v>463871.92035721708</v>
      </c>
    </row>
    <row r="1779" spans="1:27" x14ac:dyDescent="0.25">
      <c r="A1779" s="102" t="s">
        <v>3913</v>
      </c>
      <c r="B1779" s="87" t="s">
        <v>3914</v>
      </c>
      <c r="C1779" s="88" t="s">
        <v>3818</v>
      </c>
      <c r="D1779" s="89" t="s">
        <v>262</v>
      </c>
      <c r="E1779" s="90">
        <f t="shared" si="343"/>
        <v>3673766</v>
      </c>
      <c r="F1779" s="90">
        <f t="shared" si="344"/>
        <v>3673766.3852889766</v>
      </c>
      <c r="G1779" s="91"/>
      <c r="H1779" s="91"/>
      <c r="I1779" s="91" t="s">
        <v>228</v>
      </c>
      <c r="J1779" s="91"/>
      <c r="K1779" s="91"/>
      <c r="L1779" s="92" t="s">
        <v>302</v>
      </c>
      <c r="M1779" s="91" t="str">
        <f t="shared" si="334"/>
        <v>no aplica</v>
      </c>
      <c r="N1779" s="93">
        <v>41608</v>
      </c>
      <c r="O1779" s="94"/>
      <c r="P1779" s="94"/>
      <c r="Q1779" s="94">
        <v>1610</v>
      </c>
      <c r="R1779" s="95">
        <f t="shared" si="336"/>
        <v>3673766.3852889766</v>
      </c>
      <c r="S1779" s="94">
        <v>2404130.4035999998</v>
      </c>
      <c r="T1779" s="94">
        <f t="shared" si="345"/>
        <v>2566890.0319237201</v>
      </c>
      <c r="U1779" s="94">
        <f t="shared" si="341"/>
        <v>2714486.2087593344</v>
      </c>
      <c r="V1779" s="94">
        <f t="shared" si="342"/>
        <v>2825508.694697591</v>
      </c>
      <c r="W1779" s="97">
        <f t="shared" si="339"/>
        <v>2915359.8711889745</v>
      </c>
      <c r="X1779" s="97">
        <f t="shared" si="340"/>
        <v>3026143.5462941555</v>
      </c>
      <c r="Y1779" s="97">
        <f t="shared" si="335"/>
        <v>3074864.4573894916</v>
      </c>
      <c r="Z1779" s="97">
        <f t="shared" si="337"/>
        <v>3247671.8398947814</v>
      </c>
      <c r="AA1779" s="97">
        <f t="shared" si="338"/>
        <v>3673766.3852889766</v>
      </c>
    </row>
    <row r="1780" spans="1:27" x14ac:dyDescent="0.25">
      <c r="A1780" s="102" t="s">
        <v>3915</v>
      </c>
      <c r="B1780" s="98" t="s">
        <v>3916</v>
      </c>
      <c r="C1780" s="99" t="s">
        <v>3818</v>
      </c>
      <c r="D1780" s="100" t="s">
        <v>262</v>
      </c>
      <c r="E1780" s="101">
        <f t="shared" si="343"/>
        <v>2498790</v>
      </c>
      <c r="F1780" s="90">
        <f t="shared" si="344"/>
        <v>2498789.5602843319</v>
      </c>
      <c r="G1780" s="91"/>
      <c r="H1780" s="91"/>
      <c r="I1780" s="91" t="s">
        <v>228</v>
      </c>
      <c r="J1780" s="91"/>
      <c r="K1780" s="91"/>
      <c r="L1780" s="92" t="s">
        <v>302</v>
      </c>
      <c r="M1780" s="91" t="str">
        <f t="shared" si="334"/>
        <v>no aplica</v>
      </c>
      <c r="N1780" s="93">
        <v>41608</v>
      </c>
      <c r="O1780" s="94"/>
      <c r="P1780" s="94"/>
      <c r="Q1780" s="94">
        <v>1611</v>
      </c>
      <c r="R1780" s="95">
        <f t="shared" si="336"/>
        <v>2498789.5602843319</v>
      </c>
      <c r="S1780" s="94">
        <v>1635219.9143999999</v>
      </c>
      <c r="T1780" s="94">
        <f t="shared" si="345"/>
        <v>1745924.30260488</v>
      </c>
      <c r="U1780" s="94">
        <f t="shared" si="341"/>
        <v>1846314.9500046608</v>
      </c>
      <c r="V1780" s="94">
        <f t="shared" si="342"/>
        <v>1921829.2314598514</v>
      </c>
      <c r="W1780" s="97">
        <f t="shared" si="339"/>
        <v>1982943.4010202747</v>
      </c>
      <c r="X1780" s="97">
        <f t="shared" si="340"/>
        <v>2058295.2502590453</v>
      </c>
      <c r="Y1780" s="97">
        <f t="shared" si="335"/>
        <v>2091433.8037882159</v>
      </c>
      <c r="Z1780" s="97">
        <f t="shared" si="337"/>
        <v>2208972.3835611138</v>
      </c>
      <c r="AA1780" s="97">
        <f t="shared" si="338"/>
        <v>2498789.5602843319</v>
      </c>
    </row>
    <row r="1781" spans="1:27" x14ac:dyDescent="0.25">
      <c r="A1781" s="86" t="s">
        <v>3917</v>
      </c>
      <c r="B1781" s="98" t="s">
        <v>3918</v>
      </c>
      <c r="C1781" s="99" t="s">
        <v>3818</v>
      </c>
      <c r="D1781" s="100" t="s">
        <v>262</v>
      </c>
      <c r="E1781" s="101">
        <f>+ROUND(F1781*(1+G1781),0)</f>
        <v>2498789</v>
      </c>
      <c r="F1781" s="101">
        <f>+R1781</f>
        <v>2498789.2593369582</v>
      </c>
      <c r="G1781" s="103"/>
      <c r="H1781" s="103"/>
      <c r="I1781" s="103" t="s">
        <v>228</v>
      </c>
      <c r="J1781" s="103"/>
      <c r="K1781" s="103"/>
      <c r="L1781" s="150" t="s">
        <v>302</v>
      </c>
      <c r="M1781" s="91"/>
      <c r="N1781" s="93"/>
      <c r="O1781" s="94"/>
      <c r="P1781" s="94"/>
      <c r="Q1781" s="94"/>
      <c r="R1781" s="95">
        <f t="shared" si="336"/>
        <v>2498789.2593369582</v>
      </c>
      <c r="S1781" s="94"/>
      <c r="T1781" s="94"/>
      <c r="U1781" s="94"/>
      <c r="V1781" s="101">
        <v>1921829</v>
      </c>
      <c r="W1781" s="97">
        <f t="shared" si="339"/>
        <v>1982943.1622000001</v>
      </c>
      <c r="X1781" s="97">
        <f t="shared" si="340"/>
        <v>2058295.0023636003</v>
      </c>
      <c r="Y1781" s="97">
        <f t="shared" si="335"/>
        <v>2091433.5519016543</v>
      </c>
      <c r="Z1781" s="97">
        <f t="shared" si="337"/>
        <v>2208972.1175185274</v>
      </c>
      <c r="AA1781" s="97">
        <f t="shared" si="338"/>
        <v>2498789.2593369582</v>
      </c>
    </row>
    <row r="1782" spans="1:27" x14ac:dyDescent="0.25">
      <c r="A1782" s="86" t="s">
        <v>3919</v>
      </c>
      <c r="B1782" s="98" t="s">
        <v>3920</v>
      </c>
      <c r="C1782" s="99" t="s">
        <v>3818</v>
      </c>
      <c r="D1782" s="100" t="s">
        <v>262</v>
      </c>
      <c r="E1782" s="101">
        <f>+ROUND(F1782*(1+G1782),0)</f>
        <v>3673767</v>
      </c>
      <c r="F1782" s="101">
        <f>+R1782</f>
        <v>3673766.7822474884</v>
      </c>
      <c r="G1782" s="103"/>
      <c r="H1782" s="103"/>
      <c r="I1782" s="103" t="s">
        <v>228</v>
      </c>
      <c r="J1782" s="103"/>
      <c r="K1782" s="103"/>
      <c r="L1782" s="150" t="s">
        <v>302</v>
      </c>
      <c r="M1782" s="91"/>
      <c r="N1782" s="93"/>
      <c r="O1782" s="94"/>
      <c r="P1782" s="94"/>
      <c r="Q1782" s="94"/>
      <c r="R1782" s="95">
        <f t="shared" si="336"/>
        <v>3673766.7822474884</v>
      </c>
      <c r="S1782" s="94"/>
      <c r="T1782" s="94"/>
      <c r="U1782" s="94"/>
      <c r="V1782" s="101">
        <v>2825509</v>
      </c>
      <c r="W1782" s="97">
        <f t="shared" si="339"/>
        <v>2915360.1862000003</v>
      </c>
      <c r="X1782" s="97">
        <f t="shared" si="340"/>
        <v>3026143.8732756004</v>
      </c>
      <c r="Y1782" s="97">
        <f t="shared" si="335"/>
        <v>3074864.7896353374</v>
      </c>
      <c r="Z1782" s="97">
        <f t="shared" si="337"/>
        <v>3247672.1908128434</v>
      </c>
      <c r="AA1782" s="97">
        <f t="shared" si="338"/>
        <v>3673766.7822474884</v>
      </c>
    </row>
    <row r="1783" spans="1:27" x14ac:dyDescent="0.25">
      <c r="A1783" s="102" t="s">
        <v>3921</v>
      </c>
      <c r="B1783" s="87" t="s">
        <v>3922</v>
      </c>
      <c r="C1783" s="88" t="s">
        <v>3818</v>
      </c>
      <c r="D1783" s="89" t="s">
        <v>262</v>
      </c>
      <c r="E1783" s="90">
        <f t="shared" si="343"/>
        <v>150673</v>
      </c>
      <c r="F1783" s="90">
        <f t="shared" si="344"/>
        <v>150673.39064880888</v>
      </c>
      <c r="G1783" s="91"/>
      <c r="H1783" s="91"/>
      <c r="I1783" s="91" t="s">
        <v>228</v>
      </c>
      <c r="J1783" s="91"/>
      <c r="K1783" s="91"/>
      <c r="L1783" s="92" t="s">
        <v>302</v>
      </c>
      <c r="M1783" s="91" t="str">
        <f t="shared" si="334"/>
        <v>no aplica</v>
      </c>
      <c r="N1783" s="93">
        <v>41608</v>
      </c>
      <c r="O1783" s="94"/>
      <c r="P1783" s="94"/>
      <c r="Q1783" s="94">
        <v>1612</v>
      </c>
      <c r="R1783" s="95">
        <f t="shared" si="336"/>
        <v>150673.39064880888</v>
      </c>
      <c r="S1783" s="94">
        <v>98601.391999999993</v>
      </c>
      <c r="T1783" s="94">
        <f t="shared" si="345"/>
        <v>105276.7062384</v>
      </c>
      <c r="U1783" s="94">
        <f t="shared" si="341"/>
        <v>111330.11684710802</v>
      </c>
      <c r="V1783" s="94">
        <f t="shared" si="342"/>
        <v>115883.51862615472</v>
      </c>
      <c r="W1783" s="97">
        <f t="shared" si="339"/>
        <v>119568.61451846645</v>
      </c>
      <c r="X1783" s="97">
        <f t="shared" si="340"/>
        <v>124112.22187016818</v>
      </c>
      <c r="Y1783" s="97">
        <f t="shared" si="335"/>
        <v>126110.4286422779</v>
      </c>
      <c r="Z1783" s="97">
        <f t="shared" si="337"/>
        <v>133197.83473197391</v>
      </c>
      <c r="AA1783" s="97">
        <f t="shared" si="338"/>
        <v>150673.39064880888</v>
      </c>
    </row>
    <row r="1784" spans="1:27" x14ac:dyDescent="0.25">
      <c r="A1784" s="102" t="s">
        <v>3923</v>
      </c>
      <c r="B1784" s="87" t="s">
        <v>3924</v>
      </c>
      <c r="C1784" s="88" t="s">
        <v>3818</v>
      </c>
      <c r="D1784" s="89" t="s">
        <v>262</v>
      </c>
      <c r="E1784" s="90">
        <f t="shared" si="343"/>
        <v>76255</v>
      </c>
      <c r="F1784" s="90">
        <f t="shared" si="344"/>
        <v>76255.435511287433</v>
      </c>
      <c r="G1784" s="91"/>
      <c r="H1784" s="91"/>
      <c r="I1784" s="91" t="s">
        <v>228</v>
      </c>
      <c r="J1784" s="91"/>
      <c r="K1784" s="91"/>
      <c r="L1784" s="92" t="s">
        <v>302</v>
      </c>
      <c r="M1784" s="91" t="str">
        <f t="shared" si="334"/>
        <v>no aplica</v>
      </c>
      <c r="N1784" s="93">
        <v>41608</v>
      </c>
      <c r="O1784" s="94"/>
      <c r="P1784" s="94"/>
      <c r="Q1784" s="94">
        <v>1613</v>
      </c>
      <c r="R1784" s="95">
        <f t="shared" si="336"/>
        <v>76255.435511287433</v>
      </c>
      <c r="S1784" s="94">
        <v>49901.923999999999</v>
      </c>
      <c r="T1784" s="94">
        <f t="shared" si="345"/>
        <v>53280.284254800004</v>
      </c>
      <c r="U1784" s="94">
        <f t="shared" si="341"/>
        <v>56343.900599451008</v>
      </c>
      <c r="V1784" s="94">
        <f t="shared" si="342"/>
        <v>58648.36613396855</v>
      </c>
      <c r="W1784" s="97">
        <f t="shared" si="339"/>
        <v>60513.384177028754</v>
      </c>
      <c r="X1784" s="97">
        <f t="shared" si="340"/>
        <v>62812.892775755849</v>
      </c>
      <c r="Y1784" s="97">
        <f t="shared" si="335"/>
        <v>63824.180349445516</v>
      </c>
      <c r="Z1784" s="97">
        <f t="shared" si="337"/>
        <v>67411.099285084361</v>
      </c>
      <c r="AA1784" s="97">
        <f t="shared" si="338"/>
        <v>76255.435511287433</v>
      </c>
    </row>
    <row r="1785" spans="1:27" x14ac:dyDescent="0.25">
      <c r="A1785" s="105" t="s">
        <v>1027</v>
      </c>
      <c r="B1785" s="106" t="s">
        <v>3925</v>
      </c>
      <c r="C1785" s="107"/>
      <c r="D1785" s="108"/>
      <c r="E1785" s="90">
        <f t="shared" si="343"/>
        <v>0</v>
      </c>
      <c r="F1785" s="90">
        <f t="shared" si="344"/>
        <v>0</v>
      </c>
      <c r="G1785" s="81"/>
      <c r="H1785" s="81"/>
      <c r="I1785" s="81"/>
      <c r="J1785" s="81"/>
      <c r="K1785" s="81"/>
      <c r="L1785" s="92"/>
      <c r="M1785" s="91"/>
      <c r="N1785" s="93">
        <v>41608</v>
      </c>
      <c r="O1785" s="109"/>
      <c r="P1785" s="109"/>
      <c r="Q1785" s="109">
        <v>0</v>
      </c>
      <c r="R1785" s="95">
        <f t="shared" si="336"/>
        <v>0</v>
      </c>
      <c r="S1785" s="109">
        <v>0</v>
      </c>
      <c r="T1785" s="94">
        <f t="shared" si="345"/>
        <v>0</v>
      </c>
      <c r="U1785" s="94">
        <f t="shared" si="341"/>
        <v>0</v>
      </c>
      <c r="V1785" s="94">
        <f t="shared" si="342"/>
        <v>0</v>
      </c>
      <c r="W1785" s="97">
        <f t="shared" si="339"/>
        <v>0</v>
      </c>
      <c r="X1785" s="97">
        <f t="shared" si="340"/>
        <v>0</v>
      </c>
      <c r="Y1785" s="97">
        <f t="shared" ref="Y1785:Y1848" si="346">+X1785*(1+$Y$4)</f>
        <v>0</v>
      </c>
      <c r="Z1785" s="97">
        <f t="shared" si="337"/>
        <v>0</v>
      </c>
      <c r="AA1785" s="97">
        <f t="shared" si="338"/>
        <v>0</v>
      </c>
    </row>
    <row r="1786" spans="1:27" x14ac:dyDescent="0.25">
      <c r="A1786" s="86" t="s">
        <v>3926</v>
      </c>
      <c r="B1786" s="87" t="s">
        <v>3927</v>
      </c>
      <c r="C1786" s="88" t="s">
        <v>3928</v>
      </c>
      <c r="D1786" s="89" t="s">
        <v>262</v>
      </c>
      <c r="E1786" s="90">
        <f t="shared" si="343"/>
        <v>3501</v>
      </c>
      <c r="F1786" s="90">
        <f>+'[106]Analisis Herramienta Menor'!F24</f>
        <v>2942</v>
      </c>
      <c r="G1786" s="91">
        <v>0.19</v>
      </c>
      <c r="H1786" s="91" t="s">
        <v>228</v>
      </c>
      <c r="I1786" s="91" t="s">
        <v>228</v>
      </c>
      <c r="J1786" s="91" t="s">
        <v>228</v>
      </c>
      <c r="K1786" s="91" t="s">
        <v>228</v>
      </c>
      <c r="L1786" s="92" t="s">
        <v>302</v>
      </c>
      <c r="M1786" s="91" t="s">
        <v>3929</v>
      </c>
      <c r="N1786" s="93">
        <v>41608</v>
      </c>
      <c r="O1786" s="94"/>
      <c r="P1786" s="94"/>
      <c r="Q1786" s="94">
        <v>1</v>
      </c>
      <c r="R1786" s="95">
        <f t="shared" si="336"/>
        <v>2545.8247974928749</v>
      </c>
      <c r="S1786" s="94">
        <v>1666</v>
      </c>
      <c r="T1786" s="94">
        <f t="shared" si="345"/>
        <v>1778.7882000000002</v>
      </c>
      <c r="U1786" s="94">
        <f t="shared" si="341"/>
        <v>1881.0685215000003</v>
      </c>
      <c r="V1786" s="94">
        <f t="shared" si="342"/>
        <v>1958.0042240293501</v>
      </c>
      <c r="W1786" s="97">
        <f t="shared" si="339"/>
        <v>2020.2687583534835</v>
      </c>
      <c r="X1786" s="97">
        <f t="shared" si="340"/>
        <v>2097.0389711709158</v>
      </c>
      <c r="Y1786" s="97">
        <f t="shared" si="346"/>
        <v>2130.8012986067674</v>
      </c>
      <c r="Z1786" s="97">
        <f t="shared" si="337"/>
        <v>2250.552331588468</v>
      </c>
      <c r="AA1786" s="97">
        <f t="shared" si="338"/>
        <v>2545.8247974928749</v>
      </c>
    </row>
    <row r="1787" spans="1:27" x14ac:dyDescent="0.25">
      <c r="A1787" s="86" t="s">
        <v>6</v>
      </c>
      <c r="B1787" s="87" t="s">
        <v>3930</v>
      </c>
      <c r="C1787" s="88" t="s">
        <v>3928</v>
      </c>
      <c r="D1787" s="89" t="s">
        <v>262</v>
      </c>
      <c r="E1787" s="90">
        <f>+ROUND(F1787*(1+G1787),0)</f>
        <v>3501</v>
      </c>
      <c r="F1787" s="90">
        <f>+'[106]Analisis Herramienta Menor'!F25</f>
        <v>2942</v>
      </c>
      <c r="G1787" s="91">
        <v>0.19</v>
      </c>
      <c r="H1787" s="91" t="s">
        <v>228</v>
      </c>
      <c r="I1787" s="91" t="s">
        <v>228</v>
      </c>
      <c r="J1787" s="91" t="s">
        <v>228</v>
      </c>
      <c r="K1787" s="91" t="s">
        <v>228</v>
      </c>
      <c r="L1787" s="92" t="s">
        <v>302</v>
      </c>
      <c r="M1787" s="91" t="s">
        <v>3929</v>
      </c>
      <c r="N1787" s="93">
        <v>41608</v>
      </c>
      <c r="O1787" s="94"/>
      <c r="P1787" s="94"/>
      <c r="Q1787" s="94">
        <v>2</v>
      </c>
      <c r="R1787" s="95">
        <f t="shared" si="336"/>
        <v>2545.8247974928749</v>
      </c>
      <c r="S1787" s="94">
        <v>1666</v>
      </c>
      <c r="T1787" s="94">
        <f t="shared" si="345"/>
        <v>1778.7882000000002</v>
      </c>
      <c r="U1787" s="94">
        <f t="shared" si="341"/>
        <v>1881.0685215000003</v>
      </c>
      <c r="V1787" s="94">
        <f t="shared" si="342"/>
        <v>1958.0042240293501</v>
      </c>
      <c r="W1787" s="97">
        <f t="shared" si="339"/>
        <v>2020.2687583534835</v>
      </c>
      <c r="X1787" s="97">
        <f t="shared" si="340"/>
        <v>2097.0389711709158</v>
      </c>
      <c r="Y1787" s="97">
        <f t="shared" si="346"/>
        <v>2130.8012986067674</v>
      </c>
      <c r="Z1787" s="97">
        <f t="shared" si="337"/>
        <v>2250.552331588468</v>
      </c>
      <c r="AA1787" s="97">
        <f t="shared" si="338"/>
        <v>2545.8247974928749</v>
      </c>
    </row>
    <row r="1788" spans="1:27" x14ac:dyDescent="0.25">
      <c r="A1788" s="105" t="s">
        <v>3931</v>
      </c>
      <c r="B1788" s="106" t="s">
        <v>3932</v>
      </c>
      <c r="C1788" s="107"/>
      <c r="D1788" s="108"/>
      <c r="E1788" s="90">
        <f t="shared" si="343"/>
        <v>0</v>
      </c>
      <c r="F1788" s="80"/>
      <c r="G1788" s="81"/>
      <c r="H1788" s="81"/>
      <c r="I1788" s="81"/>
      <c r="J1788" s="81"/>
      <c r="K1788" s="81"/>
      <c r="L1788" s="92"/>
      <c r="M1788" s="91"/>
      <c r="N1788" s="93">
        <v>41608</v>
      </c>
      <c r="O1788" s="109"/>
      <c r="P1788" s="109"/>
      <c r="Q1788" s="109">
        <v>0</v>
      </c>
      <c r="R1788" s="95">
        <f t="shared" si="336"/>
        <v>0</v>
      </c>
      <c r="S1788" s="109"/>
      <c r="T1788" s="94">
        <f t="shared" si="345"/>
        <v>0</v>
      </c>
      <c r="U1788" s="94">
        <f t="shared" si="341"/>
        <v>0</v>
      </c>
      <c r="V1788" s="94">
        <f t="shared" si="342"/>
        <v>0</v>
      </c>
      <c r="W1788" s="97">
        <f t="shared" si="339"/>
        <v>0</v>
      </c>
      <c r="X1788" s="97">
        <f t="shared" si="340"/>
        <v>0</v>
      </c>
      <c r="Y1788" s="97">
        <f t="shared" si="346"/>
        <v>0</v>
      </c>
      <c r="Z1788" s="97">
        <f t="shared" si="337"/>
        <v>0</v>
      </c>
      <c r="AA1788" s="97">
        <f t="shared" si="338"/>
        <v>0</v>
      </c>
    </row>
    <row r="1789" spans="1:27" x14ac:dyDescent="0.25">
      <c r="A1789" s="86" t="s">
        <v>87</v>
      </c>
      <c r="B1789" s="151" t="str">
        <f>VLOOKUP(A1789,'[106]Analisis Mano de Obra'!$A$50:$F$108,2,0)</f>
        <v>OFICIAL AA (Albañileria)</v>
      </c>
      <c r="C1789" s="88" t="s">
        <v>3818</v>
      </c>
      <c r="D1789" s="89" t="str">
        <f>VLOOKUP(A1789,'[106]Analisis Mano de Obra'!$A$50:$F$108,5,0)</f>
        <v>hr</v>
      </c>
      <c r="E1789" s="90">
        <f t="shared" si="343"/>
        <v>14258</v>
      </c>
      <c r="F1789" s="90">
        <f>VLOOKUP(A1789,'[106]Analisis Mano de Obra'!$A$50:$F$108,6,0)</f>
        <v>14258</v>
      </c>
      <c r="G1789" s="91"/>
      <c r="H1789" s="91" t="s">
        <v>228</v>
      </c>
      <c r="I1789" s="91" t="s">
        <v>228</v>
      </c>
      <c r="J1789" s="91" t="s">
        <v>228</v>
      </c>
      <c r="K1789" s="91" t="s">
        <v>228</v>
      </c>
      <c r="L1789" s="92" t="s">
        <v>302</v>
      </c>
      <c r="M1789" s="91" t="s">
        <v>90</v>
      </c>
      <c r="N1789" s="93">
        <v>41608</v>
      </c>
      <c r="O1789" s="94"/>
      <c r="P1789" s="94"/>
      <c r="Q1789" s="94">
        <v>1</v>
      </c>
      <c r="R1789" s="95">
        <f t="shared" si="336"/>
        <v>11925.340167847777</v>
      </c>
      <c r="S1789" s="94">
        <v>7804</v>
      </c>
      <c r="T1789" s="94">
        <f t="shared" si="345"/>
        <v>8332.3308000000015</v>
      </c>
      <c r="U1789" s="94">
        <f t="shared" si="341"/>
        <v>8811.4398210000018</v>
      </c>
      <c r="V1789" s="94">
        <f t="shared" si="342"/>
        <v>9171.8277096789006</v>
      </c>
      <c r="W1789" s="97">
        <f t="shared" si="339"/>
        <v>9463.4918308466895</v>
      </c>
      <c r="X1789" s="97">
        <f t="shared" si="340"/>
        <v>9823.1045204188631</v>
      </c>
      <c r="Y1789" s="97">
        <f t="shared" si="346"/>
        <v>9981.2565031976064</v>
      </c>
      <c r="Z1789" s="97">
        <f t="shared" si="337"/>
        <v>10542.203118677313</v>
      </c>
      <c r="AA1789" s="97">
        <f t="shared" si="338"/>
        <v>11925.340167847777</v>
      </c>
    </row>
    <row r="1790" spans="1:27" x14ac:dyDescent="0.25">
      <c r="A1790" s="86" t="s">
        <v>91</v>
      </c>
      <c r="B1790" s="151" t="str">
        <f>VLOOKUP(A1790,'[106]Analisis Mano de Obra'!$A$50:$F$108,2,0)</f>
        <v>OFICIAL BB (Instalaciones)</v>
      </c>
      <c r="C1790" s="88" t="s">
        <v>3818</v>
      </c>
      <c r="D1790" s="89" t="str">
        <f>VLOOKUP(A1790,'[106]Analisis Mano de Obra'!$A$50:$F$108,5,0)</f>
        <v>hr</v>
      </c>
      <c r="E1790" s="90">
        <f t="shared" si="343"/>
        <v>15684</v>
      </c>
      <c r="F1790" s="90">
        <f>VLOOKUP(A1790,'[106]Analisis Mano de Obra'!$A$50:$F$108,6,0)</f>
        <v>15684</v>
      </c>
      <c r="G1790" s="91"/>
      <c r="H1790" s="91" t="s">
        <v>228</v>
      </c>
      <c r="I1790" s="91" t="s">
        <v>228</v>
      </c>
      <c r="J1790" s="91" t="s">
        <v>228</v>
      </c>
      <c r="K1790" s="91" t="s">
        <v>228</v>
      </c>
      <c r="L1790" s="92" t="s">
        <v>302</v>
      </c>
      <c r="M1790" s="91" t="s">
        <v>90</v>
      </c>
      <c r="N1790" s="93">
        <v>41608</v>
      </c>
      <c r="O1790" s="94"/>
      <c r="P1790" s="94"/>
      <c r="Q1790" s="94">
        <v>2</v>
      </c>
      <c r="R1790" s="95">
        <f t="shared" si="336"/>
        <v>13118.791048305124</v>
      </c>
      <c r="S1790" s="94">
        <v>8585</v>
      </c>
      <c r="T1790" s="94">
        <f t="shared" si="345"/>
        <v>9166.2045000000016</v>
      </c>
      <c r="U1790" s="94">
        <f t="shared" si="341"/>
        <v>9693.2612587500025</v>
      </c>
      <c r="V1790" s="94">
        <f t="shared" si="342"/>
        <v>10089.715644232878</v>
      </c>
      <c r="W1790" s="97">
        <f t="shared" si="339"/>
        <v>10410.568601719484</v>
      </c>
      <c r="X1790" s="97">
        <f t="shared" si="340"/>
        <v>10806.170208584825</v>
      </c>
      <c r="Y1790" s="97">
        <f t="shared" si="346"/>
        <v>10980.14954894304</v>
      </c>
      <c r="Z1790" s="97">
        <f t="shared" si="337"/>
        <v>11597.233953593639</v>
      </c>
      <c r="AA1790" s="97">
        <f t="shared" si="338"/>
        <v>13118.791048305124</v>
      </c>
    </row>
    <row r="1791" spans="1:27" x14ac:dyDescent="0.25">
      <c r="A1791" s="86" t="s">
        <v>93</v>
      </c>
      <c r="B1791" s="151" t="str">
        <f>VLOOKUP(A1791,'[106]Analisis Mano de Obra'!$A$50:$F$108,2,0)</f>
        <v>OFICIAL CC (Pintura)</v>
      </c>
      <c r="C1791" s="88" t="s">
        <v>3818</v>
      </c>
      <c r="D1791" s="89" t="str">
        <f>VLOOKUP(A1791,'[106]Analisis Mano de Obra'!$A$50:$F$108,5,0)</f>
        <v>hr</v>
      </c>
      <c r="E1791" s="90">
        <f t="shared" si="343"/>
        <v>16397</v>
      </c>
      <c r="F1791" s="90">
        <f>VLOOKUP(A1791,'[106]Analisis Mano de Obra'!$A$50:$F$108,6,0)</f>
        <v>16397</v>
      </c>
      <c r="G1791" s="91"/>
      <c r="H1791" s="91" t="s">
        <v>228</v>
      </c>
      <c r="I1791" s="91" t="s">
        <v>228</v>
      </c>
      <c r="J1791" s="91" t="s">
        <v>228</v>
      </c>
      <c r="K1791" s="91" t="s">
        <v>228</v>
      </c>
      <c r="L1791" s="92" t="s">
        <v>302</v>
      </c>
      <c r="M1791" s="91" t="s">
        <v>90</v>
      </c>
      <c r="N1791" s="93">
        <v>41608</v>
      </c>
      <c r="O1791" s="94"/>
      <c r="P1791" s="94"/>
      <c r="Q1791" s="94">
        <v>3</v>
      </c>
      <c r="R1791" s="95">
        <f t="shared" si="336"/>
        <v>13714.752435473321</v>
      </c>
      <c r="S1791" s="94">
        <v>8975</v>
      </c>
      <c r="T1791" s="94">
        <f t="shared" si="345"/>
        <v>9582.6075000000001</v>
      </c>
      <c r="U1791" s="94">
        <f t="shared" si="341"/>
        <v>10133.60743125</v>
      </c>
      <c r="V1791" s="94">
        <f t="shared" si="342"/>
        <v>10548.071975188124</v>
      </c>
      <c r="W1791" s="97">
        <f t="shared" si="339"/>
        <v>10883.500663999108</v>
      </c>
      <c r="X1791" s="97">
        <f t="shared" si="340"/>
        <v>11297.073689231074</v>
      </c>
      <c r="Y1791" s="97">
        <f t="shared" si="346"/>
        <v>11478.956575627695</v>
      </c>
      <c r="Z1791" s="97">
        <f t="shared" si="337"/>
        <v>12124.073935177972</v>
      </c>
      <c r="AA1791" s="97">
        <f t="shared" si="338"/>
        <v>13714.752435473321</v>
      </c>
    </row>
    <row r="1792" spans="1:27" x14ac:dyDescent="0.25">
      <c r="A1792" s="86" t="s">
        <v>95</v>
      </c>
      <c r="B1792" s="151" t="str">
        <f>VLOOKUP(A1792,'[106]Analisis Mano de Obra'!$A$50:$F$108,2,0)</f>
        <v>OFICIAL DD (Carpinteria)</v>
      </c>
      <c r="C1792" s="88" t="s">
        <v>3818</v>
      </c>
      <c r="D1792" s="89" t="str">
        <f>VLOOKUP(A1792,'[106]Analisis Mano de Obra'!$A$50:$F$108,5,0)</f>
        <v>hr</v>
      </c>
      <c r="E1792" s="90">
        <f t="shared" si="343"/>
        <v>16397</v>
      </c>
      <c r="F1792" s="90">
        <f>VLOOKUP(A1792,'[106]Analisis Mano de Obra'!$A$50:$F$108,6,0)</f>
        <v>16397</v>
      </c>
      <c r="G1792" s="91"/>
      <c r="H1792" s="91" t="s">
        <v>228</v>
      </c>
      <c r="I1792" s="91" t="s">
        <v>228</v>
      </c>
      <c r="J1792" s="91" t="s">
        <v>228</v>
      </c>
      <c r="K1792" s="91" t="s">
        <v>228</v>
      </c>
      <c r="L1792" s="92" t="s">
        <v>302</v>
      </c>
      <c r="M1792" s="91" t="s">
        <v>90</v>
      </c>
      <c r="N1792" s="93">
        <v>41608</v>
      </c>
      <c r="O1792" s="94"/>
      <c r="P1792" s="94"/>
      <c r="Q1792" s="94">
        <v>4</v>
      </c>
      <c r="R1792" s="95">
        <f t="shared" si="336"/>
        <v>13714.752435473321</v>
      </c>
      <c r="S1792" s="94">
        <v>8975</v>
      </c>
      <c r="T1792" s="94">
        <f t="shared" si="345"/>
        <v>9582.6075000000001</v>
      </c>
      <c r="U1792" s="94">
        <f t="shared" si="341"/>
        <v>10133.60743125</v>
      </c>
      <c r="V1792" s="94">
        <f t="shared" si="342"/>
        <v>10548.071975188124</v>
      </c>
      <c r="W1792" s="97">
        <f t="shared" si="339"/>
        <v>10883.500663999108</v>
      </c>
      <c r="X1792" s="97">
        <f t="shared" si="340"/>
        <v>11297.073689231074</v>
      </c>
      <c r="Y1792" s="97">
        <f t="shared" si="346"/>
        <v>11478.956575627695</v>
      </c>
      <c r="Z1792" s="97">
        <f t="shared" si="337"/>
        <v>12124.073935177972</v>
      </c>
      <c r="AA1792" s="97">
        <f t="shared" si="338"/>
        <v>13714.752435473321</v>
      </c>
    </row>
    <row r="1793" spans="1:27" x14ac:dyDescent="0.25">
      <c r="A1793" s="86" t="s">
        <v>97</v>
      </c>
      <c r="B1793" s="151" t="str">
        <f>VLOOKUP(A1793,'[106]Analisis Mano de Obra'!$A$50:$F$108,2,0)</f>
        <v>OFICIAL EE (Dry Wall)</v>
      </c>
      <c r="C1793" s="88" t="s">
        <v>3818</v>
      </c>
      <c r="D1793" s="89" t="str">
        <f>VLOOKUP(A1793,'[106]Analisis Mano de Obra'!$A$50:$F$108,5,0)</f>
        <v>hr</v>
      </c>
      <c r="E1793" s="90">
        <f t="shared" si="343"/>
        <v>15969</v>
      </c>
      <c r="F1793" s="90">
        <f>VLOOKUP(A1793,'[106]Analisis Mano de Obra'!$A$50:$F$108,6,0)</f>
        <v>15969</v>
      </c>
      <c r="G1793" s="91"/>
      <c r="H1793" s="91" t="s">
        <v>228</v>
      </c>
      <c r="I1793" s="91" t="s">
        <v>228</v>
      </c>
      <c r="J1793" s="91" t="s">
        <v>228</v>
      </c>
      <c r="K1793" s="91" t="s">
        <v>228</v>
      </c>
      <c r="L1793" s="92" t="s">
        <v>302</v>
      </c>
      <c r="M1793" s="91" t="s">
        <v>90</v>
      </c>
      <c r="N1793" s="93">
        <v>41608</v>
      </c>
      <c r="O1793" s="94"/>
      <c r="P1793" s="94"/>
      <c r="Q1793" s="94">
        <v>5</v>
      </c>
      <c r="R1793" s="95">
        <f t="shared" si="336"/>
        <v>13357.1756031724</v>
      </c>
      <c r="S1793" s="94">
        <v>8741</v>
      </c>
      <c r="T1793" s="94">
        <f t="shared" si="345"/>
        <v>9332.7656999999999</v>
      </c>
      <c r="U1793" s="94">
        <f t="shared" si="341"/>
        <v>9869.3997277500002</v>
      </c>
      <c r="V1793" s="94">
        <f t="shared" si="342"/>
        <v>10273.058176614975</v>
      </c>
      <c r="W1793" s="97">
        <f t="shared" si="339"/>
        <v>10599.741426631332</v>
      </c>
      <c r="X1793" s="97">
        <f t="shared" si="340"/>
        <v>11002.531600843322</v>
      </c>
      <c r="Y1793" s="97">
        <f t="shared" si="346"/>
        <v>11179.672359616899</v>
      </c>
      <c r="Z1793" s="97">
        <f t="shared" si="337"/>
        <v>11807.969946227369</v>
      </c>
      <c r="AA1793" s="97">
        <f t="shared" si="338"/>
        <v>13357.1756031724</v>
      </c>
    </row>
    <row r="1794" spans="1:27" x14ac:dyDescent="0.25">
      <c r="A1794" s="86" t="s">
        <v>99</v>
      </c>
      <c r="B1794" s="151" t="str">
        <f>VLOOKUP(A1794,'[106]Analisis Mano de Obra'!$A$50:$F$108,2,0)</f>
        <v>OFICIAL FF (Electricas)</v>
      </c>
      <c r="C1794" s="88" t="s">
        <v>3818</v>
      </c>
      <c r="D1794" s="89" t="str">
        <f>VLOOKUP(A1794,'[106]Analisis Mano de Obra'!$A$50:$F$108,5,0)</f>
        <v>hr</v>
      </c>
      <c r="E1794" s="90">
        <f t="shared" si="343"/>
        <v>19205</v>
      </c>
      <c r="F1794" s="90">
        <f>VLOOKUP(A1794,'[106]Analisis Mano de Obra'!$A$50:$F$108,6,0)</f>
        <v>19205</v>
      </c>
      <c r="G1794" s="91"/>
      <c r="H1794" s="91" t="s">
        <v>228</v>
      </c>
      <c r="I1794" s="91" t="s">
        <v>228</v>
      </c>
      <c r="J1794" s="91" t="s">
        <v>228</v>
      </c>
      <c r="K1794" s="91" t="s">
        <v>228</v>
      </c>
      <c r="L1794" s="92" t="s">
        <v>302</v>
      </c>
      <c r="M1794" s="91" t="s">
        <v>90</v>
      </c>
      <c r="N1794" s="93">
        <v>41608</v>
      </c>
      <c r="O1794" s="94"/>
      <c r="P1794" s="94"/>
      <c r="Q1794" s="94">
        <v>6</v>
      </c>
      <c r="R1794" s="95">
        <f t="shared" si="336"/>
        <v>16312.532841078295</v>
      </c>
      <c r="S1794" s="94">
        <v>10675</v>
      </c>
      <c r="T1794" s="94">
        <f t="shared" si="345"/>
        <v>11397.6975</v>
      </c>
      <c r="U1794" s="94">
        <f t="shared" si="341"/>
        <v>12053.065106250002</v>
      </c>
      <c r="V1794" s="94">
        <f t="shared" si="342"/>
        <v>12546.035469095626</v>
      </c>
      <c r="W1794" s="97">
        <f t="shared" si="339"/>
        <v>12944.999397012867</v>
      </c>
      <c r="X1794" s="97">
        <f t="shared" si="340"/>
        <v>13436.909374099356</v>
      </c>
      <c r="Y1794" s="97">
        <f t="shared" si="346"/>
        <v>13653.243615022355</v>
      </c>
      <c r="Z1794" s="97">
        <f t="shared" si="337"/>
        <v>14420.555906186612</v>
      </c>
      <c r="AA1794" s="97">
        <f t="shared" si="338"/>
        <v>16312.532841078295</v>
      </c>
    </row>
    <row r="1795" spans="1:27" x14ac:dyDescent="0.25">
      <c r="A1795" s="86" t="s">
        <v>101</v>
      </c>
      <c r="B1795" s="151" t="str">
        <f>VLOOKUP(A1795,'[106]Analisis Mano de Obra'!$A$50:$F$108,2,0)</f>
        <v>OFICIAL GG (Alumbrado Publico)</v>
      </c>
      <c r="C1795" s="88" t="s">
        <v>3818</v>
      </c>
      <c r="D1795" s="89" t="str">
        <f>VLOOKUP(A1795,'[106]Analisis Mano de Obra'!$A$50:$F$108,5,0)</f>
        <v>hr</v>
      </c>
      <c r="E1795" s="90">
        <f t="shared" si="343"/>
        <v>32008</v>
      </c>
      <c r="F1795" s="90">
        <f>VLOOKUP(A1795,'[106]Analisis Mano de Obra'!$A$50:$F$108,6,0)</f>
        <v>32008</v>
      </c>
      <c r="G1795" s="91"/>
      <c r="H1795" s="91" t="s">
        <v>228</v>
      </c>
      <c r="I1795" s="91" t="s">
        <v>228</v>
      </c>
      <c r="J1795" s="91" t="s">
        <v>228</v>
      </c>
      <c r="K1795" s="91" t="s">
        <v>228</v>
      </c>
      <c r="L1795" s="92" t="s">
        <v>302</v>
      </c>
      <c r="M1795" s="91" t="s">
        <v>90</v>
      </c>
      <c r="N1795" s="93">
        <v>41608</v>
      </c>
      <c r="O1795" s="94"/>
      <c r="P1795" s="94"/>
      <c r="Q1795" s="94">
        <v>7</v>
      </c>
      <c r="R1795" s="95">
        <f t="shared" si="336"/>
        <v>27186.535997716535</v>
      </c>
      <c r="S1795" s="94">
        <v>17791</v>
      </c>
      <c r="T1795" s="94">
        <f t="shared" si="345"/>
        <v>18995.450700000001</v>
      </c>
      <c r="U1795" s="94">
        <f t="shared" si="341"/>
        <v>20087.689115250003</v>
      </c>
      <c r="V1795" s="94">
        <f t="shared" si="342"/>
        <v>20909.275600063727</v>
      </c>
      <c r="W1795" s="97">
        <f t="shared" si="339"/>
        <v>21574.190564145756</v>
      </c>
      <c r="X1795" s="97">
        <f t="shared" si="340"/>
        <v>22394.009805583297</v>
      </c>
      <c r="Y1795" s="97">
        <f t="shared" si="346"/>
        <v>22754.553363453189</v>
      </c>
      <c r="Z1795" s="97">
        <f t="shared" si="337"/>
        <v>24033.359262479258</v>
      </c>
      <c r="AA1795" s="97">
        <f t="shared" si="338"/>
        <v>27186.535997716535</v>
      </c>
    </row>
    <row r="1796" spans="1:27" x14ac:dyDescent="0.25">
      <c r="A1796" s="86" t="s">
        <v>103</v>
      </c>
      <c r="B1796" s="151" t="str">
        <f>VLOOKUP(A1796,'[106]Analisis Mano de Obra'!$A$50:$F$108,2,0)</f>
        <v>AYUDANTE AA (Albañileria)</v>
      </c>
      <c r="C1796" s="88" t="s">
        <v>3818</v>
      </c>
      <c r="D1796" s="89" t="str">
        <f>VLOOKUP(A1796,'[106]Analisis Mano de Obra'!$A$50:$F$108,5,0)</f>
        <v>hr</v>
      </c>
      <c r="E1796" s="90">
        <f t="shared" si="343"/>
        <v>8911</v>
      </c>
      <c r="F1796" s="90">
        <f>VLOOKUP(A1796,'[106]Analisis Mano de Obra'!$A$50:$F$108,6,0)</f>
        <v>8911</v>
      </c>
      <c r="G1796" s="91"/>
      <c r="H1796" s="91" t="s">
        <v>228</v>
      </c>
      <c r="I1796" s="91" t="s">
        <v>228</v>
      </c>
      <c r="J1796" s="91" t="s">
        <v>228</v>
      </c>
      <c r="K1796" s="91" t="s">
        <v>228</v>
      </c>
      <c r="L1796" s="92" t="s">
        <v>302</v>
      </c>
      <c r="M1796" s="91" t="s">
        <v>90</v>
      </c>
      <c r="N1796" s="93">
        <v>41608</v>
      </c>
      <c r="O1796" s="94"/>
      <c r="P1796" s="94"/>
      <c r="Q1796" s="94">
        <v>8</v>
      </c>
      <c r="R1796" s="95">
        <f t="shared" si="336"/>
        <v>7454.1016579653342</v>
      </c>
      <c r="S1796" s="94">
        <v>4878</v>
      </c>
      <c r="T1796" s="94">
        <f t="shared" si="345"/>
        <v>5208.2406000000001</v>
      </c>
      <c r="U1796" s="94">
        <f t="shared" si="341"/>
        <v>5507.7144345000006</v>
      </c>
      <c r="V1796" s="94">
        <f t="shared" si="342"/>
        <v>5732.9799548710507</v>
      </c>
      <c r="W1796" s="97">
        <f t="shared" si="339"/>
        <v>5915.2887174359503</v>
      </c>
      <c r="X1796" s="97">
        <f t="shared" si="340"/>
        <v>6140.069688698517</v>
      </c>
      <c r="Y1796" s="97">
        <f t="shared" si="346"/>
        <v>6238.9248106865634</v>
      </c>
      <c r="Z1796" s="97">
        <f t="shared" si="337"/>
        <v>6589.5523850471482</v>
      </c>
      <c r="AA1796" s="97">
        <f t="shared" si="338"/>
        <v>7454.1016579653342</v>
      </c>
    </row>
    <row r="1797" spans="1:27" x14ac:dyDescent="0.25">
      <c r="A1797" s="86" t="s">
        <v>105</v>
      </c>
      <c r="B1797" s="151" t="str">
        <f>VLOOKUP(A1797,'[106]Analisis Mano de Obra'!$A$50:$F$108,2,0)</f>
        <v>AYUDANTE BB (Instalaciones)</v>
      </c>
      <c r="C1797" s="88" t="s">
        <v>3818</v>
      </c>
      <c r="D1797" s="89" t="str">
        <f>VLOOKUP(A1797,'[106]Analisis Mano de Obra'!$A$50:$F$108,5,0)</f>
        <v>hr</v>
      </c>
      <c r="E1797" s="90">
        <f t="shared" si="343"/>
        <v>9802</v>
      </c>
      <c r="F1797" s="90">
        <f>VLOOKUP(A1797,'[106]Analisis Mano de Obra'!$A$50:$F$108,6,0)</f>
        <v>9802</v>
      </c>
      <c r="G1797" s="91"/>
      <c r="H1797" s="91" t="s">
        <v>228</v>
      </c>
      <c r="I1797" s="91" t="s">
        <v>228</v>
      </c>
      <c r="J1797" s="91" t="s">
        <v>228</v>
      </c>
      <c r="K1797" s="91" t="s">
        <v>228</v>
      </c>
      <c r="L1797" s="92" t="s">
        <v>302</v>
      </c>
      <c r="M1797" s="91" t="s">
        <v>90</v>
      </c>
      <c r="N1797" s="93">
        <v>41608</v>
      </c>
      <c r="O1797" s="94"/>
      <c r="P1797" s="94"/>
      <c r="Q1797" s="94">
        <v>9</v>
      </c>
      <c r="R1797" s="95">
        <f t="shared" si="336"/>
        <v>8198.2893388651119</v>
      </c>
      <c r="S1797" s="94">
        <v>5365</v>
      </c>
      <c r="T1797" s="94">
        <f t="shared" si="345"/>
        <v>5728.2105000000001</v>
      </c>
      <c r="U1797" s="94">
        <f t="shared" si="341"/>
        <v>6057.582603750001</v>
      </c>
      <c r="V1797" s="94">
        <f t="shared" si="342"/>
        <v>6305.3377322433753</v>
      </c>
      <c r="W1797" s="97">
        <f t="shared" si="339"/>
        <v>6505.8474721287148</v>
      </c>
      <c r="X1797" s="97">
        <f t="shared" si="340"/>
        <v>6753.0696760696064</v>
      </c>
      <c r="Y1797" s="97">
        <f t="shared" si="346"/>
        <v>6861.7940978543274</v>
      </c>
      <c r="Z1797" s="97">
        <f t="shared" si="337"/>
        <v>7247.4269261537411</v>
      </c>
      <c r="AA1797" s="97">
        <f t="shared" si="338"/>
        <v>8198.2893388651119</v>
      </c>
    </row>
    <row r="1798" spans="1:27" x14ac:dyDescent="0.25">
      <c r="A1798" s="86" t="s">
        <v>107</v>
      </c>
      <c r="B1798" s="151" t="str">
        <f>VLOOKUP(A1798,'[106]Analisis Mano de Obra'!$A$50:$F$108,2,0)</f>
        <v>AYUDANTE CC (Pintura)</v>
      </c>
      <c r="C1798" s="88" t="s">
        <v>3818</v>
      </c>
      <c r="D1798" s="89" t="str">
        <f>VLOOKUP(A1798,'[106]Analisis Mano de Obra'!$A$50:$F$108,5,0)</f>
        <v>hr</v>
      </c>
      <c r="E1798" s="90">
        <f t="shared" si="343"/>
        <v>10248</v>
      </c>
      <c r="F1798" s="90">
        <f>VLOOKUP(A1798,'[106]Analisis Mano de Obra'!$A$50:$F$108,6,0)</f>
        <v>10248</v>
      </c>
      <c r="G1798" s="91"/>
      <c r="H1798" s="91" t="s">
        <v>228</v>
      </c>
      <c r="I1798" s="91" t="s">
        <v>228</v>
      </c>
      <c r="J1798" s="91" t="s">
        <v>228</v>
      </c>
      <c r="K1798" s="91" t="s">
        <v>228</v>
      </c>
      <c r="L1798" s="92" t="s">
        <v>302</v>
      </c>
      <c r="M1798" s="91" t="s">
        <v>90</v>
      </c>
      <c r="N1798" s="93">
        <v>41608</v>
      </c>
      <c r="O1798" s="94"/>
      <c r="P1798" s="94"/>
      <c r="Q1798" s="94">
        <v>10</v>
      </c>
      <c r="R1798" s="95">
        <f t="shared" si="336"/>
        <v>8571.1472323754733</v>
      </c>
      <c r="S1798" s="94">
        <v>5609</v>
      </c>
      <c r="T1798" s="94">
        <f t="shared" si="345"/>
        <v>5988.7293000000009</v>
      </c>
      <c r="U1798" s="94">
        <f t="shared" si="341"/>
        <v>6333.0812347500014</v>
      </c>
      <c r="V1798" s="94">
        <f t="shared" si="342"/>
        <v>6592.1042572512761</v>
      </c>
      <c r="W1798" s="97">
        <f t="shared" si="339"/>
        <v>6801.7331726318671</v>
      </c>
      <c r="X1798" s="97">
        <f t="shared" si="340"/>
        <v>7060.1990331918787</v>
      </c>
      <c r="Y1798" s="97">
        <f t="shared" si="346"/>
        <v>7173.8682376262677</v>
      </c>
      <c r="Z1798" s="97">
        <f t="shared" si="337"/>
        <v>7577.0396325808642</v>
      </c>
      <c r="AA1798" s="97">
        <f t="shared" si="338"/>
        <v>8571.1472323754733</v>
      </c>
    </row>
    <row r="1799" spans="1:27" x14ac:dyDescent="0.25">
      <c r="A1799" s="86" t="s">
        <v>109</v>
      </c>
      <c r="B1799" s="151" t="str">
        <f>VLOOKUP(A1799,'[106]Analisis Mano de Obra'!$A$50:$F$108,2,0)</f>
        <v>AYUDANTE DD (Carpinteria)</v>
      </c>
      <c r="C1799" s="88" t="s">
        <v>3818</v>
      </c>
      <c r="D1799" s="89" t="str">
        <f>VLOOKUP(A1799,'[106]Analisis Mano de Obra'!$A$50:$F$108,5,0)</f>
        <v>hr</v>
      </c>
      <c r="E1799" s="90">
        <f t="shared" si="343"/>
        <v>10248</v>
      </c>
      <c r="F1799" s="90">
        <f>VLOOKUP(A1799,'[106]Analisis Mano de Obra'!$A$50:$F$108,6,0)</f>
        <v>10248</v>
      </c>
      <c r="G1799" s="91"/>
      <c r="H1799" s="91" t="s">
        <v>228</v>
      </c>
      <c r="I1799" s="91" t="s">
        <v>228</v>
      </c>
      <c r="J1799" s="91" t="s">
        <v>228</v>
      </c>
      <c r="K1799" s="91" t="s">
        <v>228</v>
      </c>
      <c r="L1799" s="92" t="s">
        <v>302</v>
      </c>
      <c r="M1799" s="91" t="s">
        <v>90</v>
      </c>
      <c r="N1799" s="93">
        <v>41608</v>
      </c>
      <c r="O1799" s="94"/>
      <c r="P1799" s="94"/>
      <c r="Q1799" s="94">
        <v>11</v>
      </c>
      <c r="R1799" s="95">
        <f t="shared" ref="R1799:R1862" si="347">+AA1799</f>
        <v>8571.1472323754733</v>
      </c>
      <c r="S1799" s="94">
        <v>5609</v>
      </c>
      <c r="T1799" s="94">
        <f t="shared" si="345"/>
        <v>5988.7293000000009</v>
      </c>
      <c r="U1799" s="94">
        <f t="shared" si="341"/>
        <v>6333.0812347500014</v>
      </c>
      <c r="V1799" s="94">
        <f t="shared" si="342"/>
        <v>6592.1042572512761</v>
      </c>
      <c r="W1799" s="97">
        <f t="shared" si="339"/>
        <v>6801.7331726318671</v>
      </c>
      <c r="X1799" s="97">
        <f t="shared" si="340"/>
        <v>7060.1990331918787</v>
      </c>
      <c r="Y1799" s="97">
        <f t="shared" si="346"/>
        <v>7173.8682376262677</v>
      </c>
      <c r="Z1799" s="97">
        <f t="shared" ref="Z1799:Z1862" si="348">+Y1799*(1+$Z$4)</f>
        <v>7577.0396325808642</v>
      </c>
      <c r="AA1799" s="97">
        <f t="shared" ref="AA1799:AA1862" si="349">+Z1799*(1+$AA$4)</f>
        <v>8571.1472323754733</v>
      </c>
    </row>
    <row r="1800" spans="1:27" x14ac:dyDescent="0.25">
      <c r="A1800" s="86" t="s">
        <v>111</v>
      </c>
      <c r="B1800" s="151" t="str">
        <f>VLOOKUP(A1800,'[106]Analisis Mano de Obra'!$A$50:$F$108,2,0)</f>
        <v>AYUDANTE EE (Dry Wall)</v>
      </c>
      <c r="C1800" s="88" t="s">
        <v>3818</v>
      </c>
      <c r="D1800" s="89" t="str">
        <f>VLOOKUP(A1800,'[106]Analisis Mano de Obra'!$A$50:$F$108,5,0)</f>
        <v>hr</v>
      </c>
      <c r="E1800" s="90">
        <f t="shared" si="343"/>
        <v>9981</v>
      </c>
      <c r="F1800" s="90">
        <f>VLOOKUP(A1800,'[106]Analisis Mano de Obra'!$A$50:$F$108,6,0)</f>
        <v>9981</v>
      </c>
      <c r="G1800" s="91"/>
      <c r="H1800" s="91" t="s">
        <v>228</v>
      </c>
      <c r="I1800" s="91" t="s">
        <v>228</v>
      </c>
      <c r="J1800" s="91" t="s">
        <v>228</v>
      </c>
      <c r="K1800" s="91" t="s">
        <v>228</v>
      </c>
      <c r="L1800" s="92" t="s">
        <v>302</v>
      </c>
      <c r="M1800" s="91" t="s">
        <v>90</v>
      </c>
      <c r="N1800" s="93">
        <v>41608</v>
      </c>
      <c r="O1800" s="94"/>
      <c r="P1800" s="94"/>
      <c r="Q1800" s="94">
        <v>12</v>
      </c>
      <c r="R1800" s="95">
        <f t="shared" si="347"/>
        <v>8348.0437387176335</v>
      </c>
      <c r="S1800" s="94">
        <v>5463</v>
      </c>
      <c r="T1800" s="94">
        <f t="shared" si="345"/>
        <v>5832.8451000000005</v>
      </c>
      <c r="U1800" s="94">
        <f t="shared" si="341"/>
        <v>6168.2336932500011</v>
      </c>
      <c r="V1800" s="94">
        <f t="shared" si="342"/>
        <v>6420.5144513039259</v>
      </c>
      <c r="W1800" s="97">
        <f t="shared" si="339"/>
        <v>6624.6868108553908</v>
      </c>
      <c r="X1800" s="97">
        <f t="shared" si="340"/>
        <v>6876.4249096678959</v>
      </c>
      <c r="Y1800" s="97">
        <f t="shared" si="346"/>
        <v>6987.1353507135491</v>
      </c>
      <c r="Z1800" s="97">
        <f t="shared" si="348"/>
        <v>7379.8123574236506</v>
      </c>
      <c r="AA1800" s="97">
        <f t="shared" si="349"/>
        <v>8348.0437387176335</v>
      </c>
    </row>
    <row r="1801" spans="1:27" x14ac:dyDescent="0.25">
      <c r="A1801" s="86" t="s">
        <v>113</v>
      </c>
      <c r="B1801" s="151" t="str">
        <f>VLOOKUP(A1801,'[106]Analisis Mano de Obra'!$A$50:$F$108,2,0)</f>
        <v>AYUDANTE FF (Electricas)</v>
      </c>
      <c r="C1801" s="88" t="s">
        <v>3818</v>
      </c>
      <c r="D1801" s="89" t="str">
        <f>VLOOKUP(A1801,'[106]Analisis Mano de Obra'!$A$50:$F$108,5,0)</f>
        <v>hr</v>
      </c>
      <c r="E1801" s="90">
        <f t="shared" si="343"/>
        <v>13367</v>
      </c>
      <c r="F1801" s="90">
        <f>VLOOKUP(A1801,'[106]Analisis Mano de Obra'!$A$50:$F$108,6,0)</f>
        <v>13367</v>
      </c>
      <c r="G1801" s="91"/>
      <c r="H1801" s="91" t="s">
        <v>228</v>
      </c>
      <c r="I1801" s="91" t="s">
        <v>228</v>
      </c>
      <c r="J1801" s="91" t="s">
        <v>228</v>
      </c>
      <c r="K1801" s="91" t="s">
        <v>228</v>
      </c>
      <c r="L1801" s="92" t="s">
        <v>302</v>
      </c>
      <c r="M1801" s="91" t="s">
        <v>90</v>
      </c>
      <c r="N1801" s="93">
        <v>41608</v>
      </c>
      <c r="O1801" s="94"/>
      <c r="P1801" s="94"/>
      <c r="Q1801" s="94">
        <v>13</v>
      </c>
      <c r="R1801" s="95">
        <f t="shared" si="347"/>
        <v>11179.624380827059</v>
      </c>
      <c r="S1801" s="94">
        <v>7316</v>
      </c>
      <c r="T1801" s="94">
        <f t="shared" si="345"/>
        <v>7811.293200000001</v>
      </c>
      <c r="U1801" s="94">
        <f t="shared" si="341"/>
        <v>8260.442559000001</v>
      </c>
      <c r="V1801" s="94">
        <f t="shared" si="342"/>
        <v>8598.2946596631009</v>
      </c>
      <c r="W1801" s="97">
        <f t="shared" si="339"/>
        <v>8871.7204298403885</v>
      </c>
      <c r="X1801" s="97">
        <f t="shared" si="340"/>
        <v>9208.845806174324</v>
      </c>
      <c r="Y1801" s="97">
        <f t="shared" si="346"/>
        <v>9357.1082236537313</v>
      </c>
      <c r="Z1801" s="97">
        <f t="shared" si="348"/>
        <v>9882.977705823072</v>
      </c>
      <c r="AA1801" s="97">
        <f t="shared" si="349"/>
        <v>11179.624380827059</v>
      </c>
    </row>
    <row r="1802" spans="1:27" x14ac:dyDescent="0.25">
      <c r="A1802" s="86" t="s">
        <v>115</v>
      </c>
      <c r="B1802" s="151" t="str">
        <f>VLOOKUP(A1802,'[106]Analisis Mano de Obra'!$A$50:$F$108,2,0)</f>
        <v>AYUDANTE GG (Alumbrado Publico)</v>
      </c>
      <c r="C1802" s="88" t="s">
        <v>3818</v>
      </c>
      <c r="D1802" s="89" t="str">
        <f>VLOOKUP(A1802,'[106]Analisis Mano de Obra'!$A$50:$F$108,5,0)</f>
        <v>hr</v>
      </c>
      <c r="E1802" s="90">
        <f t="shared" si="343"/>
        <v>17822</v>
      </c>
      <c r="F1802" s="90">
        <f>VLOOKUP(A1802,'[106]Analisis Mano de Obra'!$A$50:$F$108,6,0)</f>
        <v>17822</v>
      </c>
      <c r="G1802" s="91"/>
      <c r="H1802" s="91" t="s">
        <v>228</v>
      </c>
      <c r="I1802" s="91" t="s">
        <v>228</v>
      </c>
      <c r="J1802" s="91" t="s">
        <v>228</v>
      </c>
      <c r="K1802" s="91" t="s">
        <v>228</v>
      </c>
      <c r="L1802" s="92" t="s">
        <v>302</v>
      </c>
      <c r="M1802" s="91" t="s">
        <v>90</v>
      </c>
      <c r="N1802" s="93">
        <v>41608</v>
      </c>
      <c r="O1802" s="94"/>
      <c r="P1802" s="94"/>
      <c r="Q1802" s="94">
        <v>14</v>
      </c>
      <c r="R1802" s="95">
        <f t="shared" si="347"/>
        <v>14906.675209809724</v>
      </c>
      <c r="S1802" s="94">
        <v>9755</v>
      </c>
      <c r="T1802" s="94">
        <f t="shared" si="345"/>
        <v>10415.413500000001</v>
      </c>
      <c r="U1802" s="94">
        <f t="shared" si="341"/>
        <v>11014.299776250002</v>
      </c>
      <c r="V1802" s="94">
        <f t="shared" si="342"/>
        <v>11464.784637098626</v>
      </c>
      <c r="W1802" s="97">
        <f t="shared" si="339"/>
        <v>11829.364788558363</v>
      </c>
      <c r="X1802" s="97">
        <f>+W1802*(1+$X$4)</f>
        <v>12278.880650523581</v>
      </c>
      <c r="Y1802" s="97">
        <f>+X1802*(1+$Y$4)</f>
        <v>12476.570628997011</v>
      </c>
      <c r="Z1802" s="97">
        <f t="shared" si="348"/>
        <v>13177.753898346644</v>
      </c>
      <c r="AA1802" s="97">
        <f t="shared" si="349"/>
        <v>14906.675209809724</v>
      </c>
    </row>
    <row r="1803" spans="1:27" x14ac:dyDescent="0.25">
      <c r="A1803" s="86" t="s">
        <v>117</v>
      </c>
      <c r="B1803" s="151" t="str">
        <f>VLOOKUP(A1803,'[106]Analisis Mano de Obra'!$A$50:$F$108,2,0)</f>
        <v>REGULADOR DE TRANSITO</v>
      </c>
      <c r="C1803" s="88" t="s">
        <v>3818</v>
      </c>
      <c r="D1803" s="89" t="str">
        <f>VLOOKUP(A1803,'[106]Analisis Mano de Obra'!$A$50:$F$108,5,0)</f>
        <v>hr</v>
      </c>
      <c r="E1803" s="90">
        <f>+ROUND(F1803*(1+G1803),0)</f>
        <v>11139</v>
      </c>
      <c r="F1803" s="90">
        <f>VLOOKUP(A1803,'[106]Analisis Mano de Obra'!$A$50:$F$108,6,0)</f>
        <v>11139</v>
      </c>
      <c r="G1803" s="91"/>
      <c r="H1803" s="91"/>
      <c r="I1803" s="91"/>
      <c r="J1803" s="91"/>
      <c r="K1803" s="91"/>
      <c r="L1803" s="92"/>
      <c r="M1803" s="91"/>
      <c r="N1803" s="93"/>
      <c r="O1803" s="94"/>
      <c r="P1803" s="94"/>
      <c r="Q1803" s="94"/>
      <c r="R1803" s="95">
        <f t="shared" si="347"/>
        <v>0</v>
      </c>
      <c r="S1803" s="94"/>
      <c r="T1803" s="94"/>
      <c r="U1803" s="94"/>
      <c r="V1803" s="94"/>
      <c r="W1803" s="97"/>
      <c r="X1803" s="97"/>
      <c r="Y1803" s="97"/>
      <c r="Z1803" s="97">
        <f t="shared" si="348"/>
        <v>0</v>
      </c>
      <c r="AA1803" s="97">
        <f t="shared" si="349"/>
        <v>0</v>
      </c>
    </row>
    <row r="1804" spans="1:27" x14ac:dyDescent="0.25">
      <c r="A1804" s="86" t="s">
        <v>5</v>
      </c>
      <c r="B1804" s="151" t="str">
        <f>VLOOKUP(A1804,'[106]Analisis Mano de Obra'!$A$50:$F$108,2,0)</f>
        <v>CUADRILLA AA TIPO 1 (1 OFICIAL + 1 AYUDANTE) (Albañileria)</v>
      </c>
      <c r="C1804" s="88" t="s">
        <v>3818</v>
      </c>
      <c r="D1804" s="89" t="str">
        <f>VLOOKUP(A1804,'[106]Analisis Mano de Obra'!$A$50:$F$108,5,0)</f>
        <v>hr</v>
      </c>
      <c r="E1804" s="90">
        <f t="shared" si="343"/>
        <v>23169</v>
      </c>
      <c r="F1804" s="90">
        <f>VLOOKUP(A1804,'[106]Analisis Mano de Obra'!$A$50:$F$108,6,0)</f>
        <v>23169</v>
      </c>
      <c r="G1804" s="91"/>
      <c r="H1804" s="91" t="s">
        <v>228</v>
      </c>
      <c r="I1804" s="91" t="s">
        <v>228</v>
      </c>
      <c r="J1804" s="91" t="s">
        <v>228</v>
      </c>
      <c r="K1804" s="91" t="s">
        <v>228</v>
      </c>
      <c r="L1804" s="92" t="s">
        <v>302</v>
      </c>
      <c r="M1804" s="91" t="s">
        <v>90</v>
      </c>
      <c r="N1804" s="93">
        <v>41608</v>
      </c>
      <c r="O1804" s="94"/>
      <c r="P1804" s="94"/>
      <c r="Q1804" s="94">
        <v>1</v>
      </c>
      <c r="R1804" s="95">
        <f t="shared" si="347"/>
        <v>19379.441825813112</v>
      </c>
      <c r="S1804" s="94">
        <v>12682</v>
      </c>
      <c r="T1804" s="94">
        <f t="shared" si="345"/>
        <v>13540.571400000001</v>
      </c>
      <c r="U1804" s="94">
        <f t="shared" si="341"/>
        <v>14319.154255500001</v>
      </c>
      <c r="V1804" s="94">
        <f t="shared" si="342"/>
        <v>14904.807664549951</v>
      </c>
      <c r="W1804" s="97">
        <f t="shared" si="339"/>
        <v>15378.780548282641</v>
      </c>
      <c r="X1804" s="97">
        <f t="shared" si="340"/>
        <v>15963.174209117382</v>
      </c>
      <c r="Y1804" s="97">
        <f t="shared" si="346"/>
        <v>16220.181313884172</v>
      </c>
      <c r="Z1804" s="97">
        <f t="shared" si="348"/>
        <v>17131.755503724464</v>
      </c>
      <c r="AA1804" s="97">
        <f t="shared" si="349"/>
        <v>19379.441825813112</v>
      </c>
    </row>
    <row r="1805" spans="1:27" x14ac:dyDescent="0.25">
      <c r="A1805" s="86" t="s">
        <v>120</v>
      </c>
      <c r="B1805" s="151" t="str">
        <f>VLOOKUP(A1805,'[106]Analisis Mano de Obra'!$A$50:$F$108,2,0)</f>
        <v>CUADRILLA BB TIPO 1 (1 OFICIAL + 1 AYUDANTE) (Instalaciones)</v>
      </c>
      <c r="C1805" s="88" t="s">
        <v>3818</v>
      </c>
      <c r="D1805" s="89" t="str">
        <f>VLOOKUP(A1805,'[106]Analisis Mano de Obra'!$A$50:$F$108,5,0)</f>
        <v>hr</v>
      </c>
      <c r="E1805" s="90">
        <f t="shared" si="343"/>
        <v>25486</v>
      </c>
      <c r="F1805" s="90">
        <f>VLOOKUP(A1805,'[106]Analisis Mano de Obra'!$A$50:$F$108,6,0)</f>
        <v>25486</v>
      </c>
      <c r="G1805" s="91"/>
      <c r="H1805" s="91" t="s">
        <v>228</v>
      </c>
      <c r="I1805" s="91" t="s">
        <v>228</v>
      </c>
      <c r="J1805" s="91" t="s">
        <v>228</v>
      </c>
      <c r="K1805" s="91" t="s">
        <v>228</v>
      </c>
      <c r="L1805" s="92" t="s">
        <v>302</v>
      </c>
      <c r="M1805" s="91" t="s">
        <v>90</v>
      </c>
      <c r="N1805" s="93">
        <v>41608</v>
      </c>
      <c r="O1805" s="94"/>
      <c r="P1805" s="94"/>
      <c r="Q1805" s="94">
        <v>2</v>
      </c>
      <c r="R1805" s="95">
        <f t="shared" si="347"/>
        <v>21317.080387170237</v>
      </c>
      <c r="S1805" s="94">
        <v>13950</v>
      </c>
      <c r="T1805" s="94">
        <f t="shared" si="345"/>
        <v>14894.415000000001</v>
      </c>
      <c r="U1805" s="94">
        <f t="shared" si="341"/>
        <v>15750.843862500002</v>
      </c>
      <c r="V1805" s="94">
        <f t="shared" si="342"/>
        <v>16395.053376476251</v>
      </c>
      <c r="W1805" s="97">
        <f t="shared" si="339"/>
        <v>16916.416073848199</v>
      </c>
      <c r="X1805" s="97">
        <f t="shared" si="340"/>
        <v>17559.239884654431</v>
      </c>
      <c r="Y1805" s="97">
        <f t="shared" si="346"/>
        <v>17841.943646797368</v>
      </c>
      <c r="Z1805" s="97">
        <f t="shared" si="348"/>
        <v>18844.660879747382</v>
      </c>
      <c r="AA1805" s="97">
        <f t="shared" si="349"/>
        <v>21317.080387170237</v>
      </c>
    </row>
    <row r="1806" spans="1:27" x14ac:dyDescent="0.25">
      <c r="A1806" s="86" t="s">
        <v>122</v>
      </c>
      <c r="B1806" s="151" t="str">
        <f>VLOOKUP(A1806,'[106]Analisis Mano de Obra'!$A$50:$F$108,2,0)</f>
        <v>CUADRILLA CC TIPO 1 (1 OFICIAL + 1 AYUDANTE) (Pintura)</v>
      </c>
      <c r="C1806" s="88" t="s">
        <v>3818</v>
      </c>
      <c r="D1806" s="89" t="str">
        <f>VLOOKUP(A1806,'[106]Analisis Mano de Obra'!$A$50:$F$108,5,0)</f>
        <v>hr</v>
      </c>
      <c r="E1806" s="90">
        <f t="shared" si="343"/>
        <v>26645</v>
      </c>
      <c r="F1806" s="90">
        <f>VLOOKUP(A1806,'[106]Analisis Mano de Obra'!$A$50:$F$108,6,0)</f>
        <v>26645</v>
      </c>
      <c r="G1806" s="91"/>
      <c r="H1806" s="91" t="s">
        <v>228</v>
      </c>
      <c r="I1806" s="91" t="s">
        <v>228</v>
      </c>
      <c r="J1806" s="91" t="s">
        <v>228</v>
      </c>
      <c r="K1806" s="91" t="s">
        <v>228</v>
      </c>
      <c r="L1806" s="92" t="s">
        <v>302</v>
      </c>
      <c r="M1806" s="91" t="s">
        <v>90</v>
      </c>
      <c r="N1806" s="93">
        <v>41608</v>
      </c>
      <c r="O1806" s="94"/>
      <c r="P1806" s="94"/>
      <c r="Q1806" s="94">
        <v>3</v>
      </c>
      <c r="R1806" s="95">
        <f t="shared" si="347"/>
        <v>22285.899667848793</v>
      </c>
      <c r="S1806" s="94">
        <v>14584</v>
      </c>
      <c r="T1806" s="94">
        <f t="shared" si="345"/>
        <v>15571.336800000001</v>
      </c>
      <c r="U1806" s="94">
        <f t="shared" si="341"/>
        <v>16466.688666000002</v>
      </c>
      <c r="V1806" s="94">
        <f t="shared" si="342"/>
        <v>17140.1762324394</v>
      </c>
      <c r="W1806" s="97">
        <f t="shared" si="339"/>
        <v>17685.233836630974</v>
      </c>
      <c r="X1806" s="97">
        <f t="shared" si="340"/>
        <v>18357.272722422953</v>
      </c>
      <c r="Y1806" s="97">
        <f t="shared" si="346"/>
        <v>18652.824813253963</v>
      </c>
      <c r="Z1806" s="97">
        <f t="shared" si="348"/>
        <v>19701.113567758835</v>
      </c>
      <c r="AA1806" s="97">
        <f t="shared" si="349"/>
        <v>22285.899667848793</v>
      </c>
    </row>
    <row r="1807" spans="1:27" x14ac:dyDescent="0.25">
      <c r="A1807" s="86" t="s">
        <v>124</v>
      </c>
      <c r="B1807" s="151" t="str">
        <f>VLOOKUP(A1807,'[106]Analisis Mano de Obra'!$A$50:$F$108,2,0)</f>
        <v>CUADRILLA DD TIPO 1 (1 OFICIAL + 1 AYUDANTE) (Carpinteria)</v>
      </c>
      <c r="C1807" s="88" t="s">
        <v>3818</v>
      </c>
      <c r="D1807" s="89" t="str">
        <f>VLOOKUP(A1807,'[106]Analisis Mano de Obra'!$A$50:$F$108,5,0)</f>
        <v>hr</v>
      </c>
      <c r="E1807" s="90">
        <f t="shared" si="343"/>
        <v>26645</v>
      </c>
      <c r="F1807" s="90">
        <f>VLOOKUP(A1807,'[106]Analisis Mano de Obra'!$A$50:$F$108,6,0)</f>
        <v>26645</v>
      </c>
      <c r="G1807" s="91"/>
      <c r="H1807" s="91" t="s">
        <v>228</v>
      </c>
      <c r="I1807" s="91" t="s">
        <v>228</v>
      </c>
      <c r="J1807" s="91" t="s">
        <v>228</v>
      </c>
      <c r="K1807" s="91" t="s">
        <v>228</v>
      </c>
      <c r="L1807" s="92" t="s">
        <v>302</v>
      </c>
      <c r="M1807" s="91" t="s">
        <v>90</v>
      </c>
      <c r="N1807" s="93">
        <v>41608</v>
      </c>
      <c r="O1807" s="94"/>
      <c r="P1807" s="94"/>
      <c r="Q1807" s="94">
        <v>4</v>
      </c>
      <c r="R1807" s="95">
        <f t="shared" si="347"/>
        <v>22285.899667848793</v>
      </c>
      <c r="S1807" s="94">
        <v>14584</v>
      </c>
      <c r="T1807" s="94">
        <f t="shared" si="345"/>
        <v>15571.336800000001</v>
      </c>
      <c r="U1807" s="94">
        <f t="shared" si="341"/>
        <v>16466.688666000002</v>
      </c>
      <c r="V1807" s="94">
        <f t="shared" si="342"/>
        <v>17140.1762324394</v>
      </c>
      <c r="W1807" s="97">
        <f t="shared" ref="W1807:W1870" si="350">+V1807*(1+$W$4)</f>
        <v>17685.233836630974</v>
      </c>
      <c r="X1807" s="97">
        <f t="shared" ref="X1807:X1870" si="351">+W1807*(1+$X$4)</f>
        <v>18357.272722422953</v>
      </c>
      <c r="Y1807" s="97">
        <f t="shared" si="346"/>
        <v>18652.824813253963</v>
      </c>
      <c r="Z1807" s="97">
        <f t="shared" si="348"/>
        <v>19701.113567758835</v>
      </c>
      <c r="AA1807" s="97">
        <f t="shared" si="349"/>
        <v>22285.899667848793</v>
      </c>
    </row>
    <row r="1808" spans="1:27" x14ac:dyDescent="0.25">
      <c r="A1808" s="86" t="s">
        <v>126</v>
      </c>
      <c r="B1808" s="151" t="str">
        <f>VLOOKUP(A1808,'[106]Analisis Mano de Obra'!$A$50:$F$108,2,0)</f>
        <v>CUADRILLA EE TIPO 1 (1 OFICIAL + 1 AYUDANTE) (Dry Wall)</v>
      </c>
      <c r="C1808" s="88" t="s">
        <v>3818</v>
      </c>
      <c r="D1808" s="89" t="str">
        <f>VLOOKUP(A1808,'[106]Analisis Mano de Obra'!$A$50:$F$108,5,0)</f>
        <v>hr</v>
      </c>
      <c r="E1808" s="90">
        <f t="shared" si="343"/>
        <v>25950</v>
      </c>
      <c r="F1808" s="90">
        <f>VLOOKUP(A1808,'[106]Analisis Mano de Obra'!$A$50:$F$108,6,0)</f>
        <v>25950</v>
      </c>
      <c r="G1808" s="91"/>
      <c r="H1808" s="91" t="s">
        <v>228</v>
      </c>
      <c r="I1808" s="91" t="s">
        <v>228</v>
      </c>
      <c r="J1808" s="91" t="s">
        <v>228</v>
      </c>
      <c r="K1808" s="91" t="s">
        <v>228</v>
      </c>
      <c r="L1808" s="92" t="s">
        <v>302</v>
      </c>
      <c r="M1808" s="91" t="s">
        <v>90</v>
      </c>
      <c r="N1808" s="93">
        <v>41608</v>
      </c>
      <c r="O1808" s="94"/>
      <c r="P1808" s="94"/>
      <c r="Q1808" s="94">
        <v>5</v>
      </c>
      <c r="R1808" s="95">
        <f t="shared" si="347"/>
        <v>21705.219341890035</v>
      </c>
      <c r="S1808" s="94">
        <v>14204</v>
      </c>
      <c r="T1808" s="94">
        <f t="shared" si="345"/>
        <v>15165.610800000002</v>
      </c>
      <c r="U1808" s="94">
        <f t="shared" si="341"/>
        <v>16037.633421000004</v>
      </c>
      <c r="V1808" s="94">
        <f t="shared" si="342"/>
        <v>16693.572627918904</v>
      </c>
      <c r="W1808" s="97">
        <f t="shared" si="350"/>
        <v>17224.428237486725</v>
      </c>
      <c r="X1808" s="97">
        <f t="shared" si="351"/>
        <v>17878.95651051122</v>
      </c>
      <c r="Y1808" s="97">
        <f t="shared" si="346"/>
        <v>18166.807710330449</v>
      </c>
      <c r="Z1808" s="97">
        <f t="shared" si="348"/>
        <v>19187.78230365102</v>
      </c>
      <c r="AA1808" s="97">
        <f t="shared" si="349"/>
        <v>21705.219341890035</v>
      </c>
    </row>
    <row r="1809" spans="1:27" x14ac:dyDescent="0.25">
      <c r="A1809" s="86" t="s">
        <v>128</v>
      </c>
      <c r="B1809" s="151" t="str">
        <f>VLOOKUP(A1809,'[106]Analisis Mano de Obra'!$A$50:$F$108,2,0)</f>
        <v>CUADRILLA FF TIPO 1 (1 OFICIAL + 1 AYUDANTE) (Electricas)</v>
      </c>
      <c r="C1809" s="88" t="s">
        <v>3818</v>
      </c>
      <c r="D1809" s="89" t="str">
        <f>VLOOKUP(A1809,'[106]Analisis Mano de Obra'!$A$50:$F$108,5,0)</f>
        <v>hr</v>
      </c>
      <c r="E1809" s="90">
        <f t="shared" si="343"/>
        <v>32572</v>
      </c>
      <c r="F1809" s="90">
        <f>VLOOKUP(A1809,'[106]Analisis Mano de Obra'!$A$50:$F$108,6,0)</f>
        <v>32572</v>
      </c>
      <c r="G1809" s="91"/>
      <c r="H1809" s="91" t="s">
        <v>228</v>
      </c>
      <c r="I1809" s="91" t="s">
        <v>228</v>
      </c>
      <c r="J1809" s="91" t="s">
        <v>228</v>
      </c>
      <c r="K1809" s="91" t="s">
        <v>228</v>
      </c>
      <c r="L1809" s="92" t="s">
        <v>302</v>
      </c>
      <c r="M1809" s="91" t="s">
        <v>90</v>
      </c>
      <c r="N1809" s="93">
        <v>41608</v>
      </c>
      <c r="O1809" s="94"/>
      <c r="P1809" s="94"/>
      <c r="Q1809" s="94">
        <v>6</v>
      </c>
      <c r="R1809" s="95">
        <f t="shared" si="347"/>
        <v>27492.157221905352</v>
      </c>
      <c r="S1809" s="94">
        <v>17991</v>
      </c>
      <c r="T1809" s="94">
        <f t="shared" si="345"/>
        <v>19208.990700000002</v>
      </c>
      <c r="U1809" s="94">
        <f t="shared" si="341"/>
        <v>20313.507665250003</v>
      </c>
      <c r="V1809" s="94">
        <f t="shared" si="342"/>
        <v>21144.330128758727</v>
      </c>
      <c r="W1809" s="97">
        <f t="shared" si="350"/>
        <v>21816.719826853256</v>
      </c>
      <c r="X1809" s="97">
        <f t="shared" si="351"/>
        <v>22645.755180273682</v>
      </c>
      <c r="Y1809" s="97">
        <f t="shared" si="346"/>
        <v>23010.351838676088</v>
      </c>
      <c r="Z1809" s="97">
        <f t="shared" si="348"/>
        <v>24303.533612009684</v>
      </c>
      <c r="AA1809" s="97">
        <f t="shared" si="349"/>
        <v>27492.157221905352</v>
      </c>
    </row>
    <row r="1810" spans="1:27" x14ac:dyDescent="0.25">
      <c r="A1810" s="86" t="s">
        <v>130</v>
      </c>
      <c r="B1810" s="151" t="str">
        <f>VLOOKUP(A1810,'[106]Analisis Mano de Obra'!$A$50:$F$108,2,0)</f>
        <v>CUADRILLA GG TIPO 1 (1 OFICIAL + 1 AYUDANTE) (Alumbrado Publico)</v>
      </c>
      <c r="C1810" s="88" t="s">
        <v>3818</v>
      </c>
      <c r="D1810" s="89" t="str">
        <f>VLOOKUP(A1810,'[106]Analisis Mano de Obra'!$A$50:$F$108,5,0)</f>
        <v>hr</v>
      </c>
      <c r="E1810" s="90">
        <f t="shared" si="343"/>
        <v>49830</v>
      </c>
      <c r="F1810" s="90">
        <f>VLOOKUP(A1810,'[106]Analisis Mano de Obra'!$A$50:$F$108,6,0)</f>
        <v>49830</v>
      </c>
      <c r="G1810" s="91"/>
      <c r="H1810" s="91" t="s">
        <v>228</v>
      </c>
      <c r="I1810" s="91" t="s">
        <v>228</v>
      </c>
      <c r="J1810" s="91" t="s">
        <v>228</v>
      </c>
      <c r="K1810" s="91" t="s">
        <v>228</v>
      </c>
      <c r="L1810" s="92" t="s">
        <v>302</v>
      </c>
      <c r="M1810" s="91" t="s">
        <v>90</v>
      </c>
      <c r="N1810" s="93">
        <v>41608</v>
      </c>
      <c r="O1810" s="94"/>
      <c r="P1810" s="94"/>
      <c r="Q1810" s="94">
        <v>7</v>
      </c>
      <c r="R1810" s="95">
        <f t="shared" si="347"/>
        <v>42093.211207526263</v>
      </c>
      <c r="S1810" s="94">
        <v>27546</v>
      </c>
      <c r="T1810" s="94">
        <f t="shared" si="345"/>
        <v>29410.864200000004</v>
      </c>
      <c r="U1810" s="94">
        <f t="shared" si="341"/>
        <v>31101.988891500008</v>
      </c>
      <c r="V1810" s="94">
        <f t="shared" si="342"/>
        <v>32374.060237162357</v>
      </c>
      <c r="W1810" s="97">
        <f t="shared" si="350"/>
        <v>33403.555352704119</v>
      </c>
      <c r="X1810" s="97">
        <f t="shared" si="351"/>
        <v>34672.890456106878</v>
      </c>
      <c r="Y1810" s="97">
        <f t="shared" si="346"/>
        <v>35231.123992450201</v>
      </c>
      <c r="Z1810" s="97">
        <f t="shared" si="348"/>
        <v>37211.113160825902</v>
      </c>
      <c r="AA1810" s="97">
        <f t="shared" si="349"/>
        <v>42093.211207526263</v>
      </c>
    </row>
    <row r="1811" spans="1:27" x14ac:dyDescent="0.25">
      <c r="A1811" s="86" t="s">
        <v>132</v>
      </c>
      <c r="B1811" s="151" t="str">
        <f>VLOOKUP(A1811,'[106]Analisis Mano de Obra'!$A$50:$F$108,2,0)</f>
        <v>CUADRILLA AA TIPO 2 (1 OFICIAL + 2 AYUDANTE) (Albañileria)</v>
      </c>
      <c r="C1811" s="88" t="s">
        <v>3818</v>
      </c>
      <c r="D1811" s="89" t="str">
        <f>VLOOKUP(A1811,'[106]Analisis Mano de Obra'!$A$50:$F$108,5,0)</f>
        <v>hr</v>
      </c>
      <c r="E1811" s="90">
        <f t="shared" si="343"/>
        <v>32080</v>
      </c>
      <c r="F1811" s="90">
        <f>VLOOKUP(A1811,'[106]Analisis Mano de Obra'!$A$50:$F$108,6,0)</f>
        <v>32080</v>
      </c>
      <c r="G1811" s="91"/>
      <c r="H1811" s="91" t="s">
        <v>228</v>
      </c>
      <c r="I1811" s="91" t="s">
        <v>228</v>
      </c>
      <c r="J1811" s="91" t="s">
        <v>228</v>
      </c>
      <c r="K1811" s="91" t="s">
        <v>228</v>
      </c>
      <c r="L1811" s="92" t="s">
        <v>302</v>
      </c>
      <c r="M1811" s="91" t="s">
        <v>90</v>
      </c>
      <c r="N1811" s="93">
        <v>41608</v>
      </c>
      <c r="O1811" s="94"/>
      <c r="P1811" s="94"/>
      <c r="Q1811" s="94">
        <v>8</v>
      </c>
      <c r="R1811" s="95">
        <f t="shared" si="347"/>
        <v>26833.543483778441</v>
      </c>
      <c r="S1811" s="94">
        <v>17560</v>
      </c>
      <c r="T1811" s="94">
        <f t="shared" si="345"/>
        <v>18748.812000000002</v>
      </c>
      <c r="U1811" s="94">
        <f t="shared" si="341"/>
        <v>19826.868690000003</v>
      </c>
      <c r="V1811" s="94">
        <f t="shared" si="342"/>
        <v>20637.787619421</v>
      </c>
      <c r="W1811" s="97">
        <f t="shared" si="350"/>
        <v>21294.06926571859</v>
      </c>
      <c r="X1811" s="97">
        <f t="shared" si="351"/>
        <v>22103.243897815897</v>
      </c>
      <c r="Y1811" s="97">
        <f t="shared" si="346"/>
        <v>22459.106124570731</v>
      </c>
      <c r="Z1811" s="97">
        <f t="shared" si="348"/>
        <v>23721.307888771607</v>
      </c>
      <c r="AA1811" s="97">
        <f t="shared" si="349"/>
        <v>26833.543483778441</v>
      </c>
    </row>
    <row r="1812" spans="1:27" x14ac:dyDescent="0.25">
      <c r="A1812" s="86" t="s">
        <v>134</v>
      </c>
      <c r="B1812" s="151" t="str">
        <f>VLOOKUP(A1812,'[106]Analisis Mano de Obra'!$A$50:$F$108,2,0)</f>
        <v>CUADRILLA BB TIPO 2 (1 OFICIAL + 2 AYUDANTE) (Instalaciones)</v>
      </c>
      <c r="C1812" s="88" t="s">
        <v>3818</v>
      </c>
      <c r="D1812" s="89" t="str">
        <f>VLOOKUP(A1812,'[106]Analisis Mano de Obra'!$A$50:$F$108,5,0)</f>
        <v>hr</v>
      </c>
      <c r="E1812" s="90">
        <f t="shared" si="343"/>
        <v>35288</v>
      </c>
      <c r="F1812" s="90">
        <f>VLOOKUP(A1812,'[106]Analisis Mano de Obra'!$A$50:$F$108,6,0)</f>
        <v>35288</v>
      </c>
      <c r="G1812" s="91"/>
      <c r="H1812" s="91" t="s">
        <v>228</v>
      </c>
      <c r="I1812" s="91" t="s">
        <v>228</v>
      </c>
      <c r="J1812" s="91" t="s">
        <v>228</v>
      </c>
      <c r="K1812" s="91" t="s">
        <v>228</v>
      </c>
      <c r="L1812" s="92" t="s">
        <v>302</v>
      </c>
      <c r="M1812" s="91" t="s">
        <v>90</v>
      </c>
      <c r="N1812" s="93">
        <v>41608</v>
      </c>
      <c r="O1812" s="94"/>
      <c r="P1812" s="94"/>
      <c r="Q1812" s="94">
        <v>9</v>
      </c>
      <c r="R1812" s="95">
        <f t="shared" si="347"/>
        <v>29515.36972603534</v>
      </c>
      <c r="S1812" s="94">
        <v>19315</v>
      </c>
      <c r="T1812" s="94">
        <f t="shared" si="345"/>
        <v>20622.625500000002</v>
      </c>
      <c r="U1812" s="94">
        <f t="shared" ref="U1812:U1875" si="352">+T1812*(1+$U$4)</f>
        <v>21808.426466250003</v>
      </c>
      <c r="V1812" s="94">
        <f t="shared" ref="V1812:V1875" si="353">+U1812*(1+$V$4)</f>
        <v>22700.391108719625</v>
      </c>
      <c r="W1812" s="97">
        <f t="shared" si="350"/>
        <v>23422.263545976912</v>
      </c>
      <c r="X1812" s="97">
        <f t="shared" si="351"/>
        <v>24312.309560724036</v>
      </c>
      <c r="Y1812" s="97">
        <f t="shared" si="346"/>
        <v>24703.737744651691</v>
      </c>
      <c r="Z1812" s="97">
        <f t="shared" si="348"/>
        <v>26092.087805901116</v>
      </c>
      <c r="AA1812" s="97">
        <f t="shared" si="349"/>
        <v>29515.36972603534</v>
      </c>
    </row>
    <row r="1813" spans="1:27" x14ac:dyDescent="0.25">
      <c r="A1813" s="86" t="s">
        <v>136</v>
      </c>
      <c r="B1813" s="151" t="str">
        <f>VLOOKUP(A1813,'[106]Analisis Mano de Obra'!$A$50:$F$108,2,0)</f>
        <v>CUADRILLA CC TIPO 2 (1 OFICIAL + 2 AYUDANTE) (Pintura)</v>
      </c>
      <c r="C1813" s="88" t="s">
        <v>3818</v>
      </c>
      <c r="D1813" s="89" t="str">
        <f>VLOOKUP(A1813,'[106]Analisis Mano de Obra'!$A$50:$F$108,5,0)</f>
        <v>hr</v>
      </c>
      <c r="E1813" s="90">
        <f t="shared" si="343"/>
        <v>36893</v>
      </c>
      <c r="F1813" s="90">
        <f>VLOOKUP(A1813,'[106]Analisis Mano de Obra'!$A$50:$F$108,6,0)</f>
        <v>36893</v>
      </c>
      <c r="G1813" s="91"/>
      <c r="H1813" s="91" t="s">
        <v>228</v>
      </c>
      <c r="I1813" s="91" t="s">
        <v>228</v>
      </c>
      <c r="J1813" s="91" t="s">
        <v>228</v>
      </c>
      <c r="K1813" s="91" t="s">
        <v>228</v>
      </c>
      <c r="L1813" s="92" t="s">
        <v>302</v>
      </c>
      <c r="M1813" s="91" t="s">
        <v>90</v>
      </c>
      <c r="N1813" s="93">
        <v>41608</v>
      </c>
      <c r="O1813" s="94"/>
      <c r="P1813" s="94"/>
      <c r="Q1813" s="94">
        <v>10</v>
      </c>
      <c r="R1813" s="95">
        <f t="shared" si="347"/>
        <v>30857.046900224264</v>
      </c>
      <c r="S1813" s="94">
        <v>20193</v>
      </c>
      <c r="T1813" s="94">
        <f t="shared" si="345"/>
        <v>21560.066100000004</v>
      </c>
      <c r="U1813" s="94">
        <f t="shared" si="352"/>
        <v>22799.769900750005</v>
      </c>
      <c r="V1813" s="94">
        <f t="shared" si="353"/>
        <v>23732.280489690678</v>
      </c>
      <c r="W1813" s="97">
        <f t="shared" si="350"/>
        <v>24486.967009262844</v>
      </c>
      <c r="X1813" s="97">
        <f t="shared" si="351"/>
        <v>25417.471755614832</v>
      </c>
      <c r="Y1813" s="97">
        <f t="shared" si="346"/>
        <v>25826.693050880229</v>
      </c>
      <c r="Z1813" s="97">
        <f t="shared" si="348"/>
        <v>27278.153200339697</v>
      </c>
      <c r="AA1813" s="97">
        <f t="shared" si="349"/>
        <v>30857.046900224264</v>
      </c>
    </row>
    <row r="1814" spans="1:27" x14ac:dyDescent="0.25">
      <c r="A1814" s="86" t="s">
        <v>138</v>
      </c>
      <c r="B1814" s="151" t="str">
        <f>VLOOKUP(A1814,'[106]Analisis Mano de Obra'!$A$50:$F$108,2,0)</f>
        <v>CUADRILLA DD TIPO 2 (1 OFICIAL + 2 AYUDANTE) (Carpinteria)</v>
      </c>
      <c r="C1814" s="88" t="s">
        <v>3818</v>
      </c>
      <c r="D1814" s="89" t="str">
        <f>VLOOKUP(A1814,'[106]Analisis Mano de Obra'!$A$50:$F$108,5,0)</f>
        <v>hr</v>
      </c>
      <c r="E1814" s="90">
        <f t="shared" ref="E1814:E1876" si="354">+ROUND(F1814*(1+G1814),0)</f>
        <v>36893</v>
      </c>
      <c r="F1814" s="90">
        <f>VLOOKUP(A1814,'[106]Analisis Mano de Obra'!$A$50:$F$108,6,0)</f>
        <v>36893</v>
      </c>
      <c r="G1814" s="91"/>
      <c r="H1814" s="91" t="s">
        <v>228</v>
      </c>
      <c r="I1814" s="91" t="s">
        <v>228</v>
      </c>
      <c r="J1814" s="91" t="s">
        <v>228</v>
      </c>
      <c r="K1814" s="91" t="s">
        <v>228</v>
      </c>
      <c r="L1814" s="92" t="s">
        <v>302</v>
      </c>
      <c r="M1814" s="91" t="s">
        <v>90</v>
      </c>
      <c r="N1814" s="93">
        <v>41608</v>
      </c>
      <c r="O1814" s="94"/>
      <c r="P1814" s="94"/>
      <c r="Q1814" s="94">
        <v>11</v>
      </c>
      <c r="R1814" s="95">
        <f t="shared" si="347"/>
        <v>30857.046900224264</v>
      </c>
      <c r="S1814" s="94">
        <v>20193</v>
      </c>
      <c r="T1814" s="94">
        <f t="shared" si="345"/>
        <v>21560.066100000004</v>
      </c>
      <c r="U1814" s="94">
        <f t="shared" si="352"/>
        <v>22799.769900750005</v>
      </c>
      <c r="V1814" s="94">
        <f t="shared" si="353"/>
        <v>23732.280489690678</v>
      </c>
      <c r="W1814" s="97">
        <f t="shared" si="350"/>
        <v>24486.967009262844</v>
      </c>
      <c r="X1814" s="97">
        <f t="shared" si="351"/>
        <v>25417.471755614832</v>
      </c>
      <c r="Y1814" s="97">
        <f t="shared" si="346"/>
        <v>25826.693050880229</v>
      </c>
      <c r="Z1814" s="97">
        <f t="shared" si="348"/>
        <v>27278.153200339697</v>
      </c>
      <c r="AA1814" s="97">
        <f t="shared" si="349"/>
        <v>30857.046900224264</v>
      </c>
    </row>
    <row r="1815" spans="1:27" x14ac:dyDescent="0.25">
      <c r="A1815" s="86" t="s">
        <v>140</v>
      </c>
      <c r="B1815" s="151" t="str">
        <f>VLOOKUP(A1815,'[106]Analisis Mano de Obra'!$A$50:$F$108,2,0)</f>
        <v>CUADRILLA EE TIPO 2 (1 OFICIAL + 2 AYUDANTE) (Dry Wall)</v>
      </c>
      <c r="C1815" s="88" t="s">
        <v>3818</v>
      </c>
      <c r="D1815" s="89" t="str">
        <f>VLOOKUP(A1815,'[106]Analisis Mano de Obra'!$A$50:$F$108,5,0)</f>
        <v>hr</v>
      </c>
      <c r="E1815" s="90">
        <f t="shared" si="354"/>
        <v>35931</v>
      </c>
      <c r="F1815" s="90">
        <f>VLOOKUP(A1815,'[106]Analisis Mano de Obra'!$A$50:$F$108,6,0)</f>
        <v>35931</v>
      </c>
      <c r="G1815" s="91"/>
      <c r="H1815" s="91" t="s">
        <v>228</v>
      </c>
      <c r="I1815" s="91" t="s">
        <v>228</v>
      </c>
      <c r="J1815" s="91" t="s">
        <v>228</v>
      </c>
      <c r="K1815" s="91" t="s">
        <v>228</v>
      </c>
      <c r="L1815" s="92" t="s">
        <v>302</v>
      </c>
      <c r="M1815" s="91" t="s">
        <v>90</v>
      </c>
      <c r="N1815" s="93">
        <v>41608</v>
      </c>
      <c r="O1815" s="94"/>
      <c r="P1815" s="94"/>
      <c r="Q1815" s="94">
        <v>12</v>
      </c>
      <c r="R1815" s="95">
        <f t="shared" si="347"/>
        <v>30053.26308060767</v>
      </c>
      <c r="S1815" s="94">
        <v>19667</v>
      </c>
      <c r="T1815" s="94">
        <f t="shared" si="345"/>
        <v>20998.455900000001</v>
      </c>
      <c r="U1815" s="94">
        <f t="shared" si="352"/>
        <v>22205.867114250002</v>
      </c>
      <c r="V1815" s="94">
        <f t="shared" si="353"/>
        <v>23114.087079222827</v>
      </c>
      <c r="W1815" s="97">
        <f t="shared" si="350"/>
        <v>23849.115048342115</v>
      </c>
      <c r="X1815" s="97">
        <f t="shared" si="351"/>
        <v>24755.381420179117</v>
      </c>
      <c r="Y1815" s="97">
        <f t="shared" si="346"/>
        <v>25153.943061043999</v>
      </c>
      <c r="Z1815" s="97">
        <f t="shared" si="348"/>
        <v>26567.594661074672</v>
      </c>
      <c r="AA1815" s="97">
        <f t="shared" si="349"/>
        <v>30053.26308060767</v>
      </c>
    </row>
    <row r="1816" spans="1:27" x14ac:dyDescent="0.25">
      <c r="A1816" s="86" t="s">
        <v>142</v>
      </c>
      <c r="B1816" s="151" t="str">
        <f>VLOOKUP(A1816,'[106]Analisis Mano de Obra'!$A$50:$F$108,2,0)</f>
        <v>CUADRILLA FF TIPO 2 (1 OFICIAL + 2 AYUDANTE) (Electricas)</v>
      </c>
      <c r="C1816" s="88" t="s">
        <v>3818</v>
      </c>
      <c r="D1816" s="89" t="str">
        <f>VLOOKUP(A1816,'[106]Analisis Mano de Obra'!$A$50:$F$108,5,0)</f>
        <v>hr</v>
      </c>
      <c r="E1816" s="90">
        <f t="shared" si="354"/>
        <v>45939</v>
      </c>
      <c r="F1816" s="90">
        <f>VLOOKUP(A1816,'[106]Analisis Mano de Obra'!$A$50:$F$108,6,0)</f>
        <v>45939</v>
      </c>
      <c r="G1816" s="91"/>
      <c r="H1816" s="91" t="s">
        <v>228</v>
      </c>
      <c r="I1816" s="91" t="s">
        <v>228</v>
      </c>
      <c r="J1816" s="91" t="s">
        <v>228</v>
      </c>
      <c r="K1816" s="91" t="s">
        <v>228</v>
      </c>
      <c r="L1816" s="92" t="s">
        <v>302</v>
      </c>
      <c r="M1816" s="91" t="s">
        <v>90</v>
      </c>
      <c r="N1816" s="93">
        <v>41608</v>
      </c>
      <c r="O1816" s="94"/>
      <c r="P1816" s="94"/>
      <c r="Q1816" s="94">
        <v>13</v>
      </c>
      <c r="R1816" s="95">
        <f t="shared" si="347"/>
        <v>38671.781602732408</v>
      </c>
      <c r="S1816" s="94">
        <v>25307</v>
      </c>
      <c r="T1816" s="94">
        <f t="shared" si="345"/>
        <v>27020.283900000002</v>
      </c>
      <c r="U1816" s="94">
        <f t="shared" si="352"/>
        <v>28573.950224250006</v>
      </c>
      <c r="V1816" s="94">
        <f t="shared" si="353"/>
        <v>29742.624788421828</v>
      </c>
      <c r="W1816" s="97">
        <f t="shared" si="350"/>
        <v>30688.440256693644</v>
      </c>
      <c r="X1816" s="97">
        <f t="shared" si="351"/>
        <v>31854.600986448004</v>
      </c>
      <c r="Y1816" s="97">
        <f t="shared" si="346"/>
        <v>32367.460062329817</v>
      </c>
      <c r="Z1816" s="97">
        <f t="shared" si="348"/>
        <v>34186.511317832752</v>
      </c>
      <c r="AA1816" s="97">
        <f t="shared" si="349"/>
        <v>38671.781602732408</v>
      </c>
    </row>
    <row r="1817" spans="1:27" x14ac:dyDescent="0.25">
      <c r="A1817" s="86" t="s">
        <v>144</v>
      </c>
      <c r="B1817" s="151" t="str">
        <f>VLOOKUP(A1817,'[106]Analisis Mano de Obra'!$A$50:$F$108,2,0)</f>
        <v>CUADRILLA GG TIPO 2 (1 OFICIAL + 2 AYUDANTE) (Alumbrado Publico)</v>
      </c>
      <c r="C1817" s="88" t="s">
        <v>3818</v>
      </c>
      <c r="D1817" s="89" t="str">
        <f>VLOOKUP(A1817,'[106]Analisis Mano de Obra'!$A$50:$F$108,5,0)</f>
        <v>hr</v>
      </c>
      <c r="E1817" s="90">
        <f t="shared" si="354"/>
        <v>67652</v>
      </c>
      <c r="F1817" s="90">
        <f>VLOOKUP(A1817,'[106]Analisis Mano de Obra'!$A$50:$F$108,6,0)</f>
        <v>67652</v>
      </c>
      <c r="G1817" s="91"/>
      <c r="H1817" s="91" t="s">
        <v>228</v>
      </c>
      <c r="I1817" s="91" t="s">
        <v>228</v>
      </c>
      <c r="J1817" s="91" t="s">
        <v>228</v>
      </c>
      <c r="K1817" s="91" t="s">
        <v>228</v>
      </c>
      <c r="L1817" s="92" t="s">
        <v>302</v>
      </c>
      <c r="M1817" s="91" t="s">
        <v>90</v>
      </c>
      <c r="N1817" s="93">
        <v>41608</v>
      </c>
      <c r="O1817" s="94"/>
      <c r="P1817" s="94"/>
      <c r="Q1817" s="94">
        <v>14</v>
      </c>
      <c r="R1817" s="95">
        <f t="shared" si="347"/>
        <v>56999.886417335983</v>
      </c>
      <c r="S1817" s="94">
        <v>37301</v>
      </c>
      <c r="T1817" s="94">
        <f t="shared" si="345"/>
        <v>39826.277700000006</v>
      </c>
      <c r="U1817" s="94">
        <f t="shared" si="352"/>
        <v>42116.288667750014</v>
      </c>
      <c r="V1817" s="94">
        <f t="shared" si="353"/>
        <v>43838.844874260983</v>
      </c>
      <c r="W1817" s="97">
        <f t="shared" si="350"/>
        <v>45232.920141262483</v>
      </c>
      <c r="X1817" s="97">
        <f t="shared" si="351"/>
        <v>46951.771106630462</v>
      </c>
      <c r="Y1817" s="97">
        <f t="shared" si="346"/>
        <v>47707.694621447212</v>
      </c>
      <c r="Z1817" s="97">
        <f t="shared" si="348"/>
        <v>50388.867059172546</v>
      </c>
      <c r="AA1817" s="97">
        <f t="shared" si="349"/>
        <v>56999.886417335983</v>
      </c>
    </row>
    <row r="1818" spans="1:27" x14ac:dyDescent="0.25">
      <c r="A1818" s="86" t="s">
        <v>146</v>
      </c>
      <c r="B1818" s="151" t="str">
        <f>VLOOKUP(A1818,'[106]Analisis Mano de Obra'!$A$50:$F$108,2,0)</f>
        <v>CUADRILLA AA TIPO 3 (1 OFICIAL + 3 AYUDANTE) (Albañileria)</v>
      </c>
      <c r="C1818" s="88" t="s">
        <v>3818</v>
      </c>
      <c r="D1818" s="89" t="str">
        <f>VLOOKUP(A1818,'[106]Analisis Mano de Obra'!$A$50:$F$108,5,0)</f>
        <v>hr</v>
      </c>
      <c r="E1818" s="90">
        <f t="shared" si="354"/>
        <v>40991</v>
      </c>
      <c r="F1818" s="90">
        <f>VLOOKUP(A1818,'[106]Analisis Mano de Obra'!$A$50:$F$108,6,0)</f>
        <v>40991</v>
      </c>
      <c r="G1818" s="91"/>
      <c r="H1818" s="91" t="s">
        <v>228</v>
      </c>
      <c r="I1818" s="91" t="s">
        <v>228</v>
      </c>
      <c r="J1818" s="91" t="s">
        <v>228</v>
      </c>
      <c r="K1818" s="91" t="s">
        <v>228</v>
      </c>
      <c r="L1818" s="92" t="s">
        <v>302</v>
      </c>
      <c r="M1818" s="91" t="s">
        <v>90</v>
      </c>
      <c r="N1818" s="93">
        <v>41608</v>
      </c>
      <c r="O1818" s="94"/>
      <c r="P1818" s="94"/>
      <c r="Q1818" s="94">
        <v>15</v>
      </c>
      <c r="R1818" s="95">
        <f t="shared" si="347"/>
        <v>34287.645141743778</v>
      </c>
      <c r="S1818" s="94">
        <v>22438</v>
      </c>
      <c r="T1818" s="94">
        <f t="shared" si="345"/>
        <v>23957.052600000003</v>
      </c>
      <c r="U1818" s="94">
        <f t="shared" si="352"/>
        <v>25334.583124500004</v>
      </c>
      <c r="V1818" s="94">
        <f t="shared" si="353"/>
        <v>26370.767574292055</v>
      </c>
      <c r="W1818" s="97">
        <f t="shared" si="350"/>
        <v>27209.357983154543</v>
      </c>
      <c r="X1818" s="97">
        <f t="shared" si="351"/>
        <v>28243.313586514418</v>
      </c>
      <c r="Y1818" s="97">
        <f t="shared" si="346"/>
        <v>28698.030935257299</v>
      </c>
      <c r="Z1818" s="97">
        <f t="shared" si="348"/>
        <v>30310.860273818758</v>
      </c>
      <c r="AA1818" s="97">
        <f t="shared" si="349"/>
        <v>34287.645141743778</v>
      </c>
    </row>
    <row r="1819" spans="1:27" x14ac:dyDescent="0.25">
      <c r="A1819" s="86" t="s">
        <v>148</v>
      </c>
      <c r="B1819" s="151" t="str">
        <f>VLOOKUP(A1819,'[106]Analisis Mano de Obra'!$A$50:$F$108,2,0)</f>
        <v>CUADRILLA BB TIPO 3 (1 OFICIAL + 3 AYUDANTE) (Instalaciones)</v>
      </c>
      <c r="C1819" s="88" t="s">
        <v>3818</v>
      </c>
      <c r="D1819" s="89" t="str">
        <f>VLOOKUP(A1819,'[106]Analisis Mano de Obra'!$A$50:$F$108,5,0)</f>
        <v>hr</v>
      </c>
      <c r="E1819" s="90">
        <f t="shared" si="354"/>
        <v>45090</v>
      </c>
      <c r="F1819" s="90">
        <f>VLOOKUP(A1819,'[106]Analisis Mano de Obra'!$A$50:$F$108,6,0)</f>
        <v>45090</v>
      </c>
      <c r="G1819" s="91"/>
      <c r="H1819" s="91" t="s">
        <v>228</v>
      </c>
      <c r="I1819" s="91" t="s">
        <v>228</v>
      </c>
      <c r="J1819" s="91" t="s">
        <v>228</v>
      </c>
      <c r="K1819" s="91" t="s">
        <v>228</v>
      </c>
      <c r="L1819" s="92" t="s">
        <v>302</v>
      </c>
      <c r="M1819" s="91" t="s">
        <v>90</v>
      </c>
      <c r="N1819" s="93">
        <v>41608</v>
      </c>
      <c r="O1819" s="94"/>
      <c r="P1819" s="94"/>
      <c r="Q1819" s="94">
        <v>16</v>
      </c>
      <c r="R1819" s="95">
        <f t="shared" si="347"/>
        <v>37713.659064900465</v>
      </c>
      <c r="S1819" s="94">
        <v>24680</v>
      </c>
      <c r="T1819" s="94">
        <f t="shared" si="345"/>
        <v>26350.836000000003</v>
      </c>
      <c r="U1819" s="94">
        <f t="shared" si="352"/>
        <v>27866.009070000007</v>
      </c>
      <c r="V1819" s="94">
        <f t="shared" si="353"/>
        <v>29005.728840963005</v>
      </c>
      <c r="W1819" s="97">
        <f t="shared" si="350"/>
        <v>29928.111018105632</v>
      </c>
      <c r="X1819" s="97">
        <f t="shared" si="351"/>
        <v>31065.379236793648</v>
      </c>
      <c r="Y1819" s="97">
        <f t="shared" si="346"/>
        <v>31565.531842506025</v>
      </c>
      <c r="Z1819" s="97">
        <f t="shared" si="348"/>
        <v>33339.514732054864</v>
      </c>
      <c r="AA1819" s="97">
        <f t="shared" si="349"/>
        <v>37713.659064900465</v>
      </c>
    </row>
    <row r="1820" spans="1:27" x14ac:dyDescent="0.25">
      <c r="A1820" s="86" t="s">
        <v>150</v>
      </c>
      <c r="B1820" s="151" t="str">
        <f>VLOOKUP(A1820,'[106]Analisis Mano de Obra'!$A$50:$F$108,2,0)</f>
        <v>CUADRILLA CC TIPO 3 (1 OFICIAL + 3 AYUDANTE) (Pintura)</v>
      </c>
      <c r="C1820" s="88" t="s">
        <v>3818</v>
      </c>
      <c r="D1820" s="89" t="str">
        <f>VLOOKUP(A1820,'[106]Analisis Mano de Obra'!$A$50:$F$108,5,0)</f>
        <v>hr</v>
      </c>
      <c r="E1820" s="90">
        <f t="shared" si="354"/>
        <v>47141</v>
      </c>
      <c r="F1820" s="90">
        <f>VLOOKUP(A1820,'[106]Analisis Mano de Obra'!$A$50:$F$108,6,0)</f>
        <v>47141</v>
      </c>
      <c r="G1820" s="91"/>
      <c r="H1820" s="91" t="s">
        <v>228</v>
      </c>
      <c r="I1820" s="91" t="s">
        <v>228</v>
      </c>
      <c r="J1820" s="91" t="s">
        <v>228</v>
      </c>
      <c r="K1820" s="91" t="s">
        <v>228</v>
      </c>
      <c r="L1820" s="92" t="s">
        <v>302</v>
      </c>
      <c r="M1820" s="91" t="s">
        <v>90</v>
      </c>
      <c r="N1820" s="93">
        <v>41608</v>
      </c>
      <c r="O1820" s="94"/>
      <c r="P1820" s="94"/>
      <c r="Q1820" s="94">
        <v>17</v>
      </c>
      <c r="R1820" s="95">
        <f t="shared" si="347"/>
        <v>39428.19413259974</v>
      </c>
      <c r="S1820" s="94">
        <v>25802</v>
      </c>
      <c r="T1820" s="94">
        <f t="shared" si="345"/>
        <v>27548.795400000003</v>
      </c>
      <c r="U1820" s="94">
        <f t="shared" si="352"/>
        <v>29132.851135500005</v>
      </c>
      <c r="V1820" s="94">
        <f t="shared" si="353"/>
        <v>30324.384746941952</v>
      </c>
      <c r="W1820" s="97">
        <f t="shared" si="350"/>
        <v>31288.700181894706</v>
      </c>
      <c r="X1820" s="97">
        <f t="shared" si="351"/>
        <v>32477.670788806707</v>
      </c>
      <c r="Y1820" s="97">
        <f t="shared" si="346"/>
        <v>33000.561288506498</v>
      </c>
      <c r="Z1820" s="97">
        <f t="shared" si="348"/>
        <v>34855.192832920562</v>
      </c>
      <c r="AA1820" s="97">
        <f t="shared" si="349"/>
        <v>39428.19413259974</v>
      </c>
    </row>
    <row r="1821" spans="1:27" x14ac:dyDescent="0.25">
      <c r="A1821" s="86" t="s">
        <v>152</v>
      </c>
      <c r="B1821" s="151" t="str">
        <f>VLOOKUP(A1821,'[106]Analisis Mano de Obra'!$A$50:$F$108,2,0)</f>
        <v>CUADRILLA DD TIPO 3 (1 OFICIAL + 3 AYUDANTE) (Carpinteria)</v>
      </c>
      <c r="C1821" s="88" t="s">
        <v>3818</v>
      </c>
      <c r="D1821" s="89" t="str">
        <f>VLOOKUP(A1821,'[106]Analisis Mano de Obra'!$A$50:$F$108,5,0)</f>
        <v>hr</v>
      </c>
      <c r="E1821" s="90">
        <f t="shared" si="354"/>
        <v>47141</v>
      </c>
      <c r="F1821" s="90">
        <f>VLOOKUP(A1821,'[106]Analisis Mano de Obra'!$A$50:$F$108,6,0)</f>
        <v>47141</v>
      </c>
      <c r="G1821" s="91"/>
      <c r="H1821" s="91" t="s">
        <v>228</v>
      </c>
      <c r="I1821" s="91" t="s">
        <v>228</v>
      </c>
      <c r="J1821" s="91" t="s">
        <v>228</v>
      </c>
      <c r="K1821" s="91" t="s">
        <v>228</v>
      </c>
      <c r="L1821" s="92" t="s">
        <v>302</v>
      </c>
      <c r="M1821" s="91" t="s">
        <v>90</v>
      </c>
      <c r="N1821" s="93">
        <v>41608</v>
      </c>
      <c r="O1821" s="94"/>
      <c r="P1821" s="94"/>
      <c r="Q1821" s="94">
        <v>18</v>
      </c>
      <c r="R1821" s="95">
        <f t="shared" si="347"/>
        <v>39428.19413259974</v>
      </c>
      <c r="S1821" s="94">
        <v>25802</v>
      </c>
      <c r="T1821" s="94">
        <f t="shared" si="345"/>
        <v>27548.795400000003</v>
      </c>
      <c r="U1821" s="94">
        <f t="shared" si="352"/>
        <v>29132.851135500005</v>
      </c>
      <c r="V1821" s="94">
        <f t="shared" si="353"/>
        <v>30324.384746941952</v>
      </c>
      <c r="W1821" s="97">
        <f t="shared" si="350"/>
        <v>31288.700181894706</v>
      </c>
      <c r="X1821" s="97">
        <f t="shared" si="351"/>
        <v>32477.670788806707</v>
      </c>
      <c r="Y1821" s="97">
        <f t="shared" si="346"/>
        <v>33000.561288506498</v>
      </c>
      <c r="Z1821" s="97">
        <f t="shared" si="348"/>
        <v>34855.192832920562</v>
      </c>
      <c r="AA1821" s="97">
        <f t="shared" si="349"/>
        <v>39428.19413259974</v>
      </c>
    </row>
    <row r="1822" spans="1:27" x14ac:dyDescent="0.25">
      <c r="A1822" s="86" t="s">
        <v>154</v>
      </c>
      <c r="B1822" s="151" t="str">
        <f>VLOOKUP(A1822,'[106]Analisis Mano de Obra'!$A$50:$F$108,2,0)</f>
        <v>CUADRILLA EE TIPO 3 (1 OFICIAL + 3 AYUDANTE) (Dry Wall)</v>
      </c>
      <c r="C1822" s="88" t="s">
        <v>3818</v>
      </c>
      <c r="D1822" s="89" t="str">
        <f>VLOOKUP(A1822,'[106]Analisis Mano de Obra'!$A$50:$F$108,5,0)</f>
        <v>hr</v>
      </c>
      <c r="E1822" s="90">
        <f t="shared" si="354"/>
        <v>45912</v>
      </c>
      <c r="F1822" s="90">
        <f>VLOOKUP(A1822,'[106]Analisis Mano de Obra'!$A$50:$F$108,6,0)</f>
        <v>45912</v>
      </c>
      <c r="G1822" s="91"/>
      <c r="H1822" s="91" t="s">
        <v>228</v>
      </c>
      <c r="I1822" s="91" t="s">
        <v>228</v>
      </c>
      <c r="J1822" s="91" t="s">
        <v>228</v>
      </c>
      <c r="K1822" s="91" t="s">
        <v>228</v>
      </c>
      <c r="L1822" s="92" t="s">
        <v>302</v>
      </c>
      <c r="M1822" s="91" t="s">
        <v>90</v>
      </c>
      <c r="N1822" s="93">
        <v>41608</v>
      </c>
      <c r="O1822" s="94"/>
      <c r="P1822" s="94"/>
      <c r="Q1822" s="94">
        <v>19</v>
      </c>
      <c r="R1822" s="95">
        <f t="shared" si="347"/>
        <v>38401.306819325298</v>
      </c>
      <c r="S1822" s="94">
        <v>25130</v>
      </c>
      <c r="T1822" s="94">
        <f t="shared" si="345"/>
        <v>26831.301000000003</v>
      </c>
      <c r="U1822" s="94">
        <f t="shared" si="352"/>
        <v>28374.100807500006</v>
      </c>
      <c r="V1822" s="94">
        <f t="shared" si="353"/>
        <v>29534.601530526754</v>
      </c>
      <c r="W1822" s="97">
        <f t="shared" si="350"/>
        <v>30473.801859197505</v>
      </c>
      <c r="X1822" s="97">
        <f t="shared" si="351"/>
        <v>31631.806329847012</v>
      </c>
      <c r="Y1822" s="97">
        <f t="shared" si="346"/>
        <v>32141.078411757549</v>
      </c>
      <c r="Z1822" s="97">
        <f t="shared" si="348"/>
        <v>33947.407018498321</v>
      </c>
      <c r="AA1822" s="97">
        <f t="shared" si="349"/>
        <v>38401.306819325298</v>
      </c>
    </row>
    <row r="1823" spans="1:27" x14ac:dyDescent="0.25">
      <c r="A1823" s="86" t="s">
        <v>156</v>
      </c>
      <c r="B1823" s="151" t="str">
        <f>VLOOKUP(A1823,'[106]Analisis Mano de Obra'!$A$50:$F$108,2,0)</f>
        <v>CUADRILLA FF TIPO 3 (1 OFICIAL + 3 AYUDANTE) (Electricas)</v>
      </c>
      <c r="C1823" s="88" t="s">
        <v>3818</v>
      </c>
      <c r="D1823" s="89" t="str">
        <f>VLOOKUP(A1823,'[106]Analisis Mano de Obra'!$A$50:$F$108,5,0)</f>
        <v>hr</v>
      </c>
      <c r="E1823" s="90">
        <f t="shared" si="354"/>
        <v>59306</v>
      </c>
      <c r="F1823" s="90">
        <f>VLOOKUP(A1823,'[106]Analisis Mano de Obra'!$A$50:$F$108,6,0)</f>
        <v>59306</v>
      </c>
      <c r="G1823" s="91"/>
      <c r="H1823" s="91" t="s">
        <v>228</v>
      </c>
      <c r="I1823" s="91" t="s">
        <v>228</v>
      </c>
      <c r="J1823" s="91" t="s">
        <v>228</v>
      </c>
      <c r="K1823" s="91" t="s">
        <v>228</v>
      </c>
      <c r="L1823" s="92" t="s">
        <v>302</v>
      </c>
      <c r="M1823" s="91" t="s">
        <v>90</v>
      </c>
      <c r="N1823" s="93">
        <v>41608</v>
      </c>
      <c r="O1823" s="94"/>
      <c r="P1823" s="94"/>
      <c r="Q1823" s="94">
        <v>20</v>
      </c>
      <c r="R1823" s="95">
        <f t="shared" si="347"/>
        <v>49851.40598355946</v>
      </c>
      <c r="S1823" s="94">
        <v>32623</v>
      </c>
      <c r="T1823" s="94">
        <f t="shared" si="345"/>
        <v>34831.577100000002</v>
      </c>
      <c r="U1823" s="94">
        <f t="shared" si="352"/>
        <v>36834.392783250005</v>
      </c>
      <c r="V1823" s="94">
        <f t="shared" si="353"/>
        <v>38340.919448084926</v>
      </c>
      <c r="W1823" s="97">
        <f t="shared" si="350"/>
        <v>39560.160686534029</v>
      </c>
      <c r="X1823" s="97">
        <f t="shared" si="351"/>
        <v>41063.446792622322</v>
      </c>
      <c r="Y1823" s="97">
        <f t="shared" si="346"/>
        <v>41724.568285983543</v>
      </c>
      <c r="Z1823" s="97">
        <f t="shared" si="348"/>
        <v>44069.48902365582</v>
      </c>
      <c r="AA1823" s="97">
        <f t="shared" si="349"/>
        <v>49851.40598355946</v>
      </c>
    </row>
    <row r="1824" spans="1:27" x14ac:dyDescent="0.25">
      <c r="A1824" s="86" t="s">
        <v>158</v>
      </c>
      <c r="B1824" s="151" t="str">
        <f>VLOOKUP(A1824,'[106]Analisis Mano de Obra'!$A$50:$F$108,2,0)</f>
        <v>CUADRILLA GG TIPO 3 (1 OFICIAL + 3 AYUDANTE) (Alumbrado Publico)</v>
      </c>
      <c r="C1824" s="88" t="s">
        <v>3818</v>
      </c>
      <c r="D1824" s="89" t="str">
        <f>VLOOKUP(A1824,'[106]Analisis Mano de Obra'!$A$50:$F$108,5,0)</f>
        <v>hr</v>
      </c>
      <c r="E1824" s="90">
        <f t="shared" si="354"/>
        <v>85474</v>
      </c>
      <c r="F1824" s="90">
        <f>VLOOKUP(A1824,'[106]Analisis Mano de Obra'!$A$50:$F$108,6,0)</f>
        <v>85474</v>
      </c>
      <c r="G1824" s="91"/>
      <c r="H1824" s="91" t="s">
        <v>228</v>
      </c>
      <c r="I1824" s="91" t="s">
        <v>228</v>
      </c>
      <c r="J1824" s="91" t="s">
        <v>228</v>
      </c>
      <c r="K1824" s="91" t="s">
        <v>228</v>
      </c>
      <c r="L1824" s="92" t="s">
        <v>302</v>
      </c>
      <c r="M1824" s="91" t="s">
        <v>90</v>
      </c>
      <c r="N1824" s="93">
        <v>41608</v>
      </c>
      <c r="O1824" s="94"/>
      <c r="P1824" s="94"/>
      <c r="Q1824" s="94">
        <v>21</v>
      </c>
      <c r="R1824" s="95">
        <f t="shared" si="347"/>
        <v>71906.561627145697</v>
      </c>
      <c r="S1824" s="94">
        <v>47056</v>
      </c>
      <c r="T1824" s="94">
        <f t="shared" si="345"/>
        <v>50241.691200000001</v>
      </c>
      <c r="U1824" s="94">
        <f t="shared" si="352"/>
        <v>53130.588444000008</v>
      </c>
      <c r="V1824" s="94">
        <f t="shared" si="353"/>
        <v>55303.629511359606</v>
      </c>
      <c r="W1824" s="97">
        <f t="shared" si="350"/>
        <v>57062.284929820846</v>
      </c>
      <c r="X1824" s="97">
        <f t="shared" si="351"/>
        <v>59230.651757154039</v>
      </c>
      <c r="Y1824" s="97">
        <f t="shared" si="346"/>
        <v>60184.265250444216</v>
      </c>
      <c r="Z1824" s="97">
        <f t="shared" si="348"/>
        <v>63566.620957519182</v>
      </c>
      <c r="AA1824" s="97">
        <f t="shared" si="349"/>
        <v>71906.561627145697</v>
      </c>
    </row>
    <row r="1825" spans="1:27" x14ac:dyDescent="0.25">
      <c r="A1825" s="86" t="s">
        <v>160</v>
      </c>
      <c r="B1825" s="151" t="str">
        <f>VLOOKUP(A1825,'[106]Analisis Mano de Obra'!$A$50:$F$108,2,0)</f>
        <v>CUADRILLA AA TIPO 4 (1 OFICIAL + 4 AYUDANTE) (Albañileria)</v>
      </c>
      <c r="C1825" s="88" t="s">
        <v>3818</v>
      </c>
      <c r="D1825" s="89" t="str">
        <f>VLOOKUP(A1825,'[106]Analisis Mano de Obra'!$A$50:$F$108,5,0)</f>
        <v>hr</v>
      </c>
      <c r="E1825" s="90">
        <f t="shared" si="354"/>
        <v>49902</v>
      </c>
      <c r="F1825" s="90">
        <f>VLOOKUP(A1825,'[106]Analisis Mano de Obra'!$A$50:$F$108,6,0)</f>
        <v>49902</v>
      </c>
      <c r="G1825" s="91"/>
      <c r="H1825" s="91" t="s">
        <v>228</v>
      </c>
      <c r="I1825" s="91" t="s">
        <v>228</v>
      </c>
      <c r="J1825" s="91" t="s">
        <v>228</v>
      </c>
      <c r="K1825" s="91" t="s">
        <v>228</v>
      </c>
      <c r="L1825" s="92" t="s">
        <v>302</v>
      </c>
      <c r="M1825" s="91" t="s">
        <v>90</v>
      </c>
      <c r="N1825" s="93">
        <v>41608</v>
      </c>
      <c r="O1825" s="94"/>
      <c r="P1825" s="94"/>
      <c r="Q1825" s="94">
        <v>22</v>
      </c>
      <c r="R1825" s="95">
        <f t="shared" si="347"/>
        <v>41741.746799709115</v>
      </c>
      <c r="S1825" s="94">
        <v>27316</v>
      </c>
      <c r="T1825" s="94">
        <f t="shared" si="345"/>
        <v>29165.293200000004</v>
      </c>
      <c r="U1825" s="94">
        <f t="shared" si="352"/>
        <v>30842.297559000006</v>
      </c>
      <c r="V1825" s="94">
        <f t="shared" si="353"/>
        <v>32103.747529163105</v>
      </c>
      <c r="W1825" s="97">
        <f t="shared" si="350"/>
        <v>33124.646700590492</v>
      </c>
      <c r="X1825" s="97">
        <f t="shared" si="351"/>
        <v>34383.383275212931</v>
      </c>
      <c r="Y1825" s="97">
        <f t="shared" si="346"/>
        <v>34936.955745943858</v>
      </c>
      <c r="Z1825" s="97">
        <f t="shared" si="348"/>
        <v>36900.412658865906</v>
      </c>
      <c r="AA1825" s="97">
        <f t="shared" si="349"/>
        <v>41741.746799709115</v>
      </c>
    </row>
    <row r="1826" spans="1:27" x14ac:dyDescent="0.25">
      <c r="A1826" s="86" t="s">
        <v>162</v>
      </c>
      <c r="B1826" s="151" t="str">
        <f>VLOOKUP(A1826,'[106]Analisis Mano de Obra'!$A$50:$F$108,2,0)</f>
        <v>CUADRILLA BB TIPO 4 (1 OFICIAL + 4 AYUDANTE) (Instalaciones)</v>
      </c>
      <c r="C1826" s="88" t="s">
        <v>3818</v>
      </c>
      <c r="D1826" s="89" t="str">
        <f>VLOOKUP(A1826,'[106]Analisis Mano de Obra'!$A$50:$F$108,5,0)</f>
        <v>hr</v>
      </c>
      <c r="E1826" s="90">
        <f t="shared" si="354"/>
        <v>54892</v>
      </c>
      <c r="F1826" s="90">
        <f>VLOOKUP(A1826,'[106]Analisis Mano de Obra'!$A$50:$F$108,6,0)</f>
        <v>54892</v>
      </c>
      <c r="G1826" s="91"/>
      <c r="H1826" s="91" t="s">
        <v>228</v>
      </c>
      <c r="I1826" s="91" t="s">
        <v>228</v>
      </c>
      <c r="J1826" s="91" t="s">
        <v>228</v>
      </c>
      <c r="K1826" s="91" t="s">
        <v>228</v>
      </c>
      <c r="L1826" s="92" t="s">
        <v>302</v>
      </c>
      <c r="M1826" s="91" t="s">
        <v>90</v>
      </c>
      <c r="N1826" s="93">
        <v>41608</v>
      </c>
      <c r="O1826" s="94"/>
      <c r="P1826" s="94"/>
      <c r="Q1826" s="94">
        <v>23</v>
      </c>
      <c r="R1826" s="95">
        <f t="shared" si="347"/>
        <v>45911.948403765564</v>
      </c>
      <c r="S1826" s="94">
        <v>30045</v>
      </c>
      <c r="T1826" s="94">
        <f t="shared" si="345"/>
        <v>32079.046500000004</v>
      </c>
      <c r="U1826" s="94">
        <f t="shared" si="352"/>
        <v>33923.591673750008</v>
      </c>
      <c r="V1826" s="94">
        <f t="shared" si="353"/>
        <v>35311.066573206379</v>
      </c>
      <c r="W1826" s="97">
        <f t="shared" si="350"/>
        <v>36433.958490234341</v>
      </c>
      <c r="X1826" s="97">
        <f t="shared" si="351"/>
        <v>37818.448912863249</v>
      </c>
      <c r="Y1826" s="97">
        <f t="shared" si="346"/>
        <v>38427.325940360344</v>
      </c>
      <c r="Z1826" s="97">
        <f t="shared" si="348"/>
        <v>40586.941658208598</v>
      </c>
      <c r="AA1826" s="97">
        <f t="shared" si="349"/>
        <v>45911.948403765564</v>
      </c>
    </row>
    <row r="1827" spans="1:27" x14ac:dyDescent="0.25">
      <c r="A1827" s="86" t="s">
        <v>164</v>
      </c>
      <c r="B1827" s="151" t="str">
        <f>VLOOKUP(A1827,'[106]Analisis Mano de Obra'!$A$50:$F$108,2,0)</f>
        <v>CUADRILLA CC TIPO 4 (1 OFICIAL + 4 AYUDANTE) (Pintura)</v>
      </c>
      <c r="C1827" s="88" t="s">
        <v>3818</v>
      </c>
      <c r="D1827" s="89" t="str">
        <f>VLOOKUP(A1827,'[106]Analisis Mano de Obra'!$A$50:$F$108,5,0)</f>
        <v>hr</v>
      </c>
      <c r="E1827" s="90">
        <f t="shared" si="354"/>
        <v>57389</v>
      </c>
      <c r="F1827" s="90">
        <f>VLOOKUP(A1827,'[106]Analisis Mano de Obra'!$A$50:$F$108,6,0)</f>
        <v>57389</v>
      </c>
      <c r="G1827" s="91"/>
      <c r="H1827" s="91" t="s">
        <v>228</v>
      </c>
      <c r="I1827" s="91" t="s">
        <v>228</v>
      </c>
      <c r="J1827" s="91" t="s">
        <v>228</v>
      </c>
      <c r="K1827" s="91" t="s">
        <v>228</v>
      </c>
      <c r="L1827" s="92" t="s">
        <v>302</v>
      </c>
      <c r="M1827" s="91" t="s">
        <v>90</v>
      </c>
      <c r="N1827" s="93">
        <v>41608</v>
      </c>
      <c r="O1827" s="94"/>
      <c r="P1827" s="94"/>
      <c r="Q1827" s="94">
        <v>24</v>
      </c>
      <c r="R1827" s="95">
        <f t="shared" si="347"/>
        <v>47999.341364975211</v>
      </c>
      <c r="S1827" s="94">
        <v>31411</v>
      </c>
      <c r="T1827" s="94">
        <f t="shared" si="345"/>
        <v>33537.524700000002</v>
      </c>
      <c r="U1827" s="94">
        <f t="shared" si="352"/>
        <v>35465.932370250004</v>
      </c>
      <c r="V1827" s="94">
        <f t="shared" si="353"/>
        <v>36916.48900419323</v>
      </c>
      <c r="W1827" s="97">
        <f t="shared" si="350"/>
        <v>38090.433354526576</v>
      </c>
      <c r="X1827" s="97">
        <f t="shared" si="351"/>
        <v>39537.869821998589</v>
      </c>
      <c r="Y1827" s="97">
        <f t="shared" si="346"/>
        <v>40174.429526132764</v>
      </c>
      <c r="Z1827" s="97">
        <f t="shared" si="348"/>
        <v>42432.232465501424</v>
      </c>
      <c r="AA1827" s="97">
        <f t="shared" si="349"/>
        <v>47999.341364975211</v>
      </c>
    </row>
    <row r="1828" spans="1:27" x14ac:dyDescent="0.25">
      <c r="A1828" s="86" t="s">
        <v>166</v>
      </c>
      <c r="B1828" s="151" t="str">
        <f>VLOOKUP(A1828,'[106]Analisis Mano de Obra'!$A$50:$F$108,2,0)</f>
        <v>CUADRILLA DD TIPO 4 (1 OFICIAL + 4 AYUDANTE) (Carpinteria)</v>
      </c>
      <c r="C1828" s="88" t="s">
        <v>3818</v>
      </c>
      <c r="D1828" s="89" t="str">
        <f>VLOOKUP(A1828,'[106]Analisis Mano de Obra'!$A$50:$F$108,5,0)</f>
        <v>hr</v>
      </c>
      <c r="E1828" s="90">
        <f t="shared" si="354"/>
        <v>57389</v>
      </c>
      <c r="F1828" s="90">
        <f>VLOOKUP(A1828,'[106]Analisis Mano de Obra'!$A$50:$F$108,6,0)</f>
        <v>57389</v>
      </c>
      <c r="G1828" s="91"/>
      <c r="H1828" s="91" t="s">
        <v>228</v>
      </c>
      <c r="I1828" s="91" t="s">
        <v>228</v>
      </c>
      <c r="J1828" s="91" t="s">
        <v>228</v>
      </c>
      <c r="K1828" s="91" t="s">
        <v>228</v>
      </c>
      <c r="L1828" s="92" t="s">
        <v>302</v>
      </c>
      <c r="M1828" s="91" t="s">
        <v>90</v>
      </c>
      <c r="N1828" s="93">
        <v>41608</v>
      </c>
      <c r="O1828" s="94"/>
      <c r="P1828" s="94"/>
      <c r="Q1828" s="94">
        <v>25</v>
      </c>
      <c r="R1828" s="95">
        <f t="shared" si="347"/>
        <v>47999.341364975211</v>
      </c>
      <c r="S1828" s="94">
        <v>31411</v>
      </c>
      <c r="T1828" s="94">
        <f t="shared" si="345"/>
        <v>33537.524700000002</v>
      </c>
      <c r="U1828" s="94">
        <f t="shared" si="352"/>
        <v>35465.932370250004</v>
      </c>
      <c r="V1828" s="94">
        <f t="shared" si="353"/>
        <v>36916.48900419323</v>
      </c>
      <c r="W1828" s="97">
        <f t="shared" si="350"/>
        <v>38090.433354526576</v>
      </c>
      <c r="X1828" s="97">
        <f t="shared" si="351"/>
        <v>39537.869821998589</v>
      </c>
      <c r="Y1828" s="97">
        <f t="shared" si="346"/>
        <v>40174.429526132764</v>
      </c>
      <c r="Z1828" s="97">
        <f t="shared" si="348"/>
        <v>42432.232465501424</v>
      </c>
      <c r="AA1828" s="97">
        <f t="shared" si="349"/>
        <v>47999.341364975211</v>
      </c>
    </row>
    <row r="1829" spans="1:27" x14ac:dyDescent="0.25">
      <c r="A1829" s="86" t="s">
        <v>168</v>
      </c>
      <c r="B1829" s="151" t="str">
        <f>VLOOKUP(A1829,'[106]Analisis Mano de Obra'!$A$50:$F$108,2,0)</f>
        <v>CUADRILLA EE TIPO 4 (1 OFICIAL + 4 AYUDANTE) (Dry Wall)</v>
      </c>
      <c r="C1829" s="88" t="s">
        <v>3818</v>
      </c>
      <c r="D1829" s="89" t="str">
        <f>VLOOKUP(A1829,'[106]Analisis Mano de Obra'!$A$50:$F$108,5,0)</f>
        <v>hr</v>
      </c>
      <c r="E1829" s="90">
        <f t="shared" si="354"/>
        <v>55893</v>
      </c>
      <c r="F1829" s="90">
        <f>VLOOKUP(A1829,'[106]Analisis Mano de Obra'!$A$50:$F$108,6,0)</f>
        <v>55893</v>
      </c>
      <c r="G1829" s="91"/>
      <c r="H1829" s="91" t="s">
        <v>228</v>
      </c>
      <c r="I1829" s="91" t="s">
        <v>228</v>
      </c>
      <c r="J1829" s="91" t="s">
        <v>228</v>
      </c>
      <c r="K1829" s="91" t="s">
        <v>228</v>
      </c>
      <c r="L1829" s="92" t="s">
        <v>302</v>
      </c>
      <c r="M1829" s="91" t="s">
        <v>90</v>
      </c>
      <c r="N1829" s="93">
        <v>41608</v>
      </c>
      <c r="O1829" s="94"/>
      <c r="P1829" s="94"/>
      <c r="Q1829" s="94">
        <v>26</v>
      </c>
      <c r="R1829" s="95">
        <f t="shared" si="347"/>
        <v>46749.350558042934</v>
      </c>
      <c r="S1829" s="94">
        <v>30593</v>
      </c>
      <c r="T1829" s="94">
        <f t="shared" si="345"/>
        <v>32664.146100000002</v>
      </c>
      <c r="U1829" s="94">
        <f t="shared" si="352"/>
        <v>34542.334500750003</v>
      </c>
      <c r="V1829" s="94">
        <f t="shared" si="353"/>
        <v>35955.115981830677</v>
      </c>
      <c r="W1829" s="97">
        <f t="shared" si="350"/>
        <v>37098.488670052895</v>
      </c>
      <c r="X1829" s="97">
        <f t="shared" si="351"/>
        <v>38508.231239514906</v>
      </c>
      <c r="Y1829" s="97">
        <f t="shared" si="346"/>
        <v>39128.213762471096</v>
      </c>
      <c r="Z1829" s="97">
        <f t="shared" si="348"/>
        <v>41327.219375921974</v>
      </c>
      <c r="AA1829" s="97">
        <f t="shared" si="349"/>
        <v>46749.350558042934</v>
      </c>
    </row>
    <row r="1830" spans="1:27" x14ac:dyDescent="0.25">
      <c r="A1830" s="86" t="s">
        <v>170</v>
      </c>
      <c r="B1830" s="151" t="str">
        <f>VLOOKUP(A1830,'[106]Analisis Mano de Obra'!$A$50:$F$108,2,0)</f>
        <v>CUADRILLA FF TIPO 4 (1 OFICIAL + 4 AYUDANTE) (Electricas)</v>
      </c>
      <c r="C1830" s="88" t="s">
        <v>3818</v>
      </c>
      <c r="D1830" s="89" t="str">
        <f>VLOOKUP(A1830,'[106]Analisis Mano de Obra'!$A$50:$F$108,5,0)</f>
        <v>hr</v>
      </c>
      <c r="E1830" s="90">
        <f t="shared" si="354"/>
        <v>72673</v>
      </c>
      <c r="F1830" s="90">
        <f>VLOOKUP(A1830,'[106]Analisis Mano de Obra'!$A$50:$F$108,6,0)</f>
        <v>72673</v>
      </c>
      <c r="G1830" s="91"/>
      <c r="H1830" s="91" t="s">
        <v>228</v>
      </c>
      <c r="I1830" s="91" t="s">
        <v>228</v>
      </c>
      <c r="J1830" s="91" t="s">
        <v>228</v>
      </c>
      <c r="K1830" s="91" t="s">
        <v>228</v>
      </c>
      <c r="L1830" s="92" t="s">
        <v>302</v>
      </c>
      <c r="M1830" s="91" t="s">
        <v>90</v>
      </c>
      <c r="N1830" s="93">
        <v>41608</v>
      </c>
      <c r="O1830" s="94"/>
      <c r="P1830" s="94"/>
      <c r="Q1830" s="94">
        <v>27</v>
      </c>
      <c r="R1830" s="95">
        <f t="shared" si="347"/>
        <v>61031.030364386526</v>
      </c>
      <c r="S1830" s="94">
        <v>39939</v>
      </c>
      <c r="T1830" s="94">
        <f t="shared" si="345"/>
        <v>42642.870300000002</v>
      </c>
      <c r="U1830" s="94">
        <f t="shared" si="352"/>
        <v>45094.835342250008</v>
      </c>
      <c r="V1830" s="94">
        <f t="shared" si="353"/>
        <v>46939.214107748034</v>
      </c>
      <c r="W1830" s="97">
        <f t="shared" si="350"/>
        <v>48431.881116374425</v>
      </c>
      <c r="X1830" s="97">
        <f t="shared" si="351"/>
        <v>50272.292598796652</v>
      </c>
      <c r="Y1830" s="97">
        <f t="shared" si="346"/>
        <v>51081.676509637276</v>
      </c>
      <c r="Z1830" s="97">
        <f t="shared" si="348"/>
        <v>53952.466729478896</v>
      </c>
      <c r="AA1830" s="97">
        <f t="shared" si="349"/>
        <v>61031.030364386526</v>
      </c>
    </row>
    <row r="1831" spans="1:27" x14ac:dyDescent="0.25">
      <c r="A1831" s="86" t="s">
        <v>172</v>
      </c>
      <c r="B1831" s="151" t="str">
        <f>VLOOKUP(A1831,'[106]Analisis Mano de Obra'!$A$50:$F$108,2,0)</f>
        <v>CUADRILLA GG TIPO 4 (1 OFICIAL + 4 AYUDANTE) (Alumbrado Publico)</v>
      </c>
      <c r="C1831" s="88" t="s">
        <v>3818</v>
      </c>
      <c r="D1831" s="89" t="str">
        <f>VLOOKUP(A1831,'[106]Analisis Mano de Obra'!$A$50:$F$108,5,0)</f>
        <v>hr</v>
      </c>
      <c r="E1831" s="90">
        <f t="shared" si="354"/>
        <v>103296</v>
      </c>
      <c r="F1831" s="90">
        <f>VLOOKUP(A1831,'[106]Analisis Mano de Obra'!$A$50:$F$108,6,0)</f>
        <v>103296</v>
      </c>
      <c r="G1831" s="91"/>
      <c r="H1831" s="91" t="s">
        <v>228</v>
      </c>
      <c r="I1831" s="91" t="s">
        <v>228</v>
      </c>
      <c r="J1831" s="91" t="s">
        <v>228</v>
      </c>
      <c r="K1831" s="91" t="s">
        <v>228</v>
      </c>
      <c r="L1831" s="92" t="s">
        <v>302</v>
      </c>
      <c r="M1831" s="91" t="s">
        <v>90</v>
      </c>
      <c r="N1831" s="93">
        <v>41608</v>
      </c>
      <c r="O1831" s="94"/>
      <c r="P1831" s="94"/>
      <c r="Q1831" s="94">
        <v>28</v>
      </c>
      <c r="R1831" s="95">
        <f t="shared" si="347"/>
        <v>86813.236836955402</v>
      </c>
      <c r="S1831" s="94">
        <v>56811</v>
      </c>
      <c r="T1831" s="94">
        <f t="shared" si="345"/>
        <v>60657.104700000004</v>
      </c>
      <c r="U1831" s="94">
        <f t="shared" si="352"/>
        <v>64144.88822025001</v>
      </c>
      <c r="V1831" s="94">
        <f t="shared" si="353"/>
        <v>66768.414148458236</v>
      </c>
      <c r="W1831" s="97">
        <f t="shared" si="350"/>
        <v>68891.649718379209</v>
      </c>
      <c r="X1831" s="97">
        <f t="shared" si="351"/>
        <v>71509.532407677616</v>
      </c>
      <c r="Y1831" s="97">
        <f t="shared" si="346"/>
        <v>72660.83587944122</v>
      </c>
      <c r="Z1831" s="97">
        <f t="shared" si="348"/>
        <v>76744.374855865812</v>
      </c>
      <c r="AA1831" s="97">
        <f t="shared" si="349"/>
        <v>86813.236836955402</v>
      </c>
    </row>
    <row r="1832" spans="1:27" x14ac:dyDescent="0.25">
      <c r="A1832" s="86" t="s">
        <v>174</v>
      </c>
      <c r="B1832" s="151" t="str">
        <f>VLOOKUP(A1832,'[106]Analisis Mano de Obra'!$A$50:$F$108,2,0)</f>
        <v>CUADRILLA AA TIPO 5 (1 OFICIAL + 5 AYUDANTE) (Albañileria)</v>
      </c>
      <c r="C1832" s="88" t="s">
        <v>3818</v>
      </c>
      <c r="D1832" s="89" t="str">
        <f>VLOOKUP(A1832,'[106]Analisis Mano de Obra'!$A$50:$F$108,5,0)</f>
        <v>hr</v>
      </c>
      <c r="E1832" s="90">
        <f t="shared" si="354"/>
        <v>58813</v>
      </c>
      <c r="F1832" s="90">
        <f>VLOOKUP(A1832,'[106]Analisis Mano de Obra'!$A$50:$F$108,6,0)</f>
        <v>58813</v>
      </c>
      <c r="G1832" s="91"/>
      <c r="H1832" s="91" t="s">
        <v>228</v>
      </c>
      <c r="I1832" s="91" t="s">
        <v>228</v>
      </c>
      <c r="J1832" s="91" t="s">
        <v>228</v>
      </c>
      <c r="K1832" s="91" t="s">
        <v>228</v>
      </c>
      <c r="L1832" s="92" t="s">
        <v>302</v>
      </c>
      <c r="M1832" s="91" t="s">
        <v>90</v>
      </c>
      <c r="N1832" s="93">
        <v>41608</v>
      </c>
      <c r="O1832" s="94"/>
      <c r="P1832" s="94"/>
      <c r="Q1832" s="94">
        <v>29</v>
      </c>
      <c r="R1832" s="95">
        <f t="shared" si="347"/>
        <v>49195.848457674438</v>
      </c>
      <c r="S1832" s="94">
        <v>32194</v>
      </c>
      <c r="T1832" s="94">
        <f t="shared" si="345"/>
        <v>34373.533800000005</v>
      </c>
      <c r="U1832" s="94">
        <f t="shared" si="352"/>
        <v>36350.011993500011</v>
      </c>
      <c r="V1832" s="94">
        <f t="shared" si="353"/>
        <v>37836.727484034156</v>
      </c>
      <c r="W1832" s="97">
        <f t="shared" si="350"/>
        <v>39039.935418026442</v>
      </c>
      <c r="X1832" s="97">
        <f t="shared" si="351"/>
        <v>40523.452963911448</v>
      </c>
      <c r="Y1832" s="97">
        <f t="shared" si="346"/>
        <v>41175.880556630422</v>
      </c>
      <c r="Z1832" s="97">
        <f t="shared" si="348"/>
        <v>43489.965043913049</v>
      </c>
      <c r="AA1832" s="97">
        <f t="shared" si="349"/>
        <v>49195.848457674438</v>
      </c>
    </row>
    <row r="1833" spans="1:27" x14ac:dyDescent="0.25">
      <c r="A1833" s="86" t="s">
        <v>176</v>
      </c>
      <c r="B1833" s="151" t="str">
        <f>VLOOKUP(A1833,'[106]Analisis Mano de Obra'!$A$50:$F$108,2,0)</f>
        <v>CUADRILLA BB TIPO 5 (1 OFICIAL + 5 AYUDANTE) (Instalaciones)</v>
      </c>
      <c r="C1833" s="88" t="s">
        <v>3818</v>
      </c>
      <c r="D1833" s="89" t="str">
        <f>VLOOKUP(A1833,'[106]Analisis Mano de Obra'!$A$50:$F$108,5,0)</f>
        <v>hr</v>
      </c>
      <c r="E1833" s="90">
        <f t="shared" si="354"/>
        <v>64694</v>
      </c>
      <c r="F1833" s="90">
        <f>VLOOKUP(A1833,'[106]Analisis Mano de Obra'!$A$50:$F$108,6,0)</f>
        <v>64694</v>
      </c>
      <c r="G1833" s="91"/>
      <c r="H1833" s="91" t="s">
        <v>228</v>
      </c>
      <c r="I1833" s="91" t="s">
        <v>228</v>
      </c>
      <c r="J1833" s="91" t="s">
        <v>228</v>
      </c>
      <c r="K1833" s="91" t="s">
        <v>228</v>
      </c>
      <c r="L1833" s="92" t="s">
        <v>302</v>
      </c>
      <c r="M1833" s="91" t="s">
        <v>90</v>
      </c>
      <c r="N1833" s="93">
        <v>41608</v>
      </c>
      <c r="O1833" s="94"/>
      <c r="P1833" s="94"/>
      <c r="Q1833" s="94">
        <v>30</v>
      </c>
      <c r="R1833" s="95">
        <f t="shared" si="347"/>
        <v>54110.237742630685</v>
      </c>
      <c r="S1833" s="94">
        <v>35410</v>
      </c>
      <c r="T1833" s="94">
        <f t="shared" si="345"/>
        <v>37807.257000000005</v>
      </c>
      <c r="U1833" s="94">
        <f t="shared" si="352"/>
        <v>39981.174277500009</v>
      </c>
      <c r="V1833" s="94">
        <f t="shared" si="353"/>
        <v>41616.40430544976</v>
      </c>
      <c r="W1833" s="97">
        <f t="shared" si="350"/>
        <v>42939.805962363062</v>
      </c>
      <c r="X1833" s="97">
        <f t="shared" si="351"/>
        <v>44571.518588932857</v>
      </c>
      <c r="Y1833" s="97">
        <f t="shared" si="346"/>
        <v>45289.120038214678</v>
      </c>
      <c r="Z1833" s="97">
        <f t="shared" si="348"/>
        <v>47834.368584362346</v>
      </c>
      <c r="AA1833" s="97">
        <f t="shared" si="349"/>
        <v>54110.237742630685</v>
      </c>
    </row>
    <row r="1834" spans="1:27" x14ac:dyDescent="0.25">
      <c r="A1834" s="86" t="s">
        <v>178</v>
      </c>
      <c r="B1834" s="151" t="str">
        <f>VLOOKUP(A1834,'[106]Analisis Mano de Obra'!$A$50:$F$108,2,0)</f>
        <v>CUADRILLA CC TIPO 5 (1 OFICIAL + 5 AYUDANTE) (Pintura)</v>
      </c>
      <c r="C1834" s="88" t="s">
        <v>3818</v>
      </c>
      <c r="D1834" s="89" t="str">
        <f>VLOOKUP(A1834,'[106]Analisis Mano de Obra'!$A$50:$F$108,5,0)</f>
        <v>hr</v>
      </c>
      <c r="E1834" s="90">
        <f t="shared" si="354"/>
        <v>67637</v>
      </c>
      <c r="F1834" s="90">
        <f>VLOOKUP(A1834,'[106]Analisis Mano de Obra'!$A$50:$F$108,6,0)</f>
        <v>67637</v>
      </c>
      <c r="G1834" s="91"/>
      <c r="H1834" s="91" t="s">
        <v>228</v>
      </c>
      <c r="I1834" s="91" t="s">
        <v>228</v>
      </c>
      <c r="J1834" s="91" t="s">
        <v>228</v>
      </c>
      <c r="K1834" s="91" t="s">
        <v>228</v>
      </c>
      <c r="L1834" s="92" t="s">
        <v>302</v>
      </c>
      <c r="M1834" s="91" t="s">
        <v>90</v>
      </c>
      <c r="N1834" s="93">
        <v>41608</v>
      </c>
      <c r="O1834" s="94"/>
      <c r="P1834" s="94"/>
      <c r="Q1834" s="94">
        <v>31</v>
      </c>
      <c r="R1834" s="95">
        <f t="shared" si="347"/>
        <v>56570.488597350697</v>
      </c>
      <c r="S1834" s="94">
        <v>37020</v>
      </c>
      <c r="T1834" s="94">
        <f t="shared" si="345"/>
        <v>39526.254000000001</v>
      </c>
      <c r="U1834" s="94">
        <f t="shared" si="352"/>
        <v>41799.013605000007</v>
      </c>
      <c r="V1834" s="94">
        <f t="shared" si="353"/>
        <v>43508.593261444505</v>
      </c>
      <c r="W1834" s="97">
        <f t="shared" si="350"/>
        <v>44892.166527158442</v>
      </c>
      <c r="X1834" s="97">
        <f t="shared" si="351"/>
        <v>46598.068855190468</v>
      </c>
      <c r="Y1834" s="97">
        <f t="shared" si="346"/>
        <v>47348.297763759037</v>
      </c>
      <c r="Z1834" s="97">
        <f t="shared" si="348"/>
        <v>50009.2720980823</v>
      </c>
      <c r="AA1834" s="97">
        <f t="shared" si="349"/>
        <v>56570.488597350697</v>
      </c>
    </row>
    <row r="1835" spans="1:27" x14ac:dyDescent="0.25">
      <c r="A1835" s="86" t="s">
        <v>180</v>
      </c>
      <c r="B1835" s="151" t="str">
        <f>VLOOKUP(A1835,'[106]Analisis Mano de Obra'!$A$50:$F$108,2,0)</f>
        <v>CUADRILLA DD TIPO 5 (1 OFICIAL + 5 AYUDANTE) (Carpinteria)</v>
      </c>
      <c r="C1835" s="88" t="s">
        <v>3818</v>
      </c>
      <c r="D1835" s="89" t="str">
        <f>VLOOKUP(A1835,'[106]Analisis Mano de Obra'!$A$50:$F$108,5,0)</f>
        <v>hr</v>
      </c>
      <c r="E1835" s="90">
        <f t="shared" si="354"/>
        <v>67637</v>
      </c>
      <c r="F1835" s="90">
        <f>VLOOKUP(A1835,'[106]Analisis Mano de Obra'!$A$50:$F$108,6,0)</f>
        <v>67637</v>
      </c>
      <c r="G1835" s="91"/>
      <c r="H1835" s="91" t="s">
        <v>228</v>
      </c>
      <c r="I1835" s="91" t="s">
        <v>228</v>
      </c>
      <c r="J1835" s="91" t="s">
        <v>228</v>
      </c>
      <c r="K1835" s="91" t="s">
        <v>228</v>
      </c>
      <c r="L1835" s="92" t="s">
        <v>302</v>
      </c>
      <c r="M1835" s="91" t="s">
        <v>90</v>
      </c>
      <c r="N1835" s="93">
        <v>41608</v>
      </c>
      <c r="O1835" s="94"/>
      <c r="P1835" s="94"/>
      <c r="Q1835" s="94">
        <v>32</v>
      </c>
      <c r="R1835" s="95">
        <f t="shared" si="347"/>
        <v>56570.488597350697</v>
      </c>
      <c r="S1835" s="94">
        <v>37020</v>
      </c>
      <c r="T1835" s="94">
        <f t="shared" ref="T1835:T1875" si="355">+S1835*1.0677</f>
        <v>39526.254000000001</v>
      </c>
      <c r="U1835" s="94">
        <f t="shared" si="352"/>
        <v>41799.013605000007</v>
      </c>
      <c r="V1835" s="94">
        <f t="shared" si="353"/>
        <v>43508.593261444505</v>
      </c>
      <c r="W1835" s="97">
        <f t="shared" si="350"/>
        <v>44892.166527158442</v>
      </c>
      <c r="X1835" s="97">
        <f t="shared" si="351"/>
        <v>46598.068855190468</v>
      </c>
      <c r="Y1835" s="97">
        <f t="shared" si="346"/>
        <v>47348.297763759037</v>
      </c>
      <c r="Z1835" s="97">
        <f t="shared" si="348"/>
        <v>50009.2720980823</v>
      </c>
      <c r="AA1835" s="97">
        <f t="shared" si="349"/>
        <v>56570.488597350697</v>
      </c>
    </row>
    <row r="1836" spans="1:27" x14ac:dyDescent="0.25">
      <c r="A1836" s="86" t="s">
        <v>182</v>
      </c>
      <c r="B1836" s="151" t="str">
        <f>VLOOKUP(A1836,'[106]Analisis Mano de Obra'!$A$50:$F$108,2,0)</f>
        <v>CUADRILLA EE TIPO 5 (1 OFICIAL + 5 AYUDANTE) (Dry Wall)</v>
      </c>
      <c r="C1836" s="88" t="s">
        <v>3818</v>
      </c>
      <c r="D1836" s="89" t="str">
        <f>VLOOKUP(A1836,'[106]Analisis Mano de Obra'!$A$50:$F$108,5,0)</f>
        <v>hr</v>
      </c>
      <c r="E1836" s="90">
        <f t="shared" si="354"/>
        <v>65874</v>
      </c>
      <c r="F1836" s="90">
        <f>VLOOKUP(A1836,'[106]Analisis Mano de Obra'!$A$50:$F$108,6,0)</f>
        <v>65874</v>
      </c>
      <c r="G1836" s="91"/>
      <c r="H1836" s="91" t="s">
        <v>228</v>
      </c>
      <c r="I1836" s="91" t="s">
        <v>228</v>
      </c>
      <c r="J1836" s="91" t="s">
        <v>228</v>
      </c>
      <c r="K1836" s="91" t="s">
        <v>228</v>
      </c>
      <c r="L1836" s="92" t="s">
        <v>302</v>
      </c>
      <c r="M1836" s="91" t="s">
        <v>90</v>
      </c>
      <c r="N1836" s="93">
        <v>41608</v>
      </c>
      <c r="O1836" s="94"/>
      <c r="P1836" s="94"/>
      <c r="Q1836" s="94">
        <v>33</v>
      </c>
      <c r="R1836" s="95">
        <f t="shared" si="347"/>
        <v>55097.394296760569</v>
      </c>
      <c r="S1836" s="94">
        <v>36056</v>
      </c>
      <c r="T1836" s="94">
        <f t="shared" si="355"/>
        <v>38496.991200000004</v>
      </c>
      <c r="U1836" s="94">
        <f t="shared" si="352"/>
        <v>40710.568194000007</v>
      </c>
      <c r="V1836" s="94">
        <f t="shared" si="353"/>
        <v>42375.630433134604</v>
      </c>
      <c r="W1836" s="97">
        <f t="shared" si="350"/>
        <v>43723.175480908285</v>
      </c>
      <c r="X1836" s="97">
        <f t="shared" si="351"/>
        <v>45384.656149182803</v>
      </c>
      <c r="Y1836" s="97">
        <f t="shared" si="346"/>
        <v>46115.349113184646</v>
      </c>
      <c r="Z1836" s="97">
        <f t="shared" si="348"/>
        <v>48707.031733345626</v>
      </c>
      <c r="AA1836" s="97">
        <f t="shared" si="349"/>
        <v>55097.394296760569</v>
      </c>
    </row>
    <row r="1837" spans="1:27" x14ac:dyDescent="0.25">
      <c r="A1837" s="86" t="s">
        <v>184</v>
      </c>
      <c r="B1837" s="151" t="str">
        <f>VLOOKUP(A1837,'[106]Analisis Mano de Obra'!$A$50:$F$108,2,0)</f>
        <v>CUADRILLA FF TIPO 5 (1 OFICIAL + 5 AYUDANTE) (Electricas)</v>
      </c>
      <c r="C1837" s="88" t="s">
        <v>3818</v>
      </c>
      <c r="D1837" s="89" t="str">
        <f>VLOOKUP(A1837,'[106]Analisis Mano de Obra'!$A$50:$F$108,5,0)</f>
        <v>hr</v>
      </c>
      <c r="E1837" s="90">
        <f t="shared" si="354"/>
        <v>86040</v>
      </c>
      <c r="F1837" s="90">
        <f>VLOOKUP(A1837,'[106]Analisis Mano de Obra'!$A$50:$F$108,6,0)</f>
        <v>86040</v>
      </c>
      <c r="G1837" s="91"/>
      <c r="H1837" s="91" t="s">
        <v>228</v>
      </c>
      <c r="I1837" s="91" t="s">
        <v>228</v>
      </c>
      <c r="J1837" s="91" t="s">
        <v>228</v>
      </c>
      <c r="K1837" s="91" t="s">
        <v>228</v>
      </c>
      <c r="L1837" s="92" t="s">
        <v>302</v>
      </c>
      <c r="M1837" s="91" t="s">
        <v>90</v>
      </c>
      <c r="N1837" s="93">
        <v>41608</v>
      </c>
      <c r="O1837" s="94"/>
      <c r="P1837" s="94"/>
      <c r="Q1837" s="94">
        <v>34</v>
      </c>
      <c r="R1837" s="95">
        <f t="shared" si="347"/>
        <v>72210.654745213586</v>
      </c>
      <c r="S1837" s="94">
        <v>47255</v>
      </c>
      <c r="T1837" s="94">
        <f t="shared" si="355"/>
        <v>50454.163500000002</v>
      </c>
      <c r="U1837" s="94">
        <f t="shared" si="352"/>
        <v>53355.27790125001</v>
      </c>
      <c r="V1837" s="94">
        <f t="shared" si="353"/>
        <v>55537.508767411135</v>
      </c>
      <c r="W1837" s="97">
        <f t="shared" si="350"/>
        <v>57303.601546214813</v>
      </c>
      <c r="X1837" s="97">
        <f t="shared" si="351"/>
        <v>59481.138404970981</v>
      </c>
      <c r="Y1837" s="97">
        <f t="shared" si="346"/>
        <v>60438.784733291017</v>
      </c>
      <c r="Z1837" s="97">
        <f t="shared" si="348"/>
        <v>63835.444435301972</v>
      </c>
      <c r="AA1837" s="97">
        <f t="shared" si="349"/>
        <v>72210.654745213586</v>
      </c>
    </row>
    <row r="1838" spans="1:27" x14ac:dyDescent="0.25">
      <c r="A1838" s="86" t="s">
        <v>186</v>
      </c>
      <c r="B1838" s="151" t="str">
        <f>VLOOKUP(A1838,'[106]Analisis Mano de Obra'!$A$50:$F$108,2,0)</f>
        <v>CUADRILLA GG TIPO 5 (1 OFICIAL + 5 AYUDANTE) (Alumbrado Publico)</v>
      </c>
      <c r="C1838" s="88" t="s">
        <v>3818</v>
      </c>
      <c r="D1838" s="89" t="str">
        <f>VLOOKUP(A1838,'[106]Analisis Mano de Obra'!$A$50:$F$108,5,0)</f>
        <v>hr</v>
      </c>
      <c r="E1838" s="90">
        <f t="shared" si="354"/>
        <v>121118</v>
      </c>
      <c r="F1838" s="90">
        <f>VLOOKUP(A1838,'[106]Analisis Mano de Obra'!$A$50:$F$108,6,0)</f>
        <v>121118</v>
      </c>
      <c r="G1838" s="91"/>
      <c r="H1838" s="91" t="s">
        <v>228</v>
      </c>
      <c r="I1838" s="91" t="s">
        <v>228</v>
      </c>
      <c r="J1838" s="91" t="s">
        <v>228</v>
      </c>
      <c r="K1838" s="91" t="s">
        <v>228</v>
      </c>
      <c r="L1838" s="92" t="s">
        <v>302</v>
      </c>
      <c r="M1838" s="91" t="s">
        <v>90</v>
      </c>
      <c r="N1838" s="93">
        <v>41608</v>
      </c>
      <c r="O1838" s="94"/>
      <c r="P1838" s="94"/>
      <c r="Q1838" s="94">
        <v>35</v>
      </c>
      <c r="R1838" s="95">
        <f t="shared" si="347"/>
        <v>101719.91204676515</v>
      </c>
      <c r="S1838" s="94">
        <v>66566</v>
      </c>
      <c r="T1838" s="94">
        <f t="shared" si="355"/>
        <v>71072.518200000006</v>
      </c>
      <c r="U1838" s="94">
        <f t="shared" si="352"/>
        <v>75159.187996500012</v>
      </c>
      <c r="V1838" s="94">
        <f t="shared" si="353"/>
        <v>78233.198785556859</v>
      </c>
      <c r="W1838" s="97">
        <f t="shared" si="350"/>
        <v>80721.014506937572</v>
      </c>
      <c r="X1838" s="97">
        <f t="shared" si="351"/>
        <v>83788.4130582012</v>
      </c>
      <c r="Y1838" s="97">
        <f t="shared" si="346"/>
        <v>85137.406508438246</v>
      </c>
      <c r="Z1838" s="97">
        <f t="shared" si="348"/>
        <v>89922.128754212477</v>
      </c>
      <c r="AA1838" s="97">
        <f t="shared" si="349"/>
        <v>101719.91204676515</v>
      </c>
    </row>
    <row r="1839" spans="1:27" x14ac:dyDescent="0.25">
      <c r="A1839" s="86" t="s">
        <v>188</v>
      </c>
      <c r="B1839" s="151" t="str">
        <f>VLOOKUP(A1839,'[106]Analisis Mano de Obra'!$A$50:$F$108,2,0)</f>
        <v>CUADRILLA AA TIPO 6 (1 OFICIAL + 6 AYUDANTE) (Albañileria)</v>
      </c>
      <c r="C1839" s="88" t="s">
        <v>3818</v>
      </c>
      <c r="D1839" s="89" t="str">
        <f>VLOOKUP(A1839,'[106]Analisis Mano de Obra'!$A$50:$F$108,5,0)</f>
        <v>hr</v>
      </c>
      <c r="E1839" s="90">
        <f t="shared" si="354"/>
        <v>67724</v>
      </c>
      <c r="F1839" s="90">
        <f>VLOOKUP(A1839,'[106]Analisis Mano de Obra'!$A$50:$F$108,6,0)</f>
        <v>67724</v>
      </c>
      <c r="G1839" s="91"/>
      <c r="H1839" s="91" t="s">
        <v>228</v>
      </c>
      <c r="I1839" s="91" t="s">
        <v>228</v>
      </c>
      <c r="J1839" s="91" t="s">
        <v>228</v>
      </c>
      <c r="K1839" s="91" t="s">
        <v>228</v>
      </c>
      <c r="L1839" s="92" t="s">
        <v>302</v>
      </c>
      <c r="M1839" s="91" t="s">
        <v>90</v>
      </c>
      <c r="N1839" s="93">
        <v>41608</v>
      </c>
      <c r="O1839" s="94"/>
      <c r="P1839" s="94"/>
      <c r="Q1839" s="94">
        <v>36</v>
      </c>
      <c r="R1839" s="95">
        <f t="shared" si="347"/>
        <v>56649.950115639775</v>
      </c>
      <c r="S1839" s="94">
        <v>37072</v>
      </c>
      <c r="T1839" s="94">
        <f t="shared" si="355"/>
        <v>39581.774400000002</v>
      </c>
      <c r="U1839" s="94">
        <f t="shared" si="352"/>
        <v>41857.726428000009</v>
      </c>
      <c r="V1839" s="94">
        <f t="shared" si="353"/>
        <v>43569.707438905207</v>
      </c>
      <c r="W1839" s="97">
        <f t="shared" si="350"/>
        <v>44955.224135462391</v>
      </c>
      <c r="X1839" s="97">
        <f t="shared" si="351"/>
        <v>46663.522652609965</v>
      </c>
      <c r="Y1839" s="97">
        <f t="shared" si="346"/>
        <v>47414.805367316985</v>
      </c>
      <c r="Z1839" s="97">
        <f t="shared" si="348"/>
        <v>50079.5174289602</v>
      </c>
      <c r="AA1839" s="97">
        <f t="shared" si="349"/>
        <v>56649.950115639775</v>
      </c>
    </row>
    <row r="1840" spans="1:27" x14ac:dyDescent="0.25">
      <c r="A1840" s="86" t="s">
        <v>190</v>
      </c>
      <c r="B1840" s="151" t="str">
        <f>VLOOKUP(A1840,'[106]Analisis Mano de Obra'!$A$50:$F$108,2,0)</f>
        <v>CUADRILLA BB TIPO 6 (1 OFICIAL + 6 AYUDANTE) (Instalaciones)</v>
      </c>
      <c r="C1840" s="88" t="s">
        <v>3818</v>
      </c>
      <c r="D1840" s="89" t="str">
        <f>VLOOKUP(A1840,'[106]Analisis Mano de Obra'!$A$50:$F$108,5,0)</f>
        <v>hr</v>
      </c>
      <c r="E1840" s="90">
        <f t="shared" si="354"/>
        <v>74496</v>
      </c>
      <c r="F1840" s="90">
        <f>VLOOKUP(A1840,'[106]Analisis Mano de Obra'!$A$50:$F$108,6,0)</f>
        <v>74496</v>
      </c>
      <c r="G1840" s="91"/>
      <c r="H1840" s="91" t="s">
        <v>228</v>
      </c>
      <c r="I1840" s="91" t="s">
        <v>228</v>
      </c>
      <c r="J1840" s="91" t="s">
        <v>228</v>
      </c>
      <c r="K1840" s="91" t="s">
        <v>228</v>
      </c>
      <c r="L1840" s="92" t="s">
        <v>302</v>
      </c>
      <c r="M1840" s="91" t="s">
        <v>90</v>
      </c>
      <c r="N1840" s="93">
        <v>41608</v>
      </c>
      <c r="O1840" s="94"/>
      <c r="P1840" s="94"/>
      <c r="Q1840" s="94">
        <v>37</v>
      </c>
      <c r="R1840" s="95">
        <f t="shared" si="347"/>
        <v>62308.527081495798</v>
      </c>
      <c r="S1840" s="94">
        <v>40775</v>
      </c>
      <c r="T1840" s="94">
        <f t="shared" si="355"/>
        <v>43535.467500000006</v>
      </c>
      <c r="U1840" s="94">
        <f t="shared" si="352"/>
        <v>46038.75688125001</v>
      </c>
      <c r="V1840" s="94">
        <f t="shared" si="353"/>
        <v>47921.742037693133</v>
      </c>
      <c r="W1840" s="97">
        <f t="shared" si="350"/>
        <v>49445.653434491775</v>
      </c>
      <c r="X1840" s="97">
        <f t="shared" si="351"/>
        <v>51324.588265002465</v>
      </c>
      <c r="Y1840" s="97">
        <f t="shared" si="346"/>
        <v>52150.914136069005</v>
      </c>
      <c r="Z1840" s="97">
        <f t="shared" si="348"/>
        <v>55081.795510516087</v>
      </c>
      <c r="AA1840" s="97">
        <f t="shared" si="349"/>
        <v>62308.527081495798</v>
      </c>
    </row>
    <row r="1841" spans="1:27" x14ac:dyDescent="0.25">
      <c r="A1841" s="86" t="s">
        <v>192</v>
      </c>
      <c r="B1841" s="151" t="str">
        <f>VLOOKUP(A1841,'[106]Analisis Mano de Obra'!$A$50:$F$108,2,0)</f>
        <v>CUADRILLA CC TIPO 6 (1 OFICIAL + 6 AYUDANTE) (Pintura)</v>
      </c>
      <c r="C1841" s="88" t="s">
        <v>3818</v>
      </c>
      <c r="D1841" s="89" t="str">
        <f>VLOOKUP(A1841,'[106]Analisis Mano de Obra'!$A$50:$F$108,5,0)</f>
        <v>hr</v>
      </c>
      <c r="E1841" s="90">
        <f t="shared" si="354"/>
        <v>77885</v>
      </c>
      <c r="F1841" s="90">
        <f>VLOOKUP(A1841,'[106]Analisis Mano de Obra'!$A$50:$F$108,6,0)</f>
        <v>77885</v>
      </c>
      <c r="G1841" s="91"/>
      <c r="H1841" s="91" t="s">
        <v>228</v>
      </c>
      <c r="I1841" s="91" t="s">
        <v>228</v>
      </c>
      <c r="J1841" s="91" t="s">
        <v>228</v>
      </c>
      <c r="K1841" s="91" t="s">
        <v>228</v>
      </c>
      <c r="L1841" s="92" t="s">
        <v>302</v>
      </c>
      <c r="M1841" s="91" t="s">
        <v>90</v>
      </c>
      <c r="N1841" s="93">
        <v>41608</v>
      </c>
      <c r="O1841" s="94"/>
      <c r="P1841" s="94"/>
      <c r="Q1841" s="94">
        <v>38</v>
      </c>
      <c r="R1841" s="95">
        <f t="shared" si="347"/>
        <v>65141.635829726169</v>
      </c>
      <c r="S1841" s="94">
        <v>42629</v>
      </c>
      <c r="T1841" s="94">
        <f t="shared" si="355"/>
        <v>45514.983300000007</v>
      </c>
      <c r="U1841" s="94">
        <f t="shared" si="352"/>
        <v>48132.094839750011</v>
      </c>
      <c r="V1841" s="94">
        <f t="shared" si="353"/>
        <v>50100.697518695786</v>
      </c>
      <c r="W1841" s="97">
        <f t="shared" si="350"/>
        <v>51693.899699790316</v>
      </c>
      <c r="X1841" s="97">
        <f t="shared" si="351"/>
        <v>53658.267888382346</v>
      </c>
      <c r="Y1841" s="97">
        <f t="shared" si="346"/>
        <v>54522.166001385303</v>
      </c>
      <c r="Z1841" s="97">
        <f t="shared" si="348"/>
        <v>57586.311730663161</v>
      </c>
      <c r="AA1841" s="97">
        <f t="shared" si="349"/>
        <v>65141.635829726169</v>
      </c>
    </row>
    <row r="1842" spans="1:27" x14ac:dyDescent="0.25">
      <c r="A1842" s="86" t="s">
        <v>194</v>
      </c>
      <c r="B1842" s="151" t="str">
        <f>VLOOKUP(A1842,'[106]Analisis Mano de Obra'!$A$50:$F$108,2,0)</f>
        <v>CUADRILLA DD TIPO 6 (1 OFICIAL + 6 AYUDANTE) (Carpinteria)</v>
      </c>
      <c r="C1842" s="88" t="s">
        <v>3818</v>
      </c>
      <c r="D1842" s="89" t="str">
        <f>VLOOKUP(A1842,'[106]Analisis Mano de Obra'!$A$50:$F$108,5,0)</f>
        <v>hr</v>
      </c>
      <c r="E1842" s="90">
        <f t="shared" si="354"/>
        <v>77885</v>
      </c>
      <c r="F1842" s="90">
        <f>VLOOKUP(A1842,'[106]Analisis Mano de Obra'!$A$50:$F$108,6,0)</f>
        <v>77885</v>
      </c>
      <c r="G1842" s="91"/>
      <c r="H1842" s="91" t="s">
        <v>228</v>
      </c>
      <c r="I1842" s="91" t="s">
        <v>228</v>
      </c>
      <c r="J1842" s="91" t="s">
        <v>228</v>
      </c>
      <c r="K1842" s="91" t="s">
        <v>228</v>
      </c>
      <c r="L1842" s="92" t="s">
        <v>302</v>
      </c>
      <c r="M1842" s="91" t="s">
        <v>90</v>
      </c>
      <c r="N1842" s="93">
        <v>41608</v>
      </c>
      <c r="O1842" s="94"/>
      <c r="P1842" s="94"/>
      <c r="Q1842" s="94">
        <v>39</v>
      </c>
      <c r="R1842" s="95">
        <f t="shared" si="347"/>
        <v>65141.635829726169</v>
      </c>
      <c r="S1842" s="94">
        <v>42629</v>
      </c>
      <c r="T1842" s="94">
        <f t="shared" si="355"/>
        <v>45514.983300000007</v>
      </c>
      <c r="U1842" s="94">
        <f t="shared" si="352"/>
        <v>48132.094839750011</v>
      </c>
      <c r="V1842" s="94">
        <f t="shared" si="353"/>
        <v>50100.697518695786</v>
      </c>
      <c r="W1842" s="97">
        <f t="shared" si="350"/>
        <v>51693.899699790316</v>
      </c>
      <c r="X1842" s="97">
        <f t="shared" si="351"/>
        <v>53658.267888382346</v>
      </c>
      <c r="Y1842" s="97">
        <f t="shared" si="346"/>
        <v>54522.166001385303</v>
      </c>
      <c r="Z1842" s="97">
        <f t="shared" si="348"/>
        <v>57586.311730663161</v>
      </c>
      <c r="AA1842" s="97">
        <f t="shared" si="349"/>
        <v>65141.635829726169</v>
      </c>
    </row>
    <row r="1843" spans="1:27" x14ac:dyDescent="0.25">
      <c r="A1843" s="86" t="s">
        <v>196</v>
      </c>
      <c r="B1843" s="151" t="str">
        <f>VLOOKUP(A1843,'[106]Analisis Mano de Obra'!$A$50:$F$108,2,0)</f>
        <v>CUADRILLA EE TIPO 6 (1 OFICIAL + 6 AYUDANTE) (Dry Wall)</v>
      </c>
      <c r="C1843" s="88" t="s">
        <v>3818</v>
      </c>
      <c r="D1843" s="89" t="str">
        <f>VLOOKUP(A1843,'[106]Analisis Mano de Obra'!$A$50:$F$108,5,0)</f>
        <v>hr</v>
      </c>
      <c r="E1843" s="90">
        <f t="shared" si="354"/>
        <v>75855</v>
      </c>
      <c r="F1843" s="90">
        <f>VLOOKUP(A1843,'[106]Analisis Mano de Obra'!$A$50:$F$108,6,0)</f>
        <v>75855</v>
      </c>
      <c r="G1843" s="91"/>
      <c r="H1843" s="91" t="s">
        <v>228</v>
      </c>
      <c r="I1843" s="91" t="s">
        <v>228</v>
      </c>
      <c r="J1843" s="91" t="s">
        <v>228</v>
      </c>
      <c r="K1843" s="91" t="s">
        <v>228</v>
      </c>
      <c r="L1843" s="92" t="s">
        <v>302</v>
      </c>
      <c r="M1843" s="91" t="s">
        <v>90</v>
      </c>
      <c r="N1843" s="93">
        <v>41608</v>
      </c>
      <c r="O1843" s="94"/>
      <c r="P1843" s="94"/>
      <c r="Q1843" s="94">
        <v>40</v>
      </c>
      <c r="R1843" s="95">
        <f t="shared" si="347"/>
        <v>63445.438035478197</v>
      </c>
      <c r="S1843" s="94">
        <v>41519</v>
      </c>
      <c r="T1843" s="94">
        <f t="shared" si="355"/>
        <v>44329.836300000003</v>
      </c>
      <c r="U1843" s="94">
        <f t="shared" si="352"/>
        <v>46878.801887250011</v>
      </c>
      <c r="V1843" s="94">
        <f t="shared" si="353"/>
        <v>48796.14488443853</v>
      </c>
      <c r="W1843" s="97">
        <f t="shared" si="350"/>
        <v>50347.862291763675</v>
      </c>
      <c r="X1843" s="97">
        <f t="shared" si="351"/>
        <v>52261.081058850694</v>
      </c>
      <c r="Y1843" s="97">
        <f t="shared" si="346"/>
        <v>53102.484463898189</v>
      </c>
      <c r="Z1843" s="97">
        <f t="shared" si="348"/>
        <v>56086.844090769271</v>
      </c>
      <c r="AA1843" s="97">
        <f t="shared" si="349"/>
        <v>63445.438035478197</v>
      </c>
    </row>
    <row r="1844" spans="1:27" x14ac:dyDescent="0.25">
      <c r="A1844" s="86" t="s">
        <v>198</v>
      </c>
      <c r="B1844" s="151" t="str">
        <f>VLOOKUP(A1844,'[106]Analisis Mano de Obra'!$A$50:$F$108,2,0)</f>
        <v>CUADRILLA FF TIPO 6 (1 OFICIAL + 6 AYUDANTE) (Electricas)</v>
      </c>
      <c r="C1844" s="88" t="s">
        <v>3818</v>
      </c>
      <c r="D1844" s="89" t="str">
        <f>VLOOKUP(A1844,'[106]Analisis Mano de Obra'!$A$50:$F$108,5,0)</f>
        <v>hr</v>
      </c>
      <c r="E1844" s="90">
        <f t="shared" si="354"/>
        <v>99407</v>
      </c>
      <c r="F1844" s="90">
        <f>VLOOKUP(A1844,'[106]Analisis Mano de Obra'!$A$50:$F$108,6,0)</f>
        <v>99407</v>
      </c>
      <c r="G1844" s="91"/>
      <c r="H1844" s="91" t="s">
        <v>228</v>
      </c>
      <c r="I1844" s="91" t="s">
        <v>228</v>
      </c>
      <c r="J1844" s="91" t="s">
        <v>228</v>
      </c>
      <c r="K1844" s="91" t="s">
        <v>228</v>
      </c>
      <c r="L1844" s="92" t="s">
        <v>302</v>
      </c>
      <c r="M1844" s="91" t="s">
        <v>90</v>
      </c>
      <c r="N1844" s="93">
        <v>41608</v>
      </c>
      <c r="O1844" s="94"/>
      <c r="P1844" s="94"/>
      <c r="Q1844" s="94">
        <v>41</v>
      </c>
      <c r="R1844" s="95">
        <f t="shared" si="347"/>
        <v>83390.279126040637</v>
      </c>
      <c r="S1844" s="94">
        <v>54571</v>
      </c>
      <c r="T1844" s="94">
        <f t="shared" si="355"/>
        <v>58265.456700000002</v>
      </c>
      <c r="U1844" s="94">
        <f t="shared" si="352"/>
        <v>61615.720460250006</v>
      </c>
      <c r="V1844" s="94">
        <f t="shared" si="353"/>
        <v>64135.803427074228</v>
      </c>
      <c r="W1844" s="97">
        <f t="shared" si="350"/>
        <v>66175.321976055187</v>
      </c>
      <c r="X1844" s="97">
        <f t="shared" si="351"/>
        <v>68689.984211145289</v>
      </c>
      <c r="Y1844" s="97">
        <f t="shared" si="346"/>
        <v>69795.892956944735</v>
      </c>
      <c r="Z1844" s="97">
        <f t="shared" si="348"/>
        <v>73718.422141125033</v>
      </c>
      <c r="AA1844" s="97">
        <f t="shared" si="349"/>
        <v>83390.279126040637</v>
      </c>
    </row>
    <row r="1845" spans="1:27" x14ac:dyDescent="0.25">
      <c r="A1845" s="86" t="s">
        <v>200</v>
      </c>
      <c r="B1845" s="151" t="str">
        <f>VLOOKUP(A1845,'[106]Analisis Mano de Obra'!$A$50:$F$108,2,0)</f>
        <v>CUADRILLA GG TIPO 6 (1 OFICIAL + 6 AYUDANTE) (Alumbrado Publico)</v>
      </c>
      <c r="C1845" s="88" t="s">
        <v>3818</v>
      </c>
      <c r="D1845" s="89" t="str">
        <f>VLOOKUP(A1845,'[106]Analisis Mano de Obra'!$A$50:$F$108,5,0)</f>
        <v>hr</v>
      </c>
      <c r="E1845" s="90">
        <f t="shared" si="354"/>
        <v>138940</v>
      </c>
      <c r="F1845" s="90">
        <f>VLOOKUP(A1845,'[106]Analisis Mano de Obra'!$A$50:$F$108,6,0)</f>
        <v>138940</v>
      </c>
      <c r="G1845" s="91"/>
      <c r="H1845" s="91" t="s">
        <v>228</v>
      </c>
      <c r="I1845" s="91" t="s">
        <v>228</v>
      </c>
      <c r="J1845" s="91" t="s">
        <v>228</v>
      </c>
      <c r="K1845" s="91" t="s">
        <v>228</v>
      </c>
      <c r="L1845" s="92" t="s">
        <v>302</v>
      </c>
      <c r="M1845" s="91" t="s">
        <v>90</v>
      </c>
      <c r="N1845" s="93">
        <v>41608</v>
      </c>
      <c r="O1845" s="94"/>
      <c r="P1845" s="94"/>
      <c r="Q1845" s="94">
        <v>42</v>
      </c>
      <c r="R1845" s="95">
        <f t="shared" si="347"/>
        <v>116626.58725657487</v>
      </c>
      <c r="S1845" s="94">
        <v>76321</v>
      </c>
      <c r="T1845" s="94">
        <f t="shared" si="355"/>
        <v>81487.931700000001</v>
      </c>
      <c r="U1845" s="94">
        <f t="shared" si="352"/>
        <v>86173.487772750013</v>
      </c>
      <c r="V1845" s="94">
        <f t="shared" si="353"/>
        <v>89697.983422655481</v>
      </c>
      <c r="W1845" s="97">
        <f t="shared" si="350"/>
        <v>92550.379295495935</v>
      </c>
      <c r="X1845" s="97">
        <f t="shared" si="351"/>
        <v>96067.293708724785</v>
      </c>
      <c r="Y1845" s="97">
        <f t="shared" si="346"/>
        <v>97613.977137435257</v>
      </c>
      <c r="Z1845" s="97">
        <f t="shared" si="348"/>
        <v>103099.88265255911</v>
      </c>
      <c r="AA1845" s="97">
        <f t="shared" si="349"/>
        <v>116626.58725657487</v>
      </c>
    </row>
    <row r="1846" spans="1:27" x14ac:dyDescent="0.25">
      <c r="A1846" s="105" t="s">
        <v>3933</v>
      </c>
      <c r="B1846" s="106" t="s">
        <v>3934</v>
      </c>
      <c r="C1846" s="107"/>
      <c r="D1846" s="108"/>
      <c r="E1846" s="90">
        <f t="shared" si="354"/>
        <v>0</v>
      </c>
      <c r="F1846" s="80"/>
      <c r="G1846" s="81"/>
      <c r="H1846" s="81"/>
      <c r="I1846" s="81"/>
      <c r="J1846" s="81"/>
      <c r="K1846" s="81"/>
      <c r="L1846" s="92"/>
      <c r="M1846" s="91"/>
      <c r="N1846" s="93">
        <v>41608</v>
      </c>
      <c r="O1846" s="109"/>
      <c r="P1846" s="109"/>
      <c r="Q1846" s="109">
        <v>0</v>
      </c>
      <c r="R1846" s="95">
        <f t="shared" si="347"/>
        <v>0</v>
      </c>
      <c r="S1846" s="109"/>
      <c r="T1846" s="94">
        <f t="shared" si="355"/>
        <v>0</v>
      </c>
      <c r="U1846" s="94">
        <f t="shared" si="352"/>
        <v>0</v>
      </c>
      <c r="V1846" s="94">
        <f t="shared" si="353"/>
        <v>0</v>
      </c>
      <c r="W1846" s="97">
        <f t="shared" si="350"/>
        <v>0</v>
      </c>
      <c r="X1846" s="97">
        <f t="shared" si="351"/>
        <v>0</v>
      </c>
      <c r="Y1846" s="97">
        <f t="shared" si="346"/>
        <v>0</v>
      </c>
      <c r="Z1846" s="97">
        <f t="shared" si="348"/>
        <v>0</v>
      </c>
      <c r="AA1846" s="97">
        <f t="shared" si="349"/>
        <v>0</v>
      </c>
    </row>
    <row r="1847" spans="1:27" x14ac:dyDescent="0.25">
      <c r="A1847" s="102" t="s">
        <v>3935</v>
      </c>
      <c r="B1847" s="87" t="str">
        <f>+VLOOKUP(A1847,[106]A.P.U!$B$17153:$J$17473,2,0)</f>
        <v>ACERO 60.000 PSI (Incluye alambre negro y figuración )</v>
      </c>
      <c r="C1847" s="152" t="s">
        <v>3936</v>
      </c>
      <c r="D1847" s="89" t="str">
        <f>+VLOOKUP(A1847,[106]A.P.U!$B$17153:$J$17473,6,0)</f>
        <v>kg</v>
      </c>
      <c r="E1847" s="153">
        <f t="shared" si="354"/>
        <v>8559</v>
      </c>
      <c r="F1847" s="154">
        <f>+VLOOKUP(A1847,[106]A.P.U!$B$17153:$J$17473,9,0)</f>
        <v>8559</v>
      </c>
      <c r="G1847" s="91"/>
      <c r="H1847" s="91" t="s">
        <v>228</v>
      </c>
      <c r="I1847" s="91" t="s">
        <v>228</v>
      </c>
      <c r="J1847" s="91" t="s">
        <v>228</v>
      </c>
      <c r="K1847" s="91" t="s">
        <v>228</v>
      </c>
      <c r="L1847" s="92" t="s">
        <v>3937</v>
      </c>
      <c r="M1847" s="91" t="s">
        <v>3938</v>
      </c>
      <c r="N1847" s="93">
        <v>41608</v>
      </c>
      <c r="O1847" s="94"/>
      <c r="P1847" s="94"/>
      <c r="Q1847" s="94">
        <v>1</v>
      </c>
      <c r="R1847" s="95">
        <f t="shared" si="347"/>
        <v>6147.5709245581256</v>
      </c>
      <c r="S1847" s="94">
        <v>4023</v>
      </c>
      <c r="T1847" s="94">
        <f t="shared" si="355"/>
        <v>4295.3571000000002</v>
      </c>
      <c r="U1847" s="94">
        <f t="shared" si="352"/>
        <v>4542.3401332500007</v>
      </c>
      <c r="V1847" s="94">
        <f t="shared" si="353"/>
        <v>4728.1218446999255</v>
      </c>
      <c r="W1847" s="97">
        <f t="shared" si="350"/>
        <v>4878.4761193613831</v>
      </c>
      <c r="X1847" s="97">
        <f t="shared" si="351"/>
        <v>5063.8582118971162</v>
      </c>
      <c r="Y1847" s="97">
        <f t="shared" si="346"/>
        <v>5145.38632910866</v>
      </c>
      <c r="Z1847" s="97">
        <f t="shared" si="348"/>
        <v>5434.5570408045669</v>
      </c>
      <c r="AA1847" s="97">
        <f t="shared" si="349"/>
        <v>6147.5709245581256</v>
      </c>
    </row>
    <row r="1848" spans="1:27" x14ac:dyDescent="0.25">
      <c r="A1848" s="102" t="s">
        <v>3939</v>
      </c>
      <c r="B1848" s="87" t="str">
        <f>+VLOOKUP(A1848,[106]A.P.U!$B$17153:$J$17473,2,0)</f>
        <v>CONCRETO 1500 psi - 10.5 Mpa</v>
      </c>
      <c r="C1848" s="152" t="s">
        <v>3936</v>
      </c>
      <c r="D1848" s="89" t="str">
        <f>+VLOOKUP(A1848,[106]A.P.U!$B$17153:$J$17473,6,0)</f>
        <v>m3</v>
      </c>
      <c r="E1848" s="153">
        <f t="shared" si="354"/>
        <v>397151</v>
      </c>
      <c r="F1848" s="154">
        <f>+VLOOKUP(A1848,[106]A.P.U!$B$17153:$J$17473,9,0)</f>
        <v>397151</v>
      </c>
      <c r="G1848" s="91"/>
      <c r="H1848" s="91" t="s">
        <v>228</v>
      </c>
      <c r="I1848" s="91" t="s">
        <v>228</v>
      </c>
      <c r="J1848" s="91" t="s">
        <v>228</v>
      </c>
      <c r="K1848" s="91" t="s">
        <v>228</v>
      </c>
      <c r="L1848" s="92" t="s">
        <v>3937</v>
      </c>
      <c r="M1848" s="91" t="s">
        <v>3938</v>
      </c>
      <c r="N1848" s="93">
        <v>41608</v>
      </c>
      <c r="O1848" s="94"/>
      <c r="P1848" s="94"/>
      <c r="Q1848" s="94">
        <v>2</v>
      </c>
      <c r="R1848" s="95">
        <f t="shared" si="347"/>
        <v>381013.39587783982</v>
      </c>
      <c r="S1848" s="94">
        <v>249337</v>
      </c>
      <c r="T1848" s="94">
        <f t="shared" si="355"/>
        <v>266217.11490000004</v>
      </c>
      <c r="U1848" s="94">
        <f t="shared" si="352"/>
        <v>281524.5990067501</v>
      </c>
      <c r="V1848" s="94">
        <f t="shared" si="353"/>
        <v>293038.95510612614</v>
      </c>
      <c r="W1848" s="97">
        <f t="shared" si="350"/>
        <v>302357.59387850098</v>
      </c>
      <c r="X1848" s="97">
        <f t="shared" si="351"/>
        <v>313847.18244588404</v>
      </c>
      <c r="Y1848" s="97">
        <f t="shared" si="346"/>
        <v>318900.12208326277</v>
      </c>
      <c r="Z1848" s="97">
        <f t="shared" si="348"/>
        <v>336822.30894434213</v>
      </c>
      <c r="AA1848" s="97">
        <f t="shared" si="349"/>
        <v>381013.39587783982</v>
      </c>
    </row>
    <row r="1849" spans="1:27" x14ac:dyDescent="0.25">
      <c r="A1849" s="102" t="s">
        <v>3940</v>
      </c>
      <c r="B1849" s="87" t="str">
        <f>+VLOOKUP(A1849,[106]A.P.U!$B$17153:$J$17473,2,0)</f>
        <v>CONCRETO 2000 psi - 14 Mpa</v>
      </c>
      <c r="C1849" s="152" t="s">
        <v>3936</v>
      </c>
      <c r="D1849" s="89" t="str">
        <f>+VLOOKUP(A1849,[106]A.P.U!$B$17153:$J$17473,6,0)</f>
        <v>m3</v>
      </c>
      <c r="E1849" s="153">
        <f t="shared" si="354"/>
        <v>409167</v>
      </c>
      <c r="F1849" s="154">
        <f>+VLOOKUP(A1849,[106]A.P.U!$B$17153:$J$17473,9,0)</f>
        <v>409167</v>
      </c>
      <c r="G1849" s="91"/>
      <c r="H1849" s="91" t="s">
        <v>228</v>
      </c>
      <c r="I1849" s="91" t="s">
        <v>228</v>
      </c>
      <c r="J1849" s="91" t="s">
        <v>228</v>
      </c>
      <c r="K1849" s="91" t="s">
        <v>228</v>
      </c>
      <c r="L1849" s="92" t="s">
        <v>3937</v>
      </c>
      <c r="M1849" s="91" t="s">
        <v>3938</v>
      </c>
      <c r="N1849" s="93">
        <v>41608</v>
      </c>
      <c r="O1849" s="94"/>
      <c r="P1849" s="94"/>
      <c r="Q1849" s="94">
        <v>3</v>
      </c>
      <c r="R1849" s="95">
        <f t="shared" si="347"/>
        <v>392701.87959694117</v>
      </c>
      <c r="S1849" s="94">
        <v>256986</v>
      </c>
      <c r="T1849" s="94">
        <f t="shared" si="355"/>
        <v>274383.9522</v>
      </c>
      <c r="U1849" s="94">
        <f t="shared" si="352"/>
        <v>290161.02945150004</v>
      </c>
      <c r="V1849" s="94">
        <f t="shared" si="353"/>
        <v>302028.61555606639</v>
      </c>
      <c r="W1849" s="97">
        <f t="shared" si="350"/>
        <v>311633.12553074933</v>
      </c>
      <c r="X1849" s="97">
        <f t="shared" si="351"/>
        <v>323475.18430091778</v>
      </c>
      <c r="Y1849" s="97">
        <f t="shared" ref="Y1849:Y1876" si="356">+X1849*(1+$Y$4)</f>
        <v>328683.13476816256</v>
      </c>
      <c r="Z1849" s="97">
        <f t="shared" si="348"/>
        <v>347155.1269421333</v>
      </c>
      <c r="AA1849" s="97">
        <f t="shared" si="349"/>
        <v>392701.87959694117</v>
      </c>
    </row>
    <row r="1850" spans="1:27" x14ac:dyDescent="0.25">
      <c r="A1850" s="102" t="s">
        <v>3941</v>
      </c>
      <c r="B1850" s="87" t="str">
        <f>+VLOOKUP(A1850,[106]A.P.U!$B$17153:$J$17473,2,0)</f>
        <v>CONCRETO 2500 psi - 17.5 Mpa</v>
      </c>
      <c r="C1850" s="152" t="s">
        <v>3936</v>
      </c>
      <c r="D1850" s="89" t="str">
        <f>+VLOOKUP(A1850,[106]A.P.U!$B$17153:$J$17473,6,0)</f>
        <v>m3</v>
      </c>
      <c r="E1850" s="153">
        <f t="shared" si="354"/>
        <v>459865</v>
      </c>
      <c r="F1850" s="154">
        <f>+VLOOKUP(A1850,[106]A.P.U!$B$17153:$J$17473,9,0)</f>
        <v>459865</v>
      </c>
      <c r="G1850" s="91"/>
      <c r="H1850" s="91" t="s">
        <v>228</v>
      </c>
      <c r="I1850" s="91" t="s">
        <v>228</v>
      </c>
      <c r="J1850" s="91" t="s">
        <v>228</v>
      </c>
      <c r="K1850" s="91" t="s">
        <v>228</v>
      </c>
      <c r="L1850" s="92" t="s">
        <v>3937</v>
      </c>
      <c r="M1850" s="91" t="s">
        <v>3938</v>
      </c>
      <c r="N1850" s="93">
        <v>41608</v>
      </c>
      <c r="O1850" s="94"/>
      <c r="P1850" s="94"/>
      <c r="Q1850" s="94">
        <v>4</v>
      </c>
      <c r="R1850" s="95">
        <f t="shared" si="347"/>
        <v>442131.52829112014</v>
      </c>
      <c r="S1850" s="94">
        <v>289333</v>
      </c>
      <c r="T1850" s="94">
        <f t="shared" si="355"/>
        <v>308920.84410000005</v>
      </c>
      <c r="U1850" s="94">
        <f t="shared" si="352"/>
        <v>326683.79263575008</v>
      </c>
      <c r="V1850" s="94">
        <f t="shared" si="353"/>
        <v>340045.15975455224</v>
      </c>
      <c r="W1850" s="97">
        <f t="shared" si="350"/>
        <v>350858.59583474702</v>
      </c>
      <c r="X1850" s="97">
        <f t="shared" si="351"/>
        <v>364191.22247646743</v>
      </c>
      <c r="Y1850" s="97">
        <f t="shared" si="356"/>
        <v>370054.70115833858</v>
      </c>
      <c r="Z1850" s="97">
        <f t="shared" si="348"/>
        <v>390851.77536343719</v>
      </c>
      <c r="AA1850" s="97">
        <f t="shared" si="349"/>
        <v>442131.52829112014</v>
      </c>
    </row>
    <row r="1851" spans="1:27" x14ac:dyDescent="0.25">
      <c r="A1851" s="102" t="s">
        <v>3942</v>
      </c>
      <c r="B1851" s="87" t="str">
        <f>+VLOOKUP(A1851,[106]A.P.U!$B$17153:$J$17473,2,0)</f>
        <v>CONCRETO 3000 psi - 21 Mpa</v>
      </c>
      <c r="C1851" s="152" t="s">
        <v>3936</v>
      </c>
      <c r="D1851" s="89" t="str">
        <f>+VLOOKUP(A1851,[106]A.P.U!$B$17153:$J$17473,6,0)</f>
        <v>m3</v>
      </c>
      <c r="E1851" s="153">
        <f>+ROUND(F1851*(1+G1851),0)</f>
        <v>508591</v>
      </c>
      <c r="F1851" s="154">
        <f>+VLOOKUP(A1851,[106]A.P.U!$B$17153:$J$17473,9,0)</f>
        <v>508591</v>
      </c>
      <c r="G1851" s="91"/>
      <c r="H1851" s="91" t="s">
        <v>228</v>
      </c>
      <c r="I1851" s="91" t="s">
        <v>228</v>
      </c>
      <c r="J1851" s="91" t="s">
        <v>228</v>
      </c>
      <c r="K1851" s="91" t="s">
        <v>228</v>
      </c>
      <c r="L1851" s="92" t="s">
        <v>3937</v>
      </c>
      <c r="M1851" s="91" t="s">
        <v>3938</v>
      </c>
      <c r="N1851" s="93">
        <v>41608</v>
      </c>
      <c r="O1851" s="94"/>
      <c r="P1851" s="94"/>
      <c r="Q1851" s="94">
        <v>5</v>
      </c>
      <c r="R1851" s="95">
        <f t="shared" si="347"/>
        <v>489641.87569739309</v>
      </c>
      <c r="S1851" s="94">
        <v>320424</v>
      </c>
      <c r="T1851" s="94">
        <f t="shared" si="355"/>
        <v>342116.70480000001</v>
      </c>
      <c r="U1851" s="94">
        <f t="shared" si="352"/>
        <v>361788.41532600002</v>
      </c>
      <c r="V1851" s="94">
        <f t="shared" si="353"/>
        <v>376585.5615128334</v>
      </c>
      <c r="W1851" s="97">
        <f t="shared" si="350"/>
        <v>388560.98236894154</v>
      </c>
      <c r="X1851" s="97">
        <f t="shared" si="351"/>
        <v>403326.29969896132</v>
      </c>
      <c r="Y1851" s="97">
        <f t="shared" si="356"/>
        <v>409819.85312411457</v>
      </c>
      <c r="Z1851" s="97">
        <f t="shared" si="348"/>
        <v>432851.7288696898</v>
      </c>
      <c r="AA1851" s="97">
        <f t="shared" si="349"/>
        <v>489641.87569739309</v>
      </c>
    </row>
    <row r="1852" spans="1:27" x14ac:dyDescent="0.25">
      <c r="A1852" s="102" t="s">
        <v>3943</v>
      </c>
      <c r="B1852" s="98" t="str">
        <f>+VLOOKUP(A1852,[106]A.P.U!$B$17153:$J$17473,2,0)</f>
        <v>CONCRETO 3500 psi - 24.5 Mpa</v>
      </c>
      <c r="C1852" s="152" t="s">
        <v>3936</v>
      </c>
      <c r="D1852" s="89" t="str">
        <f>+VLOOKUP(A1852,[106]A.P.U!$B$17153:$J$17473,6,0)</f>
        <v>m3</v>
      </c>
      <c r="E1852" s="153">
        <f>+ROUND(F1852*(1+G1852),0)</f>
        <v>553986</v>
      </c>
      <c r="F1852" s="154">
        <f>+VLOOKUP(A1852,[106]A.P.U!$B$17153:$J$17473,9,0)</f>
        <v>553986</v>
      </c>
      <c r="G1852" s="91"/>
      <c r="H1852" s="91" t="s">
        <v>228</v>
      </c>
      <c r="I1852" s="91" t="s">
        <v>228</v>
      </c>
      <c r="J1852" s="91" t="s">
        <v>228</v>
      </c>
      <c r="K1852" s="91" t="s">
        <v>228</v>
      </c>
      <c r="L1852" s="92" t="s">
        <v>3937</v>
      </c>
      <c r="M1852" s="91" t="s">
        <v>3938</v>
      </c>
      <c r="N1852" s="93">
        <v>41608</v>
      </c>
      <c r="O1852" s="94"/>
      <c r="P1852" s="94"/>
      <c r="Q1852" s="94">
        <v>6</v>
      </c>
      <c r="R1852" s="95">
        <f t="shared" si="347"/>
        <v>533894.30085381353</v>
      </c>
      <c r="S1852" s="94">
        <v>349383</v>
      </c>
      <c r="T1852" s="94">
        <f t="shared" si="355"/>
        <v>373036.22910000006</v>
      </c>
      <c r="U1852" s="94">
        <f t="shared" si="352"/>
        <v>394485.81227325008</v>
      </c>
      <c r="V1852" s="94">
        <f t="shared" si="353"/>
        <v>410620.28199522599</v>
      </c>
      <c r="W1852" s="97">
        <f t="shared" si="350"/>
        <v>423678.0069626742</v>
      </c>
      <c r="X1852" s="97">
        <f t="shared" si="351"/>
        <v>439777.77122725581</v>
      </c>
      <c r="Y1852" s="97">
        <f t="shared" si="356"/>
        <v>446858.19334401464</v>
      </c>
      <c r="Z1852" s="97">
        <f t="shared" si="348"/>
        <v>471971.62380994827</v>
      </c>
      <c r="AA1852" s="97">
        <f t="shared" si="349"/>
        <v>533894.30085381353</v>
      </c>
    </row>
    <row r="1853" spans="1:27" x14ac:dyDescent="0.25">
      <c r="A1853" s="102" t="s">
        <v>3944</v>
      </c>
      <c r="B1853" s="87" t="str">
        <f>+VLOOKUP(A1853,[106]A.P.U!$B$17153:$J$17473,2,0)</f>
        <v>CONCRETO 4000 psi - 28 Mpa</v>
      </c>
      <c r="C1853" s="152" t="s">
        <v>3936</v>
      </c>
      <c r="D1853" s="89" t="str">
        <f>+VLOOKUP(A1853,[106]A.P.U!$B$17153:$J$17473,6,0)</f>
        <v>m3</v>
      </c>
      <c r="E1853" s="153">
        <f t="shared" si="354"/>
        <v>570798</v>
      </c>
      <c r="F1853" s="154">
        <f>+VLOOKUP(A1853,[106]A.P.U!$B$17153:$J$17473,9,0)</f>
        <v>570798</v>
      </c>
      <c r="G1853" s="91"/>
      <c r="H1853" s="91" t="s">
        <v>228</v>
      </c>
      <c r="I1853" s="91" t="s">
        <v>228</v>
      </c>
      <c r="J1853" s="91" t="s">
        <v>228</v>
      </c>
      <c r="K1853" s="91" t="s">
        <v>228</v>
      </c>
      <c r="L1853" s="92" t="s">
        <v>3937</v>
      </c>
      <c r="M1853" s="91" t="s">
        <v>3938</v>
      </c>
      <c r="N1853" s="93">
        <v>41608</v>
      </c>
      <c r="O1853" s="94"/>
      <c r="P1853" s="94"/>
      <c r="Q1853" s="94">
        <v>7</v>
      </c>
      <c r="R1853" s="95">
        <f t="shared" si="347"/>
        <v>550272.54225809244</v>
      </c>
      <c r="S1853" s="94">
        <v>360101</v>
      </c>
      <c r="T1853" s="94">
        <f t="shared" si="355"/>
        <v>384479.83770000003</v>
      </c>
      <c r="U1853" s="94">
        <f t="shared" si="352"/>
        <v>406587.42836775008</v>
      </c>
      <c r="V1853" s="94">
        <f t="shared" si="353"/>
        <v>423216.854187991</v>
      </c>
      <c r="W1853" s="97">
        <f t="shared" si="350"/>
        <v>436675.15015116916</v>
      </c>
      <c r="X1853" s="97">
        <f t="shared" si="351"/>
        <v>453268.80585691362</v>
      </c>
      <c r="Y1853" s="97">
        <f t="shared" si="356"/>
        <v>460566.43363120995</v>
      </c>
      <c r="Z1853" s="97">
        <f t="shared" si="348"/>
        <v>486450.26720128395</v>
      </c>
      <c r="AA1853" s="97">
        <f t="shared" si="349"/>
        <v>550272.54225809244</v>
      </c>
    </row>
    <row r="1854" spans="1:27" x14ac:dyDescent="0.25">
      <c r="A1854" s="102" t="s">
        <v>3945</v>
      </c>
      <c r="B1854" s="87" t="str">
        <f>+VLOOKUP(A1854,[106]A.P.U!$B$17153:$J$17473,2,0)</f>
        <v>CONCRETO 1500 psi - 10.5 Mpa Impermeabilizado</v>
      </c>
      <c r="C1854" s="152" t="s">
        <v>3936</v>
      </c>
      <c r="D1854" s="89" t="str">
        <f>+VLOOKUP(A1854,[106]A.P.U!$B$17153:$J$17473,6,0)</f>
        <v>m3</v>
      </c>
      <c r="E1854" s="153">
        <f t="shared" si="354"/>
        <v>418368</v>
      </c>
      <c r="F1854" s="154">
        <f>+VLOOKUP(A1854,[106]A.P.U!$B$17153:$J$17473,9,0)</f>
        <v>418368</v>
      </c>
      <c r="G1854" s="91"/>
      <c r="H1854" s="91" t="s">
        <v>228</v>
      </c>
      <c r="I1854" s="91" t="s">
        <v>228</v>
      </c>
      <c r="J1854" s="91" t="s">
        <v>228</v>
      </c>
      <c r="K1854" s="91" t="s">
        <v>228</v>
      </c>
      <c r="L1854" s="92" t="s">
        <v>3937</v>
      </c>
      <c r="M1854" s="91" t="s">
        <v>3938</v>
      </c>
      <c r="N1854" s="93">
        <v>41608</v>
      </c>
      <c r="O1854" s="94"/>
      <c r="P1854" s="94"/>
      <c r="Q1854" s="94">
        <v>8</v>
      </c>
      <c r="R1854" s="95">
        <f t="shared" si="347"/>
        <v>401696.3122248181</v>
      </c>
      <c r="S1854" s="94">
        <v>262872</v>
      </c>
      <c r="T1854" s="94">
        <f t="shared" si="355"/>
        <v>280668.43440000003</v>
      </c>
      <c r="U1854" s="94">
        <f t="shared" si="352"/>
        <v>296806.86937800003</v>
      </c>
      <c r="V1854" s="94">
        <f t="shared" si="353"/>
        <v>308946.2703355602</v>
      </c>
      <c r="W1854" s="97">
        <f t="shared" si="350"/>
        <v>318770.76173223101</v>
      </c>
      <c r="X1854" s="97">
        <f t="shared" si="351"/>
        <v>330884.05067805579</v>
      </c>
      <c r="Y1854" s="97">
        <f t="shared" si="356"/>
        <v>336211.28389397252</v>
      </c>
      <c r="Z1854" s="97">
        <f t="shared" si="348"/>
        <v>355106.35804881377</v>
      </c>
      <c r="AA1854" s="97">
        <f t="shared" si="349"/>
        <v>401696.3122248181</v>
      </c>
    </row>
    <row r="1855" spans="1:27" x14ac:dyDescent="0.25">
      <c r="A1855" s="102" t="s">
        <v>3946</v>
      </c>
      <c r="B1855" s="87" t="str">
        <f>+VLOOKUP(A1855,[106]A.P.U!$B$17153:$J$17473,2,0)</f>
        <v>CONCRETO 2000 psi - 14 Mpa Impermeabilizado</v>
      </c>
      <c r="C1855" s="152" t="s">
        <v>3936</v>
      </c>
      <c r="D1855" s="89" t="str">
        <f>+VLOOKUP(A1855,[106]A.P.U!$B$17153:$J$17473,6,0)</f>
        <v>m3</v>
      </c>
      <c r="E1855" s="153">
        <f t="shared" si="354"/>
        <v>430384</v>
      </c>
      <c r="F1855" s="154">
        <f>+VLOOKUP(A1855,[106]A.P.U!$B$17153:$J$17473,9,0)</f>
        <v>430384</v>
      </c>
      <c r="G1855" s="91"/>
      <c r="H1855" s="91" t="s">
        <v>228</v>
      </c>
      <c r="I1855" s="91" t="s">
        <v>228</v>
      </c>
      <c r="J1855" s="91" t="s">
        <v>228</v>
      </c>
      <c r="K1855" s="91" t="s">
        <v>228</v>
      </c>
      <c r="L1855" s="92" t="s">
        <v>3937</v>
      </c>
      <c r="M1855" s="91" t="s">
        <v>3938</v>
      </c>
      <c r="N1855" s="93">
        <v>41608</v>
      </c>
      <c r="O1855" s="94"/>
      <c r="P1855" s="94"/>
      <c r="Q1855" s="94">
        <v>9</v>
      </c>
      <c r="R1855" s="95">
        <f t="shared" si="347"/>
        <v>413384.79594391963</v>
      </c>
      <c r="S1855" s="94">
        <v>270521</v>
      </c>
      <c r="T1855" s="94">
        <f t="shared" si="355"/>
        <v>288835.27170000004</v>
      </c>
      <c r="U1855" s="94">
        <f t="shared" si="352"/>
        <v>305443.29982275009</v>
      </c>
      <c r="V1855" s="94">
        <f t="shared" si="353"/>
        <v>317935.93078550056</v>
      </c>
      <c r="W1855" s="97">
        <f t="shared" si="350"/>
        <v>328046.29338447948</v>
      </c>
      <c r="X1855" s="97">
        <f t="shared" si="351"/>
        <v>340512.05253308971</v>
      </c>
      <c r="Y1855" s="97">
        <f t="shared" si="356"/>
        <v>345994.29657887243</v>
      </c>
      <c r="Z1855" s="97">
        <f t="shared" si="348"/>
        <v>365439.17604660505</v>
      </c>
      <c r="AA1855" s="97">
        <f t="shared" si="349"/>
        <v>413384.79594391963</v>
      </c>
    </row>
    <row r="1856" spans="1:27" x14ac:dyDescent="0.25">
      <c r="A1856" s="102" t="s">
        <v>3947</v>
      </c>
      <c r="B1856" s="87" t="str">
        <f>+VLOOKUP(A1856,[106]A.P.U!$B$17153:$J$17473,2,0)</f>
        <v>CONCRETO 2500 psi - 17.5 Mpa Impermeabilizado</v>
      </c>
      <c r="C1856" s="152" t="s">
        <v>3936</v>
      </c>
      <c r="D1856" s="89" t="str">
        <f>+VLOOKUP(A1856,[106]A.P.U!$B$17153:$J$17473,6,0)</f>
        <v>m3</v>
      </c>
      <c r="E1856" s="153">
        <f t="shared" si="354"/>
        <v>481082</v>
      </c>
      <c r="F1856" s="154">
        <f>+VLOOKUP(A1856,[106]A.P.U!$B$17153:$J$17473,9,0)</f>
        <v>481082</v>
      </c>
      <c r="G1856" s="91"/>
      <c r="H1856" s="91" t="s">
        <v>228</v>
      </c>
      <c r="I1856" s="91" t="s">
        <v>228</v>
      </c>
      <c r="J1856" s="91" t="s">
        <v>228</v>
      </c>
      <c r="K1856" s="91" t="s">
        <v>228</v>
      </c>
      <c r="L1856" s="92" t="s">
        <v>3937</v>
      </c>
      <c r="M1856" s="91" t="s">
        <v>3938</v>
      </c>
      <c r="N1856" s="93">
        <v>41608</v>
      </c>
      <c r="O1856" s="94"/>
      <c r="P1856" s="94"/>
      <c r="Q1856" s="94">
        <v>10</v>
      </c>
      <c r="R1856" s="95">
        <f t="shared" si="347"/>
        <v>462814.44463809853</v>
      </c>
      <c r="S1856" s="94">
        <v>302868</v>
      </c>
      <c r="T1856" s="94">
        <f t="shared" si="355"/>
        <v>323372.16360000003</v>
      </c>
      <c r="U1856" s="94">
        <f t="shared" si="352"/>
        <v>341966.06300700008</v>
      </c>
      <c r="V1856" s="94">
        <f t="shared" si="353"/>
        <v>355952.47498398635</v>
      </c>
      <c r="W1856" s="97">
        <f t="shared" si="350"/>
        <v>367271.76368847716</v>
      </c>
      <c r="X1856" s="97">
        <f t="shared" si="351"/>
        <v>381228.0907086393</v>
      </c>
      <c r="Y1856" s="97">
        <f t="shared" si="356"/>
        <v>387365.86296904838</v>
      </c>
      <c r="Z1856" s="97">
        <f t="shared" si="348"/>
        <v>409135.82446790888</v>
      </c>
      <c r="AA1856" s="97">
        <f t="shared" si="349"/>
        <v>462814.44463809853</v>
      </c>
    </row>
    <row r="1857" spans="1:27" x14ac:dyDescent="0.25">
      <c r="A1857" s="102" t="s">
        <v>3948</v>
      </c>
      <c r="B1857" s="87" t="str">
        <f>+VLOOKUP(A1857,[106]A.P.U!$B$17153:$J$17473,2,0)</f>
        <v>CONCRETO 3000 psi - 21 Mpa Impermeabilizado</v>
      </c>
      <c r="C1857" s="152" t="s">
        <v>3936</v>
      </c>
      <c r="D1857" s="89" t="str">
        <f>+VLOOKUP(A1857,[106]A.P.U!$B$17153:$J$17473,6,0)</f>
        <v>m3</v>
      </c>
      <c r="E1857" s="153">
        <f t="shared" si="354"/>
        <v>529808</v>
      </c>
      <c r="F1857" s="154">
        <f>+VLOOKUP(A1857,[106]A.P.U!$B$17153:$J$17473,9,0)</f>
        <v>529808</v>
      </c>
      <c r="G1857" s="91"/>
      <c r="H1857" s="91" t="s">
        <v>228</v>
      </c>
      <c r="I1857" s="91" t="s">
        <v>228</v>
      </c>
      <c r="J1857" s="91" t="s">
        <v>228</v>
      </c>
      <c r="K1857" s="91" t="s">
        <v>228</v>
      </c>
      <c r="L1857" s="92" t="s">
        <v>3937</v>
      </c>
      <c r="M1857" s="91" t="s">
        <v>3938</v>
      </c>
      <c r="N1857" s="93">
        <v>41608</v>
      </c>
      <c r="O1857" s="94"/>
      <c r="P1857" s="94"/>
      <c r="Q1857" s="94">
        <v>11</v>
      </c>
      <c r="R1857" s="95">
        <f t="shared" si="347"/>
        <v>510324.7920443716</v>
      </c>
      <c r="S1857" s="94">
        <v>333959</v>
      </c>
      <c r="T1857" s="94">
        <f t="shared" si="355"/>
        <v>356568.02430000005</v>
      </c>
      <c r="U1857" s="94">
        <f t="shared" si="352"/>
        <v>377070.68569725007</v>
      </c>
      <c r="V1857" s="94">
        <f t="shared" si="353"/>
        <v>392492.87674226757</v>
      </c>
      <c r="W1857" s="97">
        <f t="shared" si="350"/>
        <v>404974.15022267168</v>
      </c>
      <c r="X1857" s="97">
        <f t="shared" si="351"/>
        <v>420363.16793113324</v>
      </c>
      <c r="Y1857" s="97">
        <f t="shared" si="356"/>
        <v>427131.01493482449</v>
      </c>
      <c r="Z1857" s="97">
        <f t="shared" si="348"/>
        <v>451135.77797416161</v>
      </c>
      <c r="AA1857" s="97">
        <f t="shared" si="349"/>
        <v>510324.7920443716</v>
      </c>
    </row>
    <row r="1858" spans="1:27" x14ac:dyDescent="0.25">
      <c r="A1858" s="102" t="s">
        <v>3949</v>
      </c>
      <c r="B1858" s="87" t="str">
        <f>+VLOOKUP(A1858,[106]A.P.U!$B$17153:$J$17473,2,0)</f>
        <v>CONCRETO 3500 psi - 24.5 Mpa Impermeabilizado</v>
      </c>
      <c r="C1858" s="152" t="s">
        <v>3936</v>
      </c>
      <c r="D1858" s="89" t="str">
        <f>+VLOOKUP(A1858,[106]A.P.U!$B$17153:$J$17473,6,0)</f>
        <v>m3</v>
      </c>
      <c r="E1858" s="153">
        <f t="shared" si="354"/>
        <v>575203</v>
      </c>
      <c r="F1858" s="154">
        <f>+VLOOKUP(A1858,[106]A.P.U!$B$17153:$J$17473,9,0)</f>
        <v>575203</v>
      </c>
      <c r="G1858" s="91"/>
      <c r="H1858" s="91" t="s">
        <v>228</v>
      </c>
      <c r="I1858" s="91" t="s">
        <v>228</v>
      </c>
      <c r="J1858" s="91" t="s">
        <v>228</v>
      </c>
      <c r="K1858" s="91" t="s">
        <v>228</v>
      </c>
      <c r="L1858" s="92" t="s">
        <v>3937</v>
      </c>
      <c r="M1858" s="91" t="s">
        <v>3938</v>
      </c>
      <c r="N1858" s="93">
        <v>41608</v>
      </c>
      <c r="O1858" s="94"/>
      <c r="P1858" s="94"/>
      <c r="Q1858" s="94">
        <v>12</v>
      </c>
      <c r="R1858" s="95">
        <f t="shared" si="347"/>
        <v>554577.21720079181</v>
      </c>
      <c r="S1858" s="94">
        <v>362918</v>
      </c>
      <c r="T1858" s="94">
        <f t="shared" si="355"/>
        <v>387487.54860000004</v>
      </c>
      <c r="U1858" s="94">
        <f t="shared" si="352"/>
        <v>409768.08264450007</v>
      </c>
      <c r="V1858" s="94">
        <f t="shared" si="353"/>
        <v>426527.5972246601</v>
      </c>
      <c r="W1858" s="97">
        <f t="shared" si="350"/>
        <v>440091.17481640429</v>
      </c>
      <c r="X1858" s="97">
        <f t="shared" si="351"/>
        <v>456814.63945942768</v>
      </c>
      <c r="Y1858" s="97">
        <f t="shared" si="356"/>
        <v>464169.35515472444</v>
      </c>
      <c r="Z1858" s="97">
        <f t="shared" si="348"/>
        <v>490255.67291441996</v>
      </c>
      <c r="AA1858" s="97">
        <f t="shared" si="349"/>
        <v>554577.21720079181</v>
      </c>
    </row>
    <row r="1859" spans="1:27" x14ac:dyDescent="0.25">
      <c r="A1859" s="102" t="s">
        <v>3950</v>
      </c>
      <c r="B1859" s="87" t="str">
        <f>+VLOOKUP(A1859,[106]A.P.U!$B$17153:$J$17473,2,0)</f>
        <v>CONCRETO 4000 psi - 28 Mpa Impermeabilizado</v>
      </c>
      <c r="C1859" s="152" t="s">
        <v>3936</v>
      </c>
      <c r="D1859" s="89" t="str">
        <f>+VLOOKUP(A1859,[106]A.P.U!$B$17153:$J$17473,6,0)</f>
        <v>m3</v>
      </c>
      <c r="E1859" s="153">
        <f t="shared" si="354"/>
        <v>592015</v>
      </c>
      <c r="F1859" s="154">
        <f>+VLOOKUP(A1859,[106]A.P.U!$B$17153:$J$17473,9,0)</f>
        <v>592015</v>
      </c>
      <c r="G1859" s="91"/>
      <c r="H1859" s="91" t="s">
        <v>228</v>
      </c>
      <c r="I1859" s="91" t="s">
        <v>228</v>
      </c>
      <c r="J1859" s="91" t="s">
        <v>228</v>
      </c>
      <c r="K1859" s="91" t="s">
        <v>228</v>
      </c>
      <c r="L1859" s="92" t="s">
        <v>3937</v>
      </c>
      <c r="M1859" s="91" t="s">
        <v>3938</v>
      </c>
      <c r="N1859" s="93">
        <v>41608</v>
      </c>
      <c r="O1859" s="94"/>
      <c r="P1859" s="94"/>
      <c r="Q1859" s="94">
        <v>13</v>
      </c>
      <c r="R1859" s="95">
        <f t="shared" si="347"/>
        <v>570955.45860507071</v>
      </c>
      <c r="S1859" s="94">
        <v>373636</v>
      </c>
      <c r="T1859" s="94">
        <f t="shared" si="355"/>
        <v>398931.15720000002</v>
      </c>
      <c r="U1859" s="94">
        <f t="shared" si="352"/>
        <v>421869.69873900007</v>
      </c>
      <c r="V1859" s="94">
        <f t="shared" si="353"/>
        <v>439124.16941742518</v>
      </c>
      <c r="W1859" s="97">
        <f t="shared" si="350"/>
        <v>453088.31800489931</v>
      </c>
      <c r="X1859" s="97">
        <f t="shared" si="351"/>
        <v>470305.67408908549</v>
      </c>
      <c r="Y1859" s="97">
        <f t="shared" si="356"/>
        <v>477877.59544191975</v>
      </c>
      <c r="Z1859" s="97">
        <f t="shared" si="348"/>
        <v>504734.31630575564</v>
      </c>
      <c r="AA1859" s="97">
        <f t="shared" si="349"/>
        <v>570955.45860507071</v>
      </c>
    </row>
    <row r="1860" spans="1:27" x14ac:dyDescent="0.25">
      <c r="A1860" s="102" t="s">
        <v>3951</v>
      </c>
      <c r="B1860" s="87" t="str">
        <f>+VLOOKUP(A1860,[106]A.P.U!$B$17153:$J$17473,2,0)</f>
        <v>CONCRETO MR 41 kg/cm2</v>
      </c>
      <c r="C1860" s="152" t="s">
        <v>3936</v>
      </c>
      <c r="D1860" s="89" t="str">
        <f>+VLOOKUP(A1860,[106]A.P.U!$B$17153:$J$17473,6,0)</f>
        <v>m3</v>
      </c>
      <c r="E1860" s="153">
        <f t="shared" si="354"/>
        <v>515556</v>
      </c>
      <c r="F1860" s="154">
        <f>+VLOOKUP(A1860,[106]A.P.U!$B$17153:$J$17473,9,0)</f>
        <v>515556</v>
      </c>
      <c r="G1860" s="91"/>
      <c r="H1860" s="91" t="s">
        <v>228</v>
      </c>
      <c r="I1860" s="91" t="s">
        <v>228</v>
      </c>
      <c r="J1860" s="91" t="s">
        <v>228</v>
      </c>
      <c r="K1860" s="91" t="s">
        <v>228</v>
      </c>
      <c r="L1860" s="92" t="s">
        <v>3937</v>
      </c>
      <c r="M1860" s="91" t="s">
        <v>3938</v>
      </c>
      <c r="N1860" s="93">
        <v>41608</v>
      </c>
      <c r="O1860" s="94"/>
      <c r="P1860" s="94"/>
      <c r="Q1860" s="94">
        <v>14</v>
      </c>
      <c r="R1860" s="95">
        <f t="shared" si="347"/>
        <v>496428.19498050597</v>
      </c>
      <c r="S1860" s="94">
        <v>324865</v>
      </c>
      <c r="T1860" s="94">
        <f t="shared" si="355"/>
        <v>346858.36050000001</v>
      </c>
      <c r="U1860" s="94">
        <f t="shared" si="352"/>
        <v>366802.71622875007</v>
      </c>
      <c r="V1860" s="94">
        <f t="shared" si="353"/>
        <v>381804.94732250593</v>
      </c>
      <c r="W1860" s="97">
        <f t="shared" si="350"/>
        <v>393946.34464736166</v>
      </c>
      <c r="X1860" s="97">
        <f t="shared" si="351"/>
        <v>408916.30574396142</v>
      </c>
      <c r="Y1860" s="97">
        <f t="shared" si="356"/>
        <v>415499.85826643917</v>
      </c>
      <c r="Z1860" s="97">
        <f t="shared" si="348"/>
        <v>438850.95030101307</v>
      </c>
      <c r="AA1860" s="97">
        <f t="shared" si="349"/>
        <v>496428.19498050597</v>
      </c>
    </row>
    <row r="1861" spans="1:27" x14ac:dyDescent="0.25">
      <c r="A1861" s="102" t="s">
        <v>3952</v>
      </c>
      <c r="B1861" s="87" t="str">
        <f>+VLOOKUP(A1861,[106]A.P.U!$B$17153:$J$17473,2,0)</f>
        <v>CONCRETO MR 42 kg/cm2</v>
      </c>
      <c r="C1861" s="152" t="s">
        <v>3936</v>
      </c>
      <c r="D1861" s="89" t="str">
        <f>+VLOOKUP(A1861,[106]A.P.U!$B$17153:$J$17473,6,0)</f>
        <v>m3</v>
      </c>
      <c r="E1861" s="153">
        <f t="shared" si="354"/>
        <v>524116</v>
      </c>
      <c r="F1861" s="154">
        <f>+VLOOKUP(A1861,[106]A.P.U!$B$17153:$J$17473,9,0)</f>
        <v>524116</v>
      </c>
      <c r="G1861" s="91"/>
      <c r="H1861" s="91" t="s">
        <v>228</v>
      </c>
      <c r="I1861" s="91" t="s">
        <v>228</v>
      </c>
      <c r="J1861" s="91" t="s">
        <v>228</v>
      </c>
      <c r="K1861" s="91" t="s">
        <v>228</v>
      </c>
      <c r="L1861" s="92" t="s">
        <v>3937</v>
      </c>
      <c r="M1861" s="91" t="s">
        <v>3938</v>
      </c>
      <c r="N1861" s="93">
        <v>41608</v>
      </c>
      <c r="O1861" s="94"/>
      <c r="P1861" s="94"/>
      <c r="Q1861" s="94">
        <v>15</v>
      </c>
      <c r="R1861" s="95">
        <f t="shared" si="347"/>
        <v>504771.65440086077</v>
      </c>
      <c r="S1861" s="94">
        <v>330325</v>
      </c>
      <c r="T1861" s="94">
        <f t="shared" si="355"/>
        <v>352688.0025</v>
      </c>
      <c r="U1861" s="94">
        <f t="shared" si="352"/>
        <v>372967.56264375005</v>
      </c>
      <c r="V1861" s="94">
        <f t="shared" si="353"/>
        <v>388221.93595587939</v>
      </c>
      <c r="W1861" s="97">
        <f t="shared" si="350"/>
        <v>400567.3935192764</v>
      </c>
      <c r="X1861" s="97">
        <f t="shared" si="351"/>
        <v>415788.95447300893</v>
      </c>
      <c r="Y1861" s="97">
        <f t="shared" si="356"/>
        <v>422483.15664002439</v>
      </c>
      <c r="Z1861" s="97">
        <f t="shared" si="348"/>
        <v>446226.71004319377</v>
      </c>
      <c r="AA1861" s="97">
        <f t="shared" si="349"/>
        <v>504771.65440086077</v>
      </c>
    </row>
    <row r="1862" spans="1:27" x14ac:dyDescent="0.25">
      <c r="A1862" s="102" t="s">
        <v>3953</v>
      </c>
      <c r="B1862" s="87" t="str">
        <f>+VLOOKUP(A1862,[106]A.P.U!$B$17153:$J$17473,2,0)</f>
        <v>CONCRETO MR 45 kg/cm2</v>
      </c>
      <c r="C1862" s="152" t="s">
        <v>3936</v>
      </c>
      <c r="D1862" s="89" t="str">
        <f>+VLOOKUP(A1862,[106]A.P.U!$B$17153:$J$17473,6,0)</f>
        <v>m3</v>
      </c>
      <c r="E1862" s="153">
        <f t="shared" si="354"/>
        <v>537630</v>
      </c>
      <c r="F1862" s="154">
        <f>+VLOOKUP(A1862,[106]A.P.U!$B$17153:$J$17473,9,0)</f>
        <v>537630</v>
      </c>
      <c r="G1862" s="91"/>
      <c r="H1862" s="91" t="s">
        <v>228</v>
      </c>
      <c r="I1862" s="91" t="s">
        <v>228</v>
      </c>
      <c r="J1862" s="91" t="s">
        <v>228</v>
      </c>
      <c r="K1862" s="91" t="s">
        <v>228</v>
      </c>
      <c r="L1862" s="92" t="s">
        <v>3937</v>
      </c>
      <c r="M1862" s="91" t="s">
        <v>3938</v>
      </c>
      <c r="N1862" s="93">
        <v>41608</v>
      </c>
      <c r="O1862" s="94"/>
      <c r="P1862" s="94"/>
      <c r="Q1862" s="94">
        <v>16</v>
      </c>
      <c r="R1862" s="95">
        <f t="shared" si="347"/>
        <v>517945.45726951986</v>
      </c>
      <c r="S1862" s="94">
        <v>338946</v>
      </c>
      <c r="T1862" s="94">
        <f t="shared" si="355"/>
        <v>361892.64420000004</v>
      </c>
      <c r="U1862" s="94">
        <f t="shared" si="352"/>
        <v>382701.47124150005</v>
      </c>
      <c r="V1862" s="94">
        <f t="shared" si="353"/>
        <v>398353.96141527739</v>
      </c>
      <c r="W1862" s="97">
        <f t="shared" si="350"/>
        <v>411021.61738828325</v>
      </c>
      <c r="X1862" s="97">
        <f t="shared" si="351"/>
        <v>426640.43884903804</v>
      </c>
      <c r="Y1862" s="97">
        <f t="shared" si="356"/>
        <v>433509.34991450753</v>
      </c>
      <c r="Z1862" s="97">
        <f t="shared" si="348"/>
        <v>457872.57537970284</v>
      </c>
      <c r="AA1862" s="97">
        <f t="shared" si="349"/>
        <v>517945.45726951986</v>
      </c>
    </row>
    <row r="1863" spans="1:27" x14ac:dyDescent="0.25">
      <c r="A1863" s="102" t="s">
        <v>3954</v>
      </c>
      <c r="B1863" s="87" t="str">
        <f>+VLOOKUP(A1863,[106]A.P.U!$B$17153:$J$17473,2,0)</f>
        <v>CONCRETO 5000 psi - 35 Mpa Impermeabilizado</v>
      </c>
      <c r="C1863" s="152" t="s">
        <v>3936</v>
      </c>
      <c r="D1863" s="89" t="str">
        <f>+VLOOKUP(A1863,[106]A.P.U!$B$17153:$J$17473,6,0)</f>
        <v>m3</v>
      </c>
      <c r="E1863" s="153">
        <f t="shared" si="354"/>
        <v>677905</v>
      </c>
      <c r="F1863" s="154">
        <f>+VLOOKUP(A1863,[106]A.P.U!$B$17153:$J$17473,9,0)</f>
        <v>677905</v>
      </c>
      <c r="G1863" s="91"/>
      <c r="H1863" s="91" t="s">
        <v>228</v>
      </c>
      <c r="I1863" s="91" t="s">
        <v>228</v>
      </c>
      <c r="J1863" s="91" t="s">
        <v>228</v>
      </c>
      <c r="K1863" s="91" t="s">
        <v>228</v>
      </c>
      <c r="L1863" s="92" t="s">
        <v>3937</v>
      </c>
      <c r="M1863" s="91" t="s">
        <v>3938</v>
      </c>
      <c r="N1863" s="93">
        <v>41608</v>
      </c>
      <c r="O1863" s="94"/>
      <c r="P1863" s="94"/>
      <c r="Q1863" s="94">
        <v>17</v>
      </c>
      <c r="R1863" s="95">
        <f t="shared" ref="R1863:R1876" si="357">+AA1863</f>
        <v>654680.39297159819</v>
      </c>
      <c r="S1863" s="94">
        <v>428426</v>
      </c>
      <c r="T1863" s="94">
        <f t="shared" si="355"/>
        <v>457430.44020000001</v>
      </c>
      <c r="U1863" s="94">
        <f t="shared" si="352"/>
        <v>483732.69051150006</v>
      </c>
      <c r="V1863" s="94">
        <f t="shared" si="353"/>
        <v>503517.35755342036</v>
      </c>
      <c r="W1863" s="97">
        <f t="shared" si="350"/>
        <v>519529.20952361915</v>
      </c>
      <c r="X1863" s="97">
        <f t="shared" si="351"/>
        <v>539271.31948551675</v>
      </c>
      <c r="Y1863" s="97">
        <f t="shared" si="356"/>
        <v>547953.58772923355</v>
      </c>
      <c r="Z1863" s="97">
        <f t="shared" ref="Z1863:Z1876" si="358">+Y1863*(1+$Z$4)</f>
        <v>578748.5793596165</v>
      </c>
      <c r="AA1863" s="97">
        <f t="shared" ref="AA1863:AA1876" si="359">+Z1863*(1+$AA$4)</f>
        <v>654680.39297159819</v>
      </c>
    </row>
    <row r="1864" spans="1:27" x14ac:dyDescent="0.25">
      <c r="A1864" s="102" t="s">
        <v>3955</v>
      </c>
      <c r="B1864" s="87" t="str">
        <f>+VLOOKUP(A1864,[106]A.P.U!$B$17153:$J$17473,2,0)</f>
        <v>CONCRETO 5000 psi - 35 Mpa</v>
      </c>
      <c r="C1864" s="152" t="s">
        <v>3936</v>
      </c>
      <c r="D1864" s="89" t="str">
        <f>+VLOOKUP(A1864,[106]A.P.U!$B$17153:$J$17473,6,0)</f>
        <v>m3</v>
      </c>
      <c r="E1864" s="153">
        <f t="shared" si="354"/>
        <v>656688</v>
      </c>
      <c r="F1864" s="154">
        <f>+VLOOKUP(A1864,[106]A.P.U!$B$17153:$J$17473,9,0)</f>
        <v>656688</v>
      </c>
      <c r="G1864" s="91"/>
      <c r="H1864" s="91" t="s">
        <v>228</v>
      </c>
      <c r="I1864" s="91" t="s">
        <v>228</v>
      </c>
      <c r="J1864" s="91" t="s">
        <v>228</v>
      </c>
      <c r="K1864" s="91" t="s">
        <v>228</v>
      </c>
      <c r="L1864" s="92" t="s">
        <v>3937</v>
      </c>
      <c r="M1864" s="91" t="s">
        <v>3938</v>
      </c>
      <c r="N1864" s="93">
        <v>41608</v>
      </c>
      <c r="O1864" s="94"/>
      <c r="P1864" s="94"/>
      <c r="Q1864" s="94">
        <v>18</v>
      </c>
      <c r="R1864" s="95">
        <f t="shared" si="357"/>
        <v>633997.47662461968</v>
      </c>
      <c r="S1864" s="94">
        <v>414891</v>
      </c>
      <c r="T1864" s="94">
        <f t="shared" si="355"/>
        <v>442979.12070000003</v>
      </c>
      <c r="U1864" s="94">
        <f t="shared" si="352"/>
        <v>468450.42014025006</v>
      </c>
      <c r="V1864" s="94">
        <f t="shared" si="353"/>
        <v>487610.04232398624</v>
      </c>
      <c r="W1864" s="97">
        <f t="shared" si="350"/>
        <v>503116.041669889</v>
      </c>
      <c r="X1864" s="97">
        <f t="shared" si="351"/>
        <v>522234.45125334483</v>
      </c>
      <c r="Y1864" s="97">
        <f t="shared" si="356"/>
        <v>530642.42591852369</v>
      </c>
      <c r="Z1864" s="97">
        <f t="shared" si="358"/>
        <v>560464.53025514469</v>
      </c>
      <c r="AA1864" s="97">
        <f t="shared" si="359"/>
        <v>633997.47662461968</v>
      </c>
    </row>
    <row r="1865" spans="1:27" x14ac:dyDescent="0.25">
      <c r="A1865" s="102" t="s">
        <v>3956</v>
      </c>
      <c r="B1865" s="87" t="str">
        <f>+VLOOKUP(A1865,[106]A.P.U!$B$17153:$J$17473,2,0)</f>
        <v>MORTERO 1:2</v>
      </c>
      <c r="C1865" s="152" t="s">
        <v>3936</v>
      </c>
      <c r="D1865" s="89" t="str">
        <f>+VLOOKUP(A1865,[106]A.P.U!$B$17153:$J$17473,6,0)</f>
        <v>m3</v>
      </c>
      <c r="E1865" s="153">
        <f t="shared" si="354"/>
        <v>665848</v>
      </c>
      <c r="F1865" s="154">
        <f>+VLOOKUP(A1865,[106]A.P.U!$B$17153:$J$17473,9,0)</f>
        <v>665848</v>
      </c>
      <c r="G1865" s="91"/>
      <c r="H1865" s="91" t="s">
        <v>228</v>
      </c>
      <c r="I1865" s="91" t="s">
        <v>228</v>
      </c>
      <c r="J1865" s="91" t="s">
        <v>228</v>
      </c>
      <c r="K1865" s="91" t="s">
        <v>228</v>
      </c>
      <c r="L1865" s="92" t="s">
        <v>3937</v>
      </c>
      <c r="M1865" s="91" t="s">
        <v>3938</v>
      </c>
      <c r="N1865" s="93">
        <v>41608</v>
      </c>
      <c r="O1865" s="94"/>
      <c r="P1865" s="94"/>
      <c r="Q1865" s="94">
        <v>19</v>
      </c>
      <c r="R1865" s="95">
        <f t="shared" si="357"/>
        <v>642906.33530972386</v>
      </c>
      <c r="S1865" s="94">
        <v>420721</v>
      </c>
      <c r="T1865" s="94">
        <f t="shared" si="355"/>
        <v>449203.81170000002</v>
      </c>
      <c r="U1865" s="94">
        <f t="shared" si="352"/>
        <v>475033.0308727501</v>
      </c>
      <c r="V1865" s="94">
        <f t="shared" si="353"/>
        <v>494461.88183544553</v>
      </c>
      <c r="W1865" s="97">
        <f t="shared" si="350"/>
        <v>510185.7696778127</v>
      </c>
      <c r="X1865" s="97">
        <f t="shared" si="351"/>
        <v>529572.82892556954</v>
      </c>
      <c r="Y1865" s="97">
        <f t="shared" si="356"/>
        <v>538098.95147127123</v>
      </c>
      <c r="Z1865" s="97">
        <f t="shared" si="358"/>
        <v>568340.11254395673</v>
      </c>
      <c r="AA1865" s="97">
        <f t="shared" si="359"/>
        <v>642906.33530972386</v>
      </c>
    </row>
    <row r="1866" spans="1:27" x14ac:dyDescent="0.25">
      <c r="A1866" s="102" t="s">
        <v>3957</v>
      </c>
      <c r="B1866" s="87" t="str">
        <f>+VLOOKUP(A1866,[106]A.P.U!$B$17153:$J$17473,2,0)</f>
        <v>SUMINISTRO, TRANSPORTE E INSTALACION DE MORTERO 1:3</v>
      </c>
      <c r="C1866" s="152" t="s">
        <v>3936</v>
      </c>
      <c r="D1866" s="89" t="str">
        <f>+VLOOKUP(A1866,[106]A.P.U!$B$17153:$J$17473,6,0)</f>
        <v>m3</v>
      </c>
      <c r="E1866" s="153">
        <f t="shared" si="354"/>
        <v>541669</v>
      </c>
      <c r="F1866" s="154">
        <f>+VLOOKUP(A1866,[106]A.P.U!$B$17153:$J$17473,9,0)</f>
        <v>541669</v>
      </c>
      <c r="G1866" s="91"/>
      <c r="H1866" s="91" t="s">
        <v>228</v>
      </c>
      <c r="I1866" s="91" t="s">
        <v>228</v>
      </c>
      <c r="J1866" s="91" t="s">
        <v>228</v>
      </c>
      <c r="K1866" s="91" t="s">
        <v>228</v>
      </c>
      <c r="L1866" s="92" t="s">
        <v>3937</v>
      </c>
      <c r="M1866" s="91" t="s">
        <v>3938</v>
      </c>
      <c r="N1866" s="93">
        <v>41608</v>
      </c>
      <c r="O1866" s="94"/>
      <c r="P1866" s="94"/>
      <c r="Q1866" s="94">
        <v>20</v>
      </c>
      <c r="R1866" s="95">
        <f t="shared" si="357"/>
        <v>521869.63378810423</v>
      </c>
      <c r="S1866" s="94">
        <v>341514</v>
      </c>
      <c r="T1866" s="94">
        <f t="shared" si="355"/>
        <v>364634.49780000001</v>
      </c>
      <c r="U1866" s="94">
        <f t="shared" si="352"/>
        <v>385600.98142350005</v>
      </c>
      <c r="V1866" s="94">
        <f t="shared" si="353"/>
        <v>401372.06156372116</v>
      </c>
      <c r="W1866" s="97">
        <f t="shared" si="350"/>
        <v>414135.69312144752</v>
      </c>
      <c r="X1866" s="97">
        <f t="shared" si="351"/>
        <v>429872.84946006251</v>
      </c>
      <c r="Y1866" s="97">
        <f t="shared" si="356"/>
        <v>436793.80233636952</v>
      </c>
      <c r="Z1866" s="97">
        <f t="shared" si="358"/>
        <v>461341.6140276735</v>
      </c>
      <c r="AA1866" s="97">
        <f t="shared" si="359"/>
        <v>521869.63378810423</v>
      </c>
    </row>
    <row r="1867" spans="1:27" x14ac:dyDescent="0.25">
      <c r="A1867" s="102" t="s">
        <v>3958</v>
      </c>
      <c r="B1867" s="87" t="str">
        <f>+VLOOKUP(A1867,[106]A.P.U!$B$17153:$J$17473,2,0)</f>
        <v>MORTERO 1:4</v>
      </c>
      <c r="C1867" s="152" t="s">
        <v>3936</v>
      </c>
      <c r="D1867" s="89" t="str">
        <f>+VLOOKUP(A1867,[106]A.P.U!$B$17153:$J$17473,6,0)</f>
        <v>m3</v>
      </c>
      <c r="E1867" s="153">
        <f t="shared" si="354"/>
        <v>470088</v>
      </c>
      <c r="F1867" s="154">
        <f>+VLOOKUP(A1867,[106]A.P.U!$B$17153:$J$17473,9,0)</f>
        <v>470088</v>
      </c>
      <c r="G1867" s="91"/>
      <c r="H1867" s="91" t="s">
        <v>228</v>
      </c>
      <c r="I1867" s="91" t="s">
        <v>228</v>
      </c>
      <c r="J1867" s="91" t="s">
        <v>228</v>
      </c>
      <c r="K1867" s="91" t="s">
        <v>228</v>
      </c>
      <c r="L1867" s="92" t="s">
        <v>3937</v>
      </c>
      <c r="M1867" s="91" t="s">
        <v>3938</v>
      </c>
      <c r="N1867" s="93">
        <v>41608</v>
      </c>
      <c r="O1867" s="94"/>
      <c r="P1867" s="94"/>
      <c r="Q1867" s="94">
        <v>21</v>
      </c>
      <c r="R1867" s="95">
        <f t="shared" si="357"/>
        <v>452099.3645180384</v>
      </c>
      <c r="S1867" s="94">
        <v>295856</v>
      </c>
      <c r="T1867" s="94">
        <f t="shared" si="355"/>
        <v>315885.45120000001</v>
      </c>
      <c r="U1867" s="94">
        <f t="shared" si="352"/>
        <v>334048.86464400002</v>
      </c>
      <c r="V1867" s="94">
        <f t="shared" si="353"/>
        <v>347711.46320793958</v>
      </c>
      <c r="W1867" s="97">
        <f t="shared" si="350"/>
        <v>358768.6877379521</v>
      </c>
      <c r="X1867" s="97">
        <f t="shared" si="351"/>
        <v>372401.8978719943</v>
      </c>
      <c r="Y1867" s="97">
        <f t="shared" si="356"/>
        <v>378397.56842773338</v>
      </c>
      <c r="Z1867" s="97">
        <f t="shared" si="358"/>
        <v>399663.51177337201</v>
      </c>
      <c r="AA1867" s="97">
        <f t="shared" si="359"/>
        <v>452099.3645180384</v>
      </c>
    </row>
    <row r="1868" spans="1:27" x14ac:dyDescent="0.25">
      <c r="A1868" s="102" t="s">
        <v>3959</v>
      </c>
      <c r="B1868" s="87" t="str">
        <f>+VLOOKUP(A1868,[106]A.P.U!$B$17153:$J$17473,2,0)</f>
        <v>MORTERO 1:5</v>
      </c>
      <c r="C1868" s="152" t="s">
        <v>3936</v>
      </c>
      <c r="D1868" s="89" t="str">
        <f>+VLOOKUP(A1868,[106]A.P.U!$B$17153:$J$17473,6,0)</f>
        <v>m3</v>
      </c>
      <c r="E1868" s="153">
        <f t="shared" si="354"/>
        <v>419265</v>
      </c>
      <c r="F1868" s="154">
        <f>+VLOOKUP(A1868,[106]A.P.U!$B$17153:$J$17473,9,0)</f>
        <v>419265</v>
      </c>
      <c r="G1868" s="91"/>
      <c r="H1868" s="91" t="s">
        <v>228</v>
      </c>
      <c r="I1868" s="91" t="s">
        <v>228</v>
      </c>
      <c r="J1868" s="91" t="s">
        <v>228</v>
      </c>
      <c r="K1868" s="91" t="s">
        <v>228</v>
      </c>
      <c r="L1868" s="92" t="s">
        <v>3937</v>
      </c>
      <c r="M1868" s="91" t="s">
        <v>3938</v>
      </c>
      <c r="N1868" s="93">
        <v>41608</v>
      </c>
      <c r="O1868" s="94"/>
      <c r="P1868" s="94"/>
      <c r="Q1868" s="94">
        <v>22</v>
      </c>
      <c r="R1868" s="95">
        <f t="shared" si="357"/>
        <v>402539.82680357929</v>
      </c>
      <c r="S1868" s="94">
        <v>263424</v>
      </c>
      <c r="T1868" s="94">
        <f t="shared" si="355"/>
        <v>281257.80480000004</v>
      </c>
      <c r="U1868" s="94">
        <f t="shared" si="352"/>
        <v>297430.12857600005</v>
      </c>
      <c r="V1868" s="94">
        <f t="shared" si="353"/>
        <v>309595.02083475841</v>
      </c>
      <c r="W1868" s="97">
        <f t="shared" si="350"/>
        <v>319440.14249730372</v>
      </c>
      <c r="X1868" s="97">
        <f t="shared" si="351"/>
        <v>331578.86791220127</v>
      </c>
      <c r="Y1868" s="97">
        <f t="shared" si="356"/>
        <v>336917.28768558771</v>
      </c>
      <c r="Z1868" s="97">
        <f t="shared" si="358"/>
        <v>355852.03925351775</v>
      </c>
      <c r="AA1868" s="97">
        <f t="shared" si="359"/>
        <v>402539.82680357929</v>
      </c>
    </row>
    <row r="1869" spans="1:27" x14ac:dyDescent="0.25">
      <c r="A1869" s="155" t="s">
        <v>3960</v>
      </c>
      <c r="B1869" s="156" t="s">
        <v>3961</v>
      </c>
      <c r="C1869" s="112" t="s">
        <v>1522</v>
      </c>
      <c r="D1869" s="157" t="s">
        <v>3962</v>
      </c>
      <c r="E1869" s="90">
        <f>+ROUND(F1869*(1+G1869),0)</f>
        <v>843759</v>
      </c>
      <c r="F1869" s="158">
        <f>+R1869</f>
        <v>709041.24011806375</v>
      </c>
      <c r="G1869" s="149">
        <v>0.19</v>
      </c>
      <c r="H1869" s="149"/>
      <c r="I1869" s="149" t="s">
        <v>228</v>
      </c>
      <c r="J1869" s="149"/>
      <c r="K1869" s="149"/>
      <c r="L1869" s="159"/>
      <c r="M1869" s="160"/>
      <c r="N1869" s="161"/>
      <c r="O1869" s="94"/>
      <c r="P1869" s="94"/>
      <c r="Q1869" s="94">
        <v>1615</v>
      </c>
      <c r="R1869" s="95">
        <f t="shared" si="357"/>
        <v>709041.24011806375</v>
      </c>
      <c r="S1869" s="94">
        <v>464000</v>
      </c>
      <c r="T1869" s="94">
        <f t="shared" si="355"/>
        <v>495412.80000000005</v>
      </c>
      <c r="U1869" s="94">
        <f t="shared" si="352"/>
        <v>523899.03600000008</v>
      </c>
      <c r="V1869" s="94">
        <f t="shared" si="353"/>
        <v>545326.5065724001</v>
      </c>
      <c r="W1869" s="97">
        <f t="shared" si="350"/>
        <v>562667.88948140247</v>
      </c>
      <c r="X1869" s="97">
        <f t="shared" si="351"/>
        <v>584049.26928169583</v>
      </c>
      <c r="Y1869" s="97">
        <f t="shared" si="356"/>
        <v>593452.46251713112</v>
      </c>
      <c r="Z1869" s="97">
        <f t="shared" si="358"/>
        <v>626804.49091059389</v>
      </c>
      <c r="AA1869" s="97">
        <f t="shared" si="359"/>
        <v>709041.24011806375</v>
      </c>
    </row>
    <row r="1870" spans="1:27" x14ac:dyDescent="0.25">
      <c r="A1870" s="155" t="s">
        <v>3963</v>
      </c>
      <c r="B1870" s="156" t="s">
        <v>3964</v>
      </c>
      <c r="C1870" s="112" t="s">
        <v>1522</v>
      </c>
      <c r="D1870" s="157" t="s">
        <v>3965</v>
      </c>
      <c r="E1870" s="90">
        <f t="shared" si="354"/>
        <v>421880</v>
      </c>
      <c r="F1870" s="158">
        <f t="shared" ref="F1870:F1876" si="360">+R1870</f>
        <v>354520.62005903188</v>
      </c>
      <c r="G1870" s="149">
        <v>0.19</v>
      </c>
      <c r="H1870" s="149"/>
      <c r="I1870" s="149" t="s">
        <v>228</v>
      </c>
      <c r="J1870" s="149"/>
      <c r="K1870" s="149"/>
      <c r="L1870" s="159"/>
      <c r="M1870" s="160"/>
      <c r="N1870" s="161"/>
      <c r="O1870" s="94"/>
      <c r="P1870" s="94"/>
      <c r="Q1870" s="94">
        <v>1616</v>
      </c>
      <c r="R1870" s="95">
        <f t="shared" si="357"/>
        <v>354520.62005903188</v>
      </c>
      <c r="S1870" s="94">
        <v>232000</v>
      </c>
      <c r="T1870" s="94">
        <f t="shared" si="355"/>
        <v>247706.40000000002</v>
      </c>
      <c r="U1870" s="94">
        <f t="shared" si="352"/>
        <v>261949.51800000004</v>
      </c>
      <c r="V1870" s="94">
        <f t="shared" si="353"/>
        <v>272663.25328620005</v>
      </c>
      <c r="W1870" s="97">
        <f t="shared" si="350"/>
        <v>281333.94474070123</v>
      </c>
      <c r="X1870" s="97">
        <f t="shared" si="351"/>
        <v>292024.63464084791</v>
      </c>
      <c r="Y1870" s="97">
        <f t="shared" si="356"/>
        <v>296726.23125856556</v>
      </c>
      <c r="Z1870" s="97">
        <f t="shared" si="358"/>
        <v>313402.24545529694</v>
      </c>
      <c r="AA1870" s="97">
        <f t="shared" si="359"/>
        <v>354520.62005903188</v>
      </c>
    </row>
    <row r="1871" spans="1:27" x14ac:dyDescent="0.25">
      <c r="A1871" s="155" t="s">
        <v>3966</v>
      </c>
      <c r="B1871" s="156" t="s">
        <v>3967</v>
      </c>
      <c r="C1871" s="112" t="s">
        <v>1522</v>
      </c>
      <c r="D1871" s="157" t="s">
        <v>3965</v>
      </c>
      <c r="E1871" s="90">
        <f t="shared" si="354"/>
        <v>284769</v>
      </c>
      <c r="F1871" s="158">
        <f t="shared" si="360"/>
        <v>239301.41853984649</v>
      </c>
      <c r="G1871" s="149">
        <v>0.19</v>
      </c>
      <c r="H1871" s="149"/>
      <c r="I1871" s="149" t="s">
        <v>228</v>
      </c>
      <c r="J1871" s="149"/>
      <c r="K1871" s="149"/>
      <c r="L1871" s="159"/>
      <c r="M1871" s="160"/>
      <c r="N1871" s="161"/>
      <c r="O1871" s="94"/>
      <c r="P1871" s="94"/>
      <c r="Q1871" s="94">
        <v>1617</v>
      </c>
      <c r="R1871" s="95">
        <f t="shared" si="357"/>
        <v>239301.41853984649</v>
      </c>
      <c r="S1871" s="94">
        <v>156600</v>
      </c>
      <c r="T1871" s="94">
        <f t="shared" si="355"/>
        <v>167201.82</v>
      </c>
      <c r="U1871" s="94">
        <f t="shared" si="352"/>
        <v>176815.92465000003</v>
      </c>
      <c r="V1871" s="94">
        <f t="shared" si="353"/>
        <v>184047.69596818503</v>
      </c>
      <c r="W1871" s="97">
        <f t="shared" ref="W1871:W1876" si="361">+V1871*(1+$W$4)</f>
        <v>189900.41269997333</v>
      </c>
      <c r="X1871" s="97">
        <f t="shared" ref="X1871:X1876" si="362">+W1871*(1+$X$4)</f>
        <v>197116.62838257232</v>
      </c>
      <c r="Y1871" s="97">
        <f t="shared" si="356"/>
        <v>200290.20609953173</v>
      </c>
      <c r="Z1871" s="97">
        <f t="shared" si="358"/>
        <v>211546.51568232541</v>
      </c>
      <c r="AA1871" s="97">
        <f t="shared" si="359"/>
        <v>239301.41853984649</v>
      </c>
    </row>
    <row r="1872" spans="1:27" x14ac:dyDescent="0.25">
      <c r="A1872" s="155" t="s">
        <v>3968</v>
      </c>
      <c r="B1872" s="156" t="s">
        <v>3969</v>
      </c>
      <c r="C1872" s="112" t="s">
        <v>1522</v>
      </c>
      <c r="D1872" s="157" t="s">
        <v>3965</v>
      </c>
      <c r="E1872" s="90">
        <f t="shared" si="354"/>
        <v>31641</v>
      </c>
      <c r="F1872" s="158">
        <f t="shared" si="360"/>
        <v>26589.046504427388</v>
      </c>
      <c r="G1872" s="149">
        <v>0.19</v>
      </c>
      <c r="H1872" s="149"/>
      <c r="I1872" s="149" t="s">
        <v>228</v>
      </c>
      <c r="J1872" s="149"/>
      <c r="K1872" s="149"/>
      <c r="L1872" s="159"/>
      <c r="M1872" s="160"/>
      <c r="N1872" s="161"/>
      <c r="O1872" s="94"/>
      <c r="P1872" s="94"/>
      <c r="Q1872" s="94">
        <v>1618</v>
      </c>
      <c r="R1872" s="95">
        <f t="shared" si="357"/>
        <v>26589.046504427388</v>
      </c>
      <c r="S1872" s="94">
        <v>17400</v>
      </c>
      <c r="T1872" s="94">
        <f t="shared" si="355"/>
        <v>18577.980000000003</v>
      </c>
      <c r="U1872" s="94">
        <f t="shared" si="352"/>
        <v>19646.213850000004</v>
      </c>
      <c r="V1872" s="94">
        <f t="shared" si="353"/>
        <v>20449.743996465004</v>
      </c>
      <c r="W1872" s="97">
        <f t="shared" si="361"/>
        <v>21100.045855552591</v>
      </c>
      <c r="X1872" s="97">
        <f t="shared" si="362"/>
        <v>21901.847598063589</v>
      </c>
      <c r="Y1872" s="97">
        <f t="shared" si="356"/>
        <v>22254.467344392411</v>
      </c>
      <c r="Z1872" s="97">
        <f t="shared" si="358"/>
        <v>23505.168409147267</v>
      </c>
      <c r="AA1872" s="97">
        <f t="shared" si="359"/>
        <v>26589.046504427388</v>
      </c>
    </row>
    <row r="1873" spans="1:27" x14ac:dyDescent="0.25">
      <c r="A1873" s="155" t="s">
        <v>3970</v>
      </c>
      <c r="B1873" s="156" t="s">
        <v>3971</v>
      </c>
      <c r="C1873" s="112" t="s">
        <v>1522</v>
      </c>
      <c r="D1873" s="157" t="s">
        <v>3972</v>
      </c>
      <c r="E1873" s="90">
        <f t="shared" si="354"/>
        <v>23640</v>
      </c>
      <c r="F1873" s="158">
        <f t="shared" si="360"/>
        <v>19865.379572273338</v>
      </c>
      <c r="G1873" s="149">
        <v>0.19</v>
      </c>
      <c r="H1873" s="149"/>
      <c r="I1873" s="149" t="s">
        <v>228</v>
      </c>
      <c r="J1873" s="149"/>
      <c r="K1873" s="149"/>
      <c r="L1873" s="159"/>
      <c r="M1873" s="160"/>
      <c r="N1873" s="161"/>
      <c r="O1873" s="94"/>
      <c r="P1873" s="94"/>
      <c r="Q1873" s="94">
        <v>1619</v>
      </c>
      <c r="R1873" s="95">
        <f t="shared" si="357"/>
        <v>19865.379572273338</v>
      </c>
      <c r="S1873" s="94">
        <v>13000</v>
      </c>
      <c r="T1873" s="94">
        <f t="shared" si="355"/>
        <v>13880.1</v>
      </c>
      <c r="U1873" s="94">
        <f t="shared" si="352"/>
        <v>14678.205750000001</v>
      </c>
      <c r="V1873" s="94">
        <f t="shared" si="353"/>
        <v>15278.544365174999</v>
      </c>
      <c r="W1873" s="97">
        <f t="shared" si="361"/>
        <v>15764.402075987566</v>
      </c>
      <c r="X1873" s="97">
        <f t="shared" si="362"/>
        <v>16363.449354875094</v>
      </c>
      <c r="Y1873" s="97">
        <f t="shared" si="356"/>
        <v>16626.900889488585</v>
      </c>
      <c r="Z1873" s="97">
        <f t="shared" si="358"/>
        <v>17561.332719477843</v>
      </c>
      <c r="AA1873" s="97">
        <f t="shared" si="359"/>
        <v>19865.379572273338</v>
      </c>
    </row>
    <row r="1874" spans="1:27" x14ac:dyDescent="0.25">
      <c r="A1874" s="155" t="s">
        <v>3973</v>
      </c>
      <c r="B1874" s="156" t="s">
        <v>3974</v>
      </c>
      <c r="C1874" s="112" t="s">
        <v>1522</v>
      </c>
      <c r="D1874" s="157" t="s">
        <v>3975</v>
      </c>
      <c r="E1874" s="90">
        <f t="shared" si="354"/>
        <v>144963</v>
      </c>
      <c r="F1874" s="158">
        <f t="shared" si="360"/>
        <v>121817.56374942198</v>
      </c>
      <c r="G1874" s="149">
        <v>0.19</v>
      </c>
      <c r="H1874" s="149"/>
      <c r="I1874" s="149" t="s">
        <v>228</v>
      </c>
      <c r="J1874" s="149"/>
      <c r="K1874" s="149"/>
      <c r="L1874" s="159"/>
      <c r="M1874" s="160"/>
      <c r="N1874" s="161"/>
      <c r="O1874" s="94"/>
      <c r="P1874" s="94"/>
      <c r="Q1874" s="94">
        <v>1620</v>
      </c>
      <c r="R1874" s="95">
        <f t="shared" si="357"/>
        <v>121817.56374942198</v>
      </c>
      <c r="S1874" s="94">
        <v>79718</v>
      </c>
      <c r="T1874" s="94">
        <f t="shared" si="355"/>
        <v>85114.90860000001</v>
      </c>
      <c r="U1874" s="94">
        <f t="shared" si="352"/>
        <v>90009.015844500012</v>
      </c>
      <c r="V1874" s="94">
        <f t="shared" si="353"/>
        <v>93690.384592540053</v>
      </c>
      <c r="W1874" s="97">
        <f t="shared" si="361"/>
        <v>96669.738822582833</v>
      </c>
      <c r="X1874" s="97">
        <f t="shared" si="362"/>
        <v>100343.18889784098</v>
      </c>
      <c r="Y1874" s="97">
        <f t="shared" si="356"/>
        <v>101958.71423909623</v>
      </c>
      <c r="Z1874" s="97">
        <f t="shared" si="358"/>
        <v>107688.79397933344</v>
      </c>
      <c r="AA1874" s="97">
        <f t="shared" si="359"/>
        <v>121817.56374942198</v>
      </c>
    </row>
    <row r="1875" spans="1:27" x14ac:dyDescent="0.25">
      <c r="A1875" s="155" t="s">
        <v>3976</v>
      </c>
      <c r="B1875" s="156" t="s">
        <v>3977</v>
      </c>
      <c r="C1875" s="112" t="s">
        <v>1522</v>
      </c>
      <c r="D1875" s="157" t="s">
        <v>3975</v>
      </c>
      <c r="E1875" s="90">
        <f t="shared" si="354"/>
        <v>4604</v>
      </c>
      <c r="F1875" s="158">
        <f t="shared" si="360"/>
        <v>3869.1646982304678</v>
      </c>
      <c r="G1875" s="149">
        <v>0.19</v>
      </c>
      <c r="H1875" s="149"/>
      <c r="I1875" s="149" t="s">
        <v>228</v>
      </c>
      <c r="J1875" s="149"/>
      <c r="K1875" s="149"/>
      <c r="L1875" s="159"/>
      <c r="M1875" s="160"/>
      <c r="N1875" s="161"/>
      <c r="O1875" s="94"/>
      <c r="P1875" s="94"/>
      <c r="Q1875" s="94">
        <v>1614</v>
      </c>
      <c r="R1875" s="95">
        <f t="shared" si="357"/>
        <v>3869.1646982304678</v>
      </c>
      <c r="S1875" s="94">
        <v>2532</v>
      </c>
      <c r="T1875" s="94">
        <f t="shared" si="355"/>
        <v>2703.4164000000001</v>
      </c>
      <c r="U1875" s="94">
        <f t="shared" si="352"/>
        <v>2858.8628430000003</v>
      </c>
      <c r="V1875" s="94">
        <f t="shared" si="353"/>
        <v>2975.7903332787</v>
      </c>
      <c r="W1875" s="97">
        <f t="shared" si="361"/>
        <v>3070.4204658769627</v>
      </c>
      <c r="X1875" s="97">
        <f t="shared" si="362"/>
        <v>3187.0964435802875</v>
      </c>
      <c r="Y1875" s="97">
        <f t="shared" si="356"/>
        <v>3238.4086963219302</v>
      </c>
      <c r="Z1875" s="97">
        <f t="shared" si="358"/>
        <v>3420.4072650552225</v>
      </c>
      <c r="AA1875" s="97">
        <f t="shared" si="359"/>
        <v>3869.1646982304678</v>
      </c>
    </row>
    <row r="1876" spans="1:27" x14ac:dyDescent="0.25">
      <c r="A1876" s="155" t="s">
        <v>3978</v>
      </c>
      <c r="B1876" s="156" t="s">
        <v>3979</v>
      </c>
      <c r="C1876" s="112" t="s">
        <v>1522</v>
      </c>
      <c r="D1876" s="157" t="s">
        <v>3980</v>
      </c>
      <c r="E1876" s="90">
        <f t="shared" si="354"/>
        <v>80012</v>
      </c>
      <c r="F1876" s="158">
        <f t="shared" si="360"/>
        <v>67236.669321540525</v>
      </c>
      <c r="G1876" s="149">
        <v>0.19</v>
      </c>
      <c r="H1876" s="149"/>
      <c r="I1876" s="149"/>
      <c r="J1876" s="149"/>
      <c r="K1876" s="149"/>
      <c r="L1876" s="159"/>
      <c r="M1876" s="160"/>
      <c r="N1876" s="161"/>
      <c r="O1876" s="94"/>
      <c r="P1876" s="94"/>
      <c r="Q1876" s="94"/>
      <c r="R1876" s="95">
        <f t="shared" si="357"/>
        <v>67236.669321540525</v>
      </c>
      <c r="S1876" s="94">
        <v>44000</v>
      </c>
      <c r="T1876" s="94">
        <f>+S1876*1.0677</f>
        <v>46978.8</v>
      </c>
      <c r="U1876" s="94">
        <f>+T1876*(1+$U$4)</f>
        <v>49680.081000000006</v>
      </c>
      <c r="V1876" s="94">
        <f>+U1876*(1+$V$4)</f>
        <v>51711.996312900003</v>
      </c>
      <c r="W1876" s="97">
        <f t="shared" si="361"/>
        <v>53356.437795650229</v>
      </c>
      <c r="X1876" s="97">
        <f t="shared" si="362"/>
        <v>55383.982431884942</v>
      </c>
      <c r="Y1876" s="97">
        <f t="shared" si="356"/>
        <v>56275.664549038287</v>
      </c>
      <c r="Z1876" s="97">
        <f t="shared" si="358"/>
        <v>59438.35689669424</v>
      </c>
      <c r="AA1876" s="97">
        <f t="shared" si="359"/>
        <v>67236.669321540525</v>
      </c>
    </row>
    <row r="1881" spans="1:27" x14ac:dyDescent="0.25">
      <c r="B1881" t="s">
        <v>4236</v>
      </c>
    </row>
    <row r="1890" spans="2:4" x14ac:dyDescent="0.25">
      <c r="B1890" s="283"/>
      <c r="C1890" s="283"/>
      <c r="D1890" s="283"/>
    </row>
    <row r="1891" spans="2:4" x14ac:dyDescent="0.25">
      <c r="B1891" t="s">
        <v>4262</v>
      </c>
    </row>
    <row r="1892" spans="2:4" x14ac:dyDescent="0.25">
      <c r="B1892" t="s">
        <v>4263</v>
      </c>
    </row>
    <row r="1893" spans="2:4" x14ac:dyDescent="0.25">
      <c r="B1893" t="s">
        <v>4264</v>
      </c>
    </row>
  </sheetData>
  <mergeCells count="3">
    <mergeCell ref="H3:K3"/>
    <mergeCell ref="A1:N1"/>
    <mergeCell ref="A2:N2"/>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57"/>
  <sheetViews>
    <sheetView topLeftCell="A18" workbookViewId="0">
      <selection activeCell="F50" sqref="F50"/>
    </sheetView>
  </sheetViews>
  <sheetFormatPr baseColWidth="10" defaultColWidth="11.42578125" defaultRowHeight="15" x14ac:dyDescent="0.25"/>
  <cols>
    <col min="1" max="1" width="4.85546875" customWidth="1"/>
    <col min="2" max="2" width="42.5703125" bestFit="1" customWidth="1"/>
    <col min="3" max="3" width="11.42578125" style="195"/>
    <col min="4" max="4" width="11.5703125" bestFit="1" customWidth="1"/>
    <col min="5" max="5" width="13.7109375" style="511" bestFit="1" customWidth="1"/>
    <col min="6" max="6" width="24.5703125" style="511" customWidth="1"/>
    <col min="7" max="7" width="5.28515625" customWidth="1"/>
    <col min="8" max="8" width="0" hidden="1" customWidth="1"/>
  </cols>
  <sheetData>
    <row r="1" spans="2:11" ht="15.75" thickBot="1" x14ac:dyDescent="0.3"/>
    <row r="2" spans="2:11" ht="52.5" customHeight="1" thickBot="1" x14ac:dyDescent="0.3">
      <c r="B2" s="1345"/>
      <c r="C2" s="1346"/>
      <c r="D2" s="1346"/>
      <c r="E2" s="1346"/>
      <c r="F2" s="1347"/>
    </row>
    <row r="3" spans="2:11" ht="15" customHeight="1" thickBot="1" x14ac:dyDescent="0.3">
      <c r="B3" s="512"/>
      <c r="C3" s="512"/>
      <c r="D3" s="512"/>
      <c r="E3" s="512"/>
      <c r="F3" s="512"/>
    </row>
    <row r="4" spans="2:11" ht="17.25" customHeight="1" x14ac:dyDescent="0.25">
      <c r="B4" s="1358" t="s">
        <v>4587</v>
      </c>
      <c r="C4" s="1359"/>
      <c r="D4" s="1359"/>
      <c r="E4" s="1359"/>
      <c r="F4" s="1360"/>
    </row>
    <row r="5" spans="2:11" ht="45.75" customHeight="1" thickBot="1" x14ac:dyDescent="0.3">
      <c r="B5" s="1361" t="s">
        <v>4695</v>
      </c>
      <c r="C5" s="1362"/>
      <c r="D5" s="1362"/>
      <c r="E5" s="1362"/>
      <c r="F5" s="1363"/>
      <c r="G5" s="517"/>
      <c r="H5" s="517"/>
      <c r="I5" s="517"/>
      <c r="J5" s="517"/>
      <c r="K5" s="517"/>
    </row>
    <row r="6" spans="2:11" ht="17.25" customHeight="1" x14ac:dyDescent="0.25">
      <c r="B6" s="513"/>
      <c r="C6" s="513"/>
      <c r="D6" s="513"/>
      <c r="E6" s="513"/>
      <c r="F6" s="513"/>
    </row>
    <row r="7" spans="2:11" s="514" customFormat="1" x14ac:dyDescent="0.25">
      <c r="B7" s="1357" t="s">
        <v>4588</v>
      </c>
      <c r="C7" s="1357"/>
      <c r="D7" s="1357"/>
      <c r="E7" s="1357"/>
      <c r="F7" s="1357"/>
    </row>
    <row r="8" spans="2:11" s="517" customFormat="1" ht="30" x14ac:dyDescent="0.25">
      <c r="B8" s="515" t="s">
        <v>4589</v>
      </c>
      <c r="C8" s="515" t="s">
        <v>4001</v>
      </c>
      <c r="D8" s="515" t="s">
        <v>4002</v>
      </c>
      <c r="E8" s="516" t="s">
        <v>4003</v>
      </c>
      <c r="F8" s="516" t="s">
        <v>4590</v>
      </c>
    </row>
    <row r="9" spans="2:11" x14ac:dyDescent="0.25">
      <c r="B9" s="518" t="s">
        <v>4591</v>
      </c>
      <c r="C9" s="474" t="s">
        <v>3965</v>
      </c>
      <c r="D9" s="519">
        <v>2</v>
      </c>
      <c r="E9" s="520">
        <v>73700</v>
      </c>
      <c r="F9" s="520">
        <f t="shared" ref="F9:F17" si="0">D9*E9</f>
        <v>147400</v>
      </c>
      <c r="H9">
        <v>65000</v>
      </c>
    </row>
    <row r="10" spans="2:11" x14ac:dyDescent="0.25">
      <c r="B10" s="518" t="s">
        <v>4592</v>
      </c>
      <c r="C10" s="474" t="s">
        <v>3965</v>
      </c>
      <c r="D10" s="519">
        <v>4</v>
      </c>
      <c r="E10" s="520">
        <f t="shared" ref="E10:E17" si="1">+H10*1.115</f>
        <v>27875</v>
      </c>
      <c r="F10" s="520">
        <f t="shared" si="0"/>
        <v>111500</v>
      </c>
      <c r="H10">
        <v>25000</v>
      </c>
    </row>
    <row r="11" spans="2:11" x14ac:dyDescent="0.25">
      <c r="B11" s="518" t="s">
        <v>4593</v>
      </c>
      <c r="C11" s="474" t="s">
        <v>3965</v>
      </c>
      <c r="D11" s="519">
        <v>8</v>
      </c>
      <c r="E11" s="520">
        <f t="shared" si="1"/>
        <v>1672.5</v>
      </c>
      <c r="F11" s="520">
        <f t="shared" si="0"/>
        <v>13380</v>
      </c>
      <c r="H11">
        <v>1500</v>
      </c>
    </row>
    <row r="12" spans="2:11" x14ac:dyDescent="0.25">
      <c r="B12" s="518" t="s">
        <v>4594</v>
      </c>
      <c r="C12" s="474" t="s">
        <v>3965</v>
      </c>
      <c r="D12" s="519">
        <v>4</v>
      </c>
      <c r="E12" s="520">
        <f t="shared" si="1"/>
        <v>13268.5</v>
      </c>
      <c r="F12" s="520">
        <f t="shared" si="0"/>
        <v>53074</v>
      </c>
      <c r="H12">
        <v>11900</v>
      </c>
    </row>
    <row r="13" spans="2:11" x14ac:dyDescent="0.25">
      <c r="B13" s="518" t="s">
        <v>4595</v>
      </c>
      <c r="C13" s="474" t="s">
        <v>3965</v>
      </c>
      <c r="D13" s="519">
        <v>2</v>
      </c>
      <c r="E13" s="520">
        <f t="shared" si="1"/>
        <v>189550</v>
      </c>
      <c r="F13" s="520">
        <f t="shared" si="0"/>
        <v>379100</v>
      </c>
      <c r="H13">
        <v>170000</v>
      </c>
    </row>
    <row r="14" spans="2:11" x14ac:dyDescent="0.25">
      <c r="B14" s="518" t="s">
        <v>4596</v>
      </c>
      <c r="C14" s="474" t="s">
        <v>3965</v>
      </c>
      <c r="D14" s="519">
        <v>2</v>
      </c>
      <c r="E14" s="520">
        <f t="shared" si="1"/>
        <v>124880</v>
      </c>
      <c r="F14" s="520">
        <f t="shared" si="0"/>
        <v>249760</v>
      </c>
      <c r="H14">
        <v>112000</v>
      </c>
    </row>
    <row r="15" spans="2:11" x14ac:dyDescent="0.25">
      <c r="B15" s="518" t="s">
        <v>4597</v>
      </c>
      <c r="C15" s="474" t="s">
        <v>3965</v>
      </c>
      <c r="D15" s="519">
        <v>1</v>
      </c>
      <c r="E15" s="520">
        <f t="shared" si="1"/>
        <v>40140</v>
      </c>
      <c r="F15" s="520">
        <f t="shared" si="0"/>
        <v>40140</v>
      </c>
      <c r="H15">
        <v>36000</v>
      </c>
    </row>
    <row r="16" spans="2:11" x14ac:dyDescent="0.25">
      <c r="B16" s="518" t="s">
        <v>4598</v>
      </c>
      <c r="C16" s="474" t="s">
        <v>3965</v>
      </c>
      <c r="D16" s="519">
        <v>3</v>
      </c>
      <c r="E16" s="520">
        <f t="shared" si="1"/>
        <v>72475</v>
      </c>
      <c r="F16" s="520">
        <f t="shared" si="0"/>
        <v>217425</v>
      </c>
      <c r="H16">
        <v>65000</v>
      </c>
    </row>
    <row r="17" spans="2:8" x14ac:dyDescent="0.25">
      <c r="B17" s="518" t="s">
        <v>4599</v>
      </c>
      <c r="C17" s="474" t="s">
        <v>3965</v>
      </c>
      <c r="D17" s="519">
        <v>4</v>
      </c>
      <c r="E17" s="520">
        <f t="shared" si="1"/>
        <v>256338.5</v>
      </c>
      <c r="F17" s="520">
        <f t="shared" si="0"/>
        <v>1025354</v>
      </c>
      <c r="H17">
        <v>229900</v>
      </c>
    </row>
    <row r="18" spans="2:8" s="514" customFormat="1" x14ac:dyDescent="0.25">
      <c r="B18" s="1351" t="s">
        <v>4600</v>
      </c>
      <c r="C18" s="1351"/>
      <c r="D18" s="1351"/>
      <c r="E18" s="1351"/>
      <c r="F18" s="521">
        <f>SUM(F9:F17)</f>
        <v>2237133</v>
      </c>
    </row>
    <row r="19" spans="2:8" s="514" customFormat="1" x14ac:dyDescent="0.25">
      <c r="B19" s="522"/>
      <c r="C19" s="522"/>
      <c r="D19" s="522"/>
      <c r="E19" s="522"/>
      <c r="F19" s="523"/>
    </row>
    <row r="20" spans="2:8" s="514" customFormat="1" x14ac:dyDescent="0.25">
      <c r="B20" s="1357" t="s">
        <v>4601</v>
      </c>
      <c r="C20" s="1357"/>
      <c r="D20" s="1357"/>
      <c r="E20" s="1357"/>
      <c r="F20" s="1357"/>
    </row>
    <row r="21" spans="2:8" s="517" customFormat="1" ht="30" x14ac:dyDescent="0.25">
      <c r="B21" s="515" t="s">
        <v>4589</v>
      </c>
      <c r="C21" s="515" t="s">
        <v>4001</v>
      </c>
      <c r="D21" s="515" t="s">
        <v>4002</v>
      </c>
      <c r="E21" s="516" t="s">
        <v>4003</v>
      </c>
      <c r="F21" s="516" t="s">
        <v>4590</v>
      </c>
    </row>
    <row r="22" spans="2:8" x14ac:dyDescent="0.25">
      <c r="B22" s="518" t="s">
        <v>4602</v>
      </c>
      <c r="C22" s="474" t="s">
        <v>4001</v>
      </c>
      <c r="D22" s="519">
        <v>10</v>
      </c>
      <c r="E22" s="520">
        <f>+H22*1.115</f>
        <v>18955</v>
      </c>
      <c r="F22" s="520">
        <f t="shared" ref="F22:F30" si="2">D22*E22</f>
        <v>189550</v>
      </c>
      <c r="H22" s="520">
        <v>17000</v>
      </c>
    </row>
    <row r="23" spans="2:8" x14ac:dyDescent="0.25">
      <c r="B23" s="518" t="s">
        <v>4603</v>
      </c>
      <c r="C23" s="474" t="s">
        <v>4001</v>
      </c>
      <c r="D23" s="519">
        <v>10</v>
      </c>
      <c r="E23" s="520">
        <f t="shared" ref="E23:E25" si="3">+H23*1.115</f>
        <v>11150</v>
      </c>
      <c r="F23" s="520">
        <f t="shared" si="2"/>
        <v>111500</v>
      </c>
      <c r="H23" s="520">
        <v>10000</v>
      </c>
    </row>
    <row r="24" spans="2:8" x14ac:dyDescent="0.25">
      <c r="B24" s="518" t="s">
        <v>4604</v>
      </c>
      <c r="C24" s="474" t="s">
        <v>4605</v>
      </c>
      <c r="D24" s="519">
        <v>20</v>
      </c>
      <c r="E24" s="520">
        <v>10600</v>
      </c>
      <c r="F24" s="520">
        <f t="shared" si="2"/>
        <v>212000</v>
      </c>
      <c r="H24" s="520">
        <v>1000</v>
      </c>
    </row>
    <row r="25" spans="2:8" ht="43.5" x14ac:dyDescent="0.25">
      <c r="B25" s="524" t="s">
        <v>4606</v>
      </c>
      <c r="C25" s="474" t="s">
        <v>4605</v>
      </c>
      <c r="D25" s="519">
        <v>3</v>
      </c>
      <c r="E25" s="520">
        <f t="shared" si="3"/>
        <v>26202.5</v>
      </c>
      <c r="F25" s="520">
        <f t="shared" si="2"/>
        <v>78607.5</v>
      </c>
      <c r="H25" s="520">
        <v>23500</v>
      </c>
    </row>
    <row r="26" spans="2:8" x14ac:dyDescent="0.25">
      <c r="B26" s="518" t="s">
        <v>4607</v>
      </c>
      <c r="C26" s="474" t="s">
        <v>4605</v>
      </c>
      <c r="D26" s="519">
        <v>10</v>
      </c>
      <c r="E26" s="520">
        <v>13100</v>
      </c>
      <c r="F26" s="520">
        <f t="shared" si="2"/>
        <v>131000</v>
      </c>
      <c r="H26" s="520">
        <v>6900</v>
      </c>
    </row>
    <row r="27" spans="2:8" x14ac:dyDescent="0.25">
      <c r="B27" s="518" t="s">
        <v>4608</v>
      </c>
      <c r="C27" s="474" t="s">
        <v>4605</v>
      </c>
      <c r="D27" s="519">
        <v>6</v>
      </c>
      <c r="E27" s="520">
        <v>18990</v>
      </c>
      <c r="F27" s="520">
        <f t="shared" si="2"/>
        <v>113940</v>
      </c>
      <c r="H27" s="520">
        <v>10000</v>
      </c>
    </row>
    <row r="28" spans="2:8" x14ac:dyDescent="0.25">
      <c r="B28" s="518" t="s">
        <v>4609</v>
      </c>
      <c r="C28" s="474" t="s">
        <v>4001</v>
      </c>
      <c r="D28" s="519">
        <v>6</v>
      </c>
      <c r="E28" s="520">
        <v>24600</v>
      </c>
      <c r="F28" s="520">
        <f t="shared" si="2"/>
        <v>147600</v>
      </c>
      <c r="H28" s="520">
        <v>16000</v>
      </c>
    </row>
    <row r="29" spans="2:8" x14ac:dyDescent="0.25">
      <c r="B29" s="518" t="s">
        <v>4610</v>
      </c>
      <c r="C29" s="474" t="s">
        <v>4605</v>
      </c>
      <c r="D29" s="519">
        <v>5</v>
      </c>
      <c r="E29" s="520">
        <v>98100</v>
      </c>
      <c r="F29" s="520">
        <f t="shared" si="2"/>
        <v>490500</v>
      </c>
      <c r="H29" s="520">
        <v>77000</v>
      </c>
    </row>
    <row r="30" spans="2:8" x14ac:dyDescent="0.25">
      <c r="B30" s="518" t="s">
        <v>4611</v>
      </c>
      <c r="C30" s="474" t="s">
        <v>4605</v>
      </c>
      <c r="D30" s="519">
        <v>5</v>
      </c>
      <c r="E30" s="520">
        <v>51600</v>
      </c>
      <c r="F30" s="520">
        <f t="shared" si="2"/>
        <v>258000</v>
      </c>
      <c r="H30" s="520">
        <v>42900</v>
      </c>
    </row>
    <row r="31" spans="2:8" s="514" customFormat="1" x14ac:dyDescent="0.25">
      <c r="B31" s="1351" t="s">
        <v>4600</v>
      </c>
      <c r="C31" s="1351"/>
      <c r="D31" s="1351"/>
      <c r="E31" s="1351"/>
      <c r="F31" s="521">
        <f>SUM(F22:F30)</f>
        <v>1732697.5</v>
      </c>
    </row>
    <row r="32" spans="2:8" s="514" customFormat="1" x14ac:dyDescent="0.25">
      <c r="B32" s="522"/>
      <c r="C32" s="522"/>
      <c r="D32" s="522"/>
      <c r="E32" s="522"/>
      <c r="F32" s="523"/>
    </row>
    <row r="33" spans="2:7" x14ac:dyDescent="0.25">
      <c r="B33" s="1352" t="s">
        <v>4612</v>
      </c>
      <c r="C33" s="1352"/>
      <c r="D33" s="1352"/>
      <c r="E33" s="1352"/>
      <c r="F33" s="1352"/>
    </row>
    <row r="34" spans="2:7" ht="45" x14ac:dyDescent="0.25">
      <c r="B34" s="525" t="s">
        <v>4613</v>
      </c>
      <c r="C34" s="525" t="s">
        <v>4001</v>
      </c>
      <c r="D34" s="525" t="s">
        <v>4002</v>
      </c>
      <c r="E34" s="516" t="s">
        <v>4614</v>
      </c>
      <c r="F34" s="526" t="s">
        <v>4590</v>
      </c>
    </row>
    <row r="35" spans="2:7" x14ac:dyDescent="0.25">
      <c r="B35" s="527" t="s">
        <v>4615</v>
      </c>
      <c r="C35" s="474" t="s">
        <v>4032</v>
      </c>
      <c r="D35" s="527">
        <f>'[107]CÁLCULO AIU'!$E$8</f>
        <v>5</v>
      </c>
      <c r="E35" s="528">
        <f>458*100</f>
        <v>45800</v>
      </c>
      <c r="F35" s="528">
        <f>D35*E35</f>
        <v>229000</v>
      </c>
    </row>
    <row r="36" spans="2:7" x14ac:dyDescent="0.25">
      <c r="B36" s="1353" t="s">
        <v>4600</v>
      </c>
      <c r="C36" s="1354"/>
      <c r="D36" s="1354"/>
      <c r="E36" s="1355"/>
      <c r="F36" s="529">
        <f>SUM(F35:F35)</f>
        <v>229000</v>
      </c>
    </row>
    <row r="37" spans="2:7" x14ac:dyDescent="0.25">
      <c r="B37" s="522"/>
      <c r="C37" s="522"/>
      <c r="D37" s="522"/>
      <c r="E37" s="522"/>
      <c r="F37" s="530"/>
    </row>
    <row r="38" spans="2:7" ht="15" customHeight="1" x14ac:dyDescent="0.25">
      <c r="B38" s="1356" t="s">
        <v>4616</v>
      </c>
      <c r="C38" s="1356"/>
      <c r="D38" s="1356"/>
      <c r="E38" s="1356"/>
      <c r="F38" s="1356"/>
      <c r="G38" s="1356"/>
    </row>
    <row r="39" spans="2:7" ht="30" x14ac:dyDescent="0.25">
      <c r="B39" s="525" t="s">
        <v>4613</v>
      </c>
      <c r="C39" s="525" t="s">
        <v>4001</v>
      </c>
      <c r="D39" s="525" t="s">
        <v>4002</v>
      </c>
      <c r="E39" s="531" t="s">
        <v>4003</v>
      </c>
      <c r="F39" s="532" t="s">
        <v>4590</v>
      </c>
    </row>
    <row r="40" spans="2:7" x14ac:dyDescent="0.25">
      <c r="B40" s="527" t="s">
        <v>4617</v>
      </c>
      <c r="C40" s="474" t="s">
        <v>301</v>
      </c>
      <c r="D40" s="533">
        <f>+(PRESUPUESTO!F10)*0.12</f>
        <v>2.5104000000000002</v>
      </c>
      <c r="E40" s="534">
        <v>3750</v>
      </c>
      <c r="F40" s="534">
        <f>D40*E40</f>
        <v>9414</v>
      </c>
    </row>
    <row r="41" spans="2:7" x14ac:dyDescent="0.25">
      <c r="B41" s="535" t="s">
        <v>4600</v>
      </c>
      <c r="C41" s="536"/>
      <c r="D41" s="537"/>
      <c r="F41" s="538">
        <f>SUM(F40:F40)</f>
        <v>9414</v>
      </c>
    </row>
    <row r="42" spans="2:7" x14ac:dyDescent="0.25">
      <c r="B42" s="522"/>
      <c r="C42" s="522"/>
      <c r="D42" s="522"/>
      <c r="E42" s="522"/>
      <c r="F42" s="539"/>
    </row>
    <row r="43" spans="2:7" x14ac:dyDescent="0.25">
      <c r="B43" s="1352" t="s">
        <v>4618</v>
      </c>
      <c r="C43" s="1352"/>
      <c r="D43" s="1352"/>
      <c r="E43" s="1352"/>
      <c r="F43" s="1352"/>
    </row>
    <row r="44" spans="2:7" ht="45" x14ac:dyDescent="0.25">
      <c r="B44" s="515" t="s">
        <v>4613</v>
      </c>
      <c r="C44" s="515" t="s">
        <v>4001</v>
      </c>
      <c r="D44" s="515" t="s">
        <v>4002</v>
      </c>
      <c r="E44" s="515" t="s">
        <v>4614</v>
      </c>
      <c r="F44" s="515" t="s">
        <v>4590</v>
      </c>
    </row>
    <row r="45" spans="2:7" x14ac:dyDescent="0.25">
      <c r="B45" s="527" t="s">
        <v>4619</v>
      </c>
      <c r="C45" s="474" t="s">
        <v>4001</v>
      </c>
      <c r="D45" s="527">
        <f>'[107]CÁLCULO AIU'!$E$8</f>
        <v>5</v>
      </c>
      <c r="E45" s="528">
        <v>100000</v>
      </c>
      <c r="F45" s="540">
        <f>D45*E45</f>
        <v>500000</v>
      </c>
    </row>
    <row r="46" spans="2:7" x14ac:dyDescent="0.25">
      <c r="B46" s="527" t="s">
        <v>4620</v>
      </c>
      <c r="C46" s="474" t="s">
        <v>4390</v>
      </c>
      <c r="D46" s="527">
        <f>'[107]CÁLCULO AIU'!$E$8</f>
        <v>5</v>
      </c>
      <c r="E46" s="528">
        <v>80000</v>
      </c>
      <c r="F46" s="540">
        <f>D46*E46</f>
        <v>400000</v>
      </c>
    </row>
    <row r="47" spans="2:7" x14ac:dyDescent="0.25">
      <c r="B47" s="1353" t="s">
        <v>4600</v>
      </c>
      <c r="C47" s="1354"/>
      <c r="D47" s="1354"/>
      <c r="E47" s="1355"/>
      <c r="F47" s="541">
        <f>SUM(F45:F46)</f>
        <v>900000</v>
      </c>
    </row>
    <row r="48" spans="2:7" ht="15.75" thickBot="1" x14ac:dyDescent="0.3">
      <c r="B48" s="542"/>
      <c r="C48" s="542"/>
      <c r="D48" s="542"/>
      <c r="E48" s="542"/>
      <c r="F48" s="543"/>
    </row>
    <row r="49" spans="2:6" ht="15.75" thickBot="1" x14ac:dyDescent="0.3">
      <c r="B49" s="1348" t="s">
        <v>4621</v>
      </c>
      <c r="C49" s="1349"/>
      <c r="D49" s="1349"/>
      <c r="E49" s="1350"/>
      <c r="F49" s="544">
        <f>+F47+F41+F36+F31+F18</f>
        <v>5108244.5</v>
      </c>
    </row>
    <row r="53" spans="2:6" ht="18" x14ac:dyDescent="0.25">
      <c r="B53" s="485" t="s">
        <v>4562</v>
      </c>
    </row>
    <row r="54" spans="2:6" ht="18" x14ac:dyDescent="0.25">
      <c r="B54" s="485"/>
    </row>
    <row r="55" spans="2:6" ht="18" x14ac:dyDescent="0.25">
      <c r="B55" s="485" t="s">
        <v>4563</v>
      </c>
    </row>
    <row r="56" spans="2:6" ht="18" x14ac:dyDescent="0.25">
      <c r="B56" s="485" t="s">
        <v>4564</v>
      </c>
    </row>
    <row r="57" spans="2:6" ht="18" x14ac:dyDescent="0.25">
      <c r="B57" s="486" t="s">
        <v>4622</v>
      </c>
    </row>
  </sheetData>
  <mergeCells count="13">
    <mergeCell ref="B2:F2"/>
    <mergeCell ref="B49:E49"/>
    <mergeCell ref="B31:E31"/>
    <mergeCell ref="B33:F33"/>
    <mergeCell ref="B36:E36"/>
    <mergeCell ref="B38:G38"/>
    <mergeCell ref="B43:F43"/>
    <mergeCell ref="B47:E47"/>
    <mergeCell ref="B20:F20"/>
    <mergeCell ref="B4:F4"/>
    <mergeCell ref="B5:F5"/>
    <mergeCell ref="B7:F7"/>
    <mergeCell ref="B18:E1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
  <sheetViews>
    <sheetView topLeftCell="A10" workbookViewId="0">
      <selection activeCell="F14" sqref="F14"/>
    </sheetView>
  </sheetViews>
  <sheetFormatPr baseColWidth="10" defaultColWidth="10.7109375" defaultRowHeight="15" x14ac:dyDescent="0.25"/>
  <cols>
    <col min="1" max="1" width="17" customWidth="1"/>
    <col min="2" max="2" width="28.5703125" bestFit="1" customWidth="1"/>
    <col min="3" max="3" width="14.85546875" customWidth="1"/>
    <col min="6" max="6" width="19.5703125" customWidth="1"/>
  </cols>
  <sheetData>
    <row r="1" spans="1:6" ht="68.25" customHeight="1" thickBot="1" x14ac:dyDescent="0.3">
      <c r="A1" s="1314" t="s">
        <v>4697</v>
      </c>
      <c r="B1" s="1364"/>
      <c r="C1" s="1364"/>
      <c r="D1" s="1364"/>
      <c r="E1" s="1364"/>
      <c r="F1" s="1365"/>
    </row>
    <row r="2" spans="1:6" x14ac:dyDescent="0.25">
      <c r="A2" s="198"/>
      <c r="B2" s="199"/>
      <c r="C2" s="199"/>
      <c r="D2" s="199"/>
      <c r="E2" s="199"/>
      <c r="F2" s="200"/>
    </row>
    <row r="3" spans="1:6" x14ac:dyDescent="0.25">
      <c r="A3" s="1371" t="s">
        <v>4874</v>
      </c>
      <c r="B3" s="11" t="s">
        <v>19</v>
      </c>
      <c r="C3" s="12">
        <v>365</v>
      </c>
      <c r="D3" s="13"/>
      <c r="E3" s="13"/>
      <c r="F3" s="201"/>
    </row>
    <row r="4" spans="1:6" x14ac:dyDescent="0.25">
      <c r="A4" s="1371"/>
      <c r="B4" s="217" t="s">
        <v>4455</v>
      </c>
      <c r="C4" s="14">
        <v>200000</v>
      </c>
      <c r="D4" s="15"/>
      <c r="E4" s="15"/>
      <c r="F4" s="201"/>
    </row>
    <row r="5" spans="1:6" x14ac:dyDescent="0.25">
      <c r="A5" s="1371"/>
      <c r="B5" s="217" t="s">
        <v>4456</v>
      </c>
      <c r="C5" s="14">
        <v>1423500</v>
      </c>
      <c r="D5" s="15"/>
      <c r="E5" s="15"/>
      <c r="F5" s="201"/>
    </row>
    <row r="6" spans="1:6" x14ac:dyDescent="0.25">
      <c r="A6" s="203"/>
      <c r="B6" s="16"/>
      <c r="C6" s="1372" t="s">
        <v>20</v>
      </c>
      <c r="D6" s="1372"/>
      <c r="E6" s="1372" t="s">
        <v>21</v>
      </c>
      <c r="F6" s="1373"/>
    </row>
    <row r="7" spans="1:6" x14ac:dyDescent="0.25">
      <c r="A7" s="1374" t="s">
        <v>22</v>
      </c>
      <c r="B7" s="17" t="s">
        <v>23</v>
      </c>
      <c r="C7" s="196">
        <f>C3</f>
        <v>365</v>
      </c>
      <c r="D7" s="196">
        <v>365</v>
      </c>
      <c r="E7" s="196">
        <v>365</v>
      </c>
      <c r="F7" s="204">
        <v>365</v>
      </c>
    </row>
    <row r="8" spans="1:6" x14ac:dyDescent="0.25">
      <c r="A8" s="1374"/>
      <c r="B8" s="17" t="s">
        <v>24</v>
      </c>
      <c r="C8" s="196" t="s">
        <v>25</v>
      </c>
      <c r="D8" s="196" t="s">
        <v>26</v>
      </c>
      <c r="E8" s="196" t="s">
        <v>25</v>
      </c>
      <c r="F8" s="204" t="s">
        <v>26</v>
      </c>
    </row>
    <row r="9" spans="1:6" x14ac:dyDescent="0.25">
      <c r="A9" s="1375" t="s">
        <v>27</v>
      </c>
      <c r="B9" s="11" t="s">
        <v>28</v>
      </c>
      <c r="C9" s="18">
        <v>0.1053</v>
      </c>
      <c r="D9" s="18">
        <v>0</v>
      </c>
      <c r="E9" s="18">
        <v>0.1053</v>
      </c>
      <c r="F9" s="205">
        <v>0</v>
      </c>
    </row>
    <row r="10" spans="1:6" x14ac:dyDescent="0.25">
      <c r="A10" s="1376"/>
      <c r="B10" s="11" t="s">
        <v>29</v>
      </c>
      <c r="C10" s="18">
        <v>8.3299999999999999E-2</v>
      </c>
      <c r="D10" s="18">
        <v>8.3299999999999999E-2</v>
      </c>
      <c r="E10" s="18">
        <v>8.3299999999999999E-2</v>
      </c>
      <c r="F10" s="205">
        <v>8.3299999999999999E-2</v>
      </c>
    </row>
    <row r="11" spans="1:6" x14ac:dyDescent="0.25">
      <c r="A11" s="1376"/>
      <c r="B11" s="11" t="s">
        <v>30</v>
      </c>
      <c r="C11" s="18">
        <v>0.01</v>
      </c>
      <c r="D11" s="18">
        <v>0.01</v>
      </c>
      <c r="E11" s="18">
        <v>0.01</v>
      </c>
      <c r="F11" s="205">
        <v>0.01</v>
      </c>
    </row>
    <row r="12" spans="1:6" x14ac:dyDescent="0.25">
      <c r="A12" s="1376"/>
      <c r="B12" s="11" t="s">
        <v>31</v>
      </c>
      <c r="C12" s="18">
        <v>8.3299999999999999E-2</v>
      </c>
      <c r="D12" s="18">
        <v>8.3299999999999999E-2</v>
      </c>
      <c r="E12" s="18">
        <v>8.3299999999999999E-2</v>
      </c>
      <c r="F12" s="205">
        <v>8.3299999999999999E-2</v>
      </c>
    </row>
    <row r="13" spans="1:6" x14ac:dyDescent="0.25">
      <c r="A13" s="1376"/>
      <c r="B13" s="11" t="s">
        <v>32</v>
      </c>
      <c r="C13" s="18">
        <v>4.1700000000000001E-2</v>
      </c>
      <c r="D13" s="18">
        <v>4.1700000000000001E-2</v>
      </c>
      <c r="E13" s="18">
        <v>4.1700000000000001E-2</v>
      </c>
      <c r="F13" s="205">
        <v>4.1700000000000001E-2</v>
      </c>
    </row>
    <row r="14" spans="1:6" x14ac:dyDescent="0.25">
      <c r="A14" s="1376"/>
      <c r="B14" s="11" t="s">
        <v>33</v>
      </c>
      <c r="C14" s="18">
        <v>7.4700000000000003E-2</v>
      </c>
      <c r="D14" s="18">
        <v>2.6700000000000002E-2</v>
      </c>
      <c r="E14" s="18">
        <v>7.4700000000000003E-2</v>
      </c>
      <c r="F14" s="205">
        <v>2.6700000000000002E-2</v>
      </c>
    </row>
    <row r="15" spans="1:6" x14ac:dyDescent="0.25">
      <c r="A15" s="1377"/>
      <c r="B15" s="11" t="s">
        <v>34</v>
      </c>
      <c r="C15" s="18">
        <v>1.6000000000000001E-3</v>
      </c>
      <c r="D15" s="18">
        <v>1.6000000000000001E-3</v>
      </c>
      <c r="E15" s="18">
        <v>1.6000000000000001E-3</v>
      </c>
      <c r="F15" s="205">
        <v>1.6000000000000001E-3</v>
      </c>
    </row>
    <row r="16" spans="1:6" ht="25.5" x14ac:dyDescent="0.25">
      <c r="A16" s="206" t="s">
        <v>35</v>
      </c>
      <c r="B16" s="11" t="s">
        <v>36</v>
      </c>
      <c r="C16" s="18">
        <v>3.39E-2</v>
      </c>
      <c r="D16" s="18">
        <v>1.21E-2</v>
      </c>
      <c r="E16" s="18">
        <v>3.39E-2</v>
      </c>
      <c r="F16" s="205">
        <v>1.21E-2</v>
      </c>
    </row>
    <row r="17" spans="1:6" ht="25.5" x14ac:dyDescent="0.25">
      <c r="A17" s="206" t="s">
        <v>37</v>
      </c>
      <c r="B17" s="11" t="s">
        <v>38</v>
      </c>
      <c r="C17" s="18">
        <v>2.0299999999999999E-2</v>
      </c>
      <c r="D17" s="18">
        <v>7.3000000000000001E-3</v>
      </c>
      <c r="E17" s="18"/>
      <c r="F17" s="205"/>
    </row>
    <row r="18" spans="1:6" x14ac:dyDescent="0.25">
      <c r="A18" s="1378" t="s">
        <v>39</v>
      </c>
      <c r="B18" s="11" t="s">
        <v>40</v>
      </c>
      <c r="C18" s="18">
        <v>8.5000000000000006E-2</v>
      </c>
      <c r="D18" s="18">
        <v>8.5000000000000006E-2</v>
      </c>
      <c r="E18" s="18">
        <v>8.5000000000000006E-2</v>
      </c>
      <c r="F18" s="205">
        <v>8.5000000000000006E-2</v>
      </c>
    </row>
    <row r="19" spans="1:6" x14ac:dyDescent="0.25">
      <c r="A19" s="1378"/>
      <c r="B19" s="11" t="s">
        <v>41</v>
      </c>
      <c r="C19" s="18">
        <v>0.12</v>
      </c>
      <c r="D19" s="18">
        <v>0.12</v>
      </c>
      <c r="E19" s="18">
        <v>0.12</v>
      </c>
      <c r="F19" s="205">
        <v>0.12</v>
      </c>
    </row>
    <row r="20" spans="1:6" x14ac:dyDescent="0.25">
      <c r="A20" s="1378"/>
      <c r="B20" s="11" t="s">
        <v>42</v>
      </c>
      <c r="C20" s="18">
        <v>6.9599999999999995E-2</v>
      </c>
      <c r="D20" s="18">
        <v>6.9599999999999995E-2</v>
      </c>
      <c r="E20" s="19">
        <v>6.9599999999999995E-2</v>
      </c>
      <c r="F20" s="207">
        <v>6.9599999999999995E-2</v>
      </c>
    </row>
    <row r="21" spans="1:6" x14ac:dyDescent="0.25">
      <c r="A21" s="208"/>
      <c r="B21" s="11" t="s">
        <v>43</v>
      </c>
      <c r="C21" s="18">
        <v>0.02</v>
      </c>
      <c r="D21" s="18">
        <v>0.02</v>
      </c>
      <c r="E21" s="19">
        <v>0.02</v>
      </c>
      <c r="F21" s="207">
        <v>0.02</v>
      </c>
    </row>
    <row r="22" spans="1:6" x14ac:dyDescent="0.25">
      <c r="A22" s="208"/>
      <c r="B22" s="11" t="s">
        <v>44</v>
      </c>
      <c r="C22" s="18">
        <v>0.03</v>
      </c>
      <c r="D22" s="18">
        <v>0.03</v>
      </c>
      <c r="E22" s="19">
        <v>0.03</v>
      </c>
      <c r="F22" s="207">
        <v>0.03</v>
      </c>
    </row>
    <row r="23" spans="1:6" x14ac:dyDescent="0.25">
      <c r="A23" s="1378" t="s">
        <v>45</v>
      </c>
      <c r="B23" s="11" t="s">
        <v>46</v>
      </c>
      <c r="C23" s="18">
        <v>2.5000000000000001E-2</v>
      </c>
      <c r="D23" s="18">
        <v>2.5000000000000001E-2</v>
      </c>
      <c r="E23" s="18">
        <v>2.5000000000000001E-2</v>
      </c>
      <c r="F23" s="205">
        <v>2.5000000000000001E-2</v>
      </c>
    </row>
    <row r="24" spans="1:6" x14ac:dyDescent="0.25">
      <c r="A24" s="1378"/>
      <c r="B24" s="11" t="s">
        <v>47</v>
      </c>
      <c r="C24" s="18">
        <v>0.04</v>
      </c>
      <c r="D24" s="18">
        <v>0.04</v>
      </c>
      <c r="E24" s="18">
        <v>0.04</v>
      </c>
      <c r="F24" s="205">
        <v>0.04</v>
      </c>
    </row>
    <row r="25" spans="1:6" x14ac:dyDescent="0.25">
      <c r="A25" s="209"/>
      <c r="B25" s="20"/>
      <c r="C25" s="10"/>
      <c r="D25" s="10"/>
      <c r="E25" s="10"/>
      <c r="F25" s="210"/>
    </row>
    <row r="26" spans="1:6" x14ac:dyDescent="0.25">
      <c r="A26" s="211" t="s">
        <v>48</v>
      </c>
      <c r="B26" s="21"/>
      <c r="C26" s="22">
        <f>SUM(C9:C25)</f>
        <v>0.84370000000000001</v>
      </c>
      <c r="D26" s="22">
        <f>SUM(D9:D25)</f>
        <v>0.65560000000000007</v>
      </c>
      <c r="E26" s="22">
        <f>SUM(E9:E25)</f>
        <v>0.82340000000000002</v>
      </c>
      <c r="F26" s="212">
        <f>SUM(F9:F25)</f>
        <v>0.6483000000000001</v>
      </c>
    </row>
    <row r="27" spans="1:6" ht="9.75" customHeight="1" x14ac:dyDescent="0.25">
      <c r="A27" s="202"/>
      <c r="B27" s="10"/>
      <c r="C27" s="10"/>
      <c r="D27" s="10"/>
      <c r="E27" s="10"/>
      <c r="F27" s="201"/>
    </row>
    <row r="28" spans="1:6" ht="10.5" customHeight="1" x14ac:dyDescent="0.25">
      <c r="A28" s="202"/>
      <c r="B28" s="10"/>
      <c r="C28" s="10"/>
      <c r="D28" s="10"/>
      <c r="E28" s="10"/>
      <c r="F28" s="210"/>
    </row>
    <row r="29" spans="1:6" ht="28.5" customHeight="1" x14ac:dyDescent="0.25">
      <c r="A29" s="1379" t="s">
        <v>49</v>
      </c>
      <c r="B29" s="1380"/>
      <c r="C29" s="1380"/>
      <c r="D29" s="1380"/>
      <c r="E29" s="1380"/>
      <c r="F29" s="210"/>
    </row>
    <row r="30" spans="1:6" x14ac:dyDescent="0.25">
      <c r="A30" s="202"/>
      <c r="B30" s="10"/>
      <c r="C30" s="10"/>
      <c r="D30" s="10"/>
      <c r="E30" s="10"/>
      <c r="F30" s="210"/>
    </row>
    <row r="31" spans="1:6" x14ac:dyDescent="0.25">
      <c r="A31" s="1381" t="s">
        <v>50</v>
      </c>
      <c r="B31" s="1382"/>
      <c r="C31" s="197" t="s">
        <v>51</v>
      </c>
      <c r="D31" s="10"/>
      <c r="E31" s="10"/>
      <c r="F31" s="210"/>
    </row>
    <row r="32" spans="1:6" x14ac:dyDescent="0.25">
      <c r="A32" s="1366" t="s">
        <v>52</v>
      </c>
      <c r="B32" s="1367"/>
      <c r="C32" s="23" t="e">
        <f>PRESUPUESTO!#REF!</f>
        <v>#REF!</v>
      </c>
      <c r="D32" s="10"/>
      <c r="E32" s="10"/>
      <c r="F32" s="210"/>
    </row>
    <row r="33" spans="1:6" x14ac:dyDescent="0.25">
      <c r="A33" s="1366" t="s">
        <v>53</v>
      </c>
      <c r="B33" s="1367"/>
      <c r="C33" s="18">
        <f>AIU!I46</f>
        <v>0.3</v>
      </c>
      <c r="D33" s="10"/>
      <c r="E33" s="10"/>
      <c r="F33" s="210"/>
    </row>
    <row r="34" spans="1:6" x14ac:dyDescent="0.25">
      <c r="A34" s="1366" t="s">
        <v>54</v>
      </c>
      <c r="B34" s="1367"/>
      <c r="C34" s="23" t="e">
        <f>+C33*C32</f>
        <v>#REF!</v>
      </c>
      <c r="D34" s="10"/>
      <c r="E34" s="10"/>
      <c r="F34" s="210"/>
    </row>
    <row r="35" spans="1:6" x14ac:dyDescent="0.25">
      <c r="A35" s="1366" t="s">
        <v>55</v>
      </c>
      <c r="B35" s="1367"/>
      <c r="C35" s="23" t="e">
        <f>C34+C32</f>
        <v>#REF!</v>
      </c>
      <c r="D35" s="10"/>
      <c r="E35" s="10"/>
      <c r="F35" s="210"/>
    </row>
    <row r="36" spans="1:6" x14ac:dyDescent="0.25">
      <c r="A36" s="1366" t="s">
        <v>56</v>
      </c>
      <c r="B36" s="1367"/>
      <c r="C36" s="24">
        <v>3</v>
      </c>
      <c r="D36" s="10"/>
      <c r="E36" s="10"/>
      <c r="F36" s="210"/>
    </row>
    <row r="37" spans="1:6" x14ac:dyDescent="0.25">
      <c r="A37" s="1366" t="s">
        <v>57</v>
      </c>
      <c r="B37" s="1367"/>
      <c r="C37" s="23">
        <f>+$C$5</f>
        <v>1423500</v>
      </c>
      <c r="D37" s="10"/>
      <c r="E37" s="10"/>
      <c r="F37" s="210"/>
    </row>
    <row r="38" spans="1:6" x14ac:dyDescent="0.25">
      <c r="A38" s="1366" t="s">
        <v>58</v>
      </c>
      <c r="B38" s="1367"/>
      <c r="C38" s="23">
        <f>25*C37</f>
        <v>35587500</v>
      </c>
      <c r="D38" s="10"/>
      <c r="E38" s="10"/>
      <c r="F38" s="210"/>
    </row>
    <row r="39" spans="1:6" x14ac:dyDescent="0.25">
      <c r="A39" s="1366" t="s">
        <v>59</v>
      </c>
      <c r="B39" s="1367"/>
      <c r="C39" s="23" t="e">
        <f>ROUND(IF((C35*40%/C36)&lt;C38,(C35*40%/C36),C38),)</f>
        <v>#REF!</v>
      </c>
      <c r="D39" s="10"/>
      <c r="E39" s="10"/>
      <c r="F39" s="210"/>
    </row>
    <row r="40" spans="1:6" x14ac:dyDescent="0.25">
      <c r="A40" s="213" t="str">
        <f>+B18</f>
        <v>Salud</v>
      </c>
      <c r="B40" s="25">
        <v>0.125</v>
      </c>
      <c r="C40" s="23" t="e">
        <f>ROUND($C$39*B40,0)</f>
        <v>#REF!</v>
      </c>
      <c r="D40" s="10"/>
      <c r="E40" s="10"/>
      <c r="F40" s="210"/>
    </row>
    <row r="41" spans="1:6" x14ac:dyDescent="0.25">
      <c r="A41" s="213" t="str">
        <f>+B19</f>
        <v>Pensión</v>
      </c>
      <c r="B41" s="26">
        <v>0.16</v>
      </c>
      <c r="C41" s="23" t="e">
        <f>ROUND($C$39*B41,0)</f>
        <v>#REF!</v>
      </c>
      <c r="D41" s="10"/>
      <c r="E41" s="10"/>
      <c r="F41" s="210"/>
    </row>
    <row r="42" spans="1:6" x14ac:dyDescent="0.25">
      <c r="A42" s="213" t="str">
        <f>+B20</f>
        <v>ARL</v>
      </c>
      <c r="B42" s="25">
        <v>6.9599999999999995E-2</v>
      </c>
      <c r="C42" s="23" t="e">
        <f>ROUND($C$39*B42,0)</f>
        <v>#REF!</v>
      </c>
      <c r="D42" s="10"/>
      <c r="E42" s="10"/>
      <c r="F42" s="210"/>
    </row>
    <row r="43" spans="1:6" x14ac:dyDescent="0.25">
      <c r="A43" s="1366" t="s">
        <v>60</v>
      </c>
      <c r="B43" s="1367"/>
      <c r="C43" s="23" t="e">
        <f>C40+C41+C42</f>
        <v>#REF!</v>
      </c>
      <c r="D43" s="10"/>
      <c r="E43" s="10"/>
      <c r="F43" s="210"/>
    </row>
    <row r="44" spans="1:6" x14ac:dyDescent="0.25">
      <c r="A44" s="1366" t="s">
        <v>61</v>
      </c>
      <c r="B44" s="1367"/>
      <c r="C44" s="23" t="e">
        <f>C43*C36</f>
        <v>#REF!</v>
      </c>
      <c r="D44" s="10"/>
      <c r="E44" s="10"/>
      <c r="F44" s="210"/>
    </row>
    <row r="45" spans="1:6" x14ac:dyDescent="0.25">
      <c r="A45" s="202"/>
      <c r="B45" s="10"/>
      <c r="C45" s="10"/>
      <c r="D45" s="10"/>
      <c r="E45" s="10"/>
      <c r="F45" s="210"/>
    </row>
    <row r="46" spans="1:6" ht="24" customHeight="1" x14ac:dyDescent="0.25">
      <c r="A46" s="1368" t="s">
        <v>62</v>
      </c>
      <c r="B46" s="1369"/>
      <c r="C46" s="1369"/>
      <c r="D46" s="1369"/>
      <c r="E46" s="1369"/>
      <c r="F46" s="1370"/>
    </row>
    <row r="47" spans="1:6" ht="15.75" thickBot="1" x14ac:dyDescent="0.3">
      <c r="A47" s="214"/>
      <c r="B47" s="215"/>
      <c r="C47" s="215"/>
      <c r="D47" s="215"/>
      <c r="E47" s="215"/>
      <c r="F47" s="216"/>
    </row>
    <row r="60" spans="2:4" x14ac:dyDescent="0.25">
      <c r="B60" s="283"/>
      <c r="C60" s="283"/>
      <c r="D60" s="283"/>
    </row>
  </sheetData>
  <mergeCells count="21">
    <mergeCell ref="A9:A15"/>
    <mergeCell ref="A18:A20"/>
    <mergeCell ref="A23:A24"/>
    <mergeCell ref="A29:E29"/>
    <mergeCell ref="A31:B31"/>
    <mergeCell ref="A1:F1"/>
    <mergeCell ref="A43:B43"/>
    <mergeCell ref="A44:B44"/>
    <mergeCell ref="A46:F46"/>
    <mergeCell ref="A34:B34"/>
    <mergeCell ref="A35:B35"/>
    <mergeCell ref="A36:B36"/>
    <mergeCell ref="A37:B37"/>
    <mergeCell ref="A38:B38"/>
    <mergeCell ref="A39:B39"/>
    <mergeCell ref="A33:B33"/>
    <mergeCell ref="A3:A5"/>
    <mergeCell ref="C6:D6"/>
    <mergeCell ref="E6:F6"/>
    <mergeCell ref="A7:A8"/>
    <mergeCell ref="A32:B3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topLeftCell="A7" workbookViewId="0">
      <selection activeCell="I25" sqref="I25"/>
    </sheetView>
  </sheetViews>
  <sheetFormatPr baseColWidth="10" defaultColWidth="10.7109375" defaultRowHeight="15" x14ac:dyDescent="0.25"/>
  <cols>
    <col min="3" max="3" width="20.140625" bestFit="1" customWidth="1"/>
    <col min="4" max="4" width="11.85546875" customWidth="1"/>
    <col min="5" max="5" width="17" customWidth="1"/>
    <col min="8" max="8" width="14.7109375" bestFit="1" customWidth="1"/>
    <col min="9" max="9" width="16.7109375" customWidth="1"/>
  </cols>
  <sheetData>
    <row r="1" spans="1:9" x14ac:dyDescent="0.25">
      <c r="B1" s="1317" t="s">
        <v>4699</v>
      </c>
      <c r="C1" s="1383"/>
      <c r="D1" s="1383"/>
      <c r="E1" s="1383"/>
      <c r="F1" s="1383"/>
      <c r="G1" s="1383"/>
      <c r="H1" s="1383"/>
      <c r="I1" s="1384"/>
    </row>
    <row r="2" spans="1:9" x14ac:dyDescent="0.25">
      <c r="B2" s="1385"/>
      <c r="C2" s="1386"/>
      <c r="D2" s="1386"/>
      <c r="E2" s="1386"/>
      <c r="F2" s="1386"/>
      <c r="G2" s="1386"/>
      <c r="H2" s="1386"/>
      <c r="I2" s="1387"/>
    </row>
    <row r="3" spans="1:9" x14ac:dyDescent="0.25">
      <c r="B3" s="1385"/>
      <c r="C3" s="1386"/>
      <c r="D3" s="1386"/>
      <c r="E3" s="1386"/>
      <c r="F3" s="1386"/>
      <c r="G3" s="1386"/>
      <c r="H3" s="1386"/>
      <c r="I3" s="1387"/>
    </row>
    <row r="4" spans="1:9" ht="9.75" customHeight="1" x14ac:dyDescent="0.25">
      <c r="B4" s="1385"/>
      <c r="C4" s="1386"/>
      <c r="D4" s="1386"/>
      <c r="E4" s="1386"/>
      <c r="F4" s="1386"/>
      <c r="G4" s="1386"/>
      <c r="H4" s="1386"/>
      <c r="I4" s="1387"/>
    </row>
    <row r="5" spans="1:9" ht="10.5" customHeight="1" x14ac:dyDescent="0.25">
      <c r="B5" s="1385"/>
      <c r="C5" s="1386"/>
      <c r="D5" s="1386"/>
      <c r="E5" s="1386"/>
      <c r="F5" s="1386"/>
      <c r="G5" s="1386"/>
      <c r="H5" s="1386"/>
      <c r="I5" s="1387"/>
    </row>
    <row r="6" spans="1:9" ht="10.5" customHeight="1" x14ac:dyDescent="0.25">
      <c r="B6" s="1385"/>
      <c r="C6" s="1386"/>
      <c r="D6" s="1386"/>
      <c r="E6" s="1386"/>
      <c r="F6" s="1386"/>
      <c r="G6" s="1386"/>
      <c r="H6" s="1386"/>
      <c r="I6" s="1387"/>
    </row>
    <row r="7" spans="1:9" ht="9" customHeight="1" thickBot="1" x14ac:dyDescent="0.3">
      <c r="B7" s="1385"/>
      <c r="C7" s="1388"/>
      <c r="D7" s="1388"/>
      <c r="E7" s="1388"/>
      <c r="F7" s="1388"/>
      <c r="G7" s="1388"/>
      <c r="H7" s="1388"/>
      <c r="I7" s="1387"/>
    </row>
    <row r="8" spans="1:9" ht="15.75" thickBot="1" x14ac:dyDescent="0.3">
      <c r="B8" s="231"/>
      <c r="C8" s="232"/>
      <c r="D8" s="232"/>
      <c r="E8" s="232"/>
      <c r="F8" s="232"/>
      <c r="G8" s="232"/>
      <c r="H8" s="232"/>
      <c r="I8" s="233"/>
    </row>
    <row r="9" spans="1:9" ht="15.75" thickBot="1" x14ac:dyDescent="0.3">
      <c r="B9" s="254"/>
      <c r="C9" s="256" t="s">
        <v>3980</v>
      </c>
      <c r="D9" s="235"/>
      <c r="E9" s="1389" t="s">
        <v>4081</v>
      </c>
      <c r="F9" s="1390"/>
      <c r="G9" s="1390"/>
      <c r="H9" s="1390"/>
      <c r="I9" s="1391"/>
    </row>
    <row r="10" spans="1:9" x14ac:dyDescent="0.25">
      <c r="B10" s="234"/>
      <c r="C10" s="255"/>
      <c r="D10" s="235"/>
      <c r="E10" s="252" t="s">
        <v>3994</v>
      </c>
      <c r="F10" s="253" t="s">
        <v>3995</v>
      </c>
      <c r="G10" s="253"/>
      <c r="H10" s="253" t="s">
        <v>3997</v>
      </c>
      <c r="I10" s="236"/>
    </row>
    <row r="11" spans="1:9" x14ac:dyDescent="0.25">
      <c r="A11">
        <v>77</v>
      </c>
      <c r="B11" s="234" t="s">
        <v>3998</v>
      </c>
      <c r="C11" s="371">
        <f>+VLOOKUP(A11,INSUMOS!$A$2:$H$1117,5,0)</f>
        <v>64344</v>
      </c>
      <c r="D11" s="235"/>
      <c r="E11" s="251">
        <v>350</v>
      </c>
      <c r="F11" s="251">
        <v>0.56000000000000005</v>
      </c>
      <c r="G11" s="251"/>
      <c r="H11" s="251">
        <v>180</v>
      </c>
      <c r="I11" s="236"/>
    </row>
    <row r="12" spans="1:9" x14ac:dyDescent="0.25">
      <c r="A12">
        <v>75</v>
      </c>
      <c r="B12" s="234" t="s">
        <v>3999</v>
      </c>
      <c r="C12" s="371">
        <f>+VLOOKUP(A12,INSUMOS!$A$2:$H$1117,5,0)</f>
        <v>636</v>
      </c>
      <c r="D12" s="235"/>
      <c r="E12" s="237"/>
      <c r="F12" s="235"/>
      <c r="G12" s="235"/>
      <c r="H12" s="235"/>
      <c r="I12" s="236"/>
    </row>
    <row r="13" spans="1:9" x14ac:dyDescent="0.25">
      <c r="A13">
        <v>78</v>
      </c>
      <c r="B13" s="234" t="s">
        <v>4000</v>
      </c>
      <c r="C13" s="371">
        <f>+VLOOKUP(A13,INSUMOS!$A$2:$H$1117,5,0)</f>
        <v>40</v>
      </c>
      <c r="D13" s="235"/>
      <c r="E13" s="237"/>
      <c r="F13" s="235"/>
      <c r="G13" s="235"/>
      <c r="H13" s="235"/>
      <c r="I13" s="236"/>
    </row>
    <row r="14" spans="1:9" x14ac:dyDescent="0.25">
      <c r="B14" s="238"/>
      <c r="C14" s="235"/>
      <c r="D14" s="237"/>
      <c r="E14" s="164"/>
      <c r="F14" s="167" t="s">
        <v>4001</v>
      </c>
      <c r="G14" s="167" t="s">
        <v>4002</v>
      </c>
      <c r="H14" s="167" t="s">
        <v>4003</v>
      </c>
      <c r="I14" s="239" t="s">
        <v>4004</v>
      </c>
    </row>
    <row r="15" spans="1:9" x14ac:dyDescent="0.25">
      <c r="B15" s="238"/>
      <c r="C15" s="235"/>
      <c r="D15" s="237"/>
      <c r="E15" s="167" t="s">
        <v>4005</v>
      </c>
      <c r="F15" s="167"/>
      <c r="G15" s="167"/>
      <c r="H15" s="167"/>
      <c r="I15" s="239"/>
    </row>
    <row r="16" spans="1:9" x14ac:dyDescent="0.25">
      <c r="B16" s="240"/>
      <c r="D16">
        <v>75</v>
      </c>
      <c r="E16" s="166" t="s">
        <v>4006</v>
      </c>
      <c r="F16" s="164" t="s">
        <v>227</v>
      </c>
      <c r="G16" s="164">
        <v>350</v>
      </c>
      <c r="H16" s="371">
        <f>+VLOOKUP(D16,INSUMOS!$A$2:$H$1117,5,0)</f>
        <v>636</v>
      </c>
      <c r="I16" s="241">
        <f>+H16*G16</f>
        <v>222600</v>
      </c>
    </row>
    <row r="17" spans="2:9" x14ac:dyDescent="0.25">
      <c r="B17" s="240"/>
      <c r="D17">
        <v>77</v>
      </c>
      <c r="E17" s="166" t="s">
        <v>3998</v>
      </c>
      <c r="F17" s="164" t="s">
        <v>301</v>
      </c>
      <c r="G17" s="164">
        <v>0.56000000000000005</v>
      </c>
      <c r="H17" s="371">
        <f>+VLOOKUP(D17,INSUMOS!$A$2:$H$1117,5,0)</f>
        <v>64344</v>
      </c>
      <c r="I17" s="241">
        <f t="shared" ref="I17:I24" si="0">+H17*G17</f>
        <v>36032.640000000007</v>
      </c>
    </row>
    <row r="18" spans="2:9" x14ac:dyDescent="0.25">
      <c r="B18" s="240"/>
      <c r="D18">
        <v>78</v>
      </c>
      <c r="E18" s="166" t="s">
        <v>4008</v>
      </c>
      <c r="F18" s="164" t="s">
        <v>301</v>
      </c>
      <c r="G18" s="164">
        <v>180</v>
      </c>
      <c r="H18" s="371">
        <f>+VLOOKUP(D18,INSUMOS!$A$2:$H$1117,5,0)</f>
        <v>40</v>
      </c>
      <c r="I18" s="241">
        <f t="shared" si="0"/>
        <v>7200</v>
      </c>
    </row>
    <row r="19" spans="2:9" x14ac:dyDescent="0.25">
      <c r="B19" s="240"/>
      <c r="D19" s="237"/>
      <c r="E19" s="168" t="s">
        <v>4009</v>
      </c>
      <c r="F19" s="164"/>
      <c r="G19" s="164"/>
      <c r="H19" s="166"/>
      <c r="I19" s="241">
        <f t="shared" si="0"/>
        <v>0</v>
      </c>
    </row>
    <row r="20" spans="2:9" ht="28.5" x14ac:dyDescent="0.25">
      <c r="B20" s="240"/>
      <c r="D20" s="372">
        <v>150</v>
      </c>
      <c r="E20" s="170" t="s">
        <v>4011</v>
      </c>
      <c r="F20" s="169" t="s">
        <v>4012</v>
      </c>
      <c r="G20" s="169">
        <v>0.15</v>
      </c>
      <c r="H20" s="371">
        <f>+VLOOKUP(D20,INSUMOS!$A$2:$H$1117,5,0)</f>
        <v>4050</v>
      </c>
      <c r="I20" s="241">
        <f t="shared" si="0"/>
        <v>607.5</v>
      </c>
    </row>
    <row r="21" spans="2:9" x14ac:dyDescent="0.25">
      <c r="B21" s="240"/>
      <c r="D21" s="235"/>
      <c r="E21" s="168" t="s">
        <v>4013</v>
      </c>
      <c r="F21" s="164"/>
      <c r="G21" s="164"/>
      <c r="H21" s="166"/>
      <c r="I21" s="241">
        <f t="shared" si="0"/>
        <v>0</v>
      </c>
    </row>
    <row r="22" spans="2:9" x14ac:dyDescent="0.25">
      <c r="B22" s="240"/>
      <c r="D22" s="235"/>
      <c r="E22" s="166" t="s">
        <v>71</v>
      </c>
      <c r="F22" s="164" t="s">
        <v>89</v>
      </c>
      <c r="G22" s="164">
        <v>0.8</v>
      </c>
      <c r="H22" s="166">
        <f>+MO!E16</f>
        <v>10972.8125</v>
      </c>
      <c r="I22" s="241">
        <f t="shared" si="0"/>
        <v>8778.25</v>
      </c>
    </row>
    <row r="23" spans="2:9" x14ac:dyDescent="0.25">
      <c r="B23" s="240"/>
      <c r="D23" s="235"/>
      <c r="E23" s="166" t="s">
        <v>72</v>
      </c>
      <c r="F23" s="164" t="s">
        <v>89</v>
      </c>
      <c r="G23" s="164">
        <v>3.2</v>
      </c>
      <c r="H23" s="166">
        <f>+MO!E17</f>
        <v>6524.3750000000009</v>
      </c>
      <c r="I23" s="241">
        <f t="shared" si="0"/>
        <v>20878.000000000004</v>
      </c>
    </row>
    <row r="24" spans="2:9" ht="15.75" thickBot="1" x14ac:dyDescent="0.3">
      <c r="B24" s="240"/>
      <c r="D24" s="242"/>
      <c r="E24" s="166" t="s">
        <v>4014</v>
      </c>
      <c r="F24" s="164" t="s">
        <v>4001</v>
      </c>
      <c r="G24" s="164">
        <v>0.5</v>
      </c>
      <c r="H24" s="166">
        <v>200000</v>
      </c>
      <c r="I24" s="241">
        <f t="shared" si="0"/>
        <v>100000</v>
      </c>
    </row>
    <row r="25" spans="2:9" ht="15.75" thickBot="1" x14ac:dyDescent="0.3">
      <c r="B25" s="214"/>
      <c r="C25" s="215"/>
      <c r="D25" s="243"/>
      <c r="E25" s="244"/>
      <c r="F25" s="244"/>
      <c r="G25" s="244"/>
      <c r="H25" s="245"/>
      <c r="I25" s="247">
        <f>SUM(I16:I24)</f>
        <v>396096.39</v>
      </c>
    </row>
    <row r="39" spans="3:5" x14ac:dyDescent="0.25">
      <c r="C39" s="283"/>
      <c r="D39" s="283"/>
      <c r="E39" s="283"/>
    </row>
  </sheetData>
  <mergeCells count="2">
    <mergeCell ref="B1:I7"/>
    <mergeCell ref="E9:I9"/>
  </mergeCell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249977111117893"/>
  </sheetPr>
  <dimension ref="B1:M51"/>
  <sheetViews>
    <sheetView topLeftCell="B25" zoomScale="107" zoomScaleNormal="100" workbookViewId="0">
      <selection activeCell="E36" sqref="E36:F36"/>
    </sheetView>
  </sheetViews>
  <sheetFormatPr baseColWidth="10" defaultColWidth="9.140625" defaultRowHeight="12.75" x14ac:dyDescent="0.2"/>
  <cols>
    <col min="1" max="1" width="4.28515625" style="771" customWidth="1"/>
    <col min="2" max="2" width="37.85546875" style="770" customWidth="1"/>
    <col min="3" max="3" width="19.5703125" style="771" customWidth="1"/>
    <col min="4" max="5" width="10.5703125" style="771" customWidth="1"/>
    <col min="6" max="6" width="17.85546875" style="771" customWidth="1"/>
    <col min="7" max="7" width="24.42578125" style="771" customWidth="1"/>
    <col min="8" max="8" width="8.42578125" style="771" customWidth="1"/>
    <col min="9" max="9" width="8" style="771" customWidth="1"/>
    <col min="10" max="10" width="16.28515625" style="772" bestFit="1" customWidth="1"/>
    <col min="11" max="11" width="17.85546875" style="772" customWidth="1"/>
    <col min="12" max="12" width="17" style="771" bestFit="1" customWidth="1"/>
    <col min="13" max="13" width="18.28515625" style="771" customWidth="1"/>
    <col min="14" max="14" width="9.140625" style="771"/>
    <col min="15" max="15" width="19.5703125" style="771" customWidth="1"/>
    <col min="16" max="16384" width="9.140625" style="771"/>
  </cols>
  <sheetData>
    <row r="1" spans="2:12" ht="16.5" customHeight="1" x14ac:dyDescent="0.2"/>
    <row r="2" spans="2:12" ht="54" customHeight="1" x14ac:dyDescent="0.2">
      <c r="B2" s="1401" t="s">
        <v>4876</v>
      </c>
      <c r="C2" s="1401"/>
      <c r="D2" s="1401"/>
      <c r="E2" s="1401"/>
      <c r="F2" s="1401"/>
      <c r="G2" s="1401"/>
      <c r="H2" s="1401"/>
      <c r="I2" s="1401"/>
      <c r="J2" s="1401"/>
      <c r="K2" s="1401"/>
    </row>
    <row r="4" spans="2:12" x14ac:dyDescent="0.2">
      <c r="B4" s="773"/>
      <c r="C4" s="1402">
        <v>1300000</v>
      </c>
      <c r="D4" s="1402"/>
      <c r="E4" s="773"/>
      <c r="F4" s="773"/>
      <c r="G4" s="1403"/>
      <c r="H4" s="1403"/>
      <c r="I4" s="1403"/>
      <c r="J4" s="1403"/>
      <c r="K4" s="774"/>
    </row>
    <row r="5" spans="2:12" x14ac:dyDescent="0.2">
      <c r="B5" s="1404" t="s">
        <v>4798</v>
      </c>
      <c r="C5" s="1404"/>
      <c r="D5" s="1404"/>
      <c r="E5" s="1404"/>
      <c r="F5" s="1404"/>
      <c r="G5" s="1404"/>
      <c r="H5" s="1404"/>
      <c r="I5" s="1404"/>
      <c r="J5" s="1404"/>
      <c r="K5" s="1404"/>
    </row>
    <row r="6" spans="2:12" x14ac:dyDescent="0.2">
      <c r="B6" s="775" t="s">
        <v>4799</v>
      </c>
      <c r="C6" s="775" t="s">
        <v>221</v>
      </c>
      <c r="D6" s="1392" t="s">
        <v>297</v>
      </c>
      <c r="E6" s="1392"/>
      <c r="F6" s="775" t="s">
        <v>346</v>
      </c>
      <c r="G6" s="775" t="s">
        <v>493</v>
      </c>
      <c r="H6" s="1392" t="s">
        <v>577</v>
      </c>
      <c r="I6" s="1392"/>
      <c r="J6" s="1405" t="s">
        <v>781</v>
      </c>
      <c r="K6" s="1406"/>
    </row>
    <row r="7" spans="2:12" x14ac:dyDescent="0.2">
      <c r="B7" s="775" t="s">
        <v>4800</v>
      </c>
      <c r="C7" s="775" t="s">
        <v>4801</v>
      </c>
      <c r="D7" s="1392" t="s">
        <v>4802</v>
      </c>
      <c r="E7" s="1392"/>
      <c r="F7" s="775" t="s">
        <v>4803</v>
      </c>
      <c r="G7" s="775" t="s">
        <v>4804</v>
      </c>
      <c r="H7" s="1393" t="s">
        <v>4805</v>
      </c>
      <c r="I7" s="1393"/>
      <c r="J7" s="1394" t="s">
        <v>4806</v>
      </c>
      <c r="K7" s="1394"/>
    </row>
    <row r="8" spans="2:12" x14ac:dyDescent="0.2">
      <c r="B8" s="776" t="s">
        <v>4807</v>
      </c>
      <c r="C8" s="777">
        <v>7420131</v>
      </c>
      <c r="D8" s="1395">
        <v>0.1</v>
      </c>
      <c r="E8" s="1396"/>
      <c r="F8" s="778">
        <f>+IF(C8&gt;2*C$4,'[108]Factor multiplicador'!$E$35,'[108]Factor multiplicador'!$D$35)</f>
        <v>1.9</v>
      </c>
      <c r="G8" s="779">
        <f>ROUND(C8*D8*F8,0)</f>
        <v>1409825</v>
      </c>
      <c r="H8" s="1397">
        <v>4</v>
      </c>
      <c r="I8" s="1398"/>
      <c r="J8" s="1399">
        <f>ROUND(+G8*H8,0)</f>
        <v>5639300</v>
      </c>
      <c r="K8" s="1400"/>
    </row>
    <row r="9" spans="2:12" x14ac:dyDescent="0.2">
      <c r="B9" s="776" t="s">
        <v>4808</v>
      </c>
      <c r="C9" s="777">
        <v>4446382</v>
      </c>
      <c r="D9" s="1395">
        <v>1</v>
      </c>
      <c r="E9" s="1396"/>
      <c r="F9" s="778">
        <f>+IF(C9&gt;2*C$4,'[108]Factor multiplicador'!$E$35,'[108]Factor multiplicador'!$D$35)</f>
        <v>1.9</v>
      </c>
      <c r="G9" s="779">
        <f>ROUND(C9*D9*F9,0)</f>
        <v>8448126</v>
      </c>
      <c r="H9" s="1397">
        <v>3</v>
      </c>
      <c r="I9" s="1398"/>
      <c r="J9" s="1399">
        <f>ROUND(+G9*H9,0)</f>
        <v>25344378</v>
      </c>
      <c r="K9" s="1400"/>
    </row>
    <row r="10" spans="2:12" x14ac:dyDescent="0.2">
      <c r="B10" s="776" t="s">
        <v>4556</v>
      </c>
      <c r="C10" s="777">
        <v>3536050</v>
      </c>
      <c r="D10" s="1395">
        <v>0.5</v>
      </c>
      <c r="E10" s="1396"/>
      <c r="F10" s="778">
        <f>+IF(C10&gt;2*C$4,'[108]Factor multiplicador'!$E$35,'[108]Factor multiplicador'!$D$35)</f>
        <v>1.9</v>
      </c>
      <c r="G10" s="779">
        <f>ROUND(C10*D10*F10,0)</f>
        <v>3359248</v>
      </c>
      <c r="H10" s="1397">
        <v>3</v>
      </c>
      <c r="I10" s="1398"/>
      <c r="J10" s="1407">
        <f>ROUND(+G10*H10,0)</f>
        <v>10077744</v>
      </c>
      <c r="K10" s="1400"/>
    </row>
    <row r="11" spans="2:12" x14ac:dyDescent="0.2">
      <c r="B11" s="776" t="s">
        <v>4809</v>
      </c>
      <c r="C11" s="777">
        <v>2960126</v>
      </c>
      <c r="D11" s="1395">
        <v>1</v>
      </c>
      <c r="E11" s="1396"/>
      <c r="F11" s="778">
        <f>+IF(C11&gt;2*C$4,'[108]Factor multiplicador'!$E$35,'[108]Factor multiplicador'!$D$35)</f>
        <v>1.9</v>
      </c>
      <c r="G11" s="779">
        <f>ROUND(C11*D11*F11,0)</f>
        <v>5624239</v>
      </c>
      <c r="H11" s="1397">
        <v>3</v>
      </c>
      <c r="I11" s="1398"/>
      <c r="J11" s="1407">
        <f>ROUND(+G11*H11,0)</f>
        <v>16872717</v>
      </c>
      <c r="K11" s="1400"/>
    </row>
    <row r="12" spans="2:12" x14ac:dyDescent="0.2">
      <c r="B12" s="780"/>
      <c r="C12" s="777"/>
      <c r="D12" s="1395"/>
      <c r="E12" s="1396"/>
      <c r="F12" s="778"/>
      <c r="G12" s="779"/>
      <c r="H12" s="1397"/>
      <c r="I12" s="1398"/>
      <c r="J12" s="1408"/>
      <c r="K12" s="1409"/>
    </row>
    <row r="13" spans="2:12" x14ac:dyDescent="0.2">
      <c r="B13" s="1413" t="s">
        <v>4810</v>
      </c>
      <c r="C13" s="1413"/>
      <c r="D13" s="1413"/>
      <c r="E13" s="1413"/>
      <c r="F13" s="1413"/>
      <c r="G13" s="1413"/>
      <c r="H13" s="1413"/>
      <c r="I13" s="1413"/>
      <c r="J13" s="1394">
        <f>ROUND(SUM(J8:K11),0)</f>
        <v>57934139</v>
      </c>
      <c r="K13" s="1394"/>
      <c r="L13" s="781"/>
    </row>
    <row r="14" spans="2:12" x14ac:dyDescent="0.2">
      <c r="B14" s="782"/>
      <c r="C14" s="782"/>
      <c r="D14" s="782"/>
      <c r="E14" s="782"/>
      <c r="F14" s="782"/>
      <c r="G14" s="782"/>
      <c r="H14" s="782"/>
      <c r="I14" s="782"/>
      <c r="J14" s="783"/>
      <c r="K14" s="783"/>
    </row>
    <row r="15" spans="2:12" x14ac:dyDescent="0.2">
      <c r="B15" s="1404" t="s">
        <v>4811</v>
      </c>
      <c r="C15" s="1404"/>
      <c r="D15" s="1404"/>
      <c r="E15" s="1404"/>
      <c r="F15" s="1404"/>
      <c r="G15" s="1404"/>
      <c r="H15" s="1404"/>
      <c r="I15" s="1404"/>
      <c r="J15" s="1404"/>
      <c r="K15" s="1404"/>
    </row>
    <row r="16" spans="2:12" x14ac:dyDescent="0.2">
      <c r="B16" s="775" t="s">
        <v>4812</v>
      </c>
      <c r="C16" s="1414" t="s">
        <v>11</v>
      </c>
      <c r="D16" s="1414"/>
      <c r="E16" s="1414" t="s">
        <v>4813</v>
      </c>
      <c r="F16" s="1414"/>
      <c r="G16" s="785" t="s">
        <v>2</v>
      </c>
      <c r="H16" s="1414" t="s">
        <v>4814</v>
      </c>
      <c r="I16" s="1414"/>
      <c r="J16" s="1415" t="s">
        <v>82</v>
      </c>
      <c r="K16" s="1415"/>
    </row>
    <row r="17" spans="2:11" ht="25.5" x14ac:dyDescent="0.2">
      <c r="B17" s="780" t="s">
        <v>4815</v>
      </c>
      <c r="C17" s="1410" t="s">
        <v>4816</v>
      </c>
      <c r="D17" s="1410"/>
      <c r="E17" s="1411">
        <v>1</v>
      </c>
      <c r="F17" s="1411"/>
      <c r="G17" s="787">
        <v>3</v>
      </c>
      <c r="H17" s="1412">
        <v>100000</v>
      </c>
      <c r="I17" s="1412"/>
      <c r="J17" s="1407">
        <f>ROUND(H17*E17*G17,0)</f>
        <v>300000</v>
      </c>
      <c r="K17" s="1407"/>
    </row>
    <row r="18" spans="2:11" x14ac:dyDescent="0.2">
      <c r="B18" s="780" t="s">
        <v>4817</v>
      </c>
      <c r="C18" s="1410" t="s">
        <v>4816</v>
      </c>
      <c r="D18" s="1410"/>
      <c r="E18" s="1411">
        <v>1</v>
      </c>
      <c r="F18" s="1411"/>
      <c r="G18" s="787">
        <v>3</v>
      </c>
      <c r="H18" s="1412">
        <v>150000</v>
      </c>
      <c r="I18" s="1412"/>
      <c r="J18" s="1407">
        <f>ROUND(H18*E18*G18,0)</f>
        <v>450000</v>
      </c>
      <c r="K18" s="1407"/>
    </row>
    <row r="19" spans="2:11" ht="25.5" x14ac:dyDescent="0.2">
      <c r="B19" s="780" t="s">
        <v>4818</v>
      </c>
      <c r="C19" s="1410" t="s">
        <v>4816</v>
      </c>
      <c r="D19" s="1410"/>
      <c r="E19" s="1411">
        <v>1</v>
      </c>
      <c r="F19" s="1411"/>
      <c r="G19" s="787">
        <v>3</v>
      </c>
      <c r="H19" s="1407">
        <v>100000</v>
      </c>
      <c r="I19" s="1407"/>
      <c r="J19" s="1407">
        <f>ROUND(H19*E19*G19,0)</f>
        <v>300000</v>
      </c>
      <c r="K19" s="1407"/>
    </row>
    <row r="20" spans="2:11" x14ac:dyDescent="0.2">
      <c r="B20" s="780" t="s">
        <v>4819</v>
      </c>
      <c r="C20" s="1410" t="s">
        <v>4816</v>
      </c>
      <c r="D20" s="1410"/>
      <c r="E20" s="1411">
        <v>1</v>
      </c>
      <c r="F20" s="1411"/>
      <c r="G20" s="787">
        <v>3</v>
      </c>
      <c r="H20" s="1412">
        <v>500000</v>
      </c>
      <c r="I20" s="1412"/>
      <c r="J20" s="1407">
        <f t="shared" ref="J20" si="0">ROUND(H20*E20*G20,0)</f>
        <v>1500000</v>
      </c>
      <c r="K20" s="1407"/>
    </row>
    <row r="21" spans="2:11" x14ac:dyDescent="0.2">
      <c r="B21" s="780"/>
      <c r="C21" s="1410"/>
      <c r="D21" s="1410"/>
      <c r="E21" s="1410"/>
      <c r="F21" s="1410"/>
      <c r="G21" s="1410"/>
      <c r="H21" s="1416"/>
      <c r="I21" s="1416"/>
      <c r="J21" s="1417"/>
      <c r="K21" s="1417"/>
    </row>
    <row r="22" spans="2:11" x14ac:dyDescent="0.2">
      <c r="B22" s="1413" t="s">
        <v>4820</v>
      </c>
      <c r="C22" s="1413"/>
      <c r="D22" s="1413"/>
      <c r="E22" s="1413"/>
      <c r="F22" s="1413"/>
      <c r="G22" s="1413"/>
      <c r="H22" s="1413"/>
      <c r="I22" s="1413"/>
      <c r="J22" s="1394">
        <f>ROUND(SUM(J17:K20),0)</f>
        <v>2550000</v>
      </c>
      <c r="K22" s="1394"/>
    </row>
    <row r="23" spans="2:11" x14ac:dyDescent="0.2">
      <c r="B23" s="782"/>
      <c r="C23" s="782"/>
      <c r="D23" s="782"/>
      <c r="E23" s="782"/>
      <c r="F23" s="782"/>
      <c r="G23" s="782"/>
      <c r="H23" s="782"/>
      <c r="I23" s="782"/>
      <c r="J23" s="783"/>
      <c r="K23" s="783"/>
    </row>
    <row r="24" spans="2:11" x14ac:dyDescent="0.2">
      <c r="B24" s="1404" t="s">
        <v>4821</v>
      </c>
      <c r="C24" s="1404"/>
      <c r="D24" s="1404"/>
      <c r="E24" s="1404"/>
      <c r="F24" s="1404"/>
      <c r="G24" s="1404"/>
      <c r="H24" s="1404"/>
      <c r="I24" s="1404"/>
      <c r="J24" s="1404"/>
      <c r="K24" s="1404"/>
    </row>
    <row r="25" spans="2:11" x14ac:dyDescent="0.2">
      <c r="B25" s="775" t="s">
        <v>4812</v>
      </c>
      <c r="C25" s="1418" t="s">
        <v>4822</v>
      </c>
      <c r="D25" s="1418"/>
      <c r="E25" s="1414" t="s">
        <v>4823</v>
      </c>
      <c r="F25" s="1414"/>
      <c r="G25" s="784" t="s">
        <v>4824</v>
      </c>
      <c r="H25" s="1414"/>
      <c r="I25" s="1414"/>
      <c r="J25" s="1415" t="s">
        <v>82</v>
      </c>
      <c r="K25" s="1415"/>
    </row>
    <row r="26" spans="2:11" x14ac:dyDescent="0.2">
      <c r="B26" s="780" t="s">
        <v>4825</v>
      </c>
      <c r="C26" s="1410"/>
      <c r="D26" s="1410"/>
      <c r="E26" s="1419"/>
      <c r="F26" s="1419"/>
      <c r="G26" s="788"/>
      <c r="H26" s="1412"/>
      <c r="I26" s="1412"/>
      <c r="J26" s="1420"/>
      <c r="K26" s="1420"/>
    </row>
    <row r="27" spans="2:11" x14ac:dyDescent="0.2">
      <c r="B27" s="780"/>
      <c r="C27" s="1421"/>
      <c r="D27" s="1422"/>
      <c r="E27" s="1423"/>
      <c r="F27" s="1424"/>
      <c r="G27" s="788"/>
      <c r="H27" s="1425"/>
      <c r="I27" s="1426"/>
      <c r="J27" s="1407"/>
      <c r="K27" s="1407"/>
    </row>
    <row r="28" spans="2:11" x14ac:dyDescent="0.2">
      <c r="B28" s="780" t="s">
        <v>4825</v>
      </c>
      <c r="C28" s="1410"/>
      <c r="D28" s="1410"/>
      <c r="E28" s="1419">
        <v>0.01</v>
      </c>
      <c r="F28" s="1419"/>
      <c r="G28" s="788"/>
      <c r="H28" s="1412"/>
      <c r="I28" s="1412"/>
      <c r="J28" s="1407">
        <f>ROUND(E28*$K$41,0)</f>
        <v>604841</v>
      </c>
      <c r="K28" s="1407"/>
    </row>
    <row r="29" spans="2:11" x14ac:dyDescent="0.2">
      <c r="B29" s="780"/>
      <c r="C29" s="1410"/>
      <c r="D29" s="1410"/>
      <c r="E29" s="1419"/>
      <c r="F29" s="1419"/>
      <c r="G29" s="788"/>
      <c r="H29" s="1412"/>
      <c r="I29" s="1412"/>
      <c r="J29" s="1407">
        <f t="shared" ref="J29" si="1">G29*$K$41*E29</f>
        <v>0</v>
      </c>
      <c r="K29" s="1407"/>
    </row>
    <row r="30" spans="2:11" x14ac:dyDescent="0.2">
      <c r="B30" s="780"/>
      <c r="C30" s="1410"/>
      <c r="D30" s="1410"/>
      <c r="E30" s="1410"/>
      <c r="F30" s="1410"/>
      <c r="G30" s="786"/>
      <c r="H30" s="1412"/>
      <c r="I30" s="1412"/>
      <c r="J30" s="1417"/>
      <c r="K30" s="1417"/>
    </row>
    <row r="31" spans="2:11" x14ac:dyDescent="0.2">
      <c r="B31" s="1413" t="s">
        <v>4826</v>
      </c>
      <c r="C31" s="1413"/>
      <c r="D31" s="1413"/>
      <c r="E31" s="1413"/>
      <c r="F31" s="1413"/>
      <c r="G31" s="1413"/>
      <c r="H31" s="1413"/>
      <c r="I31" s="1413"/>
      <c r="J31" s="1394">
        <f>ROUND(SUM(J26:K29),0)</f>
        <v>604841</v>
      </c>
      <c r="K31" s="1394"/>
    </row>
    <row r="32" spans="2:11" x14ac:dyDescent="0.2">
      <c r="B32" s="782"/>
      <c r="C32" s="782"/>
      <c r="D32" s="782"/>
      <c r="E32" s="782"/>
      <c r="F32" s="782"/>
      <c r="G32" s="782"/>
      <c r="H32" s="782"/>
      <c r="I32" s="782"/>
      <c r="J32" s="783"/>
      <c r="K32" s="783"/>
    </row>
    <row r="33" spans="2:13" x14ac:dyDescent="0.2">
      <c r="B33" s="1404" t="s">
        <v>4827</v>
      </c>
      <c r="C33" s="1404"/>
      <c r="D33" s="1404"/>
      <c r="E33" s="1404"/>
      <c r="F33" s="1404"/>
      <c r="G33" s="1404"/>
      <c r="H33" s="1404"/>
      <c r="I33" s="1404"/>
      <c r="J33" s="1404"/>
      <c r="K33" s="1404"/>
    </row>
    <row r="34" spans="2:13" x14ac:dyDescent="0.2">
      <c r="B34" s="775" t="s">
        <v>4812</v>
      </c>
      <c r="C34" s="1414"/>
      <c r="D34" s="1414"/>
      <c r="E34" s="1414" t="s">
        <v>4828</v>
      </c>
      <c r="F34" s="1414"/>
      <c r="G34" s="785"/>
      <c r="H34" s="1414"/>
      <c r="I34" s="1414"/>
      <c r="J34" s="1415" t="s">
        <v>82</v>
      </c>
      <c r="K34" s="1415"/>
    </row>
    <row r="35" spans="2:13" x14ac:dyDescent="0.2">
      <c r="B35" s="780" t="s">
        <v>4829</v>
      </c>
      <c r="C35" s="1410"/>
      <c r="D35" s="1410"/>
      <c r="E35" s="1395">
        <v>0.08</v>
      </c>
      <c r="F35" s="1396"/>
      <c r="G35" s="787"/>
      <c r="H35" s="1412"/>
      <c r="I35" s="1412"/>
      <c r="J35" s="1407">
        <f>ROUND(E35*$K$41,0)</f>
        <v>4838731</v>
      </c>
      <c r="K35" s="1407"/>
    </row>
    <row r="36" spans="2:13" x14ac:dyDescent="0.2">
      <c r="B36" s="780"/>
      <c r="C36" s="1410"/>
      <c r="D36" s="1410"/>
      <c r="E36" s="1395"/>
      <c r="F36" s="1396"/>
      <c r="G36" s="787"/>
      <c r="H36" s="1412"/>
      <c r="I36" s="1412"/>
      <c r="J36" s="1407"/>
      <c r="K36" s="1407"/>
    </row>
    <row r="37" spans="2:13" x14ac:dyDescent="0.2">
      <c r="B37" s="780"/>
      <c r="C37" s="1410"/>
      <c r="D37" s="1410"/>
      <c r="E37" s="1421"/>
      <c r="F37" s="1422"/>
      <c r="G37" s="789"/>
      <c r="H37" s="1416"/>
      <c r="I37" s="1416"/>
      <c r="J37" s="1417"/>
      <c r="K37" s="1417"/>
    </row>
    <row r="38" spans="2:13" x14ac:dyDescent="0.2">
      <c r="B38" s="1413" t="s">
        <v>4830</v>
      </c>
      <c r="C38" s="1413"/>
      <c r="D38" s="1413"/>
      <c r="E38" s="1413"/>
      <c r="F38" s="1413"/>
      <c r="G38" s="1413"/>
      <c r="H38" s="1413"/>
      <c r="I38" s="1413"/>
      <c r="J38" s="1394">
        <f>ROUND(SUM(J35:K36),0)</f>
        <v>4838731</v>
      </c>
      <c r="K38" s="1394"/>
    </row>
    <row r="39" spans="2:13" x14ac:dyDescent="0.2">
      <c r="B39" s="782"/>
      <c r="C39" s="782"/>
      <c r="D39" s="782"/>
      <c r="E39" s="782"/>
      <c r="F39" s="782"/>
      <c r="G39" s="782"/>
      <c r="H39" s="782"/>
      <c r="I39" s="782"/>
      <c r="J39" s="783"/>
      <c r="K39" s="783"/>
    </row>
    <row r="40" spans="2:13" x14ac:dyDescent="0.2">
      <c r="B40" s="1404" t="s">
        <v>4831</v>
      </c>
      <c r="C40" s="1404"/>
      <c r="D40" s="1404"/>
      <c r="E40" s="1404"/>
      <c r="F40" s="1404"/>
      <c r="G40" s="1404"/>
      <c r="H40" s="1404"/>
      <c r="I40" s="1404"/>
      <c r="J40" s="1404"/>
      <c r="K40" s="1404"/>
    </row>
    <row r="41" spans="2:13" x14ac:dyDescent="0.2">
      <c r="B41" s="1427" t="s">
        <v>4832</v>
      </c>
      <c r="C41" s="1427"/>
      <c r="D41" s="1427"/>
      <c r="E41" s="1410"/>
      <c r="F41" s="1410"/>
      <c r="G41" s="1410"/>
      <c r="H41" s="1410"/>
      <c r="I41" s="1410"/>
      <c r="J41" s="1410"/>
      <c r="K41" s="790">
        <f>J13+J22</f>
        <v>60484139</v>
      </c>
    </row>
    <row r="42" spans="2:13" x14ac:dyDescent="0.2">
      <c r="B42" s="1428"/>
      <c r="C42" s="1429"/>
      <c r="D42" s="1430"/>
      <c r="E42" s="1410"/>
      <c r="F42" s="1410"/>
      <c r="G42" s="1410"/>
      <c r="H42" s="1410"/>
      <c r="I42" s="1410"/>
      <c r="J42" s="1410"/>
      <c r="K42" s="791"/>
    </row>
    <row r="43" spans="2:13" ht="15" x14ac:dyDescent="0.25">
      <c r="B43" s="1428" t="s">
        <v>4833</v>
      </c>
      <c r="C43" s="1429"/>
      <c r="D43" s="1430"/>
      <c r="E43" s="1421"/>
      <c r="F43" s="1431"/>
      <c r="G43" s="1431"/>
      <c r="H43" s="1431"/>
      <c r="I43" s="1431"/>
      <c r="J43" s="1422"/>
      <c r="K43" s="792">
        <f>+K41+K42+J38+J31</f>
        <v>65927711</v>
      </c>
      <c r="M43" s="793"/>
    </row>
    <row r="47" spans="2:13" x14ac:dyDescent="0.2">
      <c r="B47" s="794"/>
      <c r="L47" s="795"/>
    </row>
    <row r="49" spans="2:12" ht="15.75" x14ac:dyDescent="0.2">
      <c r="B49" s="796" t="s">
        <v>4834</v>
      </c>
      <c r="L49" s="797"/>
    </row>
    <row r="50" spans="2:12" ht="15.75" x14ac:dyDescent="0.2">
      <c r="B50" s="798" t="s">
        <v>4835</v>
      </c>
    </row>
    <row r="51" spans="2:12" ht="15.75" x14ac:dyDescent="0.2">
      <c r="B51" s="798"/>
    </row>
  </sheetData>
  <mergeCells count="108">
    <mergeCell ref="B40:K40"/>
    <mergeCell ref="B41:D41"/>
    <mergeCell ref="E41:J41"/>
    <mergeCell ref="B42:D42"/>
    <mergeCell ref="E42:J42"/>
    <mergeCell ref="B43:D43"/>
    <mergeCell ref="E43:J43"/>
    <mergeCell ref="C37:D37"/>
    <mergeCell ref="E37:F37"/>
    <mergeCell ref="H37:I37"/>
    <mergeCell ref="J37:K37"/>
    <mergeCell ref="B38:I38"/>
    <mergeCell ref="J38:K38"/>
    <mergeCell ref="C35:D35"/>
    <mergeCell ref="E35:F35"/>
    <mergeCell ref="H35:I35"/>
    <mergeCell ref="J35:K35"/>
    <mergeCell ref="C36:D36"/>
    <mergeCell ref="E36:F36"/>
    <mergeCell ref="H36:I36"/>
    <mergeCell ref="J36:K36"/>
    <mergeCell ref="B31:I31"/>
    <mergeCell ref="J31:K31"/>
    <mergeCell ref="B33:K33"/>
    <mergeCell ref="C34:D34"/>
    <mergeCell ref="E34:F34"/>
    <mergeCell ref="H34:I34"/>
    <mergeCell ref="J34:K34"/>
    <mergeCell ref="C29:D29"/>
    <mergeCell ref="E29:F29"/>
    <mergeCell ref="H29:I29"/>
    <mergeCell ref="J29:K29"/>
    <mergeCell ref="C30:D30"/>
    <mergeCell ref="E30:F30"/>
    <mergeCell ref="H30:I30"/>
    <mergeCell ref="J30:K30"/>
    <mergeCell ref="C27:D27"/>
    <mergeCell ref="E27:F27"/>
    <mergeCell ref="H27:I27"/>
    <mergeCell ref="J27:K27"/>
    <mergeCell ref="C28:D28"/>
    <mergeCell ref="E28:F28"/>
    <mergeCell ref="H28:I28"/>
    <mergeCell ref="J28:K28"/>
    <mergeCell ref="B24:K24"/>
    <mergeCell ref="C25:D25"/>
    <mergeCell ref="E25:F25"/>
    <mergeCell ref="H25:I25"/>
    <mergeCell ref="J25:K25"/>
    <mergeCell ref="C26:D26"/>
    <mergeCell ref="E26:F26"/>
    <mergeCell ref="H26:I26"/>
    <mergeCell ref="J26:K26"/>
    <mergeCell ref="C21:D21"/>
    <mergeCell ref="E21:G21"/>
    <mergeCell ref="H21:I21"/>
    <mergeCell ref="J21:K21"/>
    <mergeCell ref="B22:I22"/>
    <mergeCell ref="J22:K22"/>
    <mergeCell ref="C19:D19"/>
    <mergeCell ref="E19:F19"/>
    <mergeCell ref="H19:I19"/>
    <mergeCell ref="J19:K19"/>
    <mergeCell ref="C20:D20"/>
    <mergeCell ref="E20:F20"/>
    <mergeCell ref="H20:I20"/>
    <mergeCell ref="J20:K20"/>
    <mergeCell ref="C17:D17"/>
    <mergeCell ref="E17:F17"/>
    <mergeCell ref="H17:I17"/>
    <mergeCell ref="J17:K17"/>
    <mergeCell ref="C18:D18"/>
    <mergeCell ref="E18:F18"/>
    <mergeCell ref="H18:I18"/>
    <mergeCell ref="J18:K18"/>
    <mergeCell ref="B13:I13"/>
    <mergeCell ref="J13:K13"/>
    <mergeCell ref="B15:K15"/>
    <mergeCell ref="C16:D16"/>
    <mergeCell ref="E16:F16"/>
    <mergeCell ref="H16:I16"/>
    <mergeCell ref="J16:K16"/>
    <mergeCell ref="D11:E11"/>
    <mergeCell ref="H11:I11"/>
    <mergeCell ref="J11:K11"/>
    <mergeCell ref="D12:E12"/>
    <mergeCell ref="H12:I12"/>
    <mergeCell ref="J12:K12"/>
    <mergeCell ref="D9:E9"/>
    <mergeCell ref="H9:I9"/>
    <mergeCell ref="J9:K9"/>
    <mergeCell ref="D10:E10"/>
    <mergeCell ref="H10:I10"/>
    <mergeCell ref="J10:K10"/>
    <mergeCell ref="D7:E7"/>
    <mergeCell ref="H7:I7"/>
    <mergeCell ref="J7:K7"/>
    <mergeCell ref="D8:E8"/>
    <mergeCell ref="H8:I8"/>
    <mergeCell ref="J8:K8"/>
    <mergeCell ref="B2:K2"/>
    <mergeCell ref="C4:D4"/>
    <mergeCell ref="G4:H4"/>
    <mergeCell ref="I4:J4"/>
    <mergeCell ref="B5:K5"/>
    <mergeCell ref="D6:E6"/>
    <mergeCell ref="H6:I6"/>
    <mergeCell ref="J6:K6"/>
  </mergeCells>
  <pageMargins left="0.7" right="0.7" top="0.75" bottom="0.75" header="0.3" footer="0.3"/>
  <pageSetup scale="46" orientation="portrait"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40"/>
  <sheetViews>
    <sheetView topLeftCell="A19" workbookViewId="0">
      <selection activeCell="A5" sqref="A5"/>
    </sheetView>
  </sheetViews>
  <sheetFormatPr baseColWidth="10" defaultColWidth="11.42578125" defaultRowHeight="15" x14ac:dyDescent="0.25"/>
  <cols>
    <col min="1" max="1" width="8.140625" style="847" customWidth="1"/>
    <col min="2" max="2" width="44.5703125" style="799" customWidth="1"/>
    <col min="3" max="3" width="13.7109375" style="799" customWidth="1"/>
    <col min="4" max="4" width="14.5703125" style="799" customWidth="1"/>
    <col min="5" max="5" width="17.42578125" style="799" customWidth="1"/>
    <col min="6" max="16384" width="11.42578125" style="799"/>
  </cols>
  <sheetData>
    <row r="1" spans="1:6" ht="18.75" thickBot="1" x14ac:dyDescent="0.3">
      <c r="A1" s="1433" t="s">
        <v>4836</v>
      </c>
      <c r="B1" s="1434"/>
      <c r="C1" s="1434"/>
      <c r="D1" s="1434"/>
      <c r="E1" s="1435"/>
    </row>
    <row r="2" spans="1:6" ht="15.75" thickBot="1" x14ac:dyDescent="0.3">
      <c r="A2" s="800" t="s">
        <v>4837</v>
      </c>
      <c r="B2" s="801" t="s">
        <v>4838</v>
      </c>
      <c r="C2" s="802"/>
      <c r="D2" s="802"/>
      <c r="E2" s="803"/>
    </row>
    <row r="3" spans="1:6" ht="19.5" thickBot="1" x14ac:dyDescent="0.3">
      <c r="A3" s="1436" t="s">
        <v>4839</v>
      </c>
      <c r="B3" s="1437"/>
      <c r="C3" s="1437"/>
      <c r="D3" s="1437"/>
      <c r="E3" s="1438"/>
    </row>
    <row r="4" spans="1:6" ht="50.25" customHeight="1" thickBot="1" x14ac:dyDescent="0.3">
      <c r="A4" s="1439" t="s">
        <v>4875</v>
      </c>
      <c r="B4" s="1440"/>
      <c r="C4" s="1440"/>
      <c r="D4" s="1440"/>
      <c r="E4" s="1441"/>
    </row>
    <row r="5" spans="1:6" ht="15.75" x14ac:dyDescent="0.25">
      <c r="A5" s="804"/>
      <c r="B5" s="804"/>
      <c r="C5" s="804"/>
      <c r="D5" s="805"/>
      <c r="E5" s="805"/>
    </row>
    <row r="6" spans="1:6" x14ac:dyDescent="0.25">
      <c r="A6" s="806"/>
      <c r="B6" s="807"/>
      <c r="C6" s="807"/>
      <c r="D6" s="808" t="s">
        <v>4840</v>
      </c>
      <c r="E6" s="808" t="s">
        <v>4841</v>
      </c>
    </row>
    <row r="7" spans="1:6" x14ac:dyDescent="0.25">
      <c r="A7" s="809">
        <v>1</v>
      </c>
      <c r="B7" s="1442" t="s">
        <v>4842</v>
      </c>
      <c r="C7" s="1443"/>
      <c r="D7" s="810"/>
      <c r="E7" s="811"/>
    </row>
    <row r="8" spans="1:6" x14ac:dyDescent="0.25">
      <c r="A8" s="812" t="s">
        <v>4420</v>
      </c>
      <c r="B8" s="1432" t="s">
        <v>4843</v>
      </c>
      <c r="C8" s="1432"/>
      <c r="D8" s="813">
        <v>100</v>
      </c>
      <c r="E8" s="813">
        <v>100</v>
      </c>
    </row>
    <row r="9" spans="1:6" x14ac:dyDescent="0.25">
      <c r="A9" s="812" t="s">
        <v>4421</v>
      </c>
      <c r="B9" s="1432" t="s">
        <v>4844</v>
      </c>
      <c r="C9" s="1432"/>
      <c r="D9" s="814">
        <v>12.12</v>
      </c>
      <c r="E9" s="815">
        <v>0</v>
      </c>
    </row>
    <row r="10" spans="1:6" x14ac:dyDescent="0.25">
      <c r="A10" s="812" t="s">
        <v>4422</v>
      </c>
      <c r="B10" s="1432" t="s">
        <v>4845</v>
      </c>
      <c r="C10" s="1432"/>
      <c r="D10" s="813">
        <v>8.33</v>
      </c>
      <c r="E10" s="813">
        <v>8.33</v>
      </c>
      <c r="F10" s="816"/>
    </row>
    <row r="11" spans="1:6" x14ac:dyDescent="0.25">
      <c r="A11" s="812" t="s">
        <v>4429</v>
      </c>
      <c r="B11" s="1432" t="s">
        <v>4846</v>
      </c>
      <c r="C11" s="1432"/>
      <c r="D11" s="813">
        <v>8.33</v>
      </c>
      <c r="E11" s="813">
        <v>8.33</v>
      </c>
    </row>
    <row r="12" spans="1:6" x14ac:dyDescent="0.25">
      <c r="A12" s="812" t="s">
        <v>4494</v>
      </c>
      <c r="B12" s="1432" t="s">
        <v>4847</v>
      </c>
      <c r="C12" s="1432"/>
      <c r="D12" s="813">
        <v>1</v>
      </c>
      <c r="E12" s="813">
        <v>1</v>
      </c>
    </row>
    <row r="13" spans="1:6" x14ac:dyDescent="0.25">
      <c r="A13" s="812" t="s">
        <v>4584</v>
      </c>
      <c r="B13" s="1432" t="s">
        <v>4848</v>
      </c>
      <c r="C13" s="1432"/>
      <c r="D13" s="813">
        <v>4</v>
      </c>
      <c r="E13" s="813">
        <v>4</v>
      </c>
    </row>
    <row r="14" spans="1:6" x14ac:dyDescent="0.25">
      <c r="A14" s="812" t="s">
        <v>4849</v>
      </c>
      <c r="B14" s="1432" t="s">
        <v>40</v>
      </c>
      <c r="C14" s="1432"/>
      <c r="D14" s="813">
        <v>8.5</v>
      </c>
      <c r="E14" s="813">
        <v>8.5</v>
      </c>
    </row>
    <row r="15" spans="1:6" x14ac:dyDescent="0.25">
      <c r="A15" s="812" t="s">
        <v>4850</v>
      </c>
      <c r="B15" s="1432" t="s">
        <v>41</v>
      </c>
      <c r="C15" s="1432"/>
      <c r="D15" s="813">
        <v>12</v>
      </c>
      <c r="E15" s="813">
        <v>12</v>
      </c>
    </row>
    <row r="16" spans="1:6" x14ac:dyDescent="0.25">
      <c r="A16" s="812" t="s">
        <v>4851</v>
      </c>
      <c r="B16" s="1432" t="s">
        <v>42</v>
      </c>
      <c r="C16" s="1432"/>
      <c r="D16" s="813">
        <v>6.96</v>
      </c>
      <c r="E16" s="813">
        <v>6.96</v>
      </c>
    </row>
    <row r="17" spans="1:6" x14ac:dyDescent="0.25">
      <c r="A17" s="812" t="s">
        <v>4852</v>
      </c>
      <c r="B17" s="1432" t="s">
        <v>4853</v>
      </c>
      <c r="C17" s="1432"/>
      <c r="D17" s="813">
        <v>4.17</v>
      </c>
      <c r="E17" s="813">
        <v>4.17</v>
      </c>
    </row>
    <row r="18" spans="1:6" x14ac:dyDescent="0.25">
      <c r="A18" s="812" t="s">
        <v>4854</v>
      </c>
      <c r="B18" s="1432" t="s">
        <v>4855</v>
      </c>
      <c r="C18" s="1432"/>
      <c r="D18" s="813">
        <v>5</v>
      </c>
      <c r="E18" s="813">
        <v>0</v>
      </c>
    </row>
    <row r="19" spans="1:6" x14ac:dyDescent="0.25">
      <c r="A19" s="812" t="s">
        <v>4856</v>
      </c>
      <c r="B19" s="1450" t="s">
        <v>36</v>
      </c>
      <c r="C19" s="1450"/>
      <c r="D19" s="813">
        <v>2.61</v>
      </c>
      <c r="E19" s="813">
        <v>2.61</v>
      </c>
    </row>
    <row r="20" spans="1:6" x14ac:dyDescent="0.25">
      <c r="A20" s="812" t="s">
        <v>4857</v>
      </c>
      <c r="B20" s="1450" t="s">
        <v>4858</v>
      </c>
      <c r="C20" s="1450"/>
      <c r="D20" s="813">
        <v>4.05</v>
      </c>
      <c r="E20" s="813">
        <v>4.05</v>
      </c>
    </row>
    <row r="21" spans="1:6" x14ac:dyDescent="0.25">
      <c r="A21" s="806"/>
      <c r="B21" s="1451" t="s">
        <v>4859</v>
      </c>
      <c r="C21" s="1452"/>
      <c r="D21" s="817">
        <f>SUM(D8:D20)</f>
        <v>177.07000000000002</v>
      </c>
      <c r="E21" s="817">
        <f>SUM(E8:E20)</f>
        <v>159.95000000000002</v>
      </c>
    </row>
    <row r="22" spans="1:6" x14ac:dyDescent="0.25">
      <c r="A22" s="809">
        <v>2</v>
      </c>
      <c r="B22" s="1442" t="s">
        <v>4860</v>
      </c>
      <c r="C22" s="1444"/>
      <c r="D22" s="818"/>
      <c r="E22" s="819"/>
    </row>
    <row r="23" spans="1:6" x14ac:dyDescent="0.25">
      <c r="A23" s="814"/>
      <c r="B23" s="1445"/>
      <c r="C23" s="1446"/>
      <c r="D23" s="813"/>
      <c r="E23" s="813"/>
      <c r="F23" s="820" t="s">
        <v>4861</v>
      </c>
    </row>
    <row r="24" spans="1:6" x14ac:dyDescent="0.25">
      <c r="A24" s="806"/>
      <c r="B24" s="1447" t="s">
        <v>4862</v>
      </c>
      <c r="C24" s="1448"/>
      <c r="D24" s="821">
        <f>SUM(D23:D23)</f>
        <v>0</v>
      </c>
      <c r="E24" s="821">
        <f>SUM(E23:E23)</f>
        <v>0</v>
      </c>
    </row>
    <row r="25" spans="1:6" x14ac:dyDescent="0.25">
      <c r="A25" s="809">
        <v>3</v>
      </c>
      <c r="B25" s="822" t="s">
        <v>4863</v>
      </c>
      <c r="C25" s="823" t="s">
        <v>4864</v>
      </c>
      <c r="D25" s="824"/>
      <c r="E25" s="819"/>
    </row>
    <row r="26" spans="1:6" x14ac:dyDescent="0.25">
      <c r="A26" s="812" t="s">
        <v>4423</v>
      </c>
      <c r="B26" s="825" t="s">
        <v>4865</v>
      </c>
      <c r="C26" s="826">
        <v>0.01</v>
      </c>
      <c r="D26" s="813"/>
      <c r="E26" s="813"/>
    </row>
    <row r="27" spans="1:6" x14ac:dyDescent="0.25">
      <c r="A27" s="812" t="s">
        <v>4424</v>
      </c>
      <c r="B27" s="825" t="s">
        <v>4866</v>
      </c>
      <c r="C27" s="827">
        <v>0.04</v>
      </c>
      <c r="D27" s="813"/>
      <c r="E27" s="813"/>
    </row>
    <row r="28" spans="1:6" x14ac:dyDescent="0.25">
      <c r="A28" s="812" t="s">
        <v>4425</v>
      </c>
      <c r="B28" s="825" t="s">
        <v>4867</v>
      </c>
      <c r="C28" s="827">
        <v>0.02</v>
      </c>
      <c r="D28" s="813"/>
      <c r="E28" s="813"/>
    </row>
    <row r="29" spans="1:6" x14ac:dyDescent="0.25">
      <c r="A29" s="828"/>
      <c r="B29" s="825" t="s">
        <v>4868</v>
      </c>
      <c r="C29" s="829">
        <f>SUM(C26:C28)</f>
        <v>7.0000000000000007E-2</v>
      </c>
      <c r="D29" s="813">
        <f>C29*(D$24+D$21)</f>
        <v>12.394900000000003</v>
      </c>
      <c r="E29" s="813">
        <f>C29*(E$24+E$21)</f>
        <v>11.196500000000002</v>
      </c>
    </row>
    <row r="30" spans="1:6" x14ac:dyDescent="0.25">
      <c r="A30" s="806"/>
      <c r="B30" s="1447" t="s">
        <v>4869</v>
      </c>
      <c r="C30" s="1449"/>
      <c r="D30" s="830">
        <f>SUM(D29)</f>
        <v>12.394900000000003</v>
      </c>
      <c r="E30" s="830">
        <f>SUM(E29)</f>
        <v>11.196500000000002</v>
      </c>
    </row>
    <row r="31" spans="1:6" x14ac:dyDescent="0.25">
      <c r="A31" s="809">
        <v>4</v>
      </c>
      <c r="B31" s="831" t="s">
        <v>4870</v>
      </c>
      <c r="C31" s="832">
        <v>0.15</v>
      </c>
      <c r="D31" s="830">
        <f>C31*(D24+D21+D30)</f>
        <v>28.419735000000003</v>
      </c>
      <c r="E31" s="830">
        <f>10%*(E24+E21+E30)</f>
        <v>17.114650000000005</v>
      </c>
    </row>
    <row r="32" spans="1:6" x14ac:dyDescent="0.25">
      <c r="A32" s="806"/>
      <c r="B32" s="833"/>
      <c r="C32" s="807"/>
      <c r="D32" s="807"/>
      <c r="E32" s="834"/>
    </row>
    <row r="33" spans="1:5" x14ac:dyDescent="0.25">
      <c r="A33" s="835">
        <v>5</v>
      </c>
      <c r="B33" s="831" t="s">
        <v>4871</v>
      </c>
      <c r="C33" s="836"/>
      <c r="D33" s="837">
        <f>+D7+D21+D30+D31</f>
        <v>217.88463500000003</v>
      </c>
      <c r="E33" s="837">
        <f>+E7+E21+E30+E31</f>
        <v>188.26115000000004</v>
      </c>
    </row>
    <row r="34" spans="1:5" x14ac:dyDescent="0.25">
      <c r="A34" s="806"/>
      <c r="B34" s="833"/>
      <c r="C34" s="807"/>
      <c r="D34" s="807"/>
      <c r="E34" s="838"/>
    </row>
    <row r="35" spans="1:5" ht="15.75" x14ac:dyDescent="0.25">
      <c r="A35" s="806"/>
      <c r="B35" s="839" t="s">
        <v>4872</v>
      </c>
      <c r="C35" s="840"/>
      <c r="D35" s="841">
        <f>+ROUND(D33/100,1)</f>
        <v>2.2000000000000002</v>
      </c>
      <c r="E35" s="841">
        <f>+ROUND(E33/100,1)</f>
        <v>1.9</v>
      </c>
    </row>
    <row r="36" spans="1:5" x14ac:dyDescent="0.25">
      <c r="A36" s="806"/>
      <c r="B36" s="842" t="s">
        <v>4873</v>
      </c>
      <c r="C36" s="843"/>
      <c r="D36" s="843"/>
      <c r="E36" s="844"/>
    </row>
    <row r="39" spans="1:5" x14ac:dyDescent="0.25">
      <c r="A39" s="771"/>
      <c r="B39" s="771"/>
    </row>
    <row r="40" spans="1:5" x14ac:dyDescent="0.25">
      <c r="A40" s="845"/>
      <c r="B40" s="846"/>
    </row>
  </sheetData>
  <mergeCells count="22">
    <mergeCell ref="B22:C22"/>
    <mergeCell ref="B23:C23"/>
    <mergeCell ref="B24:C24"/>
    <mergeCell ref="B30:C30"/>
    <mergeCell ref="B16:C16"/>
    <mergeCell ref="B17:C17"/>
    <mergeCell ref="B18:C18"/>
    <mergeCell ref="B19:C19"/>
    <mergeCell ref="B20:C20"/>
    <mergeCell ref="B21:C21"/>
    <mergeCell ref="B15:C15"/>
    <mergeCell ref="A1:E1"/>
    <mergeCell ref="A3:E3"/>
    <mergeCell ref="A4:E4"/>
    <mergeCell ref="B7:C7"/>
    <mergeCell ref="B8:C8"/>
    <mergeCell ref="B9:C9"/>
    <mergeCell ref="B10:C10"/>
    <mergeCell ref="B11:C11"/>
    <mergeCell ref="B12:C12"/>
    <mergeCell ref="B13:C13"/>
    <mergeCell ref="B14:C14"/>
  </mergeCells>
  <pageMargins left="0.7" right="0.7" top="0.75" bottom="0.75" header="0.3" footer="0.3"/>
  <drawing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A957"/>
  <sheetViews>
    <sheetView view="pageBreakPreview" topLeftCell="A23" zoomScale="125" zoomScaleNormal="100" zoomScaleSheetLayoutView="100" workbookViewId="0">
      <selection activeCell="A70" sqref="A30:XFD70"/>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+PRESUPUESTO!B10</f>
        <v>1.2</v>
      </c>
      <c r="B2" s="1458" t="str">
        <f>+PRESUPUESTO!D10</f>
        <v>DEMOLICIÓN PLACA DE CONTRAPISO EN CONCRETO SIMPLE.</v>
      </c>
      <c r="C2" s="1459"/>
      <c r="D2" s="1459"/>
      <c r="E2" s="1460"/>
      <c r="F2" s="855" t="str">
        <f>'[109]PPTO DETALLADO '!C10</f>
        <v>M2</v>
      </c>
      <c r="G2" s="856">
        <f>+G7</f>
        <v>20.92</v>
      </c>
      <c r="H2" s="857">
        <f>H9</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x14ac:dyDescent="0.25">
      <c r="A7" s="1467" t="s">
        <v>4981</v>
      </c>
      <c r="B7" s="1454"/>
      <c r="C7" s="863"/>
      <c r="D7" s="863"/>
      <c r="E7" s="863">
        <f>0.2+2.4+2.26+0.8+0.4+(0.15+0.15)*6+13.06</f>
        <v>20.92</v>
      </c>
      <c r="F7" s="867">
        <v>0</v>
      </c>
      <c r="G7" s="865">
        <f>+E7</f>
        <v>20.92</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53"/>
      <c r="B8" s="1454"/>
      <c r="C8" s="868"/>
      <c r="D8" s="868"/>
      <c r="E8" s="868"/>
      <c r="F8" s="868"/>
      <c r="G8" s="869"/>
      <c r="H8" s="870"/>
      <c r="I8" s="852"/>
      <c r="J8" s="853"/>
      <c r="K8" s="853"/>
      <c r="L8" s="853"/>
      <c r="M8" s="853"/>
      <c r="N8" s="853"/>
      <c r="O8" s="853"/>
      <c r="P8" s="852"/>
      <c r="Q8" s="852"/>
      <c r="R8" s="852"/>
      <c r="S8" s="852"/>
      <c r="T8" s="852"/>
      <c r="U8" s="852"/>
      <c r="V8" s="852"/>
      <c r="W8" s="852"/>
      <c r="X8" s="852"/>
      <c r="Y8" s="852"/>
      <c r="Z8" s="852"/>
      <c r="AA8" s="852"/>
    </row>
    <row r="9" spans="1:27" ht="15.75" thickBot="1" x14ac:dyDescent="0.3">
      <c r="A9" s="1468" t="s">
        <v>48</v>
      </c>
      <c r="B9" s="1456"/>
      <c r="C9" s="1456"/>
      <c r="D9" s="1456"/>
      <c r="E9" s="1456"/>
      <c r="F9" s="1457"/>
      <c r="G9" s="871">
        <f>ROUND(SUM(G6:G7),2)</f>
        <v>20.92</v>
      </c>
      <c r="H9" s="872">
        <f>ROUND(SUM(H6:H7),2)</f>
        <v>11.78</v>
      </c>
      <c r="I9" s="852"/>
      <c r="J9" s="853"/>
      <c r="K9" s="853"/>
      <c r="L9" s="853"/>
      <c r="M9" s="853"/>
      <c r="N9" s="853"/>
      <c r="O9" s="853"/>
      <c r="P9" s="852"/>
      <c r="Q9" s="852"/>
      <c r="R9" s="852"/>
      <c r="S9" s="852"/>
      <c r="T9" s="852"/>
      <c r="U9" s="852"/>
      <c r="V9" s="852"/>
      <c r="W9" s="852"/>
      <c r="X9" s="852"/>
      <c r="Y9" s="852"/>
      <c r="Z9" s="852"/>
      <c r="AA9" s="852"/>
    </row>
    <row r="10" spans="1:27" ht="15.75" customHeight="1" thickBot="1" x14ac:dyDescent="0.3">
      <c r="A10" s="858"/>
      <c r="B10" s="852"/>
      <c r="C10" s="852"/>
      <c r="D10" s="852"/>
      <c r="E10" s="852"/>
      <c r="F10" s="852"/>
      <c r="G10" s="852"/>
      <c r="H10" s="859"/>
      <c r="I10" s="852"/>
      <c r="J10" s="852"/>
      <c r="K10" s="852"/>
      <c r="L10" s="852"/>
      <c r="M10" s="852"/>
      <c r="N10" s="852"/>
      <c r="O10" s="852"/>
      <c r="P10" s="852"/>
      <c r="Q10" s="852"/>
      <c r="R10" s="852"/>
      <c r="S10" s="852"/>
      <c r="T10" s="852"/>
      <c r="U10" s="852"/>
      <c r="V10" s="852"/>
      <c r="W10" s="852"/>
      <c r="X10" s="852"/>
      <c r="Y10" s="852"/>
      <c r="Z10" s="852"/>
      <c r="AA10" s="852"/>
    </row>
    <row r="11" spans="1:27" ht="15.75" customHeight="1" thickBot="1" x14ac:dyDescent="0.3">
      <c r="A11" s="1463" t="s">
        <v>4880</v>
      </c>
      <c r="B11" s="1464"/>
      <c r="C11" s="1464"/>
      <c r="D11" s="1464"/>
      <c r="E11" s="1464"/>
      <c r="F11" s="1464"/>
      <c r="G11" s="1464"/>
      <c r="H11" s="1465"/>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69" t="s">
        <v>4881</v>
      </c>
      <c r="B12" s="1469"/>
      <c r="C12" s="1469"/>
      <c r="D12" s="1469"/>
      <c r="E12" s="1469"/>
      <c r="F12" s="1469"/>
      <c r="G12" s="1469"/>
      <c r="H12" s="1469"/>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15.7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23.2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1470"/>
      <c r="B29" s="1470"/>
      <c r="C29" s="1470"/>
      <c r="D29" s="1470"/>
      <c r="E29" s="1470"/>
      <c r="F29" s="1470"/>
      <c r="G29" s="1470"/>
      <c r="H29" s="1470"/>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row r="179" spans="1:27" ht="15.75" customHeight="1" x14ac:dyDescent="0.25"/>
    <row r="180" spans="1:27" ht="15.75" customHeight="1" x14ac:dyDescent="0.25"/>
    <row r="181" spans="1:27" ht="15.75" customHeight="1" x14ac:dyDescent="0.25"/>
    <row r="182" spans="1:27" ht="15.75" customHeight="1" x14ac:dyDescent="0.25"/>
    <row r="183" spans="1:27" ht="15.75" customHeight="1" x14ac:dyDescent="0.25"/>
    <row r="184" spans="1:27" ht="15.75" customHeight="1" x14ac:dyDescent="0.25"/>
    <row r="185" spans="1:27" ht="15.75" customHeight="1" x14ac:dyDescent="0.25"/>
    <row r="186" spans="1:27" ht="15.75" customHeight="1" x14ac:dyDescent="0.25"/>
    <row r="187" spans="1:27" ht="15.75" customHeight="1" x14ac:dyDescent="0.25"/>
    <row r="188" spans="1:27" ht="15.75" customHeight="1" x14ac:dyDescent="0.25"/>
    <row r="189" spans="1:27" ht="15.75" customHeight="1" x14ac:dyDescent="0.25"/>
    <row r="190" spans="1:27" ht="15.75" customHeight="1" x14ac:dyDescent="0.25"/>
    <row r="191" spans="1:27" ht="15.75" customHeight="1" x14ac:dyDescent="0.25"/>
    <row r="192" spans="1:27"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sheetData>
  <mergeCells count="11">
    <mergeCell ref="A7:B7"/>
    <mergeCell ref="A8:B8"/>
    <mergeCell ref="A9:F9"/>
    <mergeCell ref="A11:H11"/>
    <mergeCell ref="A12:H29"/>
    <mergeCell ref="A6:B6"/>
    <mergeCell ref="B1:E1"/>
    <mergeCell ref="B2:E2"/>
    <mergeCell ref="J2:O2"/>
    <mergeCell ref="A4:H4"/>
    <mergeCell ref="A5:B5"/>
  </mergeCells>
  <pageMargins left="0.7" right="0.7" top="0.75" bottom="0.75" header="0.3" footer="0.3"/>
  <pageSetup scale="94"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A998"/>
  <sheetViews>
    <sheetView view="pageBreakPreview" zoomScale="93" zoomScaleNormal="100" zoomScaleSheetLayoutView="100" workbookViewId="0">
      <selection activeCell="I7" sqref="I7"/>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+PRESUPUESTO!B11</f>
        <v>1.3</v>
      </c>
      <c r="B2" s="1458" t="str">
        <f>+PRESUPUESTO!D11</f>
        <v>DEMOLICIÓN DE MUROS EN BLOQUE DE CEMENTO O LADRILLO</v>
      </c>
      <c r="C2" s="1459"/>
      <c r="D2" s="1459"/>
      <c r="E2" s="1460"/>
      <c r="F2" s="855" t="str">
        <f>'[109]PPTO DETALLADO '!C10</f>
        <v>M2</v>
      </c>
      <c r="G2" s="856">
        <f>+G7</f>
        <v>204.75</v>
      </c>
      <c r="H2" s="857">
        <f>H9</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x14ac:dyDescent="0.25">
      <c r="A7" s="1467" t="s">
        <v>4882</v>
      </c>
      <c r="B7" s="1454"/>
      <c r="C7" s="863"/>
      <c r="D7" s="863"/>
      <c r="E7" s="863">
        <f>0.5+0.25+204</f>
        <v>204.75</v>
      </c>
      <c r="F7" s="867">
        <v>0</v>
      </c>
      <c r="G7" s="865">
        <f>+E7</f>
        <v>204.75</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53"/>
      <c r="B8" s="1454"/>
      <c r="C8" s="868"/>
      <c r="D8" s="868"/>
      <c r="E8" s="868"/>
      <c r="F8" s="868"/>
      <c r="G8" s="869"/>
      <c r="H8" s="870"/>
      <c r="I8" s="852"/>
      <c r="J8" s="853"/>
      <c r="K8" s="853"/>
      <c r="L8" s="853"/>
      <c r="M8" s="853"/>
      <c r="N8" s="853"/>
      <c r="O8" s="853"/>
      <c r="P8" s="852"/>
      <c r="Q8" s="852"/>
      <c r="R8" s="852"/>
      <c r="S8" s="852"/>
      <c r="T8" s="852"/>
      <c r="U8" s="852"/>
      <c r="V8" s="852"/>
      <c r="W8" s="852"/>
      <c r="X8" s="852"/>
      <c r="Y8" s="852"/>
      <c r="Z8" s="852"/>
      <c r="AA8" s="852"/>
    </row>
    <row r="9" spans="1:27" ht="15.75" thickBot="1" x14ac:dyDescent="0.3">
      <c r="A9" s="1468" t="s">
        <v>48</v>
      </c>
      <c r="B9" s="1456"/>
      <c r="C9" s="1456"/>
      <c r="D9" s="1456"/>
      <c r="E9" s="1456"/>
      <c r="F9" s="1457"/>
      <c r="G9" s="871">
        <f>ROUND(SUM(G6:G7),2)</f>
        <v>204.75</v>
      </c>
      <c r="H9" s="872">
        <f>ROUND(SUM(H6:H7),2)</f>
        <v>11.78</v>
      </c>
      <c r="I9" s="852"/>
      <c r="J9" s="853"/>
      <c r="K9" s="853"/>
      <c r="L9" s="853"/>
      <c r="M9" s="853"/>
      <c r="N9" s="853"/>
      <c r="O9" s="853"/>
      <c r="P9" s="852"/>
      <c r="Q9" s="852"/>
      <c r="R9" s="852"/>
      <c r="S9" s="852"/>
      <c r="T9" s="852"/>
      <c r="U9" s="852"/>
      <c r="V9" s="852"/>
      <c r="W9" s="852"/>
      <c r="X9" s="852"/>
      <c r="Y9" s="852"/>
      <c r="Z9" s="852"/>
      <c r="AA9" s="852"/>
    </row>
    <row r="10" spans="1:27" ht="15.75" customHeight="1" thickBot="1" x14ac:dyDescent="0.3">
      <c r="A10" s="858"/>
      <c r="B10" s="852"/>
      <c r="C10" s="852"/>
      <c r="D10" s="852"/>
      <c r="E10" s="852"/>
      <c r="F10" s="852"/>
      <c r="G10" s="852"/>
      <c r="H10" s="859"/>
      <c r="I10" s="852"/>
      <c r="J10" s="852"/>
      <c r="K10" s="852"/>
      <c r="L10" s="852"/>
      <c r="M10" s="852"/>
      <c r="N10" s="852"/>
      <c r="O10" s="852"/>
      <c r="P10" s="852"/>
      <c r="Q10" s="852"/>
      <c r="R10" s="852"/>
      <c r="S10" s="852"/>
      <c r="T10" s="852"/>
      <c r="U10" s="852"/>
      <c r="V10" s="852"/>
      <c r="W10" s="852"/>
      <c r="X10" s="852"/>
      <c r="Y10" s="852"/>
      <c r="Z10" s="852"/>
      <c r="AA10" s="852"/>
    </row>
    <row r="11" spans="1:27" ht="15.75" customHeight="1" thickBot="1" x14ac:dyDescent="0.3">
      <c r="A11" s="1463" t="s">
        <v>4880</v>
      </c>
      <c r="B11" s="1464"/>
      <c r="C11" s="1464"/>
      <c r="D11" s="1464"/>
      <c r="E11" s="1464"/>
      <c r="F11" s="1464"/>
      <c r="G11" s="1464"/>
      <c r="H11" s="1465"/>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69" t="s">
        <v>4881</v>
      </c>
      <c r="B12" s="1469"/>
      <c r="C12" s="1469"/>
      <c r="D12" s="1469"/>
      <c r="E12" s="1469"/>
      <c r="F12" s="1469"/>
      <c r="G12" s="1469"/>
      <c r="H12" s="1469"/>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15.7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23.2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1470"/>
      <c r="B29" s="1470"/>
      <c r="C29" s="1470"/>
      <c r="D29" s="1470"/>
      <c r="E29" s="1470"/>
      <c r="F29" s="1470"/>
      <c r="G29" s="1470"/>
      <c r="H29" s="1470"/>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c r="A218" s="852"/>
      <c r="B218" s="852"/>
      <c r="C218" s="852"/>
      <c r="D218" s="852"/>
      <c r="E218" s="852"/>
      <c r="F218" s="852"/>
      <c r="G218" s="852"/>
      <c r="H218" s="852"/>
      <c r="I218" s="852"/>
      <c r="J218" s="852"/>
      <c r="K218" s="852"/>
      <c r="L218" s="852"/>
      <c r="M218" s="852"/>
      <c r="N218" s="852"/>
      <c r="O218" s="852"/>
      <c r="P218" s="852"/>
      <c r="Q218" s="852"/>
      <c r="R218" s="852"/>
      <c r="S218" s="852"/>
      <c r="T218" s="852"/>
      <c r="U218" s="852"/>
      <c r="V218" s="852"/>
      <c r="W218" s="852"/>
      <c r="X218" s="852"/>
      <c r="Y218" s="852"/>
      <c r="Z218" s="852"/>
      <c r="AA218" s="852"/>
    </row>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11">
    <mergeCell ref="A7:B7"/>
    <mergeCell ref="A8:B8"/>
    <mergeCell ref="A9:F9"/>
    <mergeCell ref="A11:H11"/>
    <mergeCell ref="A12:H29"/>
    <mergeCell ref="A6:B6"/>
    <mergeCell ref="B1:E1"/>
    <mergeCell ref="B2:E2"/>
    <mergeCell ref="J2:O2"/>
    <mergeCell ref="A4:H4"/>
    <mergeCell ref="A5:B5"/>
  </mergeCells>
  <pageMargins left="0.7" right="0.7" top="0.75" bottom="0.75" header="0.3" footer="0.3"/>
  <pageSetup scale="94"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A998"/>
  <sheetViews>
    <sheetView view="pageBreakPreview" zoomScale="105" zoomScaleNormal="100" zoomScaleSheetLayoutView="160" workbookViewId="0">
      <selection activeCell="G3" sqref="G3"/>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+PRESUPUESTO!B12</f>
        <v>1.4</v>
      </c>
      <c r="B2" s="1458" t="str">
        <f>+PRESUPUESTO!D12</f>
        <v xml:space="preserve">DESMONTE DE ESTRUCTURA METALICA </v>
      </c>
      <c r="C2" s="1459"/>
      <c r="D2" s="1459"/>
      <c r="E2" s="1460"/>
      <c r="F2" s="855" t="str">
        <f>+PRESUPUESTO!E12</f>
        <v>M²</v>
      </c>
      <c r="G2" s="856">
        <f>+G7</f>
        <v>6.06</v>
      </c>
      <c r="H2" s="857">
        <f>H9</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x14ac:dyDescent="0.25">
      <c r="A7" s="1467" t="s">
        <v>4883</v>
      </c>
      <c r="B7" s="1454"/>
      <c r="C7" s="863"/>
      <c r="D7" s="863"/>
      <c r="E7" s="863">
        <f>0.2+2.4+2.26+0.8+0.4</f>
        <v>6.06</v>
      </c>
      <c r="F7" s="867">
        <v>0</v>
      </c>
      <c r="G7" s="865">
        <f>+E7</f>
        <v>6.06</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53"/>
      <c r="B8" s="1454"/>
      <c r="C8" s="868"/>
      <c r="D8" s="868"/>
      <c r="E8" s="868"/>
      <c r="F8" s="868"/>
      <c r="G8" s="869"/>
      <c r="H8" s="870"/>
      <c r="I8" s="852"/>
      <c r="J8" s="853"/>
      <c r="K8" s="853"/>
      <c r="L8" s="853"/>
      <c r="M8" s="853"/>
      <c r="N8" s="853"/>
      <c r="O8" s="853"/>
      <c r="P8" s="852"/>
      <c r="Q8" s="852"/>
      <c r="R8" s="852"/>
      <c r="S8" s="852"/>
      <c r="T8" s="852"/>
      <c r="U8" s="852"/>
      <c r="V8" s="852"/>
      <c r="W8" s="852"/>
      <c r="X8" s="852"/>
      <c r="Y8" s="852"/>
      <c r="Z8" s="852"/>
      <c r="AA8" s="852"/>
    </row>
    <row r="9" spans="1:27" ht="15.75" thickBot="1" x14ac:dyDescent="0.3">
      <c r="A9" s="1468" t="s">
        <v>48</v>
      </c>
      <c r="B9" s="1456"/>
      <c r="C9" s="1456"/>
      <c r="D9" s="1456"/>
      <c r="E9" s="1456"/>
      <c r="F9" s="1457"/>
      <c r="G9" s="871">
        <f>ROUND(SUM(G6:G7),2)</f>
        <v>6.06</v>
      </c>
      <c r="H9" s="872">
        <f>ROUND(SUM(H6:H7),2)</f>
        <v>11.78</v>
      </c>
      <c r="I9" s="852"/>
      <c r="J9" s="853"/>
      <c r="K9" s="853"/>
      <c r="L9" s="853"/>
      <c r="M9" s="853"/>
      <c r="N9" s="853"/>
      <c r="O9" s="853"/>
      <c r="P9" s="852"/>
      <c r="Q9" s="852"/>
      <c r="R9" s="852"/>
      <c r="S9" s="852"/>
      <c r="T9" s="852"/>
      <c r="U9" s="852"/>
      <c r="V9" s="852"/>
      <c r="W9" s="852"/>
      <c r="X9" s="852"/>
      <c r="Y9" s="852"/>
      <c r="Z9" s="852"/>
      <c r="AA9" s="852"/>
    </row>
    <row r="10" spans="1:27" ht="15.75" customHeight="1" thickBot="1" x14ac:dyDescent="0.3">
      <c r="A10" s="858"/>
      <c r="B10" s="852"/>
      <c r="C10" s="852"/>
      <c r="D10" s="852"/>
      <c r="E10" s="852"/>
      <c r="F10" s="852"/>
      <c r="G10" s="852"/>
      <c r="H10" s="859"/>
      <c r="I10" s="852"/>
      <c r="J10" s="852"/>
      <c r="K10" s="852"/>
      <c r="L10" s="852"/>
      <c r="M10" s="852"/>
      <c r="N10" s="852"/>
      <c r="O10" s="852"/>
      <c r="P10" s="852"/>
      <c r="Q10" s="852"/>
      <c r="R10" s="852"/>
      <c r="S10" s="852"/>
      <c r="T10" s="852"/>
      <c r="U10" s="852"/>
      <c r="V10" s="852"/>
      <c r="W10" s="852"/>
      <c r="X10" s="852"/>
      <c r="Y10" s="852"/>
      <c r="Z10" s="852"/>
      <c r="AA10" s="852"/>
    </row>
    <row r="11" spans="1:27" ht="15.75" customHeight="1" thickBot="1" x14ac:dyDescent="0.3">
      <c r="A11" s="1463" t="s">
        <v>4880</v>
      </c>
      <c r="B11" s="1464"/>
      <c r="C11" s="1464"/>
      <c r="D11" s="1464"/>
      <c r="E11" s="1464"/>
      <c r="F11" s="1464"/>
      <c r="G11" s="1464"/>
      <c r="H11" s="1465"/>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69" t="s">
        <v>4881</v>
      </c>
      <c r="B12" s="1469"/>
      <c r="C12" s="1469"/>
      <c r="D12" s="1469"/>
      <c r="E12" s="1469"/>
      <c r="F12" s="1469"/>
      <c r="G12" s="1469"/>
      <c r="H12" s="1469"/>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15.7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23.2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1470"/>
      <c r="B29" s="1470"/>
      <c r="C29" s="1470"/>
      <c r="D29" s="1470"/>
      <c r="E29" s="1470"/>
      <c r="F29" s="1470"/>
      <c r="G29" s="1470"/>
      <c r="H29" s="1470"/>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c r="A218" s="852"/>
      <c r="B218" s="852"/>
      <c r="C218" s="852"/>
      <c r="D218" s="852"/>
      <c r="E218" s="852"/>
      <c r="F218" s="852"/>
      <c r="G218" s="852"/>
      <c r="H218" s="852"/>
      <c r="I218" s="852"/>
      <c r="J218" s="852"/>
      <c r="K218" s="852"/>
      <c r="L218" s="852"/>
      <c r="M218" s="852"/>
      <c r="N218" s="852"/>
      <c r="O218" s="852"/>
      <c r="P218" s="852"/>
      <c r="Q218" s="852"/>
      <c r="R218" s="852"/>
      <c r="S218" s="852"/>
      <c r="T218" s="852"/>
      <c r="U218" s="852"/>
      <c r="V218" s="852"/>
      <c r="W218" s="852"/>
      <c r="X218" s="852"/>
      <c r="Y218" s="852"/>
      <c r="Z218" s="852"/>
      <c r="AA218" s="852"/>
    </row>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11">
    <mergeCell ref="A7:B7"/>
    <mergeCell ref="A8:B8"/>
    <mergeCell ref="A9:F9"/>
    <mergeCell ref="A11:H11"/>
    <mergeCell ref="A12:H29"/>
    <mergeCell ref="A6:B6"/>
    <mergeCell ref="B1:E1"/>
    <mergeCell ref="B2:E2"/>
    <mergeCell ref="J2:O2"/>
    <mergeCell ref="A4:H4"/>
    <mergeCell ref="A5:B5"/>
  </mergeCells>
  <pageMargins left="0.7" right="0.7" top="0.75" bottom="0.75" header="0.3" footer="0.3"/>
  <pageSetup scale="94"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AA998"/>
  <sheetViews>
    <sheetView view="pageBreakPreview" zoomScale="125" zoomScaleNormal="100" zoomScaleSheetLayoutView="100" workbookViewId="0">
      <selection activeCell="A8" sqref="A8:B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+PRESUPUESTO!B17</f>
        <v>4.2</v>
      </c>
      <c r="B2" s="1458" t="str">
        <f>+PRESUPUESTO!D17</f>
        <v xml:space="preserve">SUMINISTRO, TRASPORTE E INSTALACIÓN PUNTO SANITARIO EN DIAMETRO 4" </v>
      </c>
      <c r="C2" s="1459"/>
      <c r="D2" s="1459"/>
      <c r="E2" s="1460"/>
      <c r="F2" s="855" t="str">
        <f>+PRESUPUESTO!E17</f>
        <v>UN</v>
      </c>
      <c r="G2" s="856">
        <f>+G7</f>
        <v>2</v>
      </c>
      <c r="H2" s="857">
        <f>H9</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x14ac:dyDescent="0.25">
      <c r="A7" s="1467" t="s">
        <v>4888</v>
      </c>
      <c r="B7" s="1454"/>
      <c r="C7" s="863"/>
      <c r="D7" s="863"/>
      <c r="E7" s="863">
        <v>2</v>
      </c>
      <c r="F7" s="867">
        <v>0</v>
      </c>
      <c r="G7" s="865">
        <f>+E7</f>
        <v>2</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53"/>
      <c r="B8" s="1454"/>
      <c r="C8" s="868"/>
      <c r="D8" s="868"/>
      <c r="E8" s="868"/>
      <c r="F8" s="868"/>
      <c r="G8" s="869"/>
      <c r="H8" s="870"/>
      <c r="I8" s="852"/>
      <c r="J8" s="853"/>
      <c r="K8" s="853"/>
      <c r="L8" s="853"/>
      <c r="M8" s="853"/>
      <c r="N8" s="853"/>
      <c r="O8" s="853"/>
      <c r="P8" s="852"/>
      <c r="Q8" s="852"/>
      <c r="R8" s="852"/>
      <c r="S8" s="852"/>
      <c r="T8" s="852"/>
      <c r="U8" s="852"/>
      <c r="V8" s="852"/>
      <c r="W8" s="852"/>
      <c r="X8" s="852"/>
      <c r="Y8" s="852"/>
      <c r="Z8" s="852"/>
      <c r="AA8" s="852"/>
    </row>
    <row r="9" spans="1:27" ht="15.75" thickBot="1" x14ac:dyDescent="0.3">
      <c r="A9" s="1468" t="s">
        <v>48</v>
      </c>
      <c r="B9" s="1456"/>
      <c r="C9" s="1456"/>
      <c r="D9" s="1456"/>
      <c r="E9" s="1456"/>
      <c r="F9" s="1457"/>
      <c r="G9" s="871">
        <f>ROUND(SUM(G6:G7),2)</f>
        <v>2</v>
      </c>
      <c r="H9" s="872">
        <f>ROUND(SUM(H6:H7),2)</f>
        <v>11.78</v>
      </c>
      <c r="I9" s="852"/>
      <c r="J9" s="853"/>
      <c r="K9" s="853"/>
      <c r="L9" s="853"/>
      <c r="M9" s="853"/>
      <c r="N9" s="853"/>
      <c r="O9" s="853"/>
      <c r="P9" s="852"/>
      <c r="Q9" s="852"/>
      <c r="R9" s="852"/>
      <c r="S9" s="852"/>
      <c r="T9" s="852"/>
      <c r="U9" s="852"/>
      <c r="V9" s="852"/>
      <c r="W9" s="852"/>
      <c r="X9" s="852"/>
      <c r="Y9" s="852"/>
      <c r="Z9" s="852"/>
      <c r="AA9" s="852"/>
    </row>
    <row r="10" spans="1:27" ht="15.75" customHeight="1" thickBot="1" x14ac:dyDescent="0.3">
      <c r="A10" s="858"/>
      <c r="B10" s="852"/>
      <c r="C10" s="852"/>
      <c r="D10" s="852"/>
      <c r="E10" s="852"/>
      <c r="F10" s="852"/>
      <c r="G10" s="852"/>
      <c r="H10" s="859"/>
      <c r="I10" s="852"/>
      <c r="J10" s="852"/>
      <c r="K10" s="852"/>
      <c r="L10" s="852"/>
      <c r="M10" s="852"/>
      <c r="N10" s="852"/>
      <c r="O10" s="852"/>
      <c r="P10" s="852"/>
      <c r="Q10" s="852"/>
      <c r="R10" s="852"/>
      <c r="S10" s="852"/>
      <c r="T10" s="852"/>
      <c r="U10" s="852"/>
      <c r="V10" s="852"/>
      <c r="W10" s="852"/>
      <c r="X10" s="852"/>
      <c r="Y10" s="852"/>
      <c r="Z10" s="852"/>
      <c r="AA10" s="852"/>
    </row>
    <row r="11" spans="1:27" ht="15.75" customHeight="1" thickBot="1" x14ac:dyDescent="0.3">
      <c r="A11" s="1463" t="s">
        <v>4880</v>
      </c>
      <c r="B11" s="1464"/>
      <c r="C11" s="1464"/>
      <c r="D11" s="1464"/>
      <c r="E11" s="1464"/>
      <c r="F11" s="1464"/>
      <c r="G11" s="1464"/>
      <c r="H11" s="1465"/>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69" t="s">
        <v>4881</v>
      </c>
      <c r="B12" s="1469"/>
      <c r="C12" s="1469"/>
      <c r="D12" s="1469"/>
      <c r="E12" s="1469"/>
      <c r="F12" s="1469"/>
      <c r="G12" s="1469"/>
      <c r="H12" s="1469"/>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15.7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23.2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1470"/>
      <c r="B29" s="1470"/>
      <c r="C29" s="1470"/>
      <c r="D29" s="1470"/>
      <c r="E29" s="1470"/>
      <c r="F29" s="1470"/>
      <c r="G29" s="1470"/>
      <c r="H29" s="1470"/>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c r="A218" s="852"/>
      <c r="B218" s="852"/>
      <c r="C218" s="852"/>
      <c r="D218" s="852"/>
      <c r="E218" s="852"/>
      <c r="F218" s="852"/>
      <c r="G218" s="852"/>
      <c r="H218" s="852"/>
      <c r="I218" s="852"/>
      <c r="J218" s="852"/>
      <c r="K218" s="852"/>
      <c r="L218" s="852"/>
      <c r="M218" s="852"/>
      <c r="N218" s="852"/>
      <c r="O218" s="852"/>
      <c r="P218" s="852"/>
      <c r="Q218" s="852"/>
      <c r="R218" s="852"/>
      <c r="S218" s="852"/>
      <c r="T218" s="852"/>
      <c r="U218" s="852"/>
      <c r="V218" s="852"/>
      <c r="W218" s="852"/>
      <c r="X218" s="852"/>
      <c r="Y218" s="852"/>
      <c r="Z218" s="852"/>
      <c r="AA218" s="852"/>
    </row>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11">
    <mergeCell ref="A7:B7"/>
    <mergeCell ref="A8:B8"/>
    <mergeCell ref="A9:F9"/>
    <mergeCell ref="A11:H11"/>
    <mergeCell ref="A12:H29"/>
    <mergeCell ref="A6:B6"/>
    <mergeCell ref="B1:E1"/>
    <mergeCell ref="B2:E2"/>
    <mergeCell ref="J2:O2"/>
    <mergeCell ref="A4:H4"/>
    <mergeCell ref="A5:B5"/>
  </mergeCells>
  <pageMargins left="0.7" right="0.7" top="0.75" bottom="0.75" header="0.3" footer="0.3"/>
  <pageSetup scale="94"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AA998"/>
  <sheetViews>
    <sheetView view="pageBreakPreview" zoomScale="125" zoomScaleNormal="100" zoomScaleSheetLayoutView="100" workbookViewId="0">
      <selection activeCell="F7" sqref="F7"/>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48.75" customHeight="1" thickBot="1" x14ac:dyDescent="0.3">
      <c r="A2" s="854" t="str">
        <f>+PRESUPUESTO!B18</f>
        <v>4.7</v>
      </c>
      <c r="B2" s="1458" t="str">
        <f>+PRESUPUESTO!D18</f>
        <v xml:space="preserve">SUMINISTRO, TRASPORTE E INSTALACIÓN PUNTO SANITARIO EN DIAMETRO 2" </v>
      </c>
      <c r="C2" s="1459"/>
      <c r="D2" s="1459"/>
      <c r="E2" s="1460"/>
      <c r="F2" s="855" t="str">
        <f>+PRESUPUESTO!E18</f>
        <v>UN</v>
      </c>
      <c r="G2" s="856">
        <f>+G7</f>
        <v>9</v>
      </c>
      <c r="H2" s="857">
        <f>H9</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x14ac:dyDescent="0.25">
      <c r="A7" s="1467" t="s">
        <v>4889</v>
      </c>
      <c r="B7" s="1454"/>
      <c r="C7" s="863"/>
      <c r="D7" s="863"/>
      <c r="E7" s="863">
        <v>9</v>
      </c>
      <c r="F7" s="867">
        <v>0</v>
      </c>
      <c r="G7" s="865">
        <f>+E7</f>
        <v>9</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53"/>
      <c r="B8" s="1454"/>
      <c r="C8" s="868"/>
      <c r="D8" s="868"/>
      <c r="E8" s="868"/>
      <c r="F8" s="868"/>
      <c r="G8" s="869"/>
      <c r="H8" s="870"/>
      <c r="I8" s="852"/>
      <c r="J8" s="853"/>
      <c r="K8" s="853"/>
      <c r="L8" s="853"/>
      <c r="M8" s="853"/>
      <c r="N8" s="853"/>
      <c r="O8" s="853"/>
      <c r="P8" s="852"/>
      <c r="Q8" s="852"/>
      <c r="R8" s="852"/>
      <c r="S8" s="852"/>
      <c r="T8" s="852"/>
      <c r="U8" s="852"/>
      <c r="V8" s="852"/>
      <c r="W8" s="852"/>
      <c r="X8" s="852"/>
      <c r="Y8" s="852"/>
      <c r="Z8" s="852"/>
      <c r="AA8" s="852"/>
    </row>
    <row r="9" spans="1:27" ht="15.75" thickBot="1" x14ac:dyDescent="0.3">
      <c r="A9" s="1468" t="s">
        <v>48</v>
      </c>
      <c r="B9" s="1456"/>
      <c r="C9" s="1456"/>
      <c r="D9" s="1456"/>
      <c r="E9" s="1456"/>
      <c r="F9" s="1457"/>
      <c r="G9" s="871">
        <f>ROUND(SUM(G6:G7),2)</f>
        <v>9</v>
      </c>
      <c r="H9" s="872">
        <f>ROUND(SUM(H6:H7),2)</f>
        <v>11.78</v>
      </c>
      <c r="I9" s="852"/>
      <c r="J9" s="853"/>
      <c r="K9" s="853"/>
      <c r="L9" s="853"/>
      <c r="M9" s="853"/>
      <c r="N9" s="853"/>
      <c r="O9" s="853"/>
      <c r="P9" s="852"/>
      <c r="Q9" s="852"/>
      <c r="R9" s="852"/>
      <c r="S9" s="852"/>
      <c r="T9" s="852"/>
      <c r="U9" s="852"/>
      <c r="V9" s="852"/>
      <c r="W9" s="852"/>
      <c r="X9" s="852"/>
      <c r="Y9" s="852"/>
      <c r="Z9" s="852"/>
      <c r="AA9" s="852"/>
    </row>
    <row r="10" spans="1:27" ht="15.75" customHeight="1" thickBot="1" x14ac:dyDescent="0.3">
      <c r="A10" s="858"/>
      <c r="B10" s="852"/>
      <c r="C10" s="852"/>
      <c r="D10" s="852"/>
      <c r="E10" s="852"/>
      <c r="F10" s="852"/>
      <c r="G10" s="852"/>
      <c r="H10" s="859"/>
      <c r="I10" s="852"/>
      <c r="J10" s="852"/>
      <c r="K10" s="852"/>
      <c r="L10" s="852"/>
      <c r="M10" s="852"/>
      <c r="N10" s="852"/>
      <c r="O10" s="852"/>
      <c r="P10" s="852"/>
      <c r="Q10" s="852"/>
      <c r="R10" s="852"/>
      <c r="S10" s="852"/>
      <c r="T10" s="852"/>
      <c r="U10" s="852"/>
      <c r="V10" s="852"/>
      <c r="W10" s="852"/>
      <c r="X10" s="852"/>
      <c r="Y10" s="852"/>
      <c r="Z10" s="852"/>
      <c r="AA10" s="852"/>
    </row>
    <row r="11" spans="1:27" ht="15.75" customHeight="1" thickBot="1" x14ac:dyDescent="0.3">
      <c r="A11" s="1463" t="s">
        <v>4880</v>
      </c>
      <c r="B11" s="1464"/>
      <c r="C11" s="1464"/>
      <c r="D11" s="1464"/>
      <c r="E11" s="1464"/>
      <c r="F11" s="1464"/>
      <c r="G11" s="1464"/>
      <c r="H11" s="1465"/>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69" t="s">
        <v>4881</v>
      </c>
      <c r="B12" s="1469"/>
      <c r="C12" s="1469"/>
      <c r="D12" s="1469"/>
      <c r="E12" s="1469"/>
      <c r="F12" s="1469"/>
      <c r="G12" s="1469"/>
      <c r="H12" s="1469"/>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15.7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23.2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1470"/>
      <c r="B29" s="1470"/>
      <c r="C29" s="1470"/>
      <c r="D29" s="1470"/>
      <c r="E29" s="1470"/>
      <c r="F29" s="1470"/>
      <c r="G29" s="1470"/>
      <c r="H29" s="1470"/>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c r="A218" s="852"/>
      <c r="B218" s="852"/>
      <c r="C218" s="852"/>
      <c r="D218" s="852"/>
      <c r="E218" s="852"/>
      <c r="F218" s="852"/>
      <c r="G218" s="852"/>
      <c r="H218" s="852"/>
      <c r="I218" s="852"/>
      <c r="J218" s="852"/>
      <c r="K218" s="852"/>
      <c r="L218" s="852"/>
      <c r="M218" s="852"/>
      <c r="N218" s="852"/>
      <c r="O218" s="852"/>
      <c r="P218" s="852"/>
      <c r="Q218" s="852"/>
      <c r="R218" s="852"/>
      <c r="S218" s="852"/>
      <c r="T218" s="852"/>
      <c r="U218" s="852"/>
      <c r="V218" s="852"/>
      <c r="W218" s="852"/>
      <c r="X218" s="852"/>
      <c r="Y218" s="852"/>
      <c r="Z218" s="852"/>
      <c r="AA218" s="852"/>
    </row>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11">
    <mergeCell ref="A7:B7"/>
    <mergeCell ref="A8:B8"/>
    <mergeCell ref="A9:F9"/>
    <mergeCell ref="A11:H11"/>
    <mergeCell ref="A12:H29"/>
    <mergeCell ref="A6:B6"/>
    <mergeCell ref="B1:E1"/>
    <mergeCell ref="B2:E2"/>
    <mergeCell ref="J2:O2"/>
    <mergeCell ref="A4:H4"/>
    <mergeCell ref="A5:B5"/>
  </mergeCells>
  <pageMargins left="0.7" right="0.7" top="0.75" bottom="0.75" header="0.3" footer="0.3"/>
  <pageSetup scale="94"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AA998"/>
  <sheetViews>
    <sheetView view="pageBreakPreview" zoomScale="125" zoomScaleNormal="100" zoomScaleSheetLayoutView="100" workbookViewId="0">
      <selection activeCell="F7" sqref="F7"/>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+PRESUPUESTO!B19</f>
        <v>4.13</v>
      </c>
      <c r="B2" s="1458" t="str">
        <f>+PRESUPUESTO!D19</f>
        <v>TRASLADO DE TANQUES DE AGUA</v>
      </c>
      <c r="C2" s="1459"/>
      <c r="D2" s="1459"/>
      <c r="E2" s="1460"/>
      <c r="F2" s="855" t="str">
        <f>+PRESUPUESTO!E19</f>
        <v>GL</v>
      </c>
      <c r="G2" s="856">
        <f>+G7</f>
        <v>1</v>
      </c>
      <c r="H2" s="857">
        <f>H9</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x14ac:dyDescent="0.25">
      <c r="A7" s="1467" t="s">
        <v>4890</v>
      </c>
      <c r="B7" s="1454"/>
      <c r="C7" s="863"/>
      <c r="D7" s="863"/>
      <c r="E7" s="863">
        <v>1</v>
      </c>
      <c r="F7" s="867">
        <v>0</v>
      </c>
      <c r="G7" s="865">
        <f>+E7</f>
        <v>1</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53"/>
      <c r="B8" s="1454"/>
      <c r="C8" s="868"/>
      <c r="D8" s="868"/>
      <c r="E8" s="868"/>
      <c r="F8" s="868"/>
      <c r="G8" s="869"/>
      <c r="H8" s="870"/>
      <c r="I8" s="852"/>
      <c r="J8" s="853"/>
      <c r="K8" s="853"/>
      <c r="L8" s="853"/>
      <c r="M8" s="853"/>
      <c r="N8" s="853"/>
      <c r="O8" s="853"/>
      <c r="P8" s="852"/>
      <c r="Q8" s="852"/>
      <c r="R8" s="852"/>
      <c r="S8" s="852"/>
      <c r="T8" s="852"/>
      <c r="U8" s="852"/>
      <c r="V8" s="852"/>
      <c r="W8" s="852"/>
      <c r="X8" s="852"/>
      <c r="Y8" s="852"/>
      <c r="Z8" s="852"/>
      <c r="AA8" s="852"/>
    </row>
    <row r="9" spans="1:27" ht="15.75" thickBot="1" x14ac:dyDescent="0.3">
      <c r="A9" s="1468" t="s">
        <v>48</v>
      </c>
      <c r="B9" s="1456"/>
      <c r="C9" s="1456"/>
      <c r="D9" s="1456"/>
      <c r="E9" s="1456"/>
      <c r="F9" s="1457"/>
      <c r="G9" s="871">
        <f>ROUND(SUM(G6:G7),2)</f>
        <v>1</v>
      </c>
      <c r="H9" s="872">
        <f>ROUND(SUM(H6:H7),2)</f>
        <v>11.78</v>
      </c>
      <c r="I9" s="852"/>
      <c r="J9" s="853"/>
      <c r="K9" s="853"/>
      <c r="L9" s="853"/>
      <c r="M9" s="853"/>
      <c r="N9" s="853"/>
      <c r="O9" s="853"/>
      <c r="P9" s="852"/>
      <c r="Q9" s="852"/>
      <c r="R9" s="852"/>
      <c r="S9" s="852"/>
      <c r="T9" s="852"/>
      <c r="U9" s="852"/>
      <c r="V9" s="852"/>
      <c r="W9" s="852"/>
      <c r="X9" s="852"/>
      <c r="Y9" s="852"/>
      <c r="Z9" s="852"/>
      <c r="AA9" s="852"/>
    </row>
    <row r="10" spans="1:27" ht="15.75" customHeight="1" thickBot="1" x14ac:dyDescent="0.3">
      <c r="A10" s="858"/>
      <c r="B10" s="852"/>
      <c r="C10" s="852"/>
      <c r="D10" s="852"/>
      <c r="E10" s="852"/>
      <c r="F10" s="852"/>
      <c r="G10" s="852"/>
      <c r="H10" s="859"/>
      <c r="I10" s="852"/>
      <c r="J10" s="852"/>
      <c r="K10" s="852"/>
      <c r="L10" s="852"/>
      <c r="M10" s="852"/>
      <c r="N10" s="852"/>
      <c r="O10" s="852"/>
      <c r="P10" s="852"/>
      <c r="Q10" s="852"/>
      <c r="R10" s="852"/>
      <c r="S10" s="852"/>
      <c r="T10" s="852"/>
      <c r="U10" s="852"/>
      <c r="V10" s="852"/>
      <c r="W10" s="852"/>
      <c r="X10" s="852"/>
      <c r="Y10" s="852"/>
      <c r="Z10" s="852"/>
      <c r="AA10" s="852"/>
    </row>
    <row r="11" spans="1:27" ht="15.75" customHeight="1" thickBot="1" x14ac:dyDescent="0.3">
      <c r="A11" s="1463" t="s">
        <v>4880</v>
      </c>
      <c r="B11" s="1464"/>
      <c r="C11" s="1464"/>
      <c r="D11" s="1464"/>
      <c r="E11" s="1464"/>
      <c r="F11" s="1464"/>
      <c r="G11" s="1464"/>
      <c r="H11" s="1465"/>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69" t="s">
        <v>4881</v>
      </c>
      <c r="B12" s="1469"/>
      <c r="C12" s="1469"/>
      <c r="D12" s="1469"/>
      <c r="E12" s="1469"/>
      <c r="F12" s="1469"/>
      <c r="G12" s="1469"/>
      <c r="H12" s="1469"/>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15.7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23.2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1470"/>
      <c r="B29" s="1470"/>
      <c r="C29" s="1470"/>
      <c r="D29" s="1470"/>
      <c r="E29" s="1470"/>
      <c r="F29" s="1470"/>
      <c r="G29" s="1470"/>
      <c r="H29" s="1470"/>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c r="A218" s="852"/>
      <c r="B218" s="852"/>
      <c r="C218" s="852"/>
      <c r="D218" s="852"/>
      <c r="E218" s="852"/>
      <c r="F218" s="852"/>
      <c r="G218" s="852"/>
      <c r="H218" s="852"/>
      <c r="I218" s="852"/>
      <c r="J218" s="852"/>
      <c r="K218" s="852"/>
      <c r="L218" s="852"/>
      <c r="M218" s="852"/>
      <c r="N218" s="852"/>
      <c r="O218" s="852"/>
      <c r="P218" s="852"/>
      <c r="Q218" s="852"/>
      <c r="R218" s="852"/>
      <c r="S218" s="852"/>
      <c r="T218" s="852"/>
      <c r="U218" s="852"/>
      <c r="V218" s="852"/>
      <c r="W218" s="852"/>
      <c r="X218" s="852"/>
      <c r="Y218" s="852"/>
      <c r="Z218" s="852"/>
      <c r="AA218" s="852"/>
    </row>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11">
    <mergeCell ref="A7:B7"/>
    <mergeCell ref="A8:B8"/>
    <mergeCell ref="A9:F9"/>
    <mergeCell ref="A11:H11"/>
    <mergeCell ref="A12:H29"/>
    <mergeCell ref="A6:B6"/>
    <mergeCell ref="B1:E1"/>
    <mergeCell ref="B2:E2"/>
    <mergeCell ref="J2:O2"/>
    <mergeCell ref="A4:H4"/>
    <mergeCell ref="A5:B5"/>
  </mergeCells>
  <pageMargins left="0.7" right="0.7" top="0.75" bottom="0.75" header="0.3" footer="0.3"/>
  <pageSetup scale="94"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AA997"/>
  <sheetViews>
    <sheetView view="pageBreakPreview" zoomScale="125" zoomScaleNormal="100" zoomScaleSheetLayoutView="100" workbookViewId="0">
      <selection activeCell="C7" sqref="C7"/>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+PRESUPUESTO!B20</f>
        <v>4.14</v>
      </c>
      <c r="B2" s="1458" t="str">
        <f>+PRESUPUESTO!D20</f>
        <v xml:space="preserve">BORDILLO EN CONCRETO DE 3000 PSI DE 0.10 DE ALTURA Y 0.10 DE ESPESOR PARA SEPARAR SECCIÓN INTERMEDIA DE SECCIÓN LIMPIA </v>
      </c>
      <c r="C2" s="1459"/>
      <c r="D2" s="1459"/>
      <c r="E2" s="1460"/>
      <c r="F2" s="855" t="str">
        <f>+PRESUPUESTO!E20</f>
        <v>ML</v>
      </c>
      <c r="G2" s="856">
        <f>+G7</f>
        <v>1</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4891</v>
      </c>
      <c r="B7" s="1454"/>
      <c r="C7" s="863"/>
      <c r="D7" s="863"/>
      <c r="E7" s="863">
        <v>1</v>
      </c>
      <c r="F7" s="867">
        <v>0</v>
      </c>
      <c r="G7" s="865">
        <f>+E7</f>
        <v>1</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7:B7"/>
    <mergeCell ref="A8:F8"/>
    <mergeCell ref="A10:H10"/>
    <mergeCell ref="A11:H28"/>
    <mergeCell ref="A6:B6"/>
    <mergeCell ref="B1:E1"/>
    <mergeCell ref="B2:E2"/>
    <mergeCell ref="J2:O2"/>
    <mergeCell ref="A4:H4"/>
    <mergeCell ref="A5:B5"/>
  </mergeCells>
  <pageMargins left="0.7" right="0.7" top="0.75" bottom="0.75" header="0.3" footer="0.3"/>
  <pageSetup scale="94"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+PRESUPUESTO!B21</f>
        <v>4.15</v>
      </c>
      <c r="B2" s="1458" t="str">
        <f>+PRESUPUESTO!D21</f>
        <v>CONSTRUCCIÓN CANAL RECOLECTORA CENTRAL SEMICIRCULAR D=8" EN TUBERIA NOVAFORT</v>
      </c>
      <c r="C2" s="1459"/>
      <c r="D2" s="1459"/>
      <c r="E2" s="1460"/>
      <c r="F2" s="855" t="str">
        <f>+PRESUPUESTO!E21</f>
        <v>ML</v>
      </c>
      <c r="G2" s="856">
        <f>+G7</f>
        <v>23.42</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4892</v>
      </c>
      <c r="B7" s="1454"/>
      <c r="C7" s="863"/>
      <c r="D7" s="863"/>
      <c r="E7" s="863">
        <f>6.12+11.3+2+4</f>
        <v>23.42</v>
      </c>
      <c r="F7" s="867">
        <v>0</v>
      </c>
      <c r="G7" s="865">
        <f>+E7</f>
        <v>23.42</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23.42</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1F7EA9"/>
  </sheetPr>
  <dimension ref="A1:AA998"/>
  <sheetViews>
    <sheetView view="pageBreakPreview" zoomScale="125" zoomScaleNormal="100" zoomScaleSheetLayoutView="100" workbookViewId="0">
      <selection activeCell="A7" sqref="A7:G7"/>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
        <v>5103</v>
      </c>
      <c r="B2" s="1458" t="str">
        <f>+PRESUPUESTO!D24</f>
        <v>SUMINISTRO, TRASNPORTE E INSTALACIÓN DE LOSA DE CONCRETO REFORZADO DE 12 CM DE ESPESOR (INLCLUYE ACERO DE REFUERZO MALLA ELECTROSOLDADA)</v>
      </c>
      <c r="C2" s="1459"/>
      <c r="D2" s="1459"/>
      <c r="E2" s="1460"/>
      <c r="F2" s="855" t="str">
        <f>'[109]PPTO DETALLADO '!C10</f>
        <v>M2</v>
      </c>
      <c r="G2" s="856">
        <f>+G7</f>
        <v>16.395</v>
      </c>
      <c r="H2" s="857">
        <f>H9</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x14ac:dyDescent="0.25">
      <c r="A7" s="1467" t="s">
        <v>5255</v>
      </c>
      <c r="B7" s="1454"/>
      <c r="C7" s="863"/>
      <c r="D7" s="863"/>
      <c r="E7" s="863">
        <f>12.307+4.088</f>
        <v>16.395</v>
      </c>
      <c r="F7" s="867">
        <v>0</v>
      </c>
      <c r="G7" s="865">
        <f>+E7</f>
        <v>16.395</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53"/>
      <c r="B8" s="1454"/>
      <c r="C8" s="868"/>
      <c r="D8" s="868"/>
      <c r="E8" s="868"/>
      <c r="F8" s="868"/>
      <c r="G8" s="869"/>
      <c r="H8" s="870"/>
      <c r="I8" s="852"/>
      <c r="J8" s="853"/>
      <c r="K8" s="853"/>
      <c r="L8" s="853"/>
      <c r="M8" s="853"/>
      <c r="N8" s="853"/>
      <c r="O8" s="853"/>
      <c r="P8" s="852"/>
      <c r="Q8" s="852"/>
      <c r="R8" s="852"/>
      <c r="S8" s="852"/>
      <c r="T8" s="852"/>
      <c r="U8" s="852"/>
      <c r="V8" s="852"/>
      <c r="W8" s="852"/>
      <c r="X8" s="852"/>
      <c r="Y8" s="852"/>
      <c r="Z8" s="852"/>
      <c r="AA8" s="852"/>
    </row>
    <row r="9" spans="1:27" ht="15.75" thickBot="1" x14ac:dyDescent="0.3">
      <c r="A9" s="1468" t="s">
        <v>48</v>
      </c>
      <c r="B9" s="1456"/>
      <c r="C9" s="1456"/>
      <c r="D9" s="1456"/>
      <c r="E9" s="1456"/>
      <c r="F9" s="1457"/>
      <c r="G9" s="871">
        <f>ROUND(SUM(G6:G7),2)</f>
        <v>16.399999999999999</v>
      </c>
      <c r="H9" s="872">
        <f>ROUND(SUM(H6:H7),2)</f>
        <v>11.78</v>
      </c>
      <c r="I9" s="852"/>
      <c r="J9" s="853"/>
      <c r="K9" s="853"/>
      <c r="L9" s="853"/>
      <c r="M9" s="853"/>
      <c r="N9" s="853"/>
      <c r="O9" s="853"/>
      <c r="P9" s="852"/>
      <c r="Q9" s="852"/>
      <c r="R9" s="852"/>
      <c r="S9" s="852"/>
      <c r="T9" s="852"/>
      <c r="U9" s="852"/>
      <c r="V9" s="852"/>
      <c r="W9" s="852"/>
      <c r="X9" s="852"/>
      <c r="Y9" s="852"/>
      <c r="Z9" s="852"/>
      <c r="AA9" s="852"/>
    </row>
    <row r="10" spans="1:27" ht="15.75" customHeight="1" thickBot="1" x14ac:dyDescent="0.3">
      <c r="A10" s="858"/>
      <c r="B10" s="852"/>
      <c r="C10" s="852"/>
      <c r="D10" s="852"/>
      <c r="E10" s="852"/>
      <c r="F10" s="852"/>
      <c r="G10" s="852"/>
      <c r="H10" s="859"/>
      <c r="I10" s="852"/>
      <c r="J10" s="852"/>
      <c r="K10" s="852"/>
      <c r="L10" s="852"/>
      <c r="M10" s="852"/>
      <c r="N10" s="852"/>
      <c r="O10" s="852"/>
      <c r="P10" s="852"/>
      <c r="Q10" s="852"/>
      <c r="R10" s="852"/>
      <c r="S10" s="852"/>
      <c r="T10" s="852"/>
      <c r="U10" s="852"/>
      <c r="V10" s="852"/>
      <c r="W10" s="852"/>
      <c r="X10" s="852"/>
      <c r="Y10" s="852"/>
      <c r="Z10" s="852"/>
      <c r="AA10" s="852"/>
    </row>
    <row r="11" spans="1:27" ht="15.75" customHeight="1" thickBot="1" x14ac:dyDescent="0.3">
      <c r="A11" s="1463" t="s">
        <v>4880</v>
      </c>
      <c r="B11" s="1464"/>
      <c r="C11" s="1464"/>
      <c r="D11" s="1464"/>
      <c r="E11" s="1464"/>
      <c r="F11" s="1464"/>
      <c r="G11" s="1464"/>
      <c r="H11" s="1465"/>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69" t="s">
        <v>4881</v>
      </c>
      <c r="B12" s="1469"/>
      <c r="C12" s="1469"/>
      <c r="D12" s="1469"/>
      <c r="E12" s="1469"/>
      <c r="F12" s="1469"/>
      <c r="G12" s="1469"/>
      <c r="H12" s="1469"/>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15.7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23.2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1470"/>
      <c r="B29" s="1470"/>
      <c r="C29" s="1470"/>
      <c r="D29" s="1470"/>
      <c r="E29" s="1470"/>
      <c r="F29" s="1470"/>
      <c r="G29" s="1470"/>
      <c r="H29" s="1470"/>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c r="A218" s="852"/>
      <c r="B218" s="852"/>
      <c r="C218" s="852"/>
      <c r="D218" s="852"/>
      <c r="E218" s="852"/>
      <c r="F218" s="852"/>
      <c r="G218" s="852"/>
      <c r="H218" s="852"/>
      <c r="I218" s="852"/>
      <c r="J218" s="852"/>
      <c r="K218" s="852"/>
      <c r="L218" s="852"/>
      <c r="M218" s="852"/>
      <c r="N218" s="852"/>
      <c r="O218" s="852"/>
      <c r="P218" s="852"/>
      <c r="Q218" s="852"/>
      <c r="R218" s="852"/>
      <c r="S218" s="852"/>
      <c r="T218" s="852"/>
      <c r="U218" s="852"/>
      <c r="V218" s="852"/>
      <c r="W218" s="852"/>
      <c r="X218" s="852"/>
      <c r="Y218" s="852"/>
      <c r="Z218" s="852"/>
      <c r="AA218" s="852"/>
    </row>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11">
    <mergeCell ref="A7:B7"/>
    <mergeCell ref="A8:B8"/>
    <mergeCell ref="A9:F9"/>
    <mergeCell ref="A11:H11"/>
    <mergeCell ref="A12:H29"/>
    <mergeCell ref="A6:B6"/>
    <mergeCell ref="B1:E1"/>
    <mergeCell ref="B2:E2"/>
    <mergeCell ref="J2:O2"/>
    <mergeCell ref="A4:H4"/>
    <mergeCell ref="A5:B5"/>
  </mergeCells>
  <pageMargins left="0.7" right="0.7" top="0.75" bottom="0.75" header="0.3" footer="0.3"/>
  <pageSetup scale="94"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+PRESUPUESTO!B25</f>
        <v>5.2</v>
      </c>
      <c r="B2" s="1458" t="str">
        <f>+PRESUPUESTO!D25</f>
        <v>SUMINISTRO TRANSPORTE E INSTALACIÓN VIGA CINTA DE AMARRE CULATA DE 0,13 * 0,10 M EN CONCRETO DE 3000 PSI, INCLUYE ACERO DE REFUERZO</v>
      </c>
      <c r="C2" s="1459"/>
      <c r="D2" s="1459"/>
      <c r="E2" s="1460"/>
      <c r="F2" s="855" t="str">
        <f>+PRESUPUESTO!E25</f>
        <v>M</v>
      </c>
      <c r="G2" s="856">
        <f>+G7</f>
        <v>7.3100000000000005</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4893</v>
      </c>
      <c r="B7" s="1454"/>
      <c r="C7" s="863"/>
      <c r="D7" s="863"/>
      <c r="E7" s="863">
        <f>4.2+3.11</f>
        <v>7.3100000000000005</v>
      </c>
      <c r="F7" s="867">
        <v>0</v>
      </c>
      <c r="G7" s="865">
        <f>+E7</f>
        <v>7.3100000000000005</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7.31</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AA997"/>
  <sheetViews>
    <sheetView view="pageBreakPreview" zoomScale="125" zoomScaleNormal="100" zoomScaleSheetLayoutView="100" workbookViewId="0">
      <selection activeCell="B2" sqref="B2:E2"/>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+PRESUPUESTO!B26</f>
        <v>5.3</v>
      </c>
      <c r="B2" s="1458" t="str">
        <f>+PRESUPUESTO!D26</f>
        <v xml:space="preserve">  SUMINISTRO TRANSPORTE E INSTALACIÓN COLUMNETA DE CONFINAMIENTO PARA MURO  DE 0,13 * 0,20 M EN CONCRETO DE 3000 PSI, INCLUYE ACERO DE REFUERZO</v>
      </c>
      <c r="C2" s="1459"/>
      <c r="D2" s="1459"/>
      <c r="E2" s="1460"/>
      <c r="F2" s="855" t="str">
        <f>+PRESUPUESTO!E26</f>
        <v>M</v>
      </c>
      <c r="G2" s="856">
        <f>+G7</f>
        <v>22.5</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4894</v>
      </c>
      <c r="B7" s="1454"/>
      <c r="C7" s="863"/>
      <c r="D7" s="863"/>
      <c r="E7" s="863">
        <f>4.5*5</f>
        <v>22.5</v>
      </c>
      <c r="F7" s="867">
        <v>0</v>
      </c>
      <c r="G7" s="865">
        <f>+E7</f>
        <v>22.5</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22.5</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AA997"/>
  <sheetViews>
    <sheetView view="pageBreakPreview" zoomScale="125" zoomScaleNormal="100" zoomScaleSheetLayoutView="100" workbookViewId="0">
      <selection activeCell="A2" sqref="A2"/>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+PRESUPUESTO!B27</f>
        <v>5.4</v>
      </c>
      <c r="B2" s="1458" t="str">
        <f>+PRESUPUESTO!D27</f>
        <v>ESTRUCTURA METÁLICA PARA SOPORTE DE CUBIERTA EN PERFILERÍA TIPO C 120X60 3MM. (INCLUYE TEJA DE FIBROCEMENTO PERFIL 7 Y ACCESORIOS PARA INSTALACIÓN)</v>
      </c>
      <c r="C2" s="1459"/>
      <c r="D2" s="1459"/>
      <c r="E2" s="1460"/>
      <c r="F2" s="855" t="str">
        <f>+PRESUPUESTO!E27</f>
        <v>M2</v>
      </c>
      <c r="G2" s="856">
        <f>+G7</f>
        <v>13.061999999999999</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4898</v>
      </c>
      <c r="B7" s="1454"/>
      <c r="C7" s="863"/>
      <c r="D7" s="863"/>
      <c r="E7" s="863">
        <f>4.2*3.11</f>
        <v>13.061999999999999</v>
      </c>
      <c r="F7" s="867">
        <v>0</v>
      </c>
      <c r="G7" s="865">
        <f>+E7</f>
        <v>13.061999999999999</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13.06</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AA998"/>
  <sheetViews>
    <sheetView view="pageBreakPreview" topLeftCell="A4" zoomScale="125" zoomScaleNormal="100" zoomScaleSheetLayoutView="100" workbookViewId="0">
      <selection activeCell="G3" sqref="G3"/>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
        <v>5103</v>
      </c>
      <c r="B2" s="1458" t="s">
        <v>4475</v>
      </c>
      <c r="C2" s="1459"/>
      <c r="D2" s="1459"/>
      <c r="E2" s="1460"/>
      <c r="F2" s="855" t="s">
        <v>3975</v>
      </c>
      <c r="G2" s="856">
        <f>SUM(G7:G8)</f>
        <v>29.461999999999996</v>
      </c>
      <c r="H2" s="857">
        <f>H9</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45.75" customHeight="1" x14ac:dyDescent="0.25">
      <c r="A7" s="1467" t="s">
        <v>4885</v>
      </c>
      <c r="B7" s="1471"/>
      <c r="C7" s="863"/>
      <c r="D7" s="863"/>
      <c r="E7" s="863">
        <v>16.399999999999999</v>
      </c>
      <c r="F7" s="864"/>
      <c r="G7" s="865">
        <f>+E7</f>
        <v>16.399999999999999</v>
      </c>
      <c r="H7" s="866"/>
      <c r="I7" s="852"/>
      <c r="J7" s="853"/>
      <c r="K7" s="853"/>
      <c r="L7" s="853"/>
      <c r="M7" s="853"/>
      <c r="N7" s="853"/>
      <c r="O7" s="853"/>
      <c r="P7" s="852"/>
      <c r="Q7" s="852"/>
      <c r="R7" s="852"/>
      <c r="S7" s="852"/>
      <c r="T7" s="852"/>
      <c r="U7" s="852"/>
      <c r="V7" s="852"/>
      <c r="W7" s="852"/>
      <c r="X7" s="852"/>
      <c r="Y7" s="852"/>
      <c r="Z7" s="852"/>
      <c r="AA7" s="852"/>
    </row>
    <row r="8" spans="1:27" ht="54" customHeight="1" thickBot="1" x14ac:dyDescent="0.3">
      <c r="A8" s="1467" t="s">
        <v>4897</v>
      </c>
      <c r="B8" s="1454"/>
      <c r="C8" s="863"/>
      <c r="D8" s="863"/>
      <c r="E8" s="863">
        <f>4.2*3.11</f>
        <v>13.061999999999999</v>
      </c>
      <c r="F8" s="867">
        <v>0</v>
      </c>
      <c r="G8" s="865">
        <f>+E8</f>
        <v>13.061999999999999</v>
      </c>
      <c r="H8" s="866"/>
      <c r="I8" s="852"/>
      <c r="J8" s="853"/>
      <c r="K8" s="853"/>
      <c r="L8" s="853"/>
      <c r="M8" s="853"/>
      <c r="N8" s="853"/>
      <c r="O8" s="853"/>
      <c r="P8" s="852"/>
      <c r="Q8" s="852"/>
      <c r="R8" s="852"/>
      <c r="S8" s="852"/>
      <c r="T8" s="852"/>
      <c r="U8" s="852"/>
      <c r="V8" s="852"/>
      <c r="W8" s="852"/>
      <c r="X8" s="852"/>
      <c r="Y8" s="852"/>
      <c r="Z8" s="852"/>
      <c r="AA8" s="852"/>
    </row>
    <row r="9" spans="1:27" ht="15.75" thickBot="1" x14ac:dyDescent="0.3">
      <c r="A9" s="1468" t="s">
        <v>48</v>
      </c>
      <c r="B9" s="1456"/>
      <c r="C9" s="1456"/>
      <c r="D9" s="1456"/>
      <c r="E9" s="1456"/>
      <c r="F9" s="1457"/>
      <c r="G9" s="871">
        <f>ROUND(SUM(G6:G8),2)</f>
        <v>29.46</v>
      </c>
      <c r="H9" s="872">
        <f>ROUND(SUM(H6:H8),2)</f>
        <v>11.78</v>
      </c>
      <c r="I9" s="852"/>
      <c r="J9" s="853"/>
      <c r="K9" s="853"/>
      <c r="L9" s="853"/>
      <c r="M9" s="853"/>
      <c r="N9" s="853"/>
      <c r="O9" s="853"/>
      <c r="P9" s="852"/>
      <c r="Q9" s="852"/>
      <c r="R9" s="852"/>
      <c r="S9" s="852"/>
      <c r="T9" s="852"/>
      <c r="U9" s="852"/>
      <c r="V9" s="852"/>
      <c r="W9" s="852"/>
      <c r="X9" s="852"/>
      <c r="Y9" s="852"/>
      <c r="Z9" s="852"/>
      <c r="AA9" s="852"/>
    </row>
    <row r="10" spans="1:27" ht="15.75" customHeight="1" thickBot="1" x14ac:dyDescent="0.3">
      <c r="A10" s="858"/>
      <c r="B10" s="852"/>
      <c r="C10" s="852"/>
      <c r="D10" s="852"/>
      <c r="E10" s="852"/>
      <c r="F10" s="852"/>
      <c r="G10" s="852"/>
      <c r="H10" s="859"/>
      <c r="I10" s="852"/>
      <c r="J10" s="852"/>
      <c r="K10" s="852"/>
      <c r="L10" s="852"/>
      <c r="M10" s="852"/>
      <c r="N10" s="852"/>
      <c r="O10" s="852"/>
      <c r="P10" s="852"/>
      <c r="Q10" s="852"/>
      <c r="R10" s="852"/>
      <c r="S10" s="852"/>
      <c r="T10" s="852"/>
      <c r="U10" s="852"/>
      <c r="V10" s="852"/>
      <c r="W10" s="852"/>
      <c r="X10" s="852"/>
      <c r="Y10" s="852"/>
      <c r="Z10" s="852"/>
      <c r="AA10" s="852"/>
    </row>
    <row r="11" spans="1:27" ht="15.75" customHeight="1" thickBot="1" x14ac:dyDescent="0.3">
      <c r="A11" s="1463" t="s">
        <v>4880</v>
      </c>
      <c r="B11" s="1464"/>
      <c r="C11" s="1464"/>
      <c r="D11" s="1464"/>
      <c r="E11" s="1464"/>
      <c r="F11" s="1464"/>
      <c r="G11" s="1464"/>
      <c r="H11" s="1465"/>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69" t="s">
        <v>4881</v>
      </c>
      <c r="B12" s="1469"/>
      <c r="C12" s="1469"/>
      <c r="D12" s="1469"/>
      <c r="E12" s="1469"/>
      <c r="F12" s="1469"/>
      <c r="G12" s="1469"/>
      <c r="H12" s="1469"/>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15.7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23.2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1470"/>
      <c r="B29" s="1470"/>
      <c r="C29" s="1470"/>
      <c r="D29" s="1470"/>
      <c r="E29" s="1470"/>
      <c r="F29" s="1470"/>
      <c r="G29" s="1470"/>
      <c r="H29" s="1470"/>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c r="A218" s="852"/>
      <c r="B218" s="852"/>
      <c r="C218" s="852"/>
      <c r="D218" s="852"/>
      <c r="E218" s="852"/>
      <c r="F218" s="852"/>
      <c r="G218" s="852"/>
      <c r="H218" s="852"/>
      <c r="I218" s="852"/>
      <c r="J218" s="852"/>
      <c r="K218" s="852"/>
      <c r="L218" s="852"/>
      <c r="M218" s="852"/>
      <c r="N218" s="852"/>
      <c r="O218" s="852"/>
      <c r="P218" s="852"/>
      <c r="Q218" s="852"/>
      <c r="R218" s="852"/>
      <c r="S218" s="852"/>
      <c r="T218" s="852"/>
      <c r="U218" s="852"/>
      <c r="V218" s="852"/>
      <c r="W218" s="852"/>
      <c r="X218" s="852"/>
      <c r="Y218" s="852"/>
      <c r="Z218" s="852"/>
      <c r="AA218" s="852"/>
    </row>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11">
    <mergeCell ref="J2:O2"/>
    <mergeCell ref="A4:H4"/>
    <mergeCell ref="A5:B5"/>
    <mergeCell ref="A6:B6"/>
    <mergeCell ref="A8:B8"/>
    <mergeCell ref="A9:F9"/>
    <mergeCell ref="A11:H11"/>
    <mergeCell ref="A12:H29"/>
    <mergeCell ref="B1:E1"/>
    <mergeCell ref="B2:E2"/>
    <mergeCell ref="A7:B7"/>
  </mergeCells>
  <pageMargins left="0.7" right="0.7" top="0.75" bottom="0.75" header="0.3" footer="0.3"/>
  <pageSetup scale="94"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A997"/>
  <sheetViews>
    <sheetView view="pageBreakPreview" zoomScale="125" zoomScaleNormal="100" zoomScaleSheetLayoutView="100" workbookViewId="0">
      <selection activeCell="A2" sqref="A2"/>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+PRESUPUESTO!B31</f>
        <v>6.2</v>
      </c>
      <c r="B2" s="1458" t="str">
        <f>+PRESUPUESTO!D31</f>
        <v>SUMINISTRO TRANPORTE E INSTALACIÓN REVOQUE CON MORTERO 1:3 IMPERMEABILIZADO INTEGRALMENTE, E=0,02 M</v>
      </c>
      <c r="C2" s="1459"/>
      <c r="D2" s="1459"/>
      <c r="E2" s="1460"/>
      <c r="F2" s="855" t="str">
        <f>+PRESUPUESTO!E31</f>
        <v>M²</v>
      </c>
      <c r="G2" s="856">
        <f>+G7</f>
        <v>94.451000000000008</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4911</v>
      </c>
      <c r="B7" s="1454"/>
      <c r="C7" s="863"/>
      <c r="D7" s="863"/>
      <c r="E7" s="863">
        <f>+(4.2+3.11+1.48+3.18+1.08+3.78+0.94+1.31)*4.2+(0.65+0.5)*0.5+(5.57)*2+(1.52+1.08)*1</f>
        <v>94.451000000000008</v>
      </c>
      <c r="F7" s="867">
        <v>0</v>
      </c>
      <c r="G7" s="865">
        <f>+E7</f>
        <v>94.451000000000008</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94.45</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A997"/>
  <sheetViews>
    <sheetView view="pageBreakPreview" zoomScale="125" zoomScaleNormal="100" zoomScaleSheetLayoutView="100" workbookViewId="0">
      <selection activeCell="A2" sqref="A2"/>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+PRESUPUESTO!B32</f>
        <v>6.3</v>
      </c>
      <c r="B2" s="1458" t="str">
        <f>+PRESUPUESTO!D32</f>
        <v xml:space="preserve">RESANE CON MORTERO 1:3 PARA CONFORMACIÓN DE CARTERA PARA VANO DE VENTANA </v>
      </c>
      <c r="C2" s="1459"/>
      <c r="D2" s="1459"/>
      <c r="E2" s="1460"/>
      <c r="F2" s="855" t="str">
        <f>+PRESUPUESTO!E31</f>
        <v>M²</v>
      </c>
      <c r="G2" s="856">
        <f>+G7</f>
        <v>91.851000000000013</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4899</v>
      </c>
      <c r="B7" s="1454"/>
      <c r="C7" s="863"/>
      <c r="D7" s="863"/>
      <c r="E7" s="863">
        <f>+(4.2+3.11+1.48+3.18+1.08+3.78+0.94+1.31)*4.2+(0.65+0.5)*0.5+(5.57)*2</f>
        <v>91.851000000000013</v>
      </c>
      <c r="F7" s="867">
        <v>0</v>
      </c>
      <c r="G7" s="865">
        <f>+E7</f>
        <v>91.851000000000013</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91.85</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A997"/>
  <sheetViews>
    <sheetView view="pageBreakPreview" zoomScale="125" zoomScaleNormal="100" zoomScaleSheetLayoutView="100" workbookViewId="0">
      <selection activeCell="D7" sqref="D7"/>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+PRESUPUESTO!B33</f>
        <v>6.4</v>
      </c>
      <c r="B2" s="1458" t="str">
        <f>+PRESUPUESTO!D33</f>
        <v>SUMINISTRO, TRANSPORTE E INSTALACIÓN A TODO COSTO DE MURO EN SUPERBOARD 6 MM ENCINTADO Y MACILLADO (DOS CARAS). INCLUYE PERFILERÍA Y TODO LO NECESARIO PARA SU CORRECTA INSTALACIÓN</v>
      </c>
      <c r="C2" s="1459"/>
      <c r="D2" s="1459"/>
      <c r="E2" s="1460"/>
      <c r="F2" s="855" t="str">
        <f>+PRESUPUESTO!E31</f>
        <v>M²</v>
      </c>
      <c r="G2" s="856">
        <f>+G7</f>
        <v>2.9399999999999995</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4900</v>
      </c>
      <c r="B7" s="1454"/>
      <c r="C7" s="863"/>
      <c r="D7" s="863"/>
      <c r="E7" s="863">
        <f>+(0.7*0.7)*6</f>
        <v>2.9399999999999995</v>
      </c>
      <c r="F7" s="867">
        <v>0</v>
      </c>
      <c r="G7" s="865">
        <f>+E7</f>
        <v>2.9399999999999995</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2.94</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e">
        <f>+PRESUPUESTO!#REF!</f>
        <v>#REF!</v>
      </c>
      <c r="B2" s="1458" t="e">
        <f>+PRESUPUESTO!#REF!</f>
        <v>#REF!</v>
      </c>
      <c r="C2" s="1459"/>
      <c r="D2" s="1459"/>
      <c r="E2" s="1460"/>
      <c r="F2" s="855" t="str">
        <f>+PRESUPUESTO!E31</f>
        <v>M²</v>
      </c>
      <c r="G2" s="856">
        <f>+G7</f>
        <v>25.08</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4909</v>
      </c>
      <c r="B7" s="1454"/>
      <c r="C7" s="863"/>
      <c r="D7" s="863"/>
      <c r="E7" s="863">
        <f>+(2.65+3.89)*1+(4.12*4.5)</f>
        <v>25.08</v>
      </c>
      <c r="F7" s="867">
        <v>0</v>
      </c>
      <c r="G7" s="865">
        <f>+E7</f>
        <v>25.08</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25.08</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AA997"/>
  <sheetViews>
    <sheetView view="pageBreakPreview" topLeftCell="A2"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+PRESUPUESTO!B36</f>
        <v>7.2</v>
      </c>
      <c r="B2" s="1458" t="str">
        <f>+PRESUPUESTO!D36</f>
        <v>SUMINISTRO E INSTALACIÓN TUBERÍA PVC PRESIÓN 1/2" RDE 9.</v>
      </c>
      <c r="C2" s="1459"/>
      <c r="D2" s="1459"/>
      <c r="E2" s="1460"/>
      <c r="F2" s="855" t="s">
        <v>255</v>
      </c>
      <c r="G2" s="856">
        <f>+G7</f>
        <v>30</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4901</v>
      </c>
      <c r="B7" s="1454"/>
      <c r="C7" s="863"/>
      <c r="D7" s="863"/>
      <c r="E7" s="863">
        <f>14+16</f>
        <v>30</v>
      </c>
      <c r="F7" s="867">
        <v>0</v>
      </c>
      <c r="G7" s="865">
        <f>+E7</f>
        <v>30</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30</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4904</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A997"/>
  <sheetViews>
    <sheetView view="pageBreakPreview" topLeftCell="A9" zoomScale="125" zoomScaleNormal="100" zoomScaleSheetLayoutView="100" workbookViewId="0">
      <selection activeCell="F7" sqref="F7"/>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+PRESUPUESTO!B39</f>
        <v>8.1</v>
      </c>
      <c r="B2" s="1458" t="str">
        <f>+PRESUPUESTO!D39</f>
        <v xml:space="preserve">DILIGENCIAR CADA UNO DE LOS FORMATOS PARA LA CERTIFICACIÓN DE LA OBRA  POR EL ENTE CERTIFICADOR EN RETIE Y RETILAP, PRESESENTACIÓN DE LA  DOCUMENTACIÓN EXIGIDA Y PLANOS RECORDS Y TODOS LOS TRÁMITES Y CANCELACIÓN DEL SERVICIO DE CERTIFICACIÓN.
</v>
      </c>
      <c r="C2" s="1459"/>
      <c r="D2" s="1459"/>
      <c r="E2" s="1460"/>
      <c r="F2" s="855" t="str">
        <f>+PRESUPUESTO!E31</f>
        <v>M²</v>
      </c>
      <c r="G2" s="856">
        <f>+G7</f>
        <v>950</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4902</v>
      </c>
      <c r="B7" s="1454"/>
      <c r="C7" s="863"/>
      <c r="D7" s="863"/>
      <c r="E7" s="863">
        <v>950</v>
      </c>
      <c r="F7" s="867">
        <v>0</v>
      </c>
      <c r="G7" s="865">
        <f>+E7</f>
        <v>950</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950</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4905</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+PRESUPUESTO!B40</f>
        <v>8.2</v>
      </c>
      <c r="B2" s="1458" t="str">
        <f>+PRESUPUESTO!D40</f>
        <v xml:space="preserve">SUMINISTRO, TRANSPORTE E INSTALACION SALIDA TOMACORRIENTE GFCI DOBLE EN TUBERIA CONDUIT EMT 3/4", ALAMBRE No 12 AWG INCLUYE TAPA DE PROTECCIÓN INTEMPERIE Y CAJA DE PASO SENCILLA </v>
      </c>
      <c r="C2" s="1459"/>
      <c r="D2" s="1459"/>
      <c r="E2" s="1460"/>
      <c r="F2" s="855" t="str">
        <f>+PRESUPUESTO!E40</f>
        <v>UN</v>
      </c>
      <c r="G2" s="856">
        <f>+G7</f>
        <v>9</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4903</v>
      </c>
      <c r="B7" s="1454"/>
      <c r="C7" s="863"/>
      <c r="D7" s="863"/>
      <c r="E7" s="863">
        <v>9</v>
      </c>
      <c r="F7" s="867">
        <v>0</v>
      </c>
      <c r="G7" s="865">
        <f>+E7</f>
        <v>9</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9</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4905</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+PRESUPUESTO!B41</f>
        <v>8.3</v>
      </c>
      <c r="B2" s="1458" t="str">
        <f>+PRESUPUESTO!D41</f>
        <v xml:space="preserve">SUMINISTRO E INSTALACIÓN SALIDA PUNTO ELÉCTRICO PARA LUMINARIA, INCLUYE LAMPARA HERMETICA </v>
      </c>
      <c r="C2" s="1459"/>
      <c r="D2" s="1459"/>
      <c r="E2" s="1460"/>
      <c r="F2" s="855" t="str">
        <f>+PRESUPUESTO!E40</f>
        <v>UN</v>
      </c>
      <c r="G2" s="856">
        <f>+G7</f>
        <v>9</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4906</v>
      </c>
      <c r="B7" s="1454"/>
      <c r="C7" s="863"/>
      <c r="D7" s="863"/>
      <c r="E7" s="863">
        <v>9</v>
      </c>
      <c r="F7" s="867">
        <v>0</v>
      </c>
      <c r="G7" s="865">
        <f>+E7</f>
        <v>9</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9</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4905</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A997"/>
  <sheetViews>
    <sheetView view="pageBreakPreview" topLeftCell="A12"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+PRESUPUESTO!B42</f>
        <v>8.4</v>
      </c>
      <c r="B2" s="1458" t="str">
        <f>+PRESUPUESTO!D42</f>
        <v>SUMINISTRO E INSTALACIÓN SALIDA PUNTO ELÉCTRICO PARA INTERRUPTOR SENCILLO (INCLUYE INTERRUPTOR)</v>
      </c>
      <c r="C2" s="1459"/>
      <c r="D2" s="1459"/>
      <c r="E2" s="1460"/>
      <c r="F2" s="855" t="str">
        <f>+PRESUPUESTO!E40</f>
        <v>UN</v>
      </c>
      <c r="G2" s="856">
        <f>+G7</f>
        <v>1</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4907</v>
      </c>
      <c r="B7" s="1454"/>
      <c r="C7" s="863"/>
      <c r="D7" s="863"/>
      <c r="E7" s="863">
        <v>1</v>
      </c>
      <c r="F7" s="867">
        <v>0</v>
      </c>
      <c r="G7" s="865">
        <f>+E7</f>
        <v>1</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4905</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+PRESUPUESTO!B45</f>
        <v>9.1</v>
      </c>
      <c r="B2" s="1458" t="str">
        <f>+PRESUPUESTO!D45</f>
        <v xml:space="preserve">SUMINISTRO TRANSPORTE E INSTALACIÓN DE PÍNTURA TIPO KORAZA 3 MANOS   Y ESTUCO MUROS EXTERIORES  </v>
      </c>
      <c r="C2" s="1459"/>
      <c r="D2" s="1459"/>
      <c r="E2" s="1460"/>
      <c r="F2" s="855" t="str">
        <f>+PRESUPUESTO!E45</f>
        <v>M²</v>
      </c>
      <c r="G2" s="856">
        <f>+G7</f>
        <v>128.95500000000001</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4908</v>
      </c>
      <c r="B7" s="1454"/>
      <c r="C7" s="863"/>
      <c r="D7" s="863"/>
      <c r="E7" s="863">
        <f>+(5.57+3.18+5.57+3.11+4.2+4.12)*4.5+(2.65+3.89+2.65+3.89)*1</f>
        <v>128.95500000000001</v>
      </c>
      <c r="F7" s="867">
        <v>0</v>
      </c>
      <c r="G7" s="865">
        <f>+E7</f>
        <v>128.95500000000001</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128.96</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A997"/>
  <sheetViews>
    <sheetView view="pageBreakPreview" zoomScale="125" zoomScaleNormal="100" zoomScaleSheetLayoutView="100" workbookViewId="0">
      <selection activeCell="A11" sqref="A11:H2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+PRESUPUESTO!B46</f>
        <v>9.2</v>
      </c>
      <c r="B2" s="1458" t="str">
        <f>+PRESUPUESTO!D46</f>
        <v xml:space="preserve">SUMINISTRO, TRANSPORTE E INSTALACIÓN DE PINTURA PARA INTERIOR LAVABLE SOBRE PINTURA EXISTENTE, INCLUYE DOS MANOS DE PINTURA. COLOR BLANCO. </v>
      </c>
      <c r="C2" s="1459"/>
      <c r="D2" s="1459"/>
      <c r="E2" s="1460"/>
      <c r="F2" s="855" t="str">
        <f>+PRESUPUESTO!E45</f>
        <v>M²</v>
      </c>
      <c r="G2" s="856">
        <f>+G7</f>
        <v>18.64</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4910</v>
      </c>
      <c r="B7" s="1454"/>
      <c r="C7" s="863"/>
      <c r="D7" s="863"/>
      <c r="E7" s="863">
        <f>+(3.18+1.48)*4</f>
        <v>18.64</v>
      </c>
      <c r="F7" s="867">
        <v>0</v>
      </c>
      <c r="G7" s="865">
        <f>+E7</f>
        <v>18.64</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18.64</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A997"/>
  <sheetViews>
    <sheetView view="pageBreakPreview" topLeftCell="A12"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+PRESUPUESTO!B49</f>
        <v>10.1</v>
      </c>
      <c r="B2" s="1458" t="str">
        <f>+PRESUPUESTO!D49</f>
        <v xml:space="preserve">SUMINISTRO, TRANSPORTE E INSTALACION CUBIERTA EN TEJA DE F.C PERFIL 7, INCLUYE PERFIL PARA ESTRUCTURA DE LA MISMA </v>
      </c>
      <c r="C2" s="1459"/>
      <c r="D2" s="1459"/>
      <c r="E2" s="1460"/>
      <c r="F2" s="855" t="str">
        <f>+PRESUPUESTO!E49</f>
        <v>M²</v>
      </c>
      <c r="G2" s="856">
        <f>+G7</f>
        <v>18.560000000000002</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4912</v>
      </c>
      <c r="B7" s="1454"/>
      <c r="C7" s="863"/>
      <c r="D7" s="863"/>
      <c r="E7" s="863">
        <f>+(4.25*3.2)+(1.55*3.2)</f>
        <v>18.560000000000002</v>
      </c>
      <c r="F7" s="867">
        <v>0</v>
      </c>
      <c r="G7" s="865">
        <f>+E7</f>
        <v>18.560000000000002</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18.559999999999999</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A997"/>
  <sheetViews>
    <sheetView view="pageBreakPreview" zoomScale="125" zoomScaleNormal="100" zoomScaleSheetLayoutView="100" workbookViewId="0">
      <selection activeCell="F3" sqref="F3"/>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+PRESUPUESTO!B50</f>
        <v>10.5</v>
      </c>
      <c r="B2" s="1458" t="str">
        <f>+PRESUPUESTO!D50</f>
        <v xml:space="preserve">SUMINISTRO TRANSPORTE E INSTALACIÓN DE FLANCHE CALIBRE 26 PARA EMPATE ENTRE CUBIERTA EXISTENTE Y MURO </v>
      </c>
      <c r="C2" s="1459"/>
      <c r="D2" s="1459"/>
      <c r="E2" s="1460"/>
      <c r="F2" s="855" t="str">
        <f>+PRESUPUESTO!E50</f>
        <v>M2</v>
      </c>
      <c r="G2" s="856">
        <f>+G7</f>
        <v>17.7684</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4914</v>
      </c>
      <c r="B7" s="1454"/>
      <c r="C7" s="863"/>
      <c r="D7" s="863"/>
      <c r="E7" s="863">
        <f>+(4.2*3.11)+(1.48*3.18)</f>
        <v>17.7684</v>
      </c>
      <c r="F7" s="867">
        <v>0</v>
      </c>
      <c r="G7" s="865">
        <f>+E7</f>
        <v>17.7684</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17.77</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+PRESUPUESTO!B53</f>
        <v>12.1</v>
      </c>
      <c r="B2" s="1458" t="str">
        <f>+PRESUPUESTO!D53</f>
        <v>SUMINISTRO, TRANSPORTE E INSTALACIÓN DE CIELO RASO EN LÁMINAS DE PVC 10MM PARA ZONA DE DESPACHO.  INCLUYE. ESTRUCTURA METÁLICA Y PERIMETRALES. TEXTURA SEGÚN DISEÑO</v>
      </c>
      <c r="C2" s="1459"/>
      <c r="D2" s="1459"/>
      <c r="E2" s="1460"/>
      <c r="F2" s="855" t="str">
        <f>+PRESUPUESTO!E50</f>
        <v>M2</v>
      </c>
      <c r="G2" s="856">
        <f>+G7</f>
        <v>17.7684</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4915</v>
      </c>
      <c r="B7" s="1454"/>
      <c r="C7" s="863"/>
      <c r="D7" s="863"/>
      <c r="E7" s="863">
        <f>+(4.2*3.11)+(1.48*3.18)</f>
        <v>17.7684</v>
      </c>
      <c r="F7" s="867">
        <v>0</v>
      </c>
      <c r="G7" s="865">
        <f>+E7</f>
        <v>17.7684</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17.77</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+PRESUPUESTO!B56</f>
        <v>13.1</v>
      </c>
      <c r="B2" s="1458" t="str">
        <f>+PRESUPUESTO!D56</f>
        <v xml:space="preserve">ENDURECEDOR DE PISO EN CONCRETO </v>
      </c>
      <c r="C2" s="1459"/>
      <c r="D2" s="1459"/>
      <c r="E2" s="1460"/>
      <c r="F2" s="855" t="str">
        <f>+PRESUPUESTO!E56</f>
        <v>M2</v>
      </c>
      <c r="G2" s="856">
        <f>+G7</f>
        <v>17.7684</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4916</v>
      </c>
      <c r="B7" s="1454"/>
      <c r="C7" s="863"/>
      <c r="D7" s="863"/>
      <c r="E7" s="863">
        <f>+(4.2*3.11)+(1.48*3.18)</f>
        <v>17.7684</v>
      </c>
      <c r="F7" s="867">
        <v>0</v>
      </c>
      <c r="G7" s="865">
        <f>+E7</f>
        <v>17.7684</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17.77</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J2:O2"/>
    <mergeCell ref="A4:H4"/>
    <mergeCell ref="A5:B5"/>
    <mergeCell ref="A6:B6"/>
    <mergeCell ref="A7:B7"/>
    <mergeCell ref="A8:F8"/>
    <mergeCell ref="A10:H10"/>
    <mergeCell ref="A11:H28"/>
    <mergeCell ref="B1:E1"/>
    <mergeCell ref="B2:E2"/>
  </mergeCells>
  <pageMargins left="0.7" right="0.7" top="0.75" bottom="0.75" header="0.3" footer="0.3"/>
  <pageSetup scale="94"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+PRESUPUESTO!B59</f>
        <v>14.1</v>
      </c>
      <c r="B2" s="1458" t="str">
        <f>+PRESUPUESTO!D59</f>
        <v xml:space="preserve">SUMINISTRO, TRASPORTE E INSTALACIÓN ENCHAPE EN PISOS PARA VESTIER </v>
      </c>
      <c r="C2" s="1459"/>
      <c r="D2" s="1459"/>
      <c r="E2" s="1460"/>
      <c r="F2" s="855" t="str">
        <f>+PRESUPUESTO!E59</f>
        <v>M²</v>
      </c>
      <c r="G2" s="856">
        <f>+G7</f>
        <v>4.7064000000000004</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4982</v>
      </c>
      <c r="B7" s="1454"/>
      <c r="C7" s="863"/>
      <c r="D7" s="863"/>
      <c r="E7" s="863">
        <f>3.18*1.48</f>
        <v>4.7064000000000004</v>
      </c>
      <c r="F7" s="867">
        <v>0</v>
      </c>
      <c r="G7" s="865">
        <f>+E7</f>
        <v>4.7064000000000004</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4.71</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A997"/>
  <sheetViews>
    <sheetView view="pageBreakPreview" zoomScale="125" zoomScaleNormal="100" zoomScaleSheetLayoutView="100" workbookViewId="0">
      <selection activeCell="E7" sqref="E7"/>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+PRESUPUESTO!B60</f>
        <v>14.2</v>
      </c>
      <c r="B2" s="1458" t="str">
        <f>+PRESUPUESTO!D60</f>
        <v>SUMINISTRO, TRASPORTE E INSTALACIÓN ENCHAPE EN  PARED VESTIER</v>
      </c>
      <c r="C2" s="1459"/>
      <c r="D2" s="1459"/>
      <c r="E2" s="1460"/>
      <c r="F2" s="855" t="str">
        <f>+PRESUPUESTO!E59</f>
        <v>M²</v>
      </c>
      <c r="G2" s="856">
        <f>+G7</f>
        <v>19.571999999999999</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4984</v>
      </c>
      <c r="B7" s="1454"/>
      <c r="C7" s="863"/>
      <c r="D7" s="863"/>
      <c r="E7" s="863">
        <f>+(3.18+3.18+1.48+1.48)*0.1+(3.18+1.48)*4</f>
        <v>19.571999999999999</v>
      </c>
      <c r="F7" s="867">
        <v>0</v>
      </c>
      <c r="G7" s="865">
        <f>+E7</f>
        <v>19.571999999999999</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19.57</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A997"/>
  <sheetViews>
    <sheetView view="pageBreakPreview"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+PRESUPUESTO!B61</f>
        <v>14.3</v>
      </c>
      <c r="B2" s="1458" t="str">
        <f>+PRESUPUESTO!D61</f>
        <v>SUMINISTRO TRANPORTE E INSTALACIÓN DE MEDIA CAÑA EN MORTERO CON CABADO LISO, H=0,10 M</v>
      </c>
      <c r="C2" s="1459"/>
      <c r="D2" s="1459"/>
      <c r="E2" s="1460"/>
      <c r="F2" s="855" t="str">
        <f>+PRESUPUESTO!E61</f>
        <v>M</v>
      </c>
      <c r="G2" s="856">
        <f>+G7</f>
        <v>30.989999999999995</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4985</v>
      </c>
      <c r="B7" s="1454"/>
      <c r="C7" s="863"/>
      <c r="D7" s="863"/>
      <c r="E7" s="863">
        <f>3.78+1.08+1.08+0.94+1.31+1+3.18+4+3.11+4.2+4.2+3.11</f>
        <v>30.989999999999995</v>
      </c>
      <c r="F7" s="867">
        <v>0</v>
      </c>
      <c r="G7" s="865">
        <f>+E7</f>
        <v>30.989999999999995</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30.99</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4CD0D"/>
  </sheetPr>
  <dimension ref="A1:AA997"/>
  <sheetViews>
    <sheetView view="pageBreakPreview" topLeftCell="A7"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+PRESUPUESTO!B65</f>
        <v>15.2</v>
      </c>
      <c r="B2" s="1458" t="str">
        <f>+PRESUPUESTO!D65</f>
        <v xml:space="preserve">DESMONTE Y REINSTALACIÓN DE PUERTA </v>
      </c>
      <c r="C2" s="1459"/>
      <c r="D2" s="1459"/>
      <c r="E2" s="1460"/>
      <c r="F2" s="855" t="str">
        <f>+PRESUPUESTO!E65</f>
        <v>M²</v>
      </c>
      <c r="G2" s="856">
        <f>+G7</f>
        <v>1.8900000000000001</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4986</v>
      </c>
      <c r="B7" s="1454"/>
      <c r="C7" s="863"/>
      <c r="D7" s="863"/>
      <c r="E7" s="863">
        <f>0.9*2.1</f>
        <v>1.8900000000000001</v>
      </c>
      <c r="F7" s="867">
        <v>0</v>
      </c>
      <c r="G7" s="865">
        <f>+E7</f>
        <v>1.8900000000000001</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1.89</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4CD0D"/>
  </sheetPr>
  <dimension ref="A1:AA997"/>
  <sheetViews>
    <sheetView view="pageBreakPreview" topLeftCell="A9"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+PRESUPUESTO!B66</f>
        <v>15.3</v>
      </c>
      <c r="B2" s="1458" t="str">
        <f>+PRESUPUESTO!D66</f>
        <v xml:space="preserve">SUMINISTRO, TRANSPORTE E INSTALACIÓN DE MARCO EN LÁMINA ACERO INOX CAL.14 PARA BUQUES EN ZONA DE CABEZAS Y VSICERAS </v>
      </c>
      <c r="C2" s="1459"/>
      <c r="D2" s="1459"/>
      <c r="E2" s="1460"/>
      <c r="F2" s="855" t="str">
        <f>+PRESUPUESTO!E66</f>
        <v>M2</v>
      </c>
      <c r="G2" s="856">
        <f>+G7</f>
        <v>1.9599999999999997</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4987</v>
      </c>
      <c r="B7" s="1454"/>
      <c r="C7" s="863"/>
      <c r="D7" s="863"/>
      <c r="E7" s="863">
        <f>+(0.7*0.7)*4</f>
        <v>1.9599999999999997</v>
      </c>
      <c r="F7" s="867">
        <v>0</v>
      </c>
      <c r="G7" s="865">
        <f>+E7</f>
        <v>1.9599999999999997</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1.96</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4CD0D"/>
  </sheetPr>
  <dimension ref="A1:AA997"/>
  <sheetViews>
    <sheetView view="pageBreakPreview" topLeftCell="A5" zoomScale="125" zoomScaleNormal="100" zoomScaleSheetLayoutView="100" workbookViewId="0">
      <selection activeCell="A8" sqref="A8:F8"/>
    </sheetView>
  </sheetViews>
  <sheetFormatPr baseColWidth="10" defaultColWidth="14.42578125" defaultRowHeight="15" x14ac:dyDescent="0.25"/>
  <cols>
    <col min="1" max="1" width="10.7109375" customWidth="1"/>
    <col min="2" max="2" width="23.140625" customWidth="1"/>
    <col min="3" max="3" width="12.5703125" customWidth="1"/>
    <col min="4" max="6" width="10.7109375" customWidth="1"/>
    <col min="7" max="7" width="16.7109375" customWidth="1"/>
    <col min="8" max="8" width="13.85546875" hidden="1" customWidth="1"/>
  </cols>
  <sheetData>
    <row r="1" spans="1:27" ht="15.75" thickBot="1" x14ac:dyDescent="0.3">
      <c r="A1" s="848" t="s">
        <v>10</v>
      </c>
      <c r="B1" s="1455" t="s">
        <v>9</v>
      </c>
      <c r="C1" s="1456"/>
      <c r="D1" s="1456"/>
      <c r="E1" s="1457"/>
      <c r="F1" s="849" t="s">
        <v>11</v>
      </c>
      <c r="G1" s="850" t="s">
        <v>2</v>
      </c>
      <c r="H1" s="851" t="s">
        <v>4877</v>
      </c>
      <c r="I1" s="852"/>
      <c r="J1" s="853"/>
      <c r="K1" s="853"/>
      <c r="L1" s="853"/>
      <c r="M1" s="853"/>
      <c r="N1" s="853"/>
      <c r="O1" s="853"/>
      <c r="P1" s="852"/>
      <c r="Q1" s="852"/>
      <c r="R1" s="852"/>
      <c r="S1" s="852"/>
      <c r="T1" s="852"/>
      <c r="U1" s="852"/>
      <c r="V1" s="852"/>
      <c r="W1" s="852"/>
      <c r="X1" s="852"/>
      <c r="Y1" s="852"/>
      <c r="Z1" s="852"/>
      <c r="AA1" s="852"/>
    </row>
    <row r="2" spans="1:27" ht="82.15" customHeight="1" thickBot="1" x14ac:dyDescent="0.3">
      <c r="A2" s="854" t="str">
        <f>+PRESUPUESTO!B67</f>
        <v>15.4</v>
      </c>
      <c r="B2" s="1458" t="str">
        <f>+PRESUPUESTO!D67</f>
        <v xml:space="preserve">SUMINISTRO, TRANSPORTE E INSTALACIÓN PUERTA EN LÁMINA CALIBRE 16 DIMENSIONES 0.9X2.10 METROS , CON MARCO CARGADO EN MORTERO, INCLUYE CHAPA Y ACCESORIOS </v>
      </c>
      <c r="C2" s="1459"/>
      <c r="D2" s="1459"/>
      <c r="E2" s="1460"/>
      <c r="F2" s="855" t="str">
        <f>+PRESUPUESTO!E67</f>
        <v>UN</v>
      </c>
      <c r="G2" s="856">
        <f>+G7</f>
        <v>2</v>
      </c>
      <c r="H2" s="857">
        <f>H8</f>
        <v>11.78</v>
      </c>
      <c r="I2" s="852"/>
      <c r="J2" s="1461"/>
      <c r="K2" s="1462"/>
      <c r="L2" s="1462"/>
      <c r="M2" s="1462"/>
      <c r="N2" s="1462"/>
      <c r="O2" s="1462"/>
      <c r="P2" s="852"/>
      <c r="Q2" s="852"/>
      <c r="R2" s="852"/>
      <c r="S2" s="852"/>
      <c r="T2" s="852"/>
      <c r="U2" s="852"/>
      <c r="V2" s="852"/>
      <c r="W2" s="852"/>
      <c r="X2" s="852"/>
      <c r="Y2" s="852"/>
      <c r="Z2" s="852"/>
      <c r="AA2" s="852"/>
    </row>
    <row r="3" spans="1:27" ht="15.75" thickBot="1" x14ac:dyDescent="0.3">
      <c r="A3" s="858"/>
      <c r="B3" s="852"/>
      <c r="C3" s="852"/>
      <c r="D3" s="852"/>
      <c r="E3" s="852"/>
      <c r="F3" s="852"/>
      <c r="G3" s="852"/>
      <c r="H3" s="859"/>
      <c r="I3" s="852"/>
      <c r="J3" s="853"/>
      <c r="K3" s="853"/>
      <c r="L3" s="853"/>
      <c r="M3" s="853"/>
      <c r="N3" s="853"/>
      <c r="O3" s="853"/>
      <c r="P3" s="852"/>
      <c r="Q3" s="852"/>
      <c r="R3" s="852"/>
      <c r="S3" s="852"/>
      <c r="T3" s="852"/>
      <c r="U3" s="852"/>
      <c r="V3" s="852"/>
      <c r="W3" s="852"/>
      <c r="X3" s="852"/>
      <c r="Y3" s="852"/>
      <c r="Z3" s="852"/>
      <c r="AA3" s="852"/>
    </row>
    <row r="4" spans="1:27" ht="15.75" thickBot="1" x14ac:dyDescent="0.3">
      <c r="A4" s="1463" t="s">
        <v>2</v>
      </c>
      <c r="B4" s="1464"/>
      <c r="C4" s="1464"/>
      <c r="D4" s="1464"/>
      <c r="E4" s="1464"/>
      <c r="F4" s="1464"/>
      <c r="G4" s="1464"/>
      <c r="H4" s="1465"/>
      <c r="I4" s="852"/>
      <c r="J4" s="853"/>
      <c r="K4" s="853"/>
      <c r="L4" s="853"/>
      <c r="M4" s="853"/>
      <c r="N4" s="853"/>
      <c r="O4" s="853"/>
      <c r="P4" s="852"/>
      <c r="Q4" s="852"/>
      <c r="R4" s="852"/>
      <c r="S4" s="852"/>
      <c r="T4" s="852"/>
      <c r="U4" s="852"/>
      <c r="V4" s="852"/>
      <c r="W4" s="852"/>
      <c r="X4" s="852"/>
      <c r="Y4" s="852"/>
      <c r="Z4" s="852"/>
      <c r="AA4" s="852"/>
    </row>
    <row r="5" spans="1:27" ht="15.75" thickBot="1" x14ac:dyDescent="0.3">
      <c r="A5" s="1466" t="s">
        <v>9</v>
      </c>
      <c r="B5" s="1457"/>
      <c r="C5" s="860" t="s">
        <v>3</v>
      </c>
      <c r="D5" s="860" t="s">
        <v>1</v>
      </c>
      <c r="E5" s="860" t="s">
        <v>4878</v>
      </c>
      <c r="F5" s="860" t="s">
        <v>0</v>
      </c>
      <c r="G5" s="861" t="s">
        <v>48</v>
      </c>
      <c r="H5" s="862" t="s">
        <v>48</v>
      </c>
      <c r="I5" s="852"/>
      <c r="J5" s="853"/>
      <c r="K5" s="853"/>
      <c r="L5" s="853"/>
      <c r="M5" s="853"/>
      <c r="N5" s="853"/>
      <c r="O5" s="853"/>
      <c r="P5" s="852"/>
      <c r="Q5" s="852"/>
      <c r="R5" s="852"/>
      <c r="S5" s="852"/>
      <c r="T5" s="852"/>
      <c r="U5" s="852"/>
      <c r="V5" s="852"/>
      <c r="W5" s="852"/>
      <c r="X5" s="852"/>
      <c r="Y5" s="852"/>
      <c r="Z5" s="852"/>
      <c r="AA5" s="852"/>
    </row>
    <row r="6" spans="1:27" hidden="1" x14ac:dyDescent="0.25">
      <c r="A6" s="1453" t="s">
        <v>4879</v>
      </c>
      <c r="B6" s="1454"/>
      <c r="C6" s="863">
        <v>11.78</v>
      </c>
      <c r="D6" s="863"/>
      <c r="E6" s="863"/>
      <c r="F6" s="864"/>
      <c r="G6" s="865"/>
      <c r="H6" s="866">
        <f>C6</f>
        <v>11.78</v>
      </c>
      <c r="I6" s="852"/>
      <c r="J6" s="853"/>
      <c r="K6" s="853"/>
      <c r="L6" s="853"/>
      <c r="M6" s="853"/>
      <c r="N6" s="853"/>
      <c r="O6" s="853"/>
      <c r="P6" s="852"/>
      <c r="Q6" s="852"/>
      <c r="R6" s="852"/>
      <c r="S6" s="852"/>
      <c r="T6" s="852"/>
      <c r="U6" s="852"/>
      <c r="V6" s="852"/>
      <c r="W6" s="852"/>
      <c r="X6" s="852"/>
      <c r="Y6" s="852"/>
      <c r="Z6" s="852"/>
      <c r="AA6" s="852"/>
    </row>
    <row r="7" spans="1:27" ht="87.6" customHeight="1" thickBot="1" x14ac:dyDescent="0.3">
      <c r="A7" s="1467" t="s">
        <v>4988</v>
      </c>
      <c r="B7" s="1454"/>
      <c r="C7" s="863"/>
      <c r="D7" s="863"/>
      <c r="E7" s="863">
        <v>2</v>
      </c>
      <c r="F7" s="867">
        <v>0</v>
      </c>
      <c r="G7" s="865">
        <f>+E7</f>
        <v>2</v>
      </c>
      <c r="H7" s="866"/>
      <c r="I7" s="852"/>
      <c r="J7" s="853"/>
      <c r="K7" s="853"/>
      <c r="L7" s="853"/>
      <c r="M7" s="853"/>
      <c r="N7" s="853"/>
      <c r="O7" s="853"/>
      <c r="P7" s="852"/>
      <c r="Q7" s="852"/>
      <c r="R7" s="852"/>
      <c r="S7" s="852"/>
      <c r="T7" s="852"/>
      <c r="U7" s="852"/>
      <c r="V7" s="852"/>
      <c r="W7" s="852"/>
      <c r="X7" s="852"/>
      <c r="Y7" s="852"/>
      <c r="Z7" s="852"/>
      <c r="AA7" s="852"/>
    </row>
    <row r="8" spans="1:27" ht="15.75" thickBot="1" x14ac:dyDescent="0.3">
      <c r="A8" s="1468" t="s">
        <v>48</v>
      </c>
      <c r="B8" s="1456"/>
      <c r="C8" s="1456"/>
      <c r="D8" s="1456"/>
      <c r="E8" s="1456"/>
      <c r="F8" s="1457"/>
      <c r="G8" s="871">
        <f>ROUND(SUM(G6:G7),2)</f>
        <v>2</v>
      </c>
      <c r="H8" s="872">
        <f>ROUND(SUM(H6:H7),2)</f>
        <v>11.78</v>
      </c>
      <c r="I8" s="852"/>
      <c r="J8" s="853"/>
      <c r="K8" s="853"/>
      <c r="L8" s="853"/>
      <c r="M8" s="853"/>
      <c r="N8" s="853"/>
      <c r="O8" s="853"/>
      <c r="P8" s="852"/>
      <c r="Q8" s="852"/>
      <c r="R8" s="852"/>
      <c r="S8" s="852"/>
      <c r="T8" s="852"/>
      <c r="U8" s="852"/>
      <c r="V8" s="852"/>
      <c r="W8" s="852"/>
      <c r="X8" s="852"/>
      <c r="Y8" s="852"/>
      <c r="Z8" s="852"/>
      <c r="AA8" s="852"/>
    </row>
    <row r="9" spans="1:27" ht="15.75" customHeight="1" thickBot="1" x14ac:dyDescent="0.3">
      <c r="A9" s="858"/>
      <c r="B9" s="852"/>
      <c r="C9" s="852"/>
      <c r="D9" s="852"/>
      <c r="E9" s="852"/>
      <c r="F9" s="852"/>
      <c r="G9" s="852"/>
      <c r="H9" s="859"/>
      <c r="I9" s="852"/>
      <c r="J9" s="852"/>
      <c r="K9" s="852"/>
      <c r="L9" s="852"/>
      <c r="M9" s="852"/>
      <c r="N9" s="852"/>
      <c r="O9" s="852"/>
      <c r="P9" s="852"/>
      <c r="Q9" s="852"/>
      <c r="R9" s="852"/>
      <c r="S9" s="852"/>
      <c r="T9" s="852"/>
      <c r="U9" s="852"/>
      <c r="V9" s="852"/>
      <c r="W9" s="852"/>
      <c r="X9" s="852"/>
      <c r="Y9" s="852"/>
      <c r="Z9" s="852"/>
      <c r="AA9" s="852"/>
    </row>
    <row r="10" spans="1:27" ht="15.75" customHeight="1" thickBot="1" x14ac:dyDescent="0.3">
      <c r="A10" s="1463" t="s">
        <v>4880</v>
      </c>
      <c r="B10" s="1464"/>
      <c r="C10" s="1464"/>
      <c r="D10" s="1464"/>
      <c r="E10" s="1464"/>
      <c r="F10" s="1464"/>
      <c r="G10" s="1464"/>
      <c r="H10" s="1465"/>
      <c r="I10" s="852"/>
      <c r="J10" s="852"/>
      <c r="K10" s="852"/>
      <c r="L10" s="852"/>
      <c r="M10" s="852"/>
      <c r="N10" s="852"/>
      <c r="O10" s="852"/>
      <c r="P10" s="852"/>
      <c r="Q10" s="852"/>
      <c r="R10" s="852"/>
      <c r="S10" s="852"/>
      <c r="T10" s="852"/>
      <c r="U10" s="852"/>
      <c r="V10" s="852"/>
      <c r="W10" s="852"/>
      <c r="X10" s="852"/>
      <c r="Y10" s="852"/>
      <c r="Z10" s="852"/>
      <c r="AA10" s="852"/>
    </row>
    <row r="11" spans="1:27" ht="15.75" customHeight="1" x14ac:dyDescent="0.25">
      <c r="A11" s="1469" t="s">
        <v>4881</v>
      </c>
      <c r="B11" s="1469"/>
      <c r="C11" s="1469"/>
      <c r="D11" s="1469"/>
      <c r="E11" s="1469"/>
      <c r="F11" s="1469"/>
      <c r="G11" s="1469"/>
      <c r="H11" s="1469"/>
      <c r="I11" s="852"/>
      <c r="J11" s="852"/>
      <c r="K11" s="852"/>
      <c r="L11" s="852"/>
      <c r="M11" s="852"/>
      <c r="N11" s="852"/>
      <c r="O11" s="852"/>
      <c r="P11" s="852"/>
      <c r="Q11" s="852"/>
      <c r="R11" s="852"/>
      <c r="S11" s="852"/>
      <c r="T11" s="852"/>
      <c r="U11" s="852"/>
      <c r="V11" s="852"/>
      <c r="W11" s="852"/>
      <c r="X11" s="852"/>
      <c r="Y11" s="852"/>
      <c r="Z11" s="852"/>
      <c r="AA11" s="852"/>
    </row>
    <row r="12" spans="1:27" ht="15.75" customHeight="1" x14ac:dyDescent="0.25">
      <c r="A12" s="1470"/>
      <c r="B12" s="1470"/>
      <c r="C12" s="1470"/>
      <c r="D12" s="1470"/>
      <c r="E12" s="1470"/>
      <c r="F12" s="1470"/>
      <c r="G12" s="1470"/>
      <c r="H12" s="1470"/>
      <c r="I12" s="852"/>
      <c r="J12" s="852"/>
      <c r="K12" s="852"/>
      <c r="L12" s="852"/>
      <c r="M12" s="852"/>
      <c r="N12" s="852"/>
      <c r="O12" s="852"/>
      <c r="P12" s="852"/>
      <c r="Q12" s="852"/>
      <c r="R12" s="852"/>
      <c r="S12" s="852"/>
      <c r="T12" s="852"/>
      <c r="U12" s="852"/>
      <c r="V12" s="852"/>
      <c r="W12" s="852"/>
      <c r="X12" s="852"/>
      <c r="Y12" s="852"/>
      <c r="Z12" s="852"/>
      <c r="AA12" s="852"/>
    </row>
    <row r="13" spans="1:27" ht="15.75" customHeight="1" x14ac:dyDescent="0.25">
      <c r="A13" s="1470"/>
      <c r="B13" s="1470"/>
      <c r="C13" s="1470"/>
      <c r="D13" s="1470"/>
      <c r="E13" s="1470"/>
      <c r="F13" s="1470"/>
      <c r="G13" s="1470"/>
      <c r="H13" s="1470"/>
      <c r="I13" s="852"/>
      <c r="J13" s="852"/>
      <c r="K13" s="852"/>
      <c r="L13" s="852"/>
      <c r="M13" s="852"/>
      <c r="N13" s="852"/>
      <c r="O13" s="852"/>
      <c r="P13" s="852"/>
      <c r="Q13" s="852"/>
      <c r="R13" s="852"/>
      <c r="S13" s="852"/>
      <c r="T13" s="852"/>
      <c r="U13" s="852"/>
      <c r="V13" s="852"/>
      <c r="W13" s="852"/>
      <c r="X13" s="852"/>
      <c r="Y13" s="852"/>
      <c r="Z13" s="852"/>
      <c r="AA13" s="852"/>
    </row>
    <row r="14" spans="1:27" ht="15.75" customHeight="1" x14ac:dyDescent="0.25">
      <c r="A14" s="1470"/>
      <c r="B14" s="1470"/>
      <c r="C14" s="1470"/>
      <c r="D14" s="1470"/>
      <c r="E14" s="1470"/>
      <c r="F14" s="1470"/>
      <c r="G14" s="1470"/>
      <c r="H14" s="1470"/>
      <c r="I14" s="852"/>
      <c r="J14" s="852"/>
      <c r="K14" s="852"/>
      <c r="L14" s="852"/>
      <c r="M14" s="852"/>
      <c r="N14" s="852"/>
      <c r="O14" s="852"/>
      <c r="P14" s="852"/>
      <c r="Q14" s="852"/>
      <c r="R14" s="852"/>
      <c r="S14" s="852"/>
      <c r="T14" s="852"/>
      <c r="U14" s="852"/>
      <c r="V14" s="852"/>
      <c r="W14" s="852"/>
      <c r="X14" s="852"/>
      <c r="Y14" s="852"/>
      <c r="Z14" s="852"/>
      <c r="AA14" s="852"/>
    </row>
    <row r="15" spans="1:27" ht="15.75" customHeight="1" x14ac:dyDescent="0.25">
      <c r="A15" s="1470"/>
      <c r="B15" s="1470"/>
      <c r="C15" s="1470"/>
      <c r="D15" s="1470"/>
      <c r="E15" s="1470"/>
      <c r="F15" s="1470"/>
      <c r="G15" s="1470"/>
      <c r="H15" s="1470"/>
      <c r="I15" s="852"/>
      <c r="J15" s="852"/>
      <c r="K15" s="852"/>
      <c r="L15" s="852"/>
      <c r="M15" s="852"/>
      <c r="N15" s="852"/>
      <c r="O15" s="852"/>
      <c r="P15" s="852"/>
      <c r="Q15" s="852"/>
      <c r="R15" s="852"/>
      <c r="S15" s="852"/>
      <c r="T15" s="852"/>
      <c r="U15" s="852"/>
      <c r="V15" s="852"/>
      <c r="W15" s="852"/>
      <c r="X15" s="852"/>
      <c r="Y15" s="852"/>
      <c r="Z15" s="852"/>
      <c r="AA15" s="852"/>
    </row>
    <row r="16" spans="1:27" ht="15.75" customHeight="1" x14ac:dyDescent="0.25">
      <c r="A16" s="1470"/>
      <c r="B16" s="1470"/>
      <c r="C16" s="1470"/>
      <c r="D16" s="1470"/>
      <c r="E16" s="1470"/>
      <c r="F16" s="1470"/>
      <c r="G16" s="1470"/>
      <c r="H16" s="1470"/>
      <c r="I16" s="852"/>
      <c r="J16" s="852"/>
      <c r="K16" s="852"/>
      <c r="L16" s="852"/>
      <c r="M16" s="852"/>
      <c r="N16" s="852"/>
      <c r="O16" s="852"/>
      <c r="P16" s="852"/>
      <c r="Q16" s="852"/>
      <c r="R16" s="852"/>
      <c r="S16" s="852"/>
      <c r="T16" s="852"/>
      <c r="U16" s="852"/>
      <c r="V16" s="852"/>
      <c r="W16" s="852"/>
      <c r="X16" s="852"/>
      <c r="Y16" s="852"/>
      <c r="Z16" s="852"/>
      <c r="AA16" s="852"/>
    </row>
    <row r="17" spans="1:27" ht="15.75" customHeight="1" x14ac:dyDescent="0.25">
      <c r="A17" s="1470"/>
      <c r="B17" s="1470"/>
      <c r="C17" s="1470"/>
      <c r="D17" s="1470"/>
      <c r="E17" s="1470"/>
      <c r="F17" s="1470"/>
      <c r="G17" s="1470"/>
      <c r="H17" s="1470"/>
      <c r="I17" s="852"/>
      <c r="J17" s="852"/>
      <c r="K17" s="852"/>
      <c r="L17" s="852"/>
      <c r="M17" s="852"/>
      <c r="N17" s="852"/>
      <c r="O17" s="852"/>
      <c r="P17" s="852"/>
      <c r="Q17" s="852"/>
      <c r="R17" s="852"/>
      <c r="S17" s="852"/>
      <c r="T17" s="852"/>
      <c r="U17" s="852"/>
      <c r="V17" s="852"/>
      <c r="W17" s="852"/>
      <c r="X17" s="852"/>
      <c r="Y17" s="852"/>
      <c r="Z17" s="852"/>
      <c r="AA17" s="852"/>
    </row>
    <row r="18" spans="1:27" ht="15.75" customHeight="1" x14ac:dyDescent="0.25">
      <c r="A18" s="1470"/>
      <c r="B18" s="1470"/>
      <c r="C18" s="1470"/>
      <c r="D18" s="1470"/>
      <c r="E18" s="1470"/>
      <c r="F18" s="1470"/>
      <c r="G18" s="1470"/>
      <c r="H18" s="1470"/>
      <c r="I18" s="852"/>
      <c r="J18" s="852"/>
      <c r="K18" s="852"/>
      <c r="L18" s="852"/>
      <c r="M18" s="852"/>
      <c r="N18" s="852"/>
      <c r="O18" s="852"/>
      <c r="P18" s="852"/>
      <c r="Q18" s="852"/>
      <c r="R18" s="852"/>
      <c r="S18" s="852"/>
      <c r="T18" s="852"/>
      <c r="U18" s="852"/>
      <c r="V18" s="852"/>
      <c r="W18" s="852"/>
      <c r="X18" s="852"/>
      <c r="Y18" s="852"/>
      <c r="Z18" s="852"/>
      <c r="AA18" s="852"/>
    </row>
    <row r="19" spans="1:27" ht="15.75" customHeight="1" x14ac:dyDescent="0.25">
      <c r="A19" s="1470"/>
      <c r="B19" s="1470"/>
      <c r="C19" s="1470"/>
      <c r="D19" s="1470"/>
      <c r="E19" s="1470"/>
      <c r="F19" s="1470"/>
      <c r="G19" s="1470"/>
      <c r="H19" s="1470"/>
      <c r="I19" s="852"/>
      <c r="J19" s="852"/>
      <c r="K19" s="852"/>
      <c r="L19" s="852"/>
      <c r="M19" s="852"/>
      <c r="N19" s="852"/>
      <c r="O19" s="852"/>
      <c r="P19" s="852"/>
      <c r="Q19" s="852"/>
      <c r="R19" s="852"/>
      <c r="S19" s="852"/>
      <c r="T19" s="852"/>
      <c r="U19" s="852"/>
      <c r="V19" s="852"/>
      <c r="W19" s="852"/>
      <c r="X19" s="852"/>
      <c r="Y19" s="852"/>
      <c r="Z19" s="852"/>
      <c r="AA19" s="852"/>
    </row>
    <row r="20" spans="1:27" ht="15.75" customHeight="1" x14ac:dyDescent="0.25">
      <c r="A20" s="1470"/>
      <c r="B20" s="1470"/>
      <c r="C20" s="1470"/>
      <c r="D20" s="1470"/>
      <c r="E20" s="1470"/>
      <c r="F20" s="1470"/>
      <c r="G20" s="1470"/>
      <c r="H20" s="1470"/>
      <c r="I20" s="852"/>
      <c r="J20" s="852"/>
      <c r="K20" s="852"/>
      <c r="L20" s="852"/>
      <c r="M20" s="852"/>
      <c r="N20" s="852"/>
      <c r="O20" s="852"/>
      <c r="P20" s="852"/>
      <c r="Q20" s="852"/>
      <c r="R20" s="852"/>
      <c r="S20" s="852"/>
      <c r="T20" s="852"/>
      <c r="U20" s="852"/>
      <c r="V20" s="852"/>
      <c r="W20" s="852"/>
      <c r="X20" s="852"/>
      <c r="Y20" s="852"/>
      <c r="Z20" s="852"/>
      <c r="AA20" s="852"/>
    </row>
    <row r="21" spans="1:27" ht="15.75" customHeight="1" x14ac:dyDescent="0.25">
      <c r="A21" s="1470"/>
      <c r="B21" s="1470"/>
      <c r="C21" s="1470"/>
      <c r="D21" s="1470"/>
      <c r="E21" s="1470"/>
      <c r="F21" s="1470"/>
      <c r="G21" s="1470"/>
      <c r="H21" s="1470"/>
      <c r="I21" s="852"/>
      <c r="J21" s="852"/>
      <c r="K21" s="852"/>
      <c r="L21" s="852"/>
      <c r="M21" s="852"/>
      <c r="N21" s="852"/>
      <c r="O21" s="852"/>
      <c r="P21" s="852"/>
      <c r="Q21" s="852"/>
      <c r="R21" s="852"/>
      <c r="S21" s="852"/>
      <c r="T21" s="852"/>
      <c r="U21" s="852"/>
      <c r="V21" s="852"/>
      <c r="W21" s="852"/>
      <c r="X21" s="852"/>
      <c r="Y21" s="852"/>
      <c r="Z21" s="852"/>
      <c r="AA21" s="852"/>
    </row>
    <row r="22" spans="1:27" ht="15.75" customHeight="1" x14ac:dyDescent="0.25">
      <c r="A22" s="1470"/>
      <c r="B22" s="1470"/>
      <c r="C22" s="1470"/>
      <c r="D22" s="1470"/>
      <c r="E22" s="1470"/>
      <c r="F22" s="1470"/>
      <c r="G22" s="1470"/>
      <c r="H22" s="1470"/>
      <c r="I22" s="852"/>
      <c r="J22" s="852"/>
      <c r="K22" s="852"/>
      <c r="L22" s="852"/>
      <c r="M22" s="852"/>
      <c r="N22" s="852"/>
      <c r="O22" s="852"/>
      <c r="P22" s="852"/>
      <c r="Q22" s="852"/>
      <c r="R22" s="852"/>
      <c r="S22" s="852"/>
      <c r="T22" s="852"/>
      <c r="U22" s="852"/>
      <c r="V22" s="852"/>
      <c r="W22" s="852"/>
      <c r="X22" s="852"/>
      <c r="Y22" s="852"/>
      <c r="Z22" s="852"/>
      <c r="AA22" s="852"/>
    </row>
    <row r="23" spans="1:27" ht="23.25" customHeight="1" x14ac:dyDescent="0.25">
      <c r="A23" s="1470"/>
      <c r="B23" s="1470"/>
      <c r="C23" s="1470"/>
      <c r="D23" s="1470"/>
      <c r="E23" s="1470"/>
      <c r="F23" s="1470"/>
      <c r="G23" s="1470"/>
      <c r="H23" s="1470"/>
      <c r="I23" s="852"/>
      <c r="J23" s="852"/>
      <c r="K23" s="852"/>
      <c r="L23" s="852"/>
      <c r="M23" s="852"/>
      <c r="N23" s="852"/>
      <c r="O23" s="852"/>
      <c r="P23" s="852"/>
      <c r="Q23" s="852"/>
      <c r="R23" s="852"/>
      <c r="S23" s="852"/>
      <c r="T23" s="852"/>
      <c r="U23" s="852"/>
      <c r="V23" s="852"/>
      <c r="W23" s="852"/>
      <c r="X23" s="852"/>
      <c r="Y23" s="852"/>
      <c r="Z23" s="852"/>
      <c r="AA23" s="852"/>
    </row>
    <row r="24" spans="1:27" ht="15.75" customHeight="1" x14ac:dyDescent="0.25">
      <c r="A24" s="1470"/>
      <c r="B24" s="1470"/>
      <c r="C24" s="1470"/>
      <c r="D24" s="1470"/>
      <c r="E24" s="1470"/>
      <c r="F24" s="1470"/>
      <c r="G24" s="1470"/>
      <c r="H24" s="1470"/>
      <c r="I24" s="852"/>
      <c r="J24" s="852"/>
      <c r="K24" s="852"/>
      <c r="L24" s="852"/>
      <c r="M24" s="852"/>
      <c r="N24" s="852"/>
      <c r="O24" s="852"/>
      <c r="P24" s="852"/>
      <c r="Q24" s="852"/>
      <c r="R24" s="852"/>
      <c r="S24" s="852"/>
      <c r="T24" s="852"/>
      <c r="U24" s="852"/>
      <c r="V24" s="852"/>
      <c r="W24" s="852"/>
      <c r="X24" s="852"/>
      <c r="Y24" s="852"/>
      <c r="Z24" s="852"/>
      <c r="AA24" s="852"/>
    </row>
    <row r="25" spans="1:27" ht="15.75" customHeight="1" x14ac:dyDescent="0.25">
      <c r="A25" s="1470"/>
      <c r="B25" s="1470"/>
      <c r="C25" s="1470"/>
      <c r="D25" s="1470"/>
      <c r="E25" s="1470"/>
      <c r="F25" s="1470"/>
      <c r="G25" s="1470"/>
      <c r="H25" s="1470"/>
      <c r="I25" s="852"/>
      <c r="J25" s="852"/>
      <c r="K25" s="852"/>
      <c r="L25" s="852"/>
      <c r="M25" s="852"/>
      <c r="N25" s="852"/>
      <c r="O25" s="852"/>
      <c r="P25" s="852"/>
      <c r="Q25" s="852"/>
      <c r="R25" s="852"/>
      <c r="S25" s="852"/>
      <c r="T25" s="852"/>
      <c r="U25" s="852"/>
      <c r="V25" s="852"/>
      <c r="W25" s="852"/>
      <c r="X25" s="852"/>
      <c r="Y25" s="852"/>
      <c r="Z25" s="852"/>
      <c r="AA25" s="852"/>
    </row>
    <row r="26" spans="1:27" ht="15.75" customHeight="1" x14ac:dyDescent="0.25">
      <c r="A26" s="1470"/>
      <c r="B26" s="1470"/>
      <c r="C26" s="1470"/>
      <c r="D26" s="1470"/>
      <c r="E26" s="1470"/>
      <c r="F26" s="1470"/>
      <c r="G26" s="1470"/>
      <c r="H26" s="1470"/>
      <c r="I26" s="852"/>
      <c r="J26" s="852"/>
      <c r="K26" s="852"/>
      <c r="L26" s="852"/>
      <c r="M26" s="852"/>
      <c r="N26" s="852"/>
      <c r="O26" s="852"/>
      <c r="P26" s="852"/>
      <c r="Q26" s="852"/>
      <c r="R26" s="852"/>
      <c r="S26" s="852"/>
      <c r="T26" s="852"/>
      <c r="U26" s="852"/>
      <c r="V26" s="852"/>
      <c r="W26" s="852"/>
      <c r="X26" s="852"/>
      <c r="Y26" s="852"/>
      <c r="Z26" s="852"/>
      <c r="AA26" s="852"/>
    </row>
    <row r="27" spans="1:27" ht="15.75" customHeight="1" x14ac:dyDescent="0.25">
      <c r="A27" s="1470"/>
      <c r="B27" s="1470"/>
      <c r="C27" s="1470"/>
      <c r="D27" s="1470"/>
      <c r="E27" s="1470"/>
      <c r="F27" s="1470"/>
      <c r="G27" s="1470"/>
      <c r="H27" s="1470"/>
      <c r="I27" s="852"/>
      <c r="J27" s="852"/>
      <c r="K27" s="852"/>
      <c r="L27" s="852"/>
      <c r="M27" s="852"/>
      <c r="N27" s="852"/>
      <c r="O27" s="852"/>
      <c r="P27" s="852"/>
      <c r="Q27" s="852"/>
      <c r="R27" s="852"/>
      <c r="S27" s="852"/>
      <c r="T27" s="852"/>
      <c r="U27" s="852"/>
      <c r="V27" s="852"/>
      <c r="W27" s="852"/>
      <c r="X27" s="852"/>
      <c r="Y27" s="852"/>
      <c r="Z27" s="852"/>
      <c r="AA27" s="852"/>
    </row>
    <row r="28" spans="1:27" ht="15.75" customHeight="1" x14ac:dyDescent="0.25">
      <c r="A28" s="1470"/>
      <c r="B28" s="1470"/>
      <c r="C28" s="1470"/>
      <c r="D28" s="1470"/>
      <c r="E28" s="1470"/>
      <c r="F28" s="1470"/>
      <c r="G28" s="1470"/>
      <c r="H28" s="1470"/>
      <c r="I28" s="852"/>
      <c r="J28" s="852"/>
      <c r="K28" s="852"/>
      <c r="L28" s="852"/>
      <c r="M28" s="852"/>
      <c r="N28" s="852"/>
      <c r="O28" s="852"/>
      <c r="P28" s="852"/>
      <c r="Q28" s="852"/>
      <c r="R28" s="852"/>
      <c r="S28" s="852"/>
      <c r="T28" s="852"/>
      <c r="U28" s="852"/>
      <c r="V28" s="852"/>
      <c r="W28" s="852"/>
      <c r="X28" s="852"/>
      <c r="Y28" s="852"/>
      <c r="Z28" s="852"/>
      <c r="AA28" s="852"/>
    </row>
    <row r="29" spans="1:27" ht="15.75" customHeight="1" x14ac:dyDescent="0.25">
      <c r="A29" s="852"/>
      <c r="B29" s="852"/>
      <c r="C29" s="852"/>
      <c r="D29" s="852"/>
      <c r="E29" s="852"/>
      <c r="F29" s="852"/>
      <c r="G29" s="852"/>
      <c r="H29" s="852"/>
      <c r="I29" s="852"/>
      <c r="J29" s="852"/>
      <c r="K29" s="852"/>
      <c r="L29" s="852"/>
      <c r="M29" s="852"/>
      <c r="N29" s="852"/>
      <c r="O29" s="852"/>
      <c r="P29" s="852"/>
      <c r="Q29" s="852"/>
      <c r="R29" s="852"/>
      <c r="S29" s="852"/>
      <c r="T29" s="852"/>
      <c r="U29" s="852"/>
      <c r="V29" s="852"/>
      <c r="W29" s="852"/>
      <c r="X29" s="852"/>
      <c r="Y29" s="852"/>
      <c r="Z29" s="852"/>
      <c r="AA29" s="852"/>
    </row>
    <row r="30" spans="1:27" ht="15.75" customHeight="1" x14ac:dyDescent="0.25">
      <c r="A30" s="852"/>
      <c r="B30" s="852"/>
      <c r="C30" s="852"/>
      <c r="D30" s="852"/>
      <c r="E30" s="852"/>
      <c r="F30" s="852"/>
      <c r="G30" s="852"/>
      <c r="H30" s="852"/>
      <c r="I30" s="852"/>
      <c r="J30" s="852"/>
      <c r="K30" s="852"/>
      <c r="L30" s="852"/>
      <c r="M30" s="852"/>
      <c r="N30" s="852"/>
      <c r="O30" s="852"/>
      <c r="P30" s="852"/>
      <c r="Q30" s="852"/>
      <c r="R30" s="852"/>
      <c r="S30" s="852"/>
      <c r="T30" s="852"/>
      <c r="U30" s="852"/>
      <c r="V30" s="852"/>
      <c r="W30" s="852"/>
      <c r="X30" s="852"/>
      <c r="Y30" s="852"/>
      <c r="Z30" s="852"/>
      <c r="AA30" s="852"/>
    </row>
    <row r="31" spans="1:27" ht="15.75" customHeight="1" x14ac:dyDescent="0.25">
      <c r="A31" s="852"/>
      <c r="B31" s="852"/>
      <c r="C31" s="852"/>
      <c r="D31" s="852"/>
      <c r="E31" s="852"/>
      <c r="F31" s="852"/>
      <c r="G31" s="852"/>
      <c r="H31" s="852"/>
      <c r="I31" s="852"/>
      <c r="J31" s="852"/>
      <c r="K31" s="852"/>
      <c r="L31" s="852"/>
      <c r="M31" s="852"/>
      <c r="N31" s="852"/>
      <c r="O31" s="852"/>
      <c r="P31" s="852"/>
      <c r="Q31" s="852"/>
      <c r="R31" s="852"/>
      <c r="S31" s="852"/>
      <c r="T31" s="852"/>
      <c r="U31" s="852"/>
      <c r="V31" s="852"/>
      <c r="W31" s="852"/>
      <c r="X31" s="852"/>
      <c r="Y31" s="852"/>
      <c r="Z31" s="852"/>
      <c r="AA31" s="852"/>
    </row>
    <row r="32" spans="1:27" ht="15.75" customHeight="1" x14ac:dyDescent="0.25">
      <c r="A32" s="852"/>
      <c r="B32" s="852"/>
      <c r="C32" s="852"/>
      <c r="D32" s="852"/>
      <c r="E32" s="852"/>
      <c r="F32" s="852"/>
      <c r="G32" s="852"/>
      <c r="H32" s="852"/>
      <c r="I32" s="852"/>
      <c r="J32" s="852"/>
      <c r="K32" s="852"/>
      <c r="L32" s="852"/>
      <c r="M32" s="852"/>
      <c r="N32" s="852"/>
      <c r="O32" s="852"/>
      <c r="P32" s="852"/>
      <c r="Q32" s="852"/>
      <c r="R32" s="852"/>
      <c r="S32" s="852"/>
      <c r="T32" s="852"/>
      <c r="U32" s="852"/>
      <c r="V32" s="852"/>
      <c r="W32" s="852"/>
      <c r="X32" s="852"/>
      <c r="Y32" s="852"/>
      <c r="Z32" s="852"/>
      <c r="AA32" s="852"/>
    </row>
    <row r="33" spans="1:27" ht="15.75" customHeight="1" x14ac:dyDescent="0.25">
      <c r="A33" s="852"/>
      <c r="B33" s="852"/>
      <c r="C33" s="852"/>
      <c r="D33" s="852"/>
      <c r="E33" s="852"/>
      <c r="F33" s="852"/>
      <c r="G33" s="852"/>
      <c r="H33" s="852"/>
      <c r="I33" s="852"/>
      <c r="J33" s="852"/>
      <c r="K33" s="852"/>
      <c r="L33" s="852"/>
      <c r="M33" s="852"/>
      <c r="N33" s="852"/>
      <c r="O33" s="852"/>
      <c r="P33" s="852"/>
      <c r="Q33" s="852"/>
      <c r="R33" s="852"/>
      <c r="S33" s="852"/>
      <c r="T33" s="852"/>
      <c r="U33" s="852"/>
      <c r="V33" s="852"/>
      <c r="W33" s="852"/>
      <c r="X33" s="852"/>
      <c r="Y33" s="852"/>
      <c r="Z33" s="852"/>
      <c r="AA33" s="852"/>
    </row>
    <row r="34" spans="1:27" ht="15.75" customHeight="1" x14ac:dyDescent="0.25">
      <c r="A34" s="852"/>
      <c r="B34" s="852"/>
      <c r="C34" s="852"/>
      <c r="D34" s="852"/>
      <c r="E34" s="852"/>
      <c r="F34" s="852"/>
      <c r="G34" s="852"/>
      <c r="H34" s="852"/>
      <c r="I34" s="852"/>
      <c r="J34" s="852"/>
      <c r="K34" s="852"/>
      <c r="L34" s="852"/>
      <c r="M34" s="852"/>
      <c r="N34" s="852"/>
      <c r="O34" s="852"/>
      <c r="P34" s="852"/>
      <c r="Q34" s="852"/>
      <c r="R34" s="852"/>
      <c r="S34" s="852"/>
      <c r="T34" s="852"/>
      <c r="U34" s="852"/>
      <c r="V34" s="852"/>
      <c r="W34" s="852"/>
      <c r="X34" s="852"/>
      <c r="Y34" s="852"/>
      <c r="Z34" s="852"/>
      <c r="AA34" s="852"/>
    </row>
    <row r="35" spans="1:27" ht="15.75" customHeight="1" x14ac:dyDescent="0.25">
      <c r="A35" s="852"/>
      <c r="B35" s="852"/>
      <c r="C35" s="852"/>
      <c r="D35" s="852"/>
      <c r="E35" s="852"/>
      <c r="F35" s="852"/>
      <c r="G35" s="852"/>
      <c r="H35" s="852"/>
      <c r="I35" s="852"/>
      <c r="J35" s="852"/>
      <c r="K35" s="852"/>
      <c r="L35" s="852"/>
      <c r="M35" s="852"/>
      <c r="N35" s="852"/>
      <c r="O35" s="852"/>
      <c r="P35" s="852"/>
      <c r="Q35" s="852"/>
      <c r="R35" s="852"/>
      <c r="S35" s="852"/>
      <c r="T35" s="852"/>
      <c r="U35" s="852"/>
      <c r="V35" s="852"/>
      <c r="W35" s="852"/>
      <c r="X35" s="852"/>
      <c r="Y35" s="852"/>
      <c r="Z35" s="852"/>
      <c r="AA35" s="852"/>
    </row>
    <row r="36" spans="1:27" ht="15.75" customHeight="1" x14ac:dyDescent="0.25">
      <c r="A36" s="852"/>
      <c r="B36" s="852"/>
      <c r="C36" s="852"/>
      <c r="D36" s="852"/>
      <c r="E36" s="852"/>
      <c r="F36" s="852"/>
      <c r="G36" s="852"/>
      <c r="H36" s="852"/>
      <c r="I36" s="852"/>
      <c r="J36" s="852"/>
      <c r="K36" s="852"/>
      <c r="L36" s="852"/>
      <c r="M36" s="852"/>
      <c r="N36" s="852"/>
      <c r="O36" s="852"/>
      <c r="P36" s="852"/>
      <c r="Q36" s="852"/>
      <c r="R36" s="852"/>
      <c r="S36" s="852"/>
      <c r="T36" s="852"/>
      <c r="U36" s="852"/>
      <c r="V36" s="852"/>
      <c r="W36" s="852"/>
      <c r="X36" s="852"/>
      <c r="Y36" s="852"/>
      <c r="Z36" s="852"/>
      <c r="AA36" s="852"/>
    </row>
    <row r="37" spans="1:27" ht="15.75" customHeight="1" x14ac:dyDescent="0.25">
      <c r="A37" s="852"/>
      <c r="B37" s="852"/>
      <c r="C37" s="852"/>
      <c r="D37" s="852"/>
      <c r="E37" s="852"/>
      <c r="F37" s="852"/>
      <c r="G37" s="852"/>
      <c r="H37" s="852"/>
      <c r="I37" s="852"/>
      <c r="J37" s="852"/>
      <c r="K37" s="852"/>
      <c r="L37" s="852"/>
      <c r="M37" s="852"/>
      <c r="N37" s="852"/>
      <c r="O37" s="852"/>
      <c r="P37" s="852"/>
      <c r="Q37" s="852"/>
      <c r="R37" s="852"/>
      <c r="S37" s="852"/>
      <c r="T37" s="852"/>
      <c r="U37" s="852"/>
      <c r="V37" s="852"/>
      <c r="W37" s="852"/>
      <c r="X37" s="852"/>
      <c r="Y37" s="852"/>
      <c r="Z37" s="852"/>
      <c r="AA37" s="852"/>
    </row>
    <row r="38" spans="1:27" ht="15.75" customHeight="1" x14ac:dyDescent="0.25">
      <c r="A38" s="852"/>
      <c r="B38" s="852"/>
      <c r="C38" s="852"/>
      <c r="D38" s="852"/>
      <c r="E38" s="852"/>
      <c r="F38" s="852"/>
      <c r="G38" s="852"/>
      <c r="H38" s="852"/>
      <c r="I38" s="852"/>
      <c r="J38" s="852"/>
      <c r="K38" s="852"/>
      <c r="L38" s="852"/>
      <c r="M38" s="852"/>
      <c r="N38" s="852"/>
      <c r="O38" s="852"/>
      <c r="P38" s="852"/>
      <c r="Q38" s="852"/>
      <c r="R38" s="852"/>
      <c r="S38" s="852"/>
      <c r="T38" s="852"/>
      <c r="U38" s="852"/>
      <c r="V38" s="852"/>
      <c r="W38" s="852"/>
      <c r="X38" s="852"/>
      <c r="Y38" s="852"/>
      <c r="Z38" s="852"/>
      <c r="AA38" s="852"/>
    </row>
    <row r="39" spans="1:27" ht="15.75" customHeight="1" x14ac:dyDescent="0.25">
      <c r="A39" s="852"/>
      <c r="B39" s="852"/>
      <c r="C39" s="852"/>
      <c r="D39" s="852"/>
      <c r="E39" s="852"/>
      <c r="F39" s="852"/>
      <c r="G39" s="852"/>
      <c r="H39" s="852"/>
      <c r="I39" s="852"/>
      <c r="J39" s="852"/>
      <c r="K39" s="852"/>
      <c r="L39" s="852"/>
      <c r="M39" s="852"/>
      <c r="N39" s="852"/>
      <c r="O39" s="852"/>
      <c r="P39" s="852"/>
      <c r="Q39" s="852"/>
      <c r="R39" s="852"/>
      <c r="S39" s="852"/>
      <c r="T39" s="852"/>
      <c r="U39" s="852"/>
      <c r="V39" s="852"/>
      <c r="W39" s="852"/>
      <c r="X39" s="852"/>
      <c r="Y39" s="852"/>
      <c r="Z39" s="852"/>
      <c r="AA39" s="852"/>
    </row>
    <row r="40" spans="1:27" ht="15.75" customHeight="1" x14ac:dyDescent="0.25">
      <c r="A40" s="852"/>
      <c r="B40" s="852"/>
      <c r="C40" s="852"/>
      <c r="D40" s="852"/>
      <c r="E40" s="852"/>
      <c r="F40" s="852"/>
      <c r="G40" s="852"/>
      <c r="H40" s="852"/>
      <c r="I40" s="852"/>
      <c r="J40" s="852"/>
      <c r="K40" s="852"/>
      <c r="L40" s="852"/>
      <c r="M40" s="852"/>
      <c r="N40" s="852"/>
      <c r="O40" s="852"/>
      <c r="P40" s="852"/>
      <c r="Q40" s="852"/>
      <c r="R40" s="852"/>
      <c r="S40" s="852"/>
      <c r="T40" s="852"/>
      <c r="U40" s="852"/>
      <c r="V40" s="852"/>
      <c r="W40" s="852"/>
      <c r="X40" s="852"/>
      <c r="Y40" s="852"/>
      <c r="Z40" s="852"/>
      <c r="AA40" s="852"/>
    </row>
    <row r="41" spans="1:27" ht="15.75" customHeight="1" x14ac:dyDescent="0.25">
      <c r="A41" s="852"/>
      <c r="B41" s="852"/>
      <c r="C41" s="852"/>
      <c r="D41" s="852"/>
      <c r="E41" s="852"/>
      <c r="F41" s="852"/>
      <c r="G41" s="852"/>
      <c r="H41" s="852"/>
      <c r="I41" s="852"/>
      <c r="J41" s="852"/>
      <c r="K41" s="852"/>
      <c r="L41" s="852"/>
      <c r="M41" s="852"/>
      <c r="N41" s="852"/>
      <c r="O41" s="852"/>
      <c r="P41" s="852"/>
      <c r="Q41" s="852"/>
      <c r="R41" s="852"/>
      <c r="S41" s="852"/>
      <c r="T41" s="852"/>
      <c r="U41" s="852"/>
      <c r="V41" s="852"/>
      <c r="W41" s="852"/>
      <c r="X41" s="852"/>
      <c r="Y41" s="852"/>
      <c r="Z41" s="852"/>
      <c r="AA41" s="852"/>
    </row>
    <row r="42" spans="1:27" ht="15.75" customHeight="1" x14ac:dyDescent="0.25">
      <c r="A42" s="852"/>
      <c r="B42" s="852"/>
      <c r="C42" s="852"/>
      <c r="D42" s="852"/>
      <c r="E42" s="852"/>
      <c r="F42" s="852"/>
      <c r="G42" s="852"/>
      <c r="H42" s="852"/>
      <c r="I42" s="852"/>
      <c r="J42" s="852"/>
      <c r="K42" s="852"/>
      <c r="L42" s="852"/>
      <c r="M42" s="852"/>
      <c r="N42" s="852"/>
      <c r="O42" s="852"/>
      <c r="P42" s="852"/>
      <c r="Q42" s="852"/>
      <c r="R42" s="852"/>
      <c r="S42" s="852"/>
      <c r="T42" s="852"/>
      <c r="U42" s="852"/>
      <c r="V42" s="852"/>
      <c r="W42" s="852"/>
      <c r="X42" s="852"/>
      <c r="Y42" s="852"/>
      <c r="Z42" s="852"/>
      <c r="AA42" s="852"/>
    </row>
    <row r="43" spans="1:27" ht="15.75" customHeight="1" x14ac:dyDescent="0.25">
      <c r="A43" s="852"/>
      <c r="B43" s="852"/>
      <c r="C43" s="852"/>
      <c r="D43" s="852"/>
      <c r="E43" s="852"/>
      <c r="F43" s="852"/>
      <c r="G43" s="852"/>
      <c r="H43" s="852"/>
      <c r="I43" s="852"/>
      <c r="J43" s="852"/>
      <c r="K43" s="852"/>
      <c r="L43" s="852"/>
      <c r="M43" s="852"/>
      <c r="N43" s="852"/>
      <c r="O43" s="852"/>
      <c r="P43" s="852"/>
      <c r="Q43" s="852"/>
      <c r="R43" s="852"/>
      <c r="S43" s="852"/>
      <c r="T43" s="852"/>
      <c r="U43" s="852"/>
      <c r="V43" s="852"/>
      <c r="W43" s="852"/>
      <c r="X43" s="852"/>
      <c r="Y43" s="852"/>
      <c r="Z43" s="852"/>
      <c r="AA43" s="852"/>
    </row>
    <row r="44" spans="1:27" ht="15.75" customHeight="1" x14ac:dyDescent="0.25">
      <c r="A44" s="852"/>
      <c r="B44" s="852"/>
      <c r="C44" s="852"/>
      <c r="D44" s="852"/>
      <c r="E44" s="852"/>
      <c r="F44" s="852"/>
      <c r="G44" s="852"/>
      <c r="H44" s="852"/>
      <c r="I44" s="852"/>
      <c r="J44" s="852"/>
      <c r="K44" s="852"/>
      <c r="L44" s="852"/>
      <c r="M44" s="852"/>
      <c r="N44" s="852"/>
      <c r="O44" s="852"/>
      <c r="P44" s="852"/>
      <c r="Q44" s="852"/>
      <c r="R44" s="852"/>
      <c r="S44" s="852"/>
      <c r="T44" s="852"/>
      <c r="U44" s="852"/>
      <c r="V44" s="852"/>
      <c r="W44" s="852"/>
      <c r="X44" s="852"/>
      <c r="Y44" s="852"/>
      <c r="Z44" s="852"/>
      <c r="AA44" s="852"/>
    </row>
    <row r="45" spans="1:27" ht="15.75" customHeight="1" x14ac:dyDescent="0.25">
      <c r="A45" s="852"/>
      <c r="B45" s="852"/>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row>
    <row r="46" spans="1:27" ht="15.75" customHeight="1" x14ac:dyDescent="0.25">
      <c r="A46" s="852"/>
      <c r="B46" s="852"/>
      <c r="C46" s="852"/>
      <c r="D46" s="852"/>
      <c r="E46" s="852"/>
      <c r="F46" s="852"/>
      <c r="G46" s="852"/>
      <c r="H46" s="852"/>
      <c r="I46" s="852"/>
      <c r="J46" s="852"/>
      <c r="K46" s="852"/>
      <c r="L46" s="852"/>
      <c r="M46" s="852"/>
      <c r="N46" s="852"/>
      <c r="O46" s="852"/>
      <c r="P46" s="852"/>
      <c r="Q46" s="852"/>
      <c r="R46" s="852"/>
      <c r="S46" s="852"/>
      <c r="T46" s="852"/>
      <c r="U46" s="852"/>
      <c r="V46" s="852"/>
      <c r="W46" s="852"/>
      <c r="X46" s="852"/>
      <c r="Y46" s="852"/>
      <c r="Z46" s="852"/>
      <c r="AA46" s="852"/>
    </row>
    <row r="47" spans="1:27" ht="15.75" customHeight="1" x14ac:dyDescent="0.25">
      <c r="A47" s="852"/>
      <c r="B47" s="852"/>
      <c r="C47" s="852"/>
      <c r="D47" s="852"/>
      <c r="E47" s="852"/>
      <c r="F47" s="852"/>
      <c r="G47" s="852"/>
      <c r="H47" s="852"/>
      <c r="I47" s="852"/>
      <c r="J47" s="852"/>
      <c r="K47" s="852"/>
      <c r="L47" s="852"/>
      <c r="M47" s="852"/>
      <c r="N47" s="852"/>
      <c r="O47" s="852"/>
      <c r="P47" s="852"/>
      <c r="Q47" s="852"/>
      <c r="R47" s="852"/>
      <c r="S47" s="852"/>
      <c r="T47" s="852"/>
      <c r="U47" s="852"/>
      <c r="V47" s="852"/>
      <c r="W47" s="852"/>
      <c r="X47" s="852"/>
      <c r="Y47" s="852"/>
      <c r="Z47" s="852"/>
      <c r="AA47" s="852"/>
    </row>
    <row r="48" spans="1:27" ht="15.75" customHeight="1" x14ac:dyDescent="0.25">
      <c r="A48" s="852"/>
      <c r="B48" s="852"/>
      <c r="C48" s="852"/>
      <c r="D48" s="852"/>
      <c r="E48" s="852"/>
      <c r="F48" s="852"/>
      <c r="G48" s="852"/>
      <c r="H48" s="852"/>
      <c r="I48" s="852"/>
      <c r="J48" s="852"/>
      <c r="K48" s="852"/>
      <c r="L48" s="852"/>
      <c r="M48" s="852"/>
      <c r="N48" s="852"/>
      <c r="O48" s="852"/>
      <c r="P48" s="852"/>
      <c r="Q48" s="852"/>
      <c r="R48" s="852"/>
      <c r="S48" s="852"/>
      <c r="T48" s="852"/>
      <c r="U48" s="852"/>
      <c r="V48" s="852"/>
      <c r="W48" s="852"/>
      <c r="X48" s="852"/>
      <c r="Y48" s="852"/>
      <c r="Z48" s="852"/>
      <c r="AA48" s="852"/>
    </row>
    <row r="49" spans="1:27" ht="15.75" customHeight="1" x14ac:dyDescent="0.25">
      <c r="A49" s="852"/>
      <c r="B49" s="852"/>
      <c r="C49" s="852"/>
      <c r="D49" s="852"/>
      <c r="E49" s="852"/>
      <c r="F49" s="852"/>
      <c r="G49" s="852"/>
      <c r="H49" s="852"/>
      <c r="I49" s="852"/>
      <c r="J49" s="852"/>
      <c r="K49" s="852"/>
      <c r="L49" s="852"/>
      <c r="M49" s="852"/>
      <c r="N49" s="852"/>
      <c r="O49" s="852"/>
      <c r="P49" s="852"/>
      <c r="Q49" s="852"/>
      <c r="R49" s="852"/>
      <c r="S49" s="852"/>
      <c r="T49" s="852"/>
      <c r="U49" s="852"/>
      <c r="V49" s="852"/>
      <c r="W49" s="852"/>
      <c r="X49" s="852"/>
      <c r="Y49" s="852"/>
      <c r="Z49" s="852"/>
      <c r="AA49" s="852"/>
    </row>
    <row r="50" spans="1:27" ht="15.75" customHeight="1" x14ac:dyDescent="0.25">
      <c r="A50" s="852"/>
      <c r="B50" s="852"/>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row>
    <row r="51" spans="1:27" ht="15.75" customHeight="1" x14ac:dyDescent="0.25">
      <c r="A51" s="852"/>
      <c r="B51" s="852"/>
      <c r="C51" s="852"/>
      <c r="D51" s="852"/>
      <c r="E51" s="852"/>
      <c r="F51" s="852"/>
      <c r="G51" s="852"/>
      <c r="H51" s="852"/>
      <c r="I51" s="852"/>
      <c r="J51" s="852"/>
      <c r="K51" s="852"/>
      <c r="L51" s="852"/>
      <c r="M51" s="852"/>
      <c r="N51" s="852"/>
      <c r="O51" s="852"/>
      <c r="P51" s="852"/>
      <c r="Q51" s="852"/>
      <c r="R51" s="852"/>
      <c r="S51" s="852"/>
      <c r="T51" s="852"/>
      <c r="U51" s="852"/>
      <c r="V51" s="852"/>
      <c r="W51" s="852"/>
      <c r="X51" s="852"/>
      <c r="Y51" s="852"/>
      <c r="Z51" s="852"/>
      <c r="AA51" s="852"/>
    </row>
    <row r="52" spans="1:27" ht="15.75" customHeight="1" x14ac:dyDescent="0.25">
      <c r="A52" s="852"/>
      <c r="B52" s="852"/>
      <c r="C52" s="852"/>
      <c r="D52" s="852"/>
      <c r="E52" s="852"/>
      <c r="F52" s="852"/>
      <c r="G52" s="852"/>
      <c r="H52" s="852"/>
      <c r="I52" s="852"/>
      <c r="J52" s="852"/>
      <c r="K52" s="852"/>
      <c r="L52" s="852"/>
      <c r="M52" s="852"/>
      <c r="N52" s="852"/>
      <c r="O52" s="852"/>
      <c r="P52" s="852"/>
      <c r="Q52" s="852"/>
      <c r="R52" s="852"/>
      <c r="S52" s="852"/>
      <c r="T52" s="852"/>
      <c r="U52" s="852"/>
      <c r="V52" s="852"/>
      <c r="W52" s="852"/>
      <c r="X52" s="852"/>
      <c r="Y52" s="852"/>
      <c r="Z52" s="852"/>
      <c r="AA52" s="852"/>
    </row>
    <row r="53" spans="1:27" ht="15.75" customHeight="1" x14ac:dyDescent="0.25">
      <c r="A53" s="852"/>
      <c r="B53" s="852"/>
      <c r="C53" s="852"/>
      <c r="D53" s="852"/>
      <c r="E53" s="852"/>
      <c r="F53" s="852"/>
      <c r="G53" s="852"/>
      <c r="H53" s="852"/>
      <c r="I53" s="852"/>
      <c r="J53" s="852"/>
      <c r="K53" s="852"/>
      <c r="L53" s="852"/>
      <c r="M53" s="852"/>
      <c r="N53" s="852"/>
      <c r="O53" s="852"/>
      <c r="P53" s="852"/>
      <c r="Q53" s="852"/>
      <c r="R53" s="852"/>
      <c r="S53" s="852"/>
      <c r="T53" s="852"/>
      <c r="U53" s="852"/>
      <c r="V53" s="852"/>
      <c r="W53" s="852"/>
      <c r="X53" s="852"/>
      <c r="Y53" s="852"/>
      <c r="Z53" s="852"/>
      <c r="AA53" s="852"/>
    </row>
    <row r="54" spans="1:27" ht="15.75" customHeight="1" x14ac:dyDescent="0.25">
      <c r="A54" s="852"/>
      <c r="B54" s="852"/>
      <c r="C54" s="852"/>
      <c r="D54" s="852"/>
      <c r="E54" s="852"/>
      <c r="F54" s="852"/>
      <c r="G54" s="852"/>
      <c r="H54" s="852"/>
      <c r="I54" s="852"/>
      <c r="J54" s="852"/>
      <c r="K54" s="852"/>
      <c r="L54" s="852"/>
      <c r="M54" s="852"/>
      <c r="N54" s="852"/>
      <c r="O54" s="852"/>
      <c r="P54" s="852"/>
      <c r="Q54" s="852"/>
      <c r="R54" s="852"/>
      <c r="S54" s="852"/>
      <c r="T54" s="852"/>
      <c r="U54" s="852"/>
      <c r="V54" s="852"/>
      <c r="W54" s="852"/>
      <c r="X54" s="852"/>
      <c r="Y54" s="852"/>
      <c r="Z54" s="852"/>
      <c r="AA54" s="852"/>
    </row>
    <row r="55" spans="1:27" ht="15.75" customHeight="1" x14ac:dyDescent="0.25">
      <c r="A55" s="852"/>
      <c r="B55" s="852"/>
      <c r="C55" s="852"/>
      <c r="D55" s="852"/>
      <c r="E55" s="852"/>
      <c r="F55" s="852"/>
      <c r="G55" s="852"/>
      <c r="H55" s="852"/>
      <c r="I55" s="852"/>
      <c r="J55" s="852"/>
      <c r="K55" s="852"/>
      <c r="L55" s="852"/>
      <c r="M55" s="852"/>
      <c r="N55" s="852"/>
      <c r="O55" s="852"/>
      <c r="P55" s="852"/>
      <c r="Q55" s="852"/>
      <c r="R55" s="852"/>
      <c r="S55" s="852"/>
      <c r="T55" s="852"/>
      <c r="U55" s="852"/>
      <c r="V55" s="852"/>
      <c r="W55" s="852"/>
      <c r="X55" s="852"/>
      <c r="Y55" s="852"/>
      <c r="Z55" s="852"/>
      <c r="AA55" s="852"/>
    </row>
    <row r="56" spans="1:27" ht="15.75" customHeight="1" x14ac:dyDescent="0.25">
      <c r="A56" s="852"/>
      <c r="B56" s="852"/>
      <c r="C56" s="852"/>
      <c r="D56" s="852"/>
      <c r="E56" s="852"/>
      <c r="F56" s="852"/>
      <c r="G56" s="852"/>
      <c r="H56" s="852"/>
      <c r="I56" s="852"/>
      <c r="J56" s="852"/>
      <c r="K56" s="852"/>
      <c r="L56" s="852"/>
      <c r="M56" s="852"/>
      <c r="N56" s="852"/>
      <c r="O56" s="852"/>
      <c r="P56" s="852"/>
      <c r="Q56" s="852"/>
      <c r="R56" s="852"/>
      <c r="S56" s="852"/>
      <c r="T56" s="852"/>
      <c r="U56" s="852"/>
      <c r="V56" s="852"/>
      <c r="W56" s="852"/>
      <c r="X56" s="852"/>
      <c r="Y56" s="852"/>
      <c r="Z56" s="852"/>
      <c r="AA56" s="852"/>
    </row>
    <row r="57" spans="1:27" ht="15.75" customHeight="1" x14ac:dyDescent="0.25">
      <c r="A57" s="852"/>
      <c r="B57" s="852"/>
      <c r="C57" s="852"/>
      <c r="D57" s="852"/>
      <c r="E57" s="852"/>
      <c r="F57" s="852"/>
      <c r="G57" s="852"/>
      <c r="H57" s="852"/>
      <c r="I57" s="852"/>
      <c r="J57" s="852"/>
      <c r="K57" s="852"/>
      <c r="L57" s="852"/>
      <c r="M57" s="852"/>
      <c r="N57" s="852"/>
      <c r="O57" s="852"/>
      <c r="P57" s="852"/>
      <c r="Q57" s="852"/>
      <c r="R57" s="852"/>
      <c r="S57" s="852"/>
      <c r="T57" s="852"/>
      <c r="U57" s="852"/>
      <c r="V57" s="852"/>
      <c r="W57" s="852"/>
      <c r="X57" s="852"/>
      <c r="Y57" s="852"/>
      <c r="Z57" s="852"/>
      <c r="AA57" s="852"/>
    </row>
    <row r="58" spans="1:27" ht="15.75" customHeight="1" x14ac:dyDescent="0.25">
      <c r="A58" s="852"/>
      <c r="B58" s="852"/>
      <c r="C58" s="852"/>
      <c r="D58" s="852"/>
      <c r="E58" s="852"/>
      <c r="F58" s="852"/>
      <c r="G58" s="852"/>
      <c r="H58" s="852"/>
      <c r="I58" s="852"/>
      <c r="J58" s="852"/>
      <c r="K58" s="852"/>
      <c r="L58" s="852"/>
      <c r="M58" s="852"/>
      <c r="N58" s="852"/>
      <c r="O58" s="852"/>
      <c r="P58" s="852"/>
      <c r="Q58" s="852"/>
      <c r="R58" s="852"/>
      <c r="S58" s="852"/>
      <c r="T58" s="852"/>
      <c r="U58" s="852"/>
      <c r="V58" s="852"/>
      <c r="W58" s="852"/>
      <c r="X58" s="852"/>
      <c r="Y58" s="852"/>
      <c r="Z58" s="852"/>
      <c r="AA58" s="852"/>
    </row>
    <row r="59" spans="1:27" ht="15.75" customHeight="1" x14ac:dyDescent="0.25">
      <c r="A59" s="852"/>
      <c r="B59" s="852"/>
      <c r="C59" s="852"/>
      <c r="D59" s="852"/>
      <c r="E59" s="852"/>
      <c r="F59" s="852"/>
      <c r="G59" s="852"/>
      <c r="H59" s="852"/>
      <c r="I59" s="852"/>
      <c r="J59" s="852"/>
      <c r="K59" s="852"/>
      <c r="L59" s="852"/>
      <c r="M59" s="852"/>
      <c r="N59" s="852"/>
      <c r="O59" s="852"/>
      <c r="P59" s="852"/>
      <c r="Q59" s="852"/>
      <c r="R59" s="852"/>
      <c r="S59" s="852"/>
      <c r="T59" s="852"/>
      <c r="U59" s="852"/>
      <c r="V59" s="852"/>
      <c r="W59" s="852"/>
      <c r="X59" s="852"/>
      <c r="Y59" s="852"/>
      <c r="Z59" s="852"/>
      <c r="AA59" s="852"/>
    </row>
    <row r="60" spans="1:27" ht="15.75" customHeight="1" x14ac:dyDescent="0.25">
      <c r="A60" s="852"/>
      <c r="B60" s="852"/>
      <c r="C60" s="852"/>
      <c r="D60" s="852"/>
      <c r="E60" s="852"/>
      <c r="F60" s="852"/>
      <c r="G60" s="852"/>
      <c r="H60" s="852"/>
      <c r="I60" s="852"/>
      <c r="J60" s="852"/>
      <c r="K60" s="852"/>
      <c r="L60" s="852"/>
      <c r="M60" s="852"/>
      <c r="N60" s="852"/>
      <c r="O60" s="852"/>
      <c r="P60" s="852"/>
      <c r="Q60" s="852"/>
      <c r="R60" s="852"/>
      <c r="S60" s="852"/>
      <c r="T60" s="852"/>
      <c r="U60" s="852"/>
      <c r="V60" s="852"/>
      <c r="W60" s="852"/>
      <c r="X60" s="852"/>
      <c r="Y60" s="852"/>
      <c r="Z60" s="852"/>
      <c r="AA60" s="852"/>
    </row>
    <row r="61" spans="1:27" ht="15.75" customHeight="1" x14ac:dyDescent="0.25">
      <c r="A61" s="852"/>
      <c r="B61" s="852"/>
      <c r="C61" s="852"/>
      <c r="D61" s="852"/>
      <c r="E61" s="852"/>
      <c r="F61" s="852"/>
      <c r="G61" s="852"/>
      <c r="H61" s="852"/>
      <c r="I61" s="852"/>
      <c r="J61" s="852"/>
      <c r="K61" s="852"/>
      <c r="L61" s="852"/>
      <c r="M61" s="852"/>
      <c r="N61" s="852"/>
      <c r="O61" s="852"/>
      <c r="P61" s="852"/>
      <c r="Q61" s="852"/>
      <c r="R61" s="852"/>
      <c r="S61" s="852"/>
      <c r="T61" s="852"/>
      <c r="U61" s="852"/>
      <c r="V61" s="852"/>
      <c r="W61" s="852"/>
      <c r="X61" s="852"/>
      <c r="Y61" s="852"/>
      <c r="Z61" s="852"/>
      <c r="AA61" s="852"/>
    </row>
    <row r="62" spans="1:27" ht="15.75" customHeight="1" x14ac:dyDescent="0.25">
      <c r="A62" s="852"/>
      <c r="B62" s="852"/>
      <c r="C62" s="852"/>
      <c r="D62" s="852"/>
      <c r="E62" s="852"/>
      <c r="F62" s="852"/>
      <c r="G62" s="852"/>
      <c r="H62" s="852"/>
      <c r="I62" s="852"/>
      <c r="J62" s="852"/>
      <c r="K62" s="852"/>
      <c r="L62" s="852"/>
      <c r="M62" s="852"/>
      <c r="N62" s="852"/>
      <c r="O62" s="852"/>
      <c r="P62" s="852"/>
      <c r="Q62" s="852"/>
      <c r="R62" s="852"/>
      <c r="S62" s="852"/>
      <c r="T62" s="852"/>
      <c r="U62" s="852"/>
      <c r="V62" s="852"/>
      <c r="W62" s="852"/>
      <c r="X62" s="852"/>
      <c r="Y62" s="852"/>
      <c r="Z62" s="852"/>
      <c r="AA62" s="852"/>
    </row>
    <row r="63" spans="1:27" ht="15.75" customHeight="1" x14ac:dyDescent="0.25">
      <c r="A63" s="852"/>
      <c r="B63" s="852"/>
      <c r="C63" s="852"/>
      <c r="D63" s="852"/>
      <c r="E63" s="852"/>
      <c r="F63" s="852"/>
      <c r="G63" s="852"/>
      <c r="H63" s="852"/>
      <c r="I63" s="852"/>
      <c r="J63" s="852"/>
      <c r="K63" s="852"/>
      <c r="L63" s="852"/>
      <c r="M63" s="852"/>
      <c r="N63" s="852"/>
      <c r="O63" s="852"/>
      <c r="P63" s="852"/>
      <c r="Q63" s="852"/>
      <c r="R63" s="852"/>
      <c r="S63" s="852"/>
      <c r="T63" s="852"/>
      <c r="U63" s="852"/>
      <c r="V63" s="852"/>
      <c r="W63" s="852"/>
      <c r="X63" s="852"/>
      <c r="Y63" s="852"/>
      <c r="Z63" s="852"/>
      <c r="AA63" s="852"/>
    </row>
    <row r="64" spans="1:27" ht="15.75" customHeight="1" x14ac:dyDescent="0.25">
      <c r="A64" s="852"/>
      <c r="B64" s="852"/>
      <c r="C64" s="852"/>
      <c r="D64" s="852"/>
      <c r="E64" s="852"/>
      <c r="F64" s="852"/>
      <c r="G64" s="852"/>
      <c r="H64" s="852"/>
      <c r="I64" s="852"/>
      <c r="J64" s="852"/>
      <c r="K64" s="852"/>
      <c r="L64" s="852"/>
      <c r="M64" s="852"/>
      <c r="N64" s="852"/>
      <c r="O64" s="852"/>
      <c r="P64" s="852"/>
      <c r="Q64" s="852"/>
      <c r="R64" s="852"/>
      <c r="S64" s="852"/>
      <c r="T64" s="852"/>
      <c r="U64" s="852"/>
      <c r="V64" s="852"/>
      <c r="W64" s="852"/>
      <c r="X64" s="852"/>
      <c r="Y64" s="852"/>
      <c r="Z64" s="852"/>
      <c r="AA64" s="852"/>
    </row>
    <row r="65" spans="1:27" ht="15.75" customHeight="1" x14ac:dyDescent="0.25">
      <c r="A65" s="852"/>
      <c r="B65" s="852"/>
      <c r="C65" s="852"/>
      <c r="D65" s="852"/>
      <c r="E65" s="852"/>
      <c r="F65" s="852"/>
      <c r="G65" s="852"/>
      <c r="H65" s="852"/>
      <c r="I65" s="852"/>
      <c r="J65" s="852"/>
      <c r="K65" s="852"/>
      <c r="L65" s="852"/>
      <c r="M65" s="852"/>
      <c r="N65" s="852"/>
      <c r="O65" s="852"/>
      <c r="P65" s="852"/>
      <c r="Q65" s="852"/>
      <c r="R65" s="852"/>
      <c r="S65" s="852"/>
      <c r="T65" s="852"/>
      <c r="U65" s="852"/>
      <c r="V65" s="852"/>
      <c r="W65" s="852"/>
      <c r="X65" s="852"/>
      <c r="Y65" s="852"/>
      <c r="Z65" s="852"/>
      <c r="AA65" s="852"/>
    </row>
    <row r="66" spans="1:27" ht="15.75" customHeight="1" x14ac:dyDescent="0.25">
      <c r="A66" s="852"/>
      <c r="B66" s="852"/>
      <c r="C66" s="852"/>
      <c r="D66" s="852"/>
      <c r="E66" s="852"/>
      <c r="F66" s="852"/>
      <c r="G66" s="852"/>
      <c r="H66" s="852"/>
      <c r="I66" s="852"/>
      <c r="J66" s="852"/>
      <c r="K66" s="852"/>
      <c r="L66" s="852"/>
      <c r="M66" s="852"/>
      <c r="N66" s="852"/>
      <c r="O66" s="852"/>
      <c r="P66" s="852"/>
      <c r="Q66" s="852"/>
      <c r="R66" s="852"/>
      <c r="S66" s="852"/>
      <c r="T66" s="852"/>
      <c r="U66" s="852"/>
      <c r="V66" s="852"/>
      <c r="W66" s="852"/>
      <c r="X66" s="852"/>
      <c r="Y66" s="852"/>
      <c r="Z66" s="852"/>
      <c r="AA66" s="852"/>
    </row>
    <row r="67" spans="1:27" ht="15.75" customHeight="1" x14ac:dyDescent="0.25">
      <c r="A67" s="852"/>
      <c r="B67" s="852"/>
      <c r="C67" s="852"/>
      <c r="D67" s="852"/>
      <c r="E67" s="852"/>
      <c r="F67" s="852"/>
      <c r="G67" s="852"/>
      <c r="H67" s="852"/>
      <c r="I67" s="852"/>
      <c r="J67" s="852"/>
      <c r="K67" s="852"/>
      <c r="L67" s="852"/>
      <c r="M67" s="852"/>
      <c r="N67" s="852"/>
      <c r="O67" s="852"/>
      <c r="P67" s="852"/>
      <c r="Q67" s="852"/>
      <c r="R67" s="852"/>
      <c r="S67" s="852"/>
      <c r="T67" s="852"/>
      <c r="U67" s="852"/>
      <c r="V67" s="852"/>
      <c r="W67" s="852"/>
      <c r="X67" s="852"/>
      <c r="Y67" s="852"/>
      <c r="Z67" s="852"/>
      <c r="AA67" s="852"/>
    </row>
    <row r="68" spans="1:27" ht="15.75" customHeight="1" x14ac:dyDescent="0.25">
      <c r="A68" s="852"/>
      <c r="B68" s="852"/>
      <c r="C68" s="852"/>
      <c r="D68" s="852"/>
      <c r="E68" s="852"/>
      <c r="F68" s="852"/>
      <c r="G68" s="852"/>
      <c r="H68" s="852"/>
      <c r="I68" s="852"/>
      <c r="J68" s="852"/>
      <c r="K68" s="852"/>
      <c r="L68" s="852"/>
      <c r="M68" s="852"/>
      <c r="N68" s="852"/>
      <c r="O68" s="852"/>
      <c r="P68" s="852"/>
      <c r="Q68" s="852"/>
      <c r="R68" s="852"/>
      <c r="S68" s="852"/>
      <c r="T68" s="852"/>
      <c r="U68" s="852"/>
      <c r="V68" s="852"/>
      <c r="W68" s="852"/>
      <c r="X68" s="852"/>
      <c r="Y68" s="852"/>
      <c r="Z68" s="852"/>
      <c r="AA68" s="852"/>
    </row>
    <row r="69" spans="1:27" ht="15.75" customHeight="1" x14ac:dyDescent="0.25">
      <c r="A69" s="852"/>
      <c r="B69" s="852"/>
      <c r="C69" s="852"/>
      <c r="D69" s="852"/>
      <c r="E69" s="852"/>
      <c r="F69" s="852"/>
      <c r="G69" s="852"/>
      <c r="H69" s="852"/>
      <c r="I69" s="852"/>
      <c r="J69" s="852"/>
      <c r="K69" s="852"/>
      <c r="L69" s="852"/>
      <c r="M69" s="852"/>
      <c r="N69" s="852"/>
      <c r="O69" s="852"/>
      <c r="P69" s="852"/>
      <c r="Q69" s="852"/>
      <c r="R69" s="852"/>
      <c r="S69" s="852"/>
      <c r="T69" s="852"/>
      <c r="U69" s="852"/>
      <c r="V69" s="852"/>
      <c r="W69" s="852"/>
      <c r="X69" s="852"/>
      <c r="Y69" s="852"/>
      <c r="Z69" s="852"/>
      <c r="AA69" s="852"/>
    </row>
    <row r="70" spans="1:27" ht="15.75" customHeight="1" x14ac:dyDescent="0.25">
      <c r="A70" s="852"/>
      <c r="B70" s="852"/>
      <c r="C70" s="852"/>
      <c r="D70" s="852"/>
      <c r="E70" s="852"/>
      <c r="F70" s="852"/>
      <c r="G70" s="852"/>
      <c r="H70" s="852"/>
      <c r="I70" s="852"/>
      <c r="J70" s="852"/>
      <c r="K70" s="852"/>
      <c r="L70" s="852"/>
      <c r="M70" s="852"/>
      <c r="N70" s="852"/>
      <c r="O70" s="852"/>
      <c r="P70" s="852"/>
      <c r="Q70" s="852"/>
      <c r="R70" s="852"/>
      <c r="S70" s="852"/>
      <c r="T70" s="852"/>
      <c r="U70" s="852"/>
      <c r="V70" s="852"/>
      <c r="W70" s="852"/>
      <c r="X70" s="852"/>
      <c r="Y70" s="852"/>
      <c r="Z70" s="852"/>
      <c r="AA70" s="852"/>
    </row>
    <row r="71" spans="1:27" ht="15.75" customHeight="1" x14ac:dyDescent="0.25">
      <c r="A71" s="852"/>
      <c r="B71" s="852"/>
      <c r="C71" s="852"/>
      <c r="D71" s="852"/>
      <c r="E71" s="852"/>
      <c r="F71" s="852"/>
      <c r="G71" s="852"/>
      <c r="H71" s="852"/>
      <c r="I71" s="852"/>
      <c r="J71" s="852"/>
      <c r="K71" s="852"/>
      <c r="L71" s="852"/>
      <c r="M71" s="852"/>
      <c r="N71" s="852"/>
      <c r="O71" s="852"/>
      <c r="P71" s="852"/>
      <c r="Q71" s="852"/>
      <c r="R71" s="852"/>
      <c r="S71" s="852"/>
      <c r="T71" s="852"/>
      <c r="U71" s="852"/>
      <c r="V71" s="852"/>
      <c r="W71" s="852"/>
      <c r="X71" s="852"/>
      <c r="Y71" s="852"/>
      <c r="Z71" s="852"/>
      <c r="AA71" s="852"/>
    </row>
    <row r="72" spans="1:27" ht="15.75" customHeight="1" x14ac:dyDescent="0.25">
      <c r="A72" s="852"/>
      <c r="B72" s="852"/>
      <c r="C72" s="852"/>
      <c r="D72" s="852"/>
      <c r="E72" s="852"/>
      <c r="F72" s="852"/>
      <c r="G72" s="852"/>
      <c r="H72" s="852"/>
      <c r="I72" s="852"/>
      <c r="J72" s="852"/>
      <c r="K72" s="852"/>
      <c r="L72" s="852"/>
      <c r="M72" s="852"/>
      <c r="N72" s="852"/>
      <c r="O72" s="852"/>
      <c r="P72" s="852"/>
      <c r="Q72" s="852"/>
      <c r="R72" s="852"/>
      <c r="S72" s="852"/>
      <c r="T72" s="852"/>
      <c r="U72" s="852"/>
      <c r="V72" s="852"/>
      <c r="W72" s="852"/>
      <c r="X72" s="852"/>
      <c r="Y72" s="852"/>
      <c r="Z72" s="852"/>
      <c r="AA72" s="852"/>
    </row>
    <row r="73" spans="1:27" ht="15.75" customHeight="1" x14ac:dyDescent="0.25">
      <c r="A73" s="852"/>
      <c r="B73" s="852"/>
      <c r="C73" s="852"/>
      <c r="D73" s="852"/>
      <c r="E73" s="852"/>
      <c r="F73" s="852"/>
      <c r="G73" s="852"/>
      <c r="H73" s="852"/>
      <c r="I73" s="852"/>
      <c r="J73" s="852"/>
      <c r="K73" s="852"/>
      <c r="L73" s="852"/>
      <c r="M73" s="852"/>
      <c r="N73" s="852"/>
      <c r="O73" s="852"/>
      <c r="P73" s="852"/>
      <c r="Q73" s="852"/>
      <c r="R73" s="852"/>
      <c r="S73" s="852"/>
      <c r="T73" s="852"/>
      <c r="U73" s="852"/>
      <c r="V73" s="852"/>
      <c r="W73" s="852"/>
      <c r="X73" s="852"/>
      <c r="Y73" s="852"/>
      <c r="Z73" s="852"/>
      <c r="AA73" s="852"/>
    </row>
    <row r="74" spans="1:27" ht="15.75" customHeight="1" x14ac:dyDescent="0.25">
      <c r="A74" s="852"/>
      <c r="B74" s="852"/>
      <c r="C74" s="852"/>
      <c r="D74" s="852"/>
      <c r="E74" s="852"/>
      <c r="F74" s="852"/>
      <c r="G74" s="852"/>
      <c r="H74" s="852"/>
      <c r="I74" s="852"/>
      <c r="J74" s="852"/>
      <c r="K74" s="852"/>
      <c r="L74" s="852"/>
      <c r="M74" s="852"/>
      <c r="N74" s="852"/>
      <c r="O74" s="852"/>
      <c r="P74" s="852"/>
      <c r="Q74" s="852"/>
      <c r="R74" s="852"/>
      <c r="S74" s="852"/>
      <c r="T74" s="852"/>
      <c r="U74" s="852"/>
      <c r="V74" s="852"/>
      <c r="W74" s="852"/>
      <c r="X74" s="852"/>
      <c r="Y74" s="852"/>
      <c r="Z74" s="852"/>
      <c r="AA74" s="852"/>
    </row>
    <row r="75" spans="1:27" ht="15.75" customHeight="1" x14ac:dyDescent="0.25">
      <c r="A75" s="852"/>
      <c r="B75" s="852"/>
      <c r="C75" s="852"/>
      <c r="D75" s="852"/>
      <c r="E75" s="852"/>
      <c r="F75" s="852"/>
      <c r="G75" s="852"/>
      <c r="H75" s="852"/>
      <c r="I75" s="852"/>
      <c r="J75" s="852"/>
      <c r="K75" s="852"/>
      <c r="L75" s="852"/>
      <c r="M75" s="852"/>
      <c r="N75" s="852"/>
      <c r="O75" s="852"/>
      <c r="P75" s="852"/>
      <c r="Q75" s="852"/>
      <c r="R75" s="852"/>
      <c r="S75" s="852"/>
      <c r="T75" s="852"/>
      <c r="U75" s="852"/>
      <c r="V75" s="852"/>
      <c r="W75" s="852"/>
      <c r="X75" s="852"/>
      <c r="Y75" s="852"/>
      <c r="Z75" s="852"/>
      <c r="AA75" s="852"/>
    </row>
    <row r="76" spans="1:27" ht="15.75" customHeight="1" x14ac:dyDescent="0.25">
      <c r="A76" s="852"/>
      <c r="B76" s="852"/>
      <c r="C76" s="852"/>
      <c r="D76" s="852"/>
      <c r="E76" s="852"/>
      <c r="F76" s="852"/>
      <c r="G76" s="852"/>
      <c r="H76" s="852"/>
      <c r="I76" s="852"/>
      <c r="J76" s="852"/>
      <c r="K76" s="852"/>
      <c r="L76" s="852"/>
      <c r="M76" s="852"/>
      <c r="N76" s="852"/>
      <c r="O76" s="852"/>
      <c r="P76" s="852"/>
      <c r="Q76" s="852"/>
      <c r="R76" s="852"/>
      <c r="S76" s="852"/>
      <c r="T76" s="852"/>
      <c r="U76" s="852"/>
      <c r="V76" s="852"/>
      <c r="W76" s="852"/>
      <c r="X76" s="852"/>
      <c r="Y76" s="852"/>
      <c r="Z76" s="852"/>
      <c r="AA76" s="852"/>
    </row>
    <row r="77" spans="1:27" ht="15.75" customHeight="1" x14ac:dyDescent="0.25">
      <c r="A77" s="852"/>
      <c r="B77" s="852"/>
      <c r="C77" s="852"/>
      <c r="D77" s="852"/>
      <c r="E77" s="852"/>
      <c r="F77" s="852"/>
      <c r="G77" s="852"/>
      <c r="H77" s="852"/>
      <c r="I77" s="852"/>
      <c r="J77" s="852"/>
      <c r="K77" s="852"/>
      <c r="L77" s="852"/>
      <c r="M77" s="852"/>
      <c r="N77" s="852"/>
      <c r="O77" s="852"/>
      <c r="P77" s="852"/>
      <c r="Q77" s="852"/>
      <c r="R77" s="852"/>
      <c r="S77" s="852"/>
      <c r="T77" s="852"/>
      <c r="U77" s="852"/>
      <c r="V77" s="852"/>
      <c r="W77" s="852"/>
      <c r="X77" s="852"/>
      <c r="Y77" s="852"/>
      <c r="Z77" s="852"/>
      <c r="AA77" s="852"/>
    </row>
    <row r="78" spans="1:27" ht="15.75" customHeight="1" x14ac:dyDescent="0.25">
      <c r="A78" s="852"/>
      <c r="B78" s="852"/>
      <c r="C78" s="852"/>
      <c r="D78" s="852"/>
      <c r="E78" s="852"/>
      <c r="F78" s="852"/>
      <c r="G78" s="852"/>
      <c r="H78" s="852"/>
      <c r="I78" s="852"/>
      <c r="J78" s="852"/>
      <c r="K78" s="852"/>
      <c r="L78" s="852"/>
      <c r="M78" s="852"/>
      <c r="N78" s="852"/>
      <c r="O78" s="852"/>
      <c r="P78" s="852"/>
      <c r="Q78" s="852"/>
      <c r="R78" s="852"/>
      <c r="S78" s="852"/>
      <c r="T78" s="852"/>
      <c r="U78" s="852"/>
      <c r="V78" s="852"/>
      <c r="W78" s="852"/>
      <c r="X78" s="852"/>
      <c r="Y78" s="852"/>
      <c r="Z78" s="852"/>
      <c r="AA78" s="852"/>
    </row>
    <row r="79" spans="1:27" ht="15.75" customHeight="1" x14ac:dyDescent="0.25">
      <c r="A79" s="852"/>
      <c r="B79" s="852"/>
      <c r="C79" s="852"/>
      <c r="D79" s="852"/>
      <c r="E79" s="852"/>
      <c r="F79" s="852"/>
      <c r="G79" s="852"/>
      <c r="H79" s="852"/>
      <c r="I79" s="852"/>
      <c r="J79" s="852"/>
      <c r="K79" s="852"/>
      <c r="L79" s="852"/>
      <c r="M79" s="852"/>
      <c r="N79" s="852"/>
      <c r="O79" s="852"/>
      <c r="P79" s="852"/>
      <c r="Q79" s="852"/>
      <c r="R79" s="852"/>
      <c r="S79" s="852"/>
      <c r="T79" s="852"/>
      <c r="U79" s="852"/>
      <c r="V79" s="852"/>
      <c r="W79" s="852"/>
      <c r="X79" s="852"/>
      <c r="Y79" s="852"/>
      <c r="Z79" s="852"/>
      <c r="AA79" s="852"/>
    </row>
    <row r="80" spans="1:27" ht="15.75" customHeight="1" x14ac:dyDescent="0.25">
      <c r="A80" s="852"/>
      <c r="B80" s="852"/>
      <c r="C80" s="852"/>
      <c r="D80" s="852"/>
      <c r="E80" s="852"/>
      <c r="F80" s="852"/>
      <c r="G80" s="852"/>
      <c r="H80" s="852"/>
      <c r="I80" s="852"/>
      <c r="J80" s="852"/>
      <c r="K80" s="852"/>
      <c r="L80" s="852"/>
      <c r="M80" s="852"/>
      <c r="N80" s="852"/>
      <c r="O80" s="852"/>
      <c r="P80" s="852"/>
      <c r="Q80" s="852"/>
      <c r="R80" s="852"/>
      <c r="S80" s="852"/>
      <c r="T80" s="852"/>
      <c r="U80" s="852"/>
      <c r="V80" s="852"/>
      <c r="W80" s="852"/>
      <c r="X80" s="852"/>
      <c r="Y80" s="852"/>
      <c r="Z80" s="852"/>
      <c r="AA80" s="852"/>
    </row>
    <row r="81" spans="1:27" ht="15.75" customHeight="1" x14ac:dyDescent="0.25">
      <c r="A81" s="852"/>
      <c r="B81" s="852"/>
      <c r="C81" s="852"/>
      <c r="D81" s="852"/>
      <c r="E81" s="852"/>
      <c r="F81" s="852"/>
      <c r="G81" s="852"/>
      <c r="H81" s="852"/>
      <c r="I81" s="852"/>
      <c r="J81" s="852"/>
      <c r="K81" s="852"/>
      <c r="L81" s="852"/>
      <c r="M81" s="852"/>
      <c r="N81" s="852"/>
      <c r="O81" s="852"/>
      <c r="P81" s="852"/>
      <c r="Q81" s="852"/>
      <c r="R81" s="852"/>
      <c r="S81" s="852"/>
      <c r="T81" s="852"/>
      <c r="U81" s="852"/>
      <c r="V81" s="852"/>
      <c r="W81" s="852"/>
      <c r="X81" s="852"/>
      <c r="Y81" s="852"/>
      <c r="Z81" s="852"/>
      <c r="AA81" s="852"/>
    </row>
    <row r="82" spans="1:27" ht="15.75" customHeight="1" x14ac:dyDescent="0.25">
      <c r="A82" s="852"/>
      <c r="B82" s="852"/>
      <c r="C82" s="852"/>
      <c r="D82" s="852"/>
      <c r="E82" s="852"/>
      <c r="F82" s="852"/>
      <c r="G82" s="852"/>
      <c r="H82" s="852"/>
      <c r="I82" s="852"/>
      <c r="J82" s="852"/>
      <c r="K82" s="852"/>
      <c r="L82" s="852"/>
      <c r="M82" s="852"/>
      <c r="N82" s="852"/>
      <c r="O82" s="852"/>
      <c r="P82" s="852"/>
      <c r="Q82" s="852"/>
      <c r="R82" s="852"/>
      <c r="S82" s="852"/>
      <c r="T82" s="852"/>
      <c r="U82" s="852"/>
      <c r="V82" s="852"/>
      <c r="W82" s="852"/>
      <c r="X82" s="852"/>
      <c r="Y82" s="852"/>
      <c r="Z82" s="852"/>
      <c r="AA82" s="852"/>
    </row>
    <row r="83" spans="1:27" ht="15.75" customHeight="1" x14ac:dyDescent="0.25">
      <c r="A83" s="852"/>
      <c r="B83" s="852"/>
      <c r="C83" s="852"/>
      <c r="D83" s="852"/>
      <c r="E83" s="852"/>
      <c r="F83" s="852"/>
      <c r="G83" s="852"/>
      <c r="H83" s="852"/>
      <c r="I83" s="852"/>
      <c r="J83" s="852"/>
      <c r="K83" s="852"/>
      <c r="L83" s="852"/>
      <c r="M83" s="852"/>
      <c r="N83" s="852"/>
      <c r="O83" s="852"/>
      <c r="P83" s="852"/>
      <c r="Q83" s="852"/>
      <c r="R83" s="852"/>
      <c r="S83" s="852"/>
      <c r="T83" s="852"/>
      <c r="U83" s="852"/>
      <c r="V83" s="852"/>
      <c r="W83" s="852"/>
      <c r="X83" s="852"/>
      <c r="Y83" s="852"/>
      <c r="Z83" s="852"/>
      <c r="AA83" s="852"/>
    </row>
    <row r="84" spans="1:27" ht="15.75" customHeight="1" x14ac:dyDescent="0.25">
      <c r="A84" s="852"/>
      <c r="B84" s="852"/>
      <c r="C84" s="852"/>
      <c r="D84" s="852"/>
      <c r="E84" s="852"/>
      <c r="F84" s="852"/>
      <c r="G84" s="852"/>
      <c r="H84" s="852"/>
      <c r="I84" s="852"/>
      <c r="J84" s="852"/>
      <c r="K84" s="852"/>
      <c r="L84" s="852"/>
      <c r="M84" s="852"/>
      <c r="N84" s="852"/>
      <c r="O84" s="852"/>
      <c r="P84" s="852"/>
      <c r="Q84" s="852"/>
      <c r="R84" s="852"/>
      <c r="S84" s="852"/>
      <c r="T84" s="852"/>
      <c r="U84" s="852"/>
      <c r="V84" s="852"/>
      <c r="W84" s="852"/>
      <c r="X84" s="852"/>
      <c r="Y84" s="852"/>
      <c r="Z84" s="852"/>
      <c r="AA84" s="852"/>
    </row>
    <row r="85" spans="1:27" ht="15.75" customHeight="1" x14ac:dyDescent="0.25">
      <c r="A85" s="852"/>
      <c r="B85" s="852"/>
      <c r="C85" s="852"/>
      <c r="D85" s="852"/>
      <c r="E85" s="852"/>
      <c r="F85" s="852"/>
      <c r="G85" s="852"/>
      <c r="H85" s="852"/>
      <c r="I85" s="852"/>
      <c r="J85" s="852"/>
      <c r="K85" s="852"/>
      <c r="L85" s="852"/>
      <c r="M85" s="852"/>
      <c r="N85" s="852"/>
      <c r="O85" s="852"/>
      <c r="P85" s="852"/>
      <c r="Q85" s="852"/>
      <c r="R85" s="852"/>
      <c r="S85" s="852"/>
      <c r="T85" s="852"/>
      <c r="U85" s="852"/>
      <c r="V85" s="852"/>
      <c r="W85" s="852"/>
      <c r="X85" s="852"/>
      <c r="Y85" s="852"/>
      <c r="Z85" s="852"/>
      <c r="AA85" s="852"/>
    </row>
    <row r="86" spans="1:27" ht="15.75" customHeight="1" x14ac:dyDescent="0.25">
      <c r="A86" s="852"/>
      <c r="B86" s="852"/>
      <c r="C86" s="852"/>
      <c r="D86" s="852"/>
      <c r="E86" s="852"/>
      <c r="F86" s="852"/>
      <c r="G86" s="852"/>
      <c r="H86" s="852"/>
      <c r="I86" s="852"/>
      <c r="J86" s="852"/>
      <c r="K86" s="852"/>
      <c r="L86" s="852"/>
      <c r="M86" s="852"/>
      <c r="N86" s="852"/>
      <c r="O86" s="852"/>
      <c r="P86" s="852"/>
      <c r="Q86" s="852"/>
      <c r="R86" s="852"/>
      <c r="S86" s="852"/>
      <c r="T86" s="852"/>
      <c r="U86" s="852"/>
      <c r="V86" s="852"/>
      <c r="W86" s="852"/>
      <c r="X86" s="852"/>
      <c r="Y86" s="852"/>
      <c r="Z86" s="852"/>
      <c r="AA86" s="852"/>
    </row>
    <row r="87" spans="1:27" ht="15.75" customHeight="1" x14ac:dyDescent="0.25">
      <c r="A87" s="852"/>
      <c r="B87" s="852"/>
      <c r="C87" s="852"/>
      <c r="D87" s="852"/>
      <c r="E87" s="852"/>
      <c r="F87" s="852"/>
      <c r="G87" s="852"/>
      <c r="H87" s="852"/>
      <c r="I87" s="852"/>
      <c r="J87" s="852"/>
      <c r="K87" s="852"/>
      <c r="L87" s="852"/>
      <c r="M87" s="852"/>
      <c r="N87" s="852"/>
      <c r="O87" s="852"/>
      <c r="P87" s="852"/>
      <c r="Q87" s="852"/>
      <c r="R87" s="852"/>
      <c r="S87" s="852"/>
      <c r="T87" s="852"/>
      <c r="U87" s="852"/>
      <c r="V87" s="852"/>
      <c r="W87" s="852"/>
      <c r="X87" s="852"/>
      <c r="Y87" s="852"/>
      <c r="Z87" s="852"/>
      <c r="AA87" s="852"/>
    </row>
    <row r="88" spans="1:27" ht="15.75" customHeight="1" x14ac:dyDescent="0.25">
      <c r="A88" s="852"/>
      <c r="B88" s="852"/>
      <c r="C88" s="852"/>
      <c r="D88" s="852"/>
      <c r="E88" s="852"/>
      <c r="F88" s="852"/>
      <c r="G88" s="852"/>
      <c r="H88" s="852"/>
      <c r="I88" s="852"/>
      <c r="J88" s="852"/>
      <c r="K88" s="852"/>
      <c r="L88" s="852"/>
      <c r="M88" s="852"/>
      <c r="N88" s="852"/>
      <c r="O88" s="852"/>
      <c r="P88" s="852"/>
      <c r="Q88" s="852"/>
      <c r="R88" s="852"/>
      <c r="S88" s="852"/>
      <c r="T88" s="852"/>
      <c r="U88" s="852"/>
      <c r="V88" s="852"/>
      <c r="W88" s="852"/>
      <c r="X88" s="852"/>
      <c r="Y88" s="852"/>
      <c r="Z88" s="852"/>
      <c r="AA88" s="852"/>
    </row>
    <row r="89" spans="1:27" ht="15.75" customHeight="1" x14ac:dyDescent="0.25">
      <c r="A89" s="852"/>
      <c r="B89" s="852"/>
      <c r="C89" s="852"/>
      <c r="D89" s="852"/>
      <c r="E89" s="852"/>
      <c r="F89" s="852"/>
      <c r="G89" s="852"/>
      <c r="H89" s="852"/>
      <c r="I89" s="852"/>
      <c r="J89" s="852"/>
      <c r="K89" s="852"/>
      <c r="L89" s="852"/>
      <c r="M89" s="852"/>
      <c r="N89" s="852"/>
      <c r="O89" s="852"/>
      <c r="P89" s="852"/>
      <c r="Q89" s="852"/>
      <c r="R89" s="852"/>
      <c r="S89" s="852"/>
      <c r="T89" s="852"/>
      <c r="U89" s="852"/>
      <c r="V89" s="852"/>
      <c r="W89" s="852"/>
      <c r="X89" s="852"/>
      <c r="Y89" s="852"/>
      <c r="Z89" s="852"/>
      <c r="AA89" s="852"/>
    </row>
    <row r="90" spans="1:27" ht="15.75" customHeight="1" x14ac:dyDescent="0.25">
      <c r="A90" s="852"/>
      <c r="B90" s="852"/>
      <c r="C90" s="852"/>
      <c r="D90" s="852"/>
      <c r="E90" s="852"/>
      <c r="F90" s="852"/>
      <c r="G90" s="852"/>
      <c r="H90" s="852"/>
      <c r="I90" s="852"/>
      <c r="J90" s="852"/>
      <c r="K90" s="852"/>
      <c r="L90" s="852"/>
      <c r="M90" s="852"/>
      <c r="N90" s="852"/>
      <c r="O90" s="852"/>
      <c r="P90" s="852"/>
      <c r="Q90" s="852"/>
      <c r="R90" s="852"/>
      <c r="S90" s="852"/>
      <c r="T90" s="852"/>
      <c r="U90" s="852"/>
      <c r="V90" s="852"/>
      <c r="W90" s="852"/>
      <c r="X90" s="852"/>
      <c r="Y90" s="852"/>
      <c r="Z90" s="852"/>
      <c r="AA90" s="852"/>
    </row>
    <row r="91" spans="1:27" ht="15.75" customHeight="1" x14ac:dyDescent="0.25">
      <c r="A91" s="852"/>
      <c r="B91" s="852"/>
      <c r="C91" s="852"/>
      <c r="D91" s="852"/>
      <c r="E91" s="852"/>
      <c r="F91" s="852"/>
      <c r="G91" s="852"/>
      <c r="H91" s="852"/>
      <c r="I91" s="852"/>
      <c r="J91" s="852"/>
      <c r="K91" s="852"/>
      <c r="L91" s="852"/>
      <c r="M91" s="852"/>
      <c r="N91" s="852"/>
      <c r="O91" s="852"/>
      <c r="P91" s="852"/>
      <c r="Q91" s="852"/>
      <c r="R91" s="852"/>
      <c r="S91" s="852"/>
      <c r="T91" s="852"/>
      <c r="U91" s="852"/>
      <c r="V91" s="852"/>
      <c r="W91" s="852"/>
      <c r="X91" s="852"/>
      <c r="Y91" s="852"/>
      <c r="Z91" s="852"/>
      <c r="AA91" s="852"/>
    </row>
    <row r="92" spans="1:27" ht="15.75" customHeight="1" x14ac:dyDescent="0.25">
      <c r="A92" s="852"/>
      <c r="B92" s="852"/>
      <c r="C92" s="852"/>
      <c r="D92" s="852"/>
      <c r="E92" s="852"/>
      <c r="F92" s="852"/>
      <c r="G92" s="852"/>
      <c r="H92" s="852"/>
      <c r="I92" s="852"/>
      <c r="J92" s="852"/>
      <c r="K92" s="852"/>
      <c r="L92" s="852"/>
      <c r="M92" s="852"/>
      <c r="N92" s="852"/>
      <c r="O92" s="852"/>
      <c r="P92" s="852"/>
      <c r="Q92" s="852"/>
      <c r="R92" s="852"/>
      <c r="S92" s="852"/>
      <c r="T92" s="852"/>
      <c r="U92" s="852"/>
      <c r="V92" s="852"/>
      <c r="W92" s="852"/>
      <c r="X92" s="852"/>
      <c r="Y92" s="852"/>
      <c r="Z92" s="852"/>
      <c r="AA92" s="852"/>
    </row>
    <row r="93" spans="1:27" ht="15.75" customHeight="1" x14ac:dyDescent="0.25">
      <c r="A93" s="852"/>
      <c r="B93" s="852"/>
      <c r="C93" s="852"/>
      <c r="D93" s="852"/>
      <c r="E93" s="852"/>
      <c r="F93" s="852"/>
      <c r="G93" s="852"/>
      <c r="H93" s="852"/>
      <c r="I93" s="852"/>
      <c r="J93" s="852"/>
      <c r="K93" s="852"/>
      <c r="L93" s="852"/>
      <c r="M93" s="852"/>
      <c r="N93" s="852"/>
      <c r="O93" s="852"/>
      <c r="P93" s="852"/>
      <c r="Q93" s="852"/>
      <c r="R93" s="852"/>
      <c r="S93" s="852"/>
      <c r="T93" s="852"/>
      <c r="U93" s="852"/>
      <c r="V93" s="852"/>
      <c r="W93" s="852"/>
      <c r="X93" s="852"/>
      <c r="Y93" s="852"/>
      <c r="Z93" s="852"/>
      <c r="AA93" s="852"/>
    </row>
    <row r="94" spans="1:27" ht="15.75" customHeight="1" x14ac:dyDescent="0.25">
      <c r="A94" s="852"/>
      <c r="B94" s="852"/>
      <c r="C94" s="852"/>
      <c r="D94" s="852"/>
      <c r="E94" s="852"/>
      <c r="F94" s="852"/>
      <c r="G94" s="852"/>
      <c r="H94" s="852"/>
      <c r="I94" s="852"/>
      <c r="J94" s="852"/>
      <c r="K94" s="852"/>
      <c r="L94" s="852"/>
      <c r="M94" s="852"/>
      <c r="N94" s="852"/>
      <c r="O94" s="852"/>
      <c r="P94" s="852"/>
      <c r="Q94" s="852"/>
      <c r="R94" s="852"/>
      <c r="S94" s="852"/>
      <c r="T94" s="852"/>
      <c r="U94" s="852"/>
      <c r="V94" s="852"/>
      <c r="W94" s="852"/>
      <c r="X94" s="852"/>
      <c r="Y94" s="852"/>
      <c r="Z94" s="852"/>
      <c r="AA94" s="852"/>
    </row>
    <row r="95" spans="1:27" ht="15.75" customHeight="1" x14ac:dyDescent="0.25">
      <c r="A95" s="852"/>
      <c r="B95" s="852"/>
      <c r="C95" s="852"/>
      <c r="D95" s="852"/>
      <c r="E95" s="852"/>
      <c r="F95" s="852"/>
      <c r="G95" s="852"/>
      <c r="H95" s="852"/>
      <c r="I95" s="852"/>
      <c r="J95" s="852"/>
      <c r="K95" s="852"/>
      <c r="L95" s="852"/>
      <c r="M95" s="852"/>
      <c r="N95" s="852"/>
      <c r="O95" s="852"/>
      <c r="P95" s="852"/>
      <c r="Q95" s="852"/>
      <c r="R95" s="852"/>
      <c r="S95" s="852"/>
      <c r="T95" s="852"/>
      <c r="U95" s="852"/>
      <c r="V95" s="852"/>
      <c r="W95" s="852"/>
      <c r="X95" s="852"/>
      <c r="Y95" s="852"/>
      <c r="Z95" s="852"/>
      <c r="AA95" s="852"/>
    </row>
    <row r="96" spans="1:27" ht="15.75" customHeight="1" x14ac:dyDescent="0.25">
      <c r="A96" s="852"/>
      <c r="B96" s="852"/>
      <c r="C96" s="852"/>
      <c r="D96" s="852"/>
      <c r="E96" s="852"/>
      <c r="F96" s="852"/>
      <c r="G96" s="852"/>
      <c r="H96" s="852"/>
      <c r="I96" s="852"/>
      <c r="J96" s="852"/>
      <c r="K96" s="852"/>
      <c r="L96" s="852"/>
      <c r="M96" s="852"/>
      <c r="N96" s="852"/>
      <c r="O96" s="852"/>
      <c r="P96" s="852"/>
      <c r="Q96" s="852"/>
      <c r="R96" s="852"/>
      <c r="S96" s="852"/>
      <c r="T96" s="852"/>
      <c r="U96" s="852"/>
      <c r="V96" s="852"/>
      <c r="W96" s="852"/>
      <c r="X96" s="852"/>
      <c r="Y96" s="852"/>
      <c r="Z96" s="852"/>
      <c r="AA96" s="852"/>
    </row>
    <row r="97" spans="1:27" ht="15.75" customHeight="1" x14ac:dyDescent="0.25">
      <c r="A97" s="852"/>
      <c r="B97" s="852"/>
      <c r="C97" s="852"/>
      <c r="D97" s="852"/>
      <c r="E97" s="852"/>
      <c r="F97" s="852"/>
      <c r="G97" s="852"/>
      <c r="H97" s="852"/>
      <c r="I97" s="852"/>
      <c r="J97" s="852"/>
      <c r="K97" s="852"/>
      <c r="L97" s="852"/>
      <c r="M97" s="852"/>
      <c r="N97" s="852"/>
      <c r="O97" s="852"/>
      <c r="P97" s="852"/>
      <c r="Q97" s="852"/>
      <c r="R97" s="852"/>
      <c r="S97" s="852"/>
      <c r="T97" s="852"/>
      <c r="U97" s="852"/>
      <c r="V97" s="852"/>
      <c r="W97" s="852"/>
      <c r="X97" s="852"/>
      <c r="Y97" s="852"/>
      <c r="Z97" s="852"/>
      <c r="AA97" s="852"/>
    </row>
    <row r="98" spans="1:27" ht="15.75" customHeight="1" x14ac:dyDescent="0.25">
      <c r="A98" s="852"/>
      <c r="B98" s="852"/>
      <c r="C98" s="852"/>
      <c r="D98" s="852"/>
      <c r="E98" s="852"/>
      <c r="F98" s="852"/>
      <c r="G98" s="852"/>
      <c r="H98" s="852"/>
      <c r="I98" s="852"/>
      <c r="J98" s="852"/>
      <c r="K98" s="852"/>
      <c r="L98" s="852"/>
      <c r="M98" s="852"/>
      <c r="N98" s="852"/>
      <c r="O98" s="852"/>
      <c r="P98" s="852"/>
      <c r="Q98" s="852"/>
      <c r="R98" s="852"/>
      <c r="S98" s="852"/>
      <c r="T98" s="852"/>
      <c r="U98" s="852"/>
      <c r="V98" s="852"/>
      <c r="W98" s="852"/>
      <c r="X98" s="852"/>
      <c r="Y98" s="852"/>
      <c r="Z98" s="852"/>
      <c r="AA98" s="852"/>
    </row>
    <row r="99" spans="1:27" ht="15.75" customHeight="1" x14ac:dyDescent="0.25">
      <c r="A99" s="852"/>
      <c r="B99" s="852"/>
      <c r="C99" s="852"/>
      <c r="D99" s="852"/>
      <c r="E99" s="852"/>
      <c r="F99" s="852"/>
      <c r="G99" s="852"/>
      <c r="H99" s="852"/>
      <c r="I99" s="852"/>
      <c r="J99" s="852"/>
      <c r="K99" s="852"/>
      <c r="L99" s="852"/>
      <c r="M99" s="852"/>
      <c r="N99" s="852"/>
      <c r="O99" s="852"/>
      <c r="P99" s="852"/>
      <c r="Q99" s="852"/>
      <c r="R99" s="852"/>
      <c r="S99" s="852"/>
      <c r="T99" s="852"/>
      <c r="U99" s="852"/>
      <c r="V99" s="852"/>
      <c r="W99" s="852"/>
      <c r="X99" s="852"/>
      <c r="Y99" s="852"/>
      <c r="Z99" s="852"/>
      <c r="AA99" s="852"/>
    </row>
    <row r="100" spans="1:27" ht="15.75" customHeight="1" x14ac:dyDescent="0.25">
      <c r="A100" s="852"/>
      <c r="B100" s="852"/>
      <c r="C100" s="852"/>
      <c r="D100" s="852"/>
      <c r="E100" s="852"/>
      <c r="F100" s="852"/>
      <c r="G100" s="852"/>
      <c r="H100" s="852"/>
      <c r="I100" s="852"/>
      <c r="J100" s="852"/>
      <c r="K100" s="852"/>
      <c r="L100" s="852"/>
      <c r="M100" s="852"/>
      <c r="N100" s="852"/>
      <c r="O100" s="852"/>
      <c r="P100" s="852"/>
      <c r="Q100" s="852"/>
      <c r="R100" s="852"/>
      <c r="S100" s="852"/>
      <c r="T100" s="852"/>
      <c r="U100" s="852"/>
      <c r="V100" s="852"/>
      <c r="W100" s="852"/>
      <c r="X100" s="852"/>
      <c r="Y100" s="852"/>
      <c r="Z100" s="852"/>
      <c r="AA100" s="852"/>
    </row>
    <row r="101" spans="1:27" ht="15.75" customHeight="1" x14ac:dyDescent="0.25">
      <c r="A101" s="852"/>
      <c r="B101" s="852"/>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row>
    <row r="102" spans="1:27" ht="15.75" customHeight="1" x14ac:dyDescent="0.25">
      <c r="A102" s="852"/>
      <c r="B102" s="852"/>
      <c r="C102" s="852"/>
      <c r="D102" s="852"/>
      <c r="E102" s="852"/>
      <c r="F102" s="852"/>
      <c r="G102" s="852"/>
      <c r="H102" s="852"/>
      <c r="I102" s="852"/>
      <c r="J102" s="852"/>
      <c r="K102" s="852"/>
      <c r="L102" s="852"/>
      <c r="M102" s="852"/>
      <c r="N102" s="852"/>
      <c r="O102" s="852"/>
      <c r="P102" s="852"/>
      <c r="Q102" s="852"/>
      <c r="R102" s="852"/>
      <c r="S102" s="852"/>
      <c r="T102" s="852"/>
      <c r="U102" s="852"/>
      <c r="V102" s="852"/>
      <c r="W102" s="852"/>
      <c r="X102" s="852"/>
      <c r="Y102" s="852"/>
      <c r="Z102" s="852"/>
      <c r="AA102" s="852"/>
    </row>
    <row r="103" spans="1:27" ht="15.75" customHeight="1" x14ac:dyDescent="0.25">
      <c r="A103" s="852"/>
      <c r="B103" s="852"/>
      <c r="C103" s="852"/>
      <c r="D103" s="852"/>
      <c r="E103" s="852"/>
      <c r="F103" s="852"/>
      <c r="G103" s="852"/>
      <c r="H103" s="852"/>
      <c r="I103" s="852"/>
      <c r="J103" s="852"/>
      <c r="K103" s="852"/>
      <c r="L103" s="852"/>
      <c r="M103" s="852"/>
      <c r="N103" s="852"/>
      <c r="O103" s="852"/>
      <c r="P103" s="852"/>
      <c r="Q103" s="852"/>
      <c r="R103" s="852"/>
      <c r="S103" s="852"/>
      <c r="T103" s="852"/>
      <c r="U103" s="852"/>
      <c r="V103" s="852"/>
      <c r="W103" s="852"/>
      <c r="X103" s="852"/>
      <c r="Y103" s="852"/>
      <c r="Z103" s="852"/>
      <c r="AA103" s="852"/>
    </row>
    <row r="104" spans="1:27" ht="15.75" customHeight="1" x14ac:dyDescent="0.25">
      <c r="A104" s="852"/>
      <c r="B104" s="852"/>
      <c r="C104" s="852"/>
      <c r="D104" s="852"/>
      <c r="E104" s="852"/>
      <c r="F104" s="852"/>
      <c r="G104" s="852"/>
      <c r="H104" s="852"/>
      <c r="I104" s="852"/>
      <c r="J104" s="852"/>
      <c r="K104" s="852"/>
      <c r="L104" s="852"/>
      <c r="M104" s="852"/>
      <c r="N104" s="852"/>
      <c r="O104" s="852"/>
      <c r="P104" s="852"/>
      <c r="Q104" s="852"/>
      <c r="R104" s="852"/>
      <c r="S104" s="852"/>
      <c r="T104" s="852"/>
      <c r="U104" s="852"/>
      <c r="V104" s="852"/>
      <c r="W104" s="852"/>
      <c r="X104" s="852"/>
      <c r="Y104" s="852"/>
      <c r="Z104" s="852"/>
      <c r="AA104" s="852"/>
    </row>
    <row r="105" spans="1:27" ht="15.75" customHeight="1" x14ac:dyDescent="0.25">
      <c r="A105" s="852"/>
      <c r="B105" s="852"/>
      <c r="C105" s="852"/>
      <c r="D105" s="852"/>
      <c r="E105" s="852"/>
      <c r="F105" s="852"/>
      <c r="G105" s="852"/>
      <c r="H105" s="852"/>
      <c r="I105" s="852"/>
      <c r="J105" s="852"/>
      <c r="K105" s="852"/>
      <c r="L105" s="852"/>
      <c r="M105" s="852"/>
      <c r="N105" s="852"/>
      <c r="O105" s="852"/>
      <c r="P105" s="852"/>
      <c r="Q105" s="852"/>
      <c r="R105" s="852"/>
      <c r="S105" s="852"/>
      <c r="T105" s="852"/>
      <c r="U105" s="852"/>
      <c r="V105" s="852"/>
      <c r="W105" s="852"/>
      <c r="X105" s="852"/>
      <c r="Y105" s="852"/>
      <c r="Z105" s="852"/>
      <c r="AA105" s="852"/>
    </row>
    <row r="106" spans="1:27" ht="15.75" customHeight="1" x14ac:dyDescent="0.25">
      <c r="A106" s="852"/>
      <c r="B106" s="852"/>
      <c r="C106" s="852"/>
      <c r="D106" s="852"/>
      <c r="E106" s="852"/>
      <c r="F106" s="852"/>
      <c r="G106" s="852"/>
      <c r="H106" s="852"/>
      <c r="I106" s="852"/>
      <c r="J106" s="852"/>
      <c r="K106" s="852"/>
      <c r="L106" s="852"/>
      <c r="M106" s="852"/>
      <c r="N106" s="852"/>
      <c r="O106" s="852"/>
      <c r="P106" s="852"/>
      <c r="Q106" s="852"/>
      <c r="R106" s="852"/>
      <c r="S106" s="852"/>
      <c r="T106" s="852"/>
      <c r="U106" s="852"/>
      <c r="V106" s="852"/>
      <c r="W106" s="852"/>
      <c r="X106" s="852"/>
      <c r="Y106" s="852"/>
      <c r="Z106" s="852"/>
      <c r="AA106" s="852"/>
    </row>
    <row r="107" spans="1:27" ht="15.75" customHeight="1" x14ac:dyDescent="0.25">
      <c r="A107" s="852"/>
      <c r="B107" s="852"/>
      <c r="C107" s="852"/>
      <c r="D107" s="852"/>
      <c r="E107" s="852"/>
      <c r="F107" s="852"/>
      <c r="G107" s="852"/>
      <c r="H107" s="852"/>
      <c r="I107" s="852"/>
      <c r="J107" s="852"/>
      <c r="K107" s="852"/>
      <c r="L107" s="852"/>
      <c r="M107" s="852"/>
      <c r="N107" s="852"/>
      <c r="O107" s="852"/>
      <c r="P107" s="852"/>
      <c r="Q107" s="852"/>
      <c r="R107" s="852"/>
      <c r="S107" s="852"/>
      <c r="T107" s="852"/>
      <c r="U107" s="852"/>
      <c r="V107" s="852"/>
      <c r="W107" s="852"/>
      <c r="X107" s="852"/>
      <c r="Y107" s="852"/>
      <c r="Z107" s="852"/>
      <c r="AA107" s="852"/>
    </row>
    <row r="108" spans="1:27" ht="15.75" customHeight="1" x14ac:dyDescent="0.25">
      <c r="A108" s="852"/>
      <c r="B108" s="852"/>
      <c r="C108" s="852"/>
      <c r="D108" s="852"/>
      <c r="E108" s="852"/>
      <c r="F108" s="852"/>
      <c r="G108" s="852"/>
      <c r="H108" s="852"/>
      <c r="I108" s="852"/>
      <c r="J108" s="852"/>
      <c r="K108" s="852"/>
      <c r="L108" s="852"/>
      <c r="M108" s="852"/>
      <c r="N108" s="852"/>
      <c r="O108" s="852"/>
      <c r="P108" s="852"/>
      <c r="Q108" s="852"/>
      <c r="R108" s="852"/>
      <c r="S108" s="852"/>
      <c r="T108" s="852"/>
      <c r="U108" s="852"/>
      <c r="V108" s="852"/>
      <c r="W108" s="852"/>
      <c r="X108" s="852"/>
      <c r="Y108" s="852"/>
      <c r="Z108" s="852"/>
      <c r="AA108" s="852"/>
    </row>
    <row r="109" spans="1:27" ht="15.75" customHeight="1" x14ac:dyDescent="0.25">
      <c r="A109" s="852"/>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2"/>
      <c r="AA109" s="852"/>
    </row>
    <row r="110" spans="1:27" ht="15.75" customHeight="1" x14ac:dyDescent="0.25">
      <c r="A110" s="852"/>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2"/>
      <c r="AA110" s="852"/>
    </row>
    <row r="111" spans="1:27" ht="15.75" customHeight="1" x14ac:dyDescent="0.25">
      <c r="A111" s="852"/>
      <c r="B111" s="852"/>
      <c r="C111" s="852"/>
      <c r="D111" s="852"/>
      <c r="E111" s="852"/>
      <c r="F111" s="852"/>
      <c r="G111" s="852"/>
      <c r="H111" s="852"/>
      <c r="I111" s="852"/>
      <c r="J111" s="852"/>
      <c r="K111" s="852"/>
      <c r="L111" s="852"/>
      <c r="M111" s="852"/>
      <c r="N111" s="852"/>
      <c r="O111" s="852"/>
      <c r="P111" s="852"/>
      <c r="Q111" s="852"/>
      <c r="R111" s="852"/>
      <c r="S111" s="852"/>
      <c r="T111" s="852"/>
      <c r="U111" s="852"/>
      <c r="V111" s="852"/>
      <c r="W111" s="852"/>
      <c r="X111" s="852"/>
      <c r="Y111" s="852"/>
      <c r="Z111" s="852"/>
      <c r="AA111" s="852"/>
    </row>
    <row r="112" spans="1:27" ht="15.75" customHeight="1" x14ac:dyDescent="0.25">
      <c r="A112" s="852"/>
      <c r="B112" s="852"/>
      <c r="C112" s="852"/>
      <c r="D112" s="852"/>
      <c r="E112" s="852"/>
      <c r="F112" s="852"/>
      <c r="G112" s="852"/>
      <c r="H112" s="852"/>
      <c r="I112" s="852"/>
      <c r="J112" s="852"/>
      <c r="K112" s="852"/>
      <c r="L112" s="852"/>
      <c r="M112" s="852"/>
      <c r="N112" s="852"/>
      <c r="O112" s="852"/>
      <c r="P112" s="852"/>
      <c r="Q112" s="852"/>
      <c r="R112" s="852"/>
      <c r="S112" s="852"/>
      <c r="T112" s="852"/>
      <c r="U112" s="852"/>
      <c r="V112" s="852"/>
      <c r="W112" s="852"/>
      <c r="X112" s="852"/>
      <c r="Y112" s="852"/>
      <c r="Z112" s="852"/>
      <c r="AA112" s="852"/>
    </row>
    <row r="113" spans="1:27" ht="15.75" customHeight="1" x14ac:dyDescent="0.25">
      <c r="A113" s="852"/>
      <c r="B113" s="852"/>
      <c r="C113" s="852"/>
      <c r="D113" s="852"/>
      <c r="E113" s="852"/>
      <c r="F113" s="852"/>
      <c r="G113" s="852"/>
      <c r="H113" s="852"/>
      <c r="I113" s="852"/>
      <c r="J113" s="852"/>
      <c r="K113" s="852"/>
      <c r="L113" s="852"/>
      <c r="M113" s="852"/>
      <c r="N113" s="852"/>
      <c r="O113" s="852"/>
      <c r="P113" s="852"/>
      <c r="Q113" s="852"/>
      <c r="R113" s="852"/>
      <c r="S113" s="852"/>
      <c r="T113" s="852"/>
      <c r="U113" s="852"/>
      <c r="V113" s="852"/>
      <c r="W113" s="852"/>
      <c r="X113" s="852"/>
      <c r="Y113" s="852"/>
      <c r="Z113" s="852"/>
      <c r="AA113" s="852"/>
    </row>
    <row r="114" spans="1:27" ht="15.75" customHeight="1" x14ac:dyDescent="0.25">
      <c r="A114" s="852"/>
      <c r="B114" s="852"/>
      <c r="C114" s="852"/>
      <c r="D114" s="852"/>
      <c r="E114" s="852"/>
      <c r="F114" s="852"/>
      <c r="G114" s="852"/>
      <c r="H114" s="852"/>
      <c r="I114" s="852"/>
      <c r="J114" s="852"/>
      <c r="K114" s="852"/>
      <c r="L114" s="852"/>
      <c r="M114" s="852"/>
      <c r="N114" s="852"/>
      <c r="O114" s="852"/>
      <c r="P114" s="852"/>
      <c r="Q114" s="852"/>
      <c r="R114" s="852"/>
      <c r="S114" s="852"/>
      <c r="T114" s="852"/>
      <c r="U114" s="852"/>
      <c r="V114" s="852"/>
      <c r="W114" s="852"/>
      <c r="X114" s="852"/>
      <c r="Y114" s="852"/>
      <c r="Z114" s="852"/>
      <c r="AA114" s="852"/>
    </row>
    <row r="115" spans="1:27" ht="15.75" customHeight="1" x14ac:dyDescent="0.25">
      <c r="A115" s="852"/>
      <c r="B115" s="852"/>
      <c r="C115" s="852"/>
      <c r="D115" s="852"/>
      <c r="E115" s="852"/>
      <c r="F115" s="852"/>
      <c r="G115" s="852"/>
      <c r="H115" s="852"/>
      <c r="I115" s="852"/>
      <c r="J115" s="852"/>
      <c r="K115" s="852"/>
      <c r="L115" s="852"/>
      <c r="M115" s="852"/>
      <c r="N115" s="852"/>
      <c r="O115" s="852"/>
      <c r="P115" s="852"/>
      <c r="Q115" s="852"/>
      <c r="R115" s="852"/>
      <c r="S115" s="852"/>
      <c r="T115" s="852"/>
      <c r="U115" s="852"/>
      <c r="V115" s="852"/>
      <c r="W115" s="852"/>
      <c r="X115" s="852"/>
      <c r="Y115" s="852"/>
      <c r="Z115" s="852"/>
      <c r="AA115" s="852"/>
    </row>
    <row r="116" spans="1:27" ht="15.75" customHeight="1" x14ac:dyDescent="0.25">
      <c r="A116" s="852"/>
      <c r="B116" s="852"/>
      <c r="C116" s="852"/>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2"/>
      <c r="AA116" s="852"/>
    </row>
    <row r="117" spans="1:27" ht="15.75" customHeight="1" x14ac:dyDescent="0.25">
      <c r="A117" s="852"/>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52"/>
      <c r="Z117" s="852"/>
      <c r="AA117" s="852"/>
    </row>
    <row r="118" spans="1:27" ht="15.75" customHeight="1" x14ac:dyDescent="0.25">
      <c r="A118" s="852"/>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2"/>
      <c r="AA118" s="852"/>
    </row>
    <row r="119" spans="1:27" ht="15.75" customHeight="1" x14ac:dyDescent="0.25">
      <c r="A119" s="852"/>
      <c r="B119" s="852"/>
      <c r="C119" s="852"/>
      <c r="D119" s="852"/>
      <c r="E119" s="852"/>
      <c r="F119" s="852"/>
      <c r="G119" s="852"/>
      <c r="H119" s="852"/>
      <c r="I119" s="852"/>
      <c r="J119" s="852"/>
      <c r="K119" s="852"/>
      <c r="L119" s="852"/>
      <c r="M119" s="852"/>
      <c r="N119" s="852"/>
      <c r="O119" s="852"/>
      <c r="P119" s="852"/>
      <c r="Q119" s="852"/>
      <c r="R119" s="852"/>
      <c r="S119" s="852"/>
      <c r="T119" s="852"/>
      <c r="U119" s="852"/>
      <c r="V119" s="852"/>
      <c r="W119" s="852"/>
      <c r="X119" s="852"/>
      <c r="Y119" s="852"/>
      <c r="Z119" s="852"/>
      <c r="AA119" s="852"/>
    </row>
    <row r="120" spans="1:27" ht="15.75" customHeight="1" x14ac:dyDescent="0.25">
      <c r="A120" s="852"/>
      <c r="B120" s="852"/>
      <c r="C120" s="852"/>
      <c r="D120" s="852"/>
      <c r="E120" s="852"/>
      <c r="F120" s="852"/>
      <c r="G120" s="852"/>
      <c r="H120" s="852"/>
      <c r="I120" s="852"/>
      <c r="J120" s="852"/>
      <c r="K120" s="852"/>
      <c r="L120" s="852"/>
      <c r="M120" s="852"/>
      <c r="N120" s="852"/>
      <c r="O120" s="852"/>
      <c r="P120" s="852"/>
      <c r="Q120" s="852"/>
      <c r="R120" s="852"/>
      <c r="S120" s="852"/>
      <c r="T120" s="852"/>
      <c r="U120" s="852"/>
      <c r="V120" s="852"/>
      <c r="W120" s="852"/>
      <c r="X120" s="852"/>
      <c r="Y120" s="852"/>
      <c r="Z120" s="852"/>
      <c r="AA120" s="852"/>
    </row>
    <row r="121" spans="1:27" ht="15.75" customHeight="1" x14ac:dyDescent="0.25">
      <c r="A121" s="852"/>
      <c r="B121" s="852"/>
      <c r="C121" s="852"/>
      <c r="D121" s="852"/>
      <c r="E121" s="852"/>
      <c r="F121" s="852"/>
      <c r="G121" s="852"/>
      <c r="H121" s="852"/>
      <c r="I121" s="852"/>
      <c r="J121" s="852"/>
      <c r="K121" s="852"/>
      <c r="L121" s="852"/>
      <c r="M121" s="852"/>
      <c r="N121" s="852"/>
      <c r="O121" s="852"/>
      <c r="P121" s="852"/>
      <c r="Q121" s="852"/>
      <c r="R121" s="852"/>
      <c r="S121" s="852"/>
      <c r="T121" s="852"/>
      <c r="U121" s="852"/>
      <c r="V121" s="852"/>
      <c r="W121" s="852"/>
      <c r="X121" s="852"/>
      <c r="Y121" s="852"/>
      <c r="Z121" s="852"/>
      <c r="AA121" s="852"/>
    </row>
    <row r="122" spans="1:27" ht="15.75" customHeight="1" x14ac:dyDescent="0.25">
      <c r="A122" s="852"/>
      <c r="B122" s="852"/>
      <c r="C122" s="852"/>
      <c r="D122" s="852"/>
      <c r="E122" s="852"/>
      <c r="F122" s="852"/>
      <c r="G122" s="852"/>
      <c r="H122" s="852"/>
      <c r="I122" s="852"/>
      <c r="J122" s="852"/>
      <c r="K122" s="852"/>
      <c r="L122" s="852"/>
      <c r="M122" s="852"/>
      <c r="N122" s="852"/>
      <c r="O122" s="852"/>
      <c r="P122" s="852"/>
      <c r="Q122" s="852"/>
      <c r="R122" s="852"/>
      <c r="S122" s="852"/>
      <c r="T122" s="852"/>
      <c r="U122" s="852"/>
      <c r="V122" s="852"/>
      <c r="W122" s="852"/>
      <c r="X122" s="852"/>
      <c r="Y122" s="852"/>
      <c r="Z122" s="852"/>
      <c r="AA122" s="852"/>
    </row>
    <row r="123" spans="1:27" ht="15.75" customHeight="1" x14ac:dyDescent="0.25">
      <c r="A123" s="852"/>
      <c r="B123" s="852"/>
      <c r="C123" s="852"/>
      <c r="D123" s="852"/>
      <c r="E123" s="852"/>
      <c r="F123" s="852"/>
      <c r="G123" s="852"/>
      <c r="H123" s="852"/>
      <c r="I123" s="852"/>
      <c r="J123" s="852"/>
      <c r="K123" s="852"/>
      <c r="L123" s="852"/>
      <c r="M123" s="852"/>
      <c r="N123" s="852"/>
      <c r="O123" s="852"/>
      <c r="P123" s="852"/>
      <c r="Q123" s="852"/>
      <c r="R123" s="852"/>
      <c r="S123" s="852"/>
      <c r="T123" s="852"/>
      <c r="U123" s="852"/>
      <c r="V123" s="852"/>
      <c r="W123" s="852"/>
      <c r="X123" s="852"/>
      <c r="Y123" s="852"/>
      <c r="Z123" s="852"/>
      <c r="AA123" s="852"/>
    </row>
    <row r="124" spans="1:27" ht="15.75" customHeight="1" x14ac:dyDescent="0.25">
      <c r="A124" s="852"/>
      <c r="B124" s="852"/>
      <c r="C124" s="852"/>
      <c r="D124" s="852"/>
      <c r="E124" s="852"/>
      <c r="F124" s="852"/>
      <c r="G124" s="852"/>
      <c r="H124" s="852"/>
      <c r="I124" s="852"/>
      <c r="J124" s="852"/>
      <c r="K124" s="852"/>
      <c r="L124" s="852"/>
      <c r="M124" s="852"/>
      <c r="N124" s="852"/>
      <c r="O124" s="852"/>
      <c r="P124" s="852"/>
      <c r="Q124" s="852"/>
      <c r="R124" s="852"/>
      <c r="S124" s="852"/>
      <c r="T124" s="852"/>
      <c r="U124" s="852"/>
      <c r="V124" s="852"/>
      <c r="W124" s="852"/>
      <c r="X124" s="852"/>
      <c r="Y124" s="852"/>
      <c r="Z124" s="852"/>
      <c r="AA124" s="852"/>
    </row>
    <row r="125" spans="1:27" ht="15.75" customHeight="1" x14ac:dyDescent="0.25">
      <c r="A125" s="852"/>
      <c r="B125" s="852"/>
      <c r="C125" s="852"/>
      <c r="D125" s="852"/>
      <c r="E125" s="852"/>
      <c r="F125" s="852"/>
      <c r="G125" s="852"/>
      <c r="H125" s="852"/>
      <c r="I125" s="852"/>
      <c r="J125" s="852"/>
      <c r="K125" s="852"/>
      <c r="L125" s="852"/>
      <c r="M125" s="852"/>
      <c r="N125" s="852"/>
      <c r="O125" s="852"/>
      <c r="P125" s="852"/>
      <c r="Q125" s="852"/>
      <c r="R125" s="852"/>
      <c r="S125" s="852"/>
      <c r="T125" s="852"/>
      <c r="U125" s="852"/>
      <c r="V125" s="852"/>
      <c r="W125" s="852"/>
      <c r="X125" s="852"/>
      <c r="Y125" s="852"/>
      <c r="Z125" s="852"/>
      <c r="AA125" s="852"/>
    </row>
    <row r="126" spans="1:27" ht="15.75" customHeight="1" x14ac:dyDescent="0.25">
      <c r="A126" s="852"/>
      <c r="B126" s="852"/>
      <c r="C126" s="852"/>
      <c r="D126" s="852"/>
      <c r="E126" s="852"/>
      <c r="F126" s="852"/>
      <c r="G126" s="852"/>
      <c r="H126" s="852"/>
      <c r="I126" s="852"/>
      <c r="J126" s="852"/>
      <c r="K126" s="852"/>
      <c r="L126" s="852"/>
      <c r="M126" s="852"/>
      <c r="N126" s="852"/>
      <c r="O126" s="852"/>
      <c r="P126" s="852"/>
      <c r="Q126" s="852"/>
      <c r="R126" s="852"/>
      <c r="S126" s="852"/>
      <c r="T126" s="852"/>
      <c r="U126" s="852"/>
      <c r="V126" s="852"/>
      <c r="W126" s="852"/>
      <c r="X126" s="852"/>
      <c r="Y126" s="852"/>
      <c r="Z126" s="852"/>
      <c r="AA126" s="852"/>
    </row>
    <row r="127" spans="1:27" ht="15.75" customHeight="1" x14ac:dyDescent="0.25">
      <c r="A127" s="852"/>
      <c r="B127" s="852"/>
      <c r="C127" s="852"/>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2"/>
      <c r="AA127" s="852"/>
    </row>
    <row r="128" spans="1:27" ht="15.75" customHeight="1" x14ac:dyDescent="0.25">
      <c r="A128" s="852"/>
      <c r="B128" s="852"/>
      <c r="C128" s="852"/>
      <c r="D128" s="852"/>
      <c r="E128" s="852"/>
      <c r="F128" s="852"/>
      <c r="G128" s="852"/>
      <c r="H128" s="852"/>
      <c r="I128" s="852"/>
      <c r="J128" s="852"/>
      <c r="K128" s="852"/>
      <c r="L128" s="852"/>
      <c r="M128" s="852"/>
      <c r="N128" s="852"/>
      <c r="O128" s="852"/>
      <c r="P128" s="852"/>
      <c r="Q128" s="852"/>
      <c r="R128" s="852"/>
      <c r="S128" s="852"/>
      <c r="T128" s="852"/>
      <c r="U128" s="852"/>
      <c r="V128" s="852"/>
      <c r="W128" s="852"/>
      <c r="X128" s="852"/>
      <c r="Y128" s="852"/>
      <c r="Z128" s="852"/>
      <c r="AA128" s="852"/>
    </row>
    <row r="129" spans="1:27" ht="15.75" customHeight="1" x14ac:dyDescent="0.25">
      <c r="A129" s="852"/>
      <c r="B129" s="852"/>
      <c r="C129" s="852"/>
      <c r="D129" s="852"/>
      <c r="E129" s="852"/>
      <c r="F129" s="852"/>
      <c r="G129" s="852"/>
      <c r="H129" s="852"/>
      <c r="I129" s="852"/>
      <c r="J129" s="852"/>
      <c r="K129" s="852"/>
      <c r="L129" s="852"/>
      <c r="M129" s="852"/>
      <c r="N129" s="852"/>
      <c r="O129" s="852"/>
      <c r="P129" s="852"/>
      <c r="Q129" s="852"/>
      <c r="R129" s="852"/>
      <c r="S129" s="852"/>
      <c r="T129" s="852"/>
      <c r="U129" s="852"/>
      <c r="V129" s="852"/>
      <c r="W129" s="852"/>
      <c r="X129" s="852"/>
      <c r="Y129" s="852"/>
      <c r="Z129" s="852"/>
      <c r="AA129" s="852"/>
    </row>
    <row r="130" spans="1:27" ht="15.75" customHeight="1" x14ac:dyDescent="0.25">
      <c r="A130" s="852"/>
      <c r="B130" s="852"/>
      <c r="C130" s="852"/>
      <c r="D130" s="852"/>
      <c r="E130" s="852"/>
      <c r="F130" s="852"/>
      <c r="G130" s="852"/>
      <c r="H130" s="852"/>
      <c r="I130" s="852"/>
      <c r="J130" s="852"/>
      <c r="K130" s="852"/>
      <c r="L130" s="852"/>
      <c r="M130" s="852"/>
      <c r="N130" s="852"/>
      <c r="O130" s="852"/>
      <c r="P130" s="852"/>
      <c r="Q130" s="852"/>
      <c r="R130" s="852"/>
      <c r="S130" s="852"/>
      <c r="T130" s="852"/>
      <c r="U130" s="852"/>
      <c r="V130" s="852"/>
      <c r="W130" s="852"/>
      <c r="X130" s="852"/>
      <c r="Y130" s="852"/>
      <c r="Z130" s="852"/>
      <c r="AA130" s="852"/>
    </row>
    <row r="131" spans="1:27" ht="15.75" customHeight="1" x14ac:dyDescent="0.25">
      <c r="A131" s="852"/>
      <c r="B131" s="852"/>
      <c r="C131" s="852"/>
      <c r="D131" s="852"/>
      <c r="E131" s="852"/>
      <c r="F131" s="852"/>
      <c r="G131" s="852"/>
      <c r="H131" s="852"/>
      <c r="I131" s="852"/>
      <c r="J131" s="852"/>
      <c r="K131" s="852"/>
      <c r="L131" s="852"/>
      <c r="M131" s="852"/>
      <c r="N131" s="852"/>
      <c r="O131" s="852"/>
      <c r="P131" s="852"/>
      <c r="Q131" s="852"/>
      <c r="R131" s="852"/>
      <c r="S131" s="852"/>
      <c r="T131" s="852"/>
      <c r="U131" s="852"/>
      <c r="V131" s="852"/>
      <c r="W131" s="852"/>
      <c r="X131" s="852"/>
      <c r="Y131" s="852"/>
      <c r="Z131" s="852"/>
      <c r="AA131" s="852"/>
    </row>
    <row r="132" spans="1:27" ht="15.75" customHeight="1" x14ac:dyDescent="0.25">
      <c r="A132" s="852"/>
      <c r="B132" s="852"/>
      <c r="C132" s="852"/>
      <c r="D132" s="852"/>
      <c r="E132" s="852"/>
      <c r="F132" s="852"/>
      <c r="G132" s="852"/>
      <c r="H132" s="852"/>
      <c r="I132" s="852"/>
      <c r="J132" s="852"/>
      <c r="K132" s="852"/>
      <c r="L132" s="852"/>
      <c r="M132" s="852"/>
      <c r="N132" s="852"/>
      <c r="O132" s="852"/>
      <c r="P132" s="852"/>
      <c r="Q132" s="852"/>
      <c r="R132" s="852"/>
      <c r="S132" s="852"/>
      <c r="T132" s="852"/>
      <c r="U132" s="852"/>
      <c r="V132" s="852"/>
      <c r="W132" s="852"/>
      <c r="X132" s="852"/>
      <c r="Y132" s="852"/>
      <c r="Z132" s="852"/>
      <c r="AA132" s="852"/>
    </row>
    <row r="133" spans="1:27" ht="15.75" customHeight="1" x14ac:dyDescent="0.25">
      <c r="A133" s="852"/>
      <c r="B133" s="852"/>
      <c r="C133" s="852"/>
      <c r="D133" s="852"/>
      <c r="E133" s="852"/>
      <c r="F133" s="852"/>
      <c r="G133" s="852"/>
      <c r="H133" s="852"/>
      <c r="I133" s="852"/>
      <c r="J133" s="852"/>
      <c r="K133" s="852"/>
      <c r="L133" s="852"/>
      <c r="M133" s="852"/>
      <c r="N133" s="852"/>
      <c r="O133" s="852"/>
      <c r="P133" s="852"/>
      <c r="Q133" s="852"/>
      <c r="R133" s="852"/>
      <c r="S133" s="852"/>
      <c r="T133" s="852"/>
      <c r="U133" s="852"/>
      <c r="V133" s="852"/>
      <c r="W133" s="852"/>
      <c r="X133" s="852"/>
      <c r="Y133" s="852"/>
      <c r="Z133" s="852"/>
      <c r="AA133" s="852"/>
    </row>
    <row r="134" spans="1:27" ht="15.75" customHeight="1" x14ac:dyDescent="0.25">
      <c r="A134" s="852"/>
      <c r="B134" s="852"/>
      <c r="C134" s="852"/>
      <c r="D134" s="852"/>
      <c r="E134" s="852"/>
      <c r="F134" s="852"/>
      <c r="G134" s="852"/>
      <c r="H134" s="852"/>
      <c r="I134" s="852"/>
      <c r="J134" s="852"/>
      <c r="K134" s="852"/>
      <c r="L134" s="852"/>
      <c r="M134" s="852"/>
      <c r="N134" s="852"/>
      <c r="O134" s="852"/>
      <c r="P134" s="852"/>
      <c r="Q134" s="852"/>
      <c r="R134" s="852"/>
      <c r="S134" s="852"/>
      <c r="T134" s="852"/>
      <c r="U134" s="852"/>
      <c r="V134" s="852"/>
      <c r="W134" s="852"/>
      <c r="X134" s="852"/>
      <c r="Y134" s="852"/>
      <c r="Z134" s="852"/>
      <c r="AA134" s="852"/>
    </row>
    <row r="135" spans="1:27" ht="15.75" customHeight="1" x14ac:dyDescent="0.25">
      <c r="A135" s="852"/>
      <c r="B135" s="852"/>
      <c r="C135" s="852"/>
      <c r="D135" s="852"/>
      <c r="E135" s="852"/>
      <c r="F135" s="852"/>
      <c r="G135" s="852"/>
      <c r="H135" s="852"/>
      <c r="I135" s="852"/>
      <c r="J135" s="852"/>
      <c r="K135" s="852"/>
      <c r="L135" s="852"/>
      <c r="M135" s="852"/>
      <c r="N135" s="852"/>
      <c r="O135" s="852"/>
      <c r="P135" s="852"/>
      <c r="Q135" s="852"/>
      <c r="R135" s="852"/>
      <c r="S135" s="852"/>
      <c r="T135" s="852"/>
      <c r="U135" s="852"/>
      <c r="V135" s="852"/>
      <c r="W135" s="852"/>
      <c r="X135" s="852"/>
      <c r="Y135" s="852"/>
      <c r="Z135" s="852"/>
      <c r="AA135" s="852"/>
    </row>
    <row r="136" spans="1:27" ht="15.75" customHeight="1" x14ac:dyDescent="0.25">
      <c r="A136" s="852"/>
      <c r="B136" s="852"/>
      <c r="C136" s="852"/>
      <c r="D136" s="852"/>
      <c r="E136" s="852"/>
      <c r="F136" s="852"/>
      <c r="G136" s="852"/>
      <c r="H136" s="852"/>
      <c r="I136" s="852"/>
      <c r="J136" s="852"/>
      <c r="K136" s="852"/>
      <c r="L136" s="852"/>
      <c r="M136" s="852"/>
      <c r="N136" s="852"/>
      <c r="O136" s="852"/>
      <c r="P136" s="852"/>
      <c r="Q136" s="852"/>
      <c r="R136" s="852"/>
      <c r="S136" s="852"/>
      <c r="T136" s="852"/>
      <c r="U136" s="852"/>
      <c r="V136" s="852"/>
      <c r="W136" s="852"/>
      <c r="X136" s="852"/>
      <c r="Y136" s="852"/>
      <c r="Z136" s="852"/>
      <c r="AA136" s="852"/>
    </row>
    <row r="137" spans="1:27" ht="15.75" customHeight="1" x14ac:dyDescent="0.25">
      <c r="A137" s="852"/>
      <c r="B137" s="852"/>
      <c r="C137" s="852"/>
      <c r="D137" s="852"/>
      <c r="E137" s="852"/>
      <c r="F137" s="852"/>
      <c r="G137" s="852"/>
      <c r="H137" s="852"/>
      <c r="I137" s="852"/>
      <c r="J137" s="852"/>
      <c r="K137" s="852"/>
      <c r="L137" s="852"/>
      <c r="M137" s="852"/>
      <c r="N137" s="852"/>
      <c r="O137" s="852"/>
      <c r="P137" s="852"/>
      <c r="Q137" s="852"/>
      <c r="R137" s="852"/>
      <c r="S137" s="852"/>
      <c r="T137" s="852"/>
      <c r="U137" s="852"/>
      <c r="V137" s="852"/>
      <c r="W137" s="852"/>
      <c r="X137" s="852"/>
      <c r="Y137" s="852"/>
      <c r="Z137" s="852"/>
      <c r="AA137" s="852"/>
    </row>
    <row r="138" spans="1:27" ht="15.75" customHeight="1" x14ac:dyDescent="0.25">
      <c r="A138" s="852"/>
      <c r="B138" s="852"/>
      <c r="C138" s="852"/>
      <c r="D138" s="852"/>
      <c r="E138" s="852"/>
      <c r="F138" s="852"/>
      <c r="G138" s="852"/>
      <c r="H138" s="852"/>
      <c r="I138" s="852"/>
      <c r="J138" s="852"/>
      <c r="K138" s="852"/>
      <c r="L138" s="852"/>
      <c r="M138" s="852"/>
      <c r="N138" s="852"/>
      <c r="O138" s="852"/>
      <c r="P138" s="852"/>
      <c r="Q138" s="852"/>
      <c r="R138" s="852"/>
      <c r="S138" s="852"/>
      <c r="T138" s="852"/>
      <c r="U138" s="852"/>
      <c r="V138" s="852"/>
      <c r="W138" s="852"/>
      <c r="X138" s="852"/>
      <c r="Y138" s="852"/>
      <c r="Z138" s="852"/>
      <c r="AA138" s="852"/>
    </row>
    <row r="139" spans="1:27" ht="15.75" customHeight="1" x14ac:dyDescent="0.25">
      <c r="A139" s="852"/>
      <c r="B139" s="852"/>
      <c r="C139" s="852"/>
      <c r="D139" s="852"/>
      <c r="E139" s="852"/>
      <c r="F139" s="852"/>
      <c r="G139" s="852"/>
      <c r="H139" s="852"/>
      <c r="I139" s="852"/>
      <c r="J139" s="852"/>
      <c r="K139" s="852"/>
      <c r="L139" s="852"/>
      <c r="M139" s="852"/>
      <c r="N139" s="852"/>
      <c r="O139" s="852"/>
      <c r="P139" s="852"/>
      <c r="Q139" s="852"/>
      <c r="R139" s="852"/>
      <c r="S139" s="852"/>
      <c r="T139" s="852"/>
      <c r="U139" s="852"/>
      <c r="V139" s="852"/>
      <c r="W139" s="852"/>
      <c r="X139" s="852"/>
      <c r="Y139" s="852"/>
      <c r="Z139" s="852"/>
      <c r="AA139" s="852"/>
    </row>
    <row r="140" spans="1:27" ht="15.75" customHeight="1" x14ac:dyDescent="0.25">
      <c r="A140" s="852"/>
      <c r="B140" s="852"/>
      <c r="C140" s="852"/>
      <c r="D140" s="852"/>
      <c r="E140" s="852"/>
      <c r="F140" s="852"/>
      <c r="G140" s="852"/>
      <c r="H140" s="852"/>
      <c r="I140" s="852"/>
      <c r="J140" s="852"/>
      <c r="K140" s="852"/>
      <c r="L140" s="852"/>
      <c r="M140" s="852"/>
      <c r="N140" s="852"/>
      <c r="O140" s="852"/>
      <c r="P140" s="852"/>
      <c r="Q140" s="852"/>
      <c r="R140" s="852"/>
      <c r="S140" s="852"/>
      <c r="T140" s="852"/>
      <c r="U140" s="852"/>
      <c r="V140" s="852"/>
      <c r="W140" s="852"/>
      <c r="X140" s="852"/>
      <c r="Y140" s="852"/>
      <c r="Z140" s="852"/>
      <c r="AA140" s="852"/>
    </row>
    <row r="141" spans="1:27" ht="15.75" customHeight="1" x14ac:dyDescent="0.25">
      <c r="A141" s="852"/>
      <c r="B141" s="852"/>
      <c r="C141" s="852"/>
      <c r="D141" s="852"/>
      <c r="E141" s="852"/>
      <c r="F141" s="852"/>
      <c r="G141" s="852"/>
      <c r="H141" s="852"/>
      <c r="I141" s="852"/>
      <c r="J141" s="852"/>
      <c r="K141" s="852"/>
      <c r="L141" s="852"/>
      <c r="M141" s="852"/>
      <c r="N141" s="852"/>
      <c r="O141" s="852"/>
      <c r="P141" s="852"/>
      <c r="Q141" s="852"/>
      <c r="R141" s="852"/>
      <c r="S141" s="852"/>
      <c r="T141" s="852"/>
      <c r="U141" s="852"/>
      <c r="V141" s="852"/>
      <c r="W141" s="852"/>
      <c r="X141" s="852"/>
      <c r="Y141" s="852"/>
      <c r="Z141" s="852"/>
      <c r="AA141" s="852"/>
    </row>
    <row r="142" spans="1:27" ht="15.75" customHeight="1" x14ac:dyDescent="0.25">
      <c r="A142" s="852"/>
      <c r="B142" s="852"/>
      <c r="C142" s="852"/>
      <c r="D142" s="852"/>
      <c r="E142" s="852"/>
      <c r="F142" s="852"/>
      <c r="G142" s="852"/>
      <c r="H142" s="852"/>
      <c r="I142" s="852"/>
      <c r="J142" s="852"/>
      <c r="K142" s="852"/>
      <c r="L142" s="852"/>
      <c r="M142" s="852"/>
      <c r="N142" s="852"/>
      <c r="O142" s="852"/>
      <c r="P142" s="852"/>
      <c r="Q142" s="852"/>
      <c r="R142" s="852"/>
      <c r="S142" s="852"/>
      <c r="T142" s="852"/>
      <c r="U142" s="852"/>
      <c r="V142" s="852"/>
      <c r="W142" s="852"/>
      <c r="X142" s="852"/>
      <c r="Y142" s="852"/>
      <c r="Z142" s="852"/>
      <c r="AA142" s="852"/>
    </row>
    <row r="143" spans="1:27" ht="15.75" customHeight="1" x14ac:dyDescent="0.25">
      <c r="A143" s="852"/>
      <c r="B143" s="852"/>
      <c r="C143" s="852"/>
      <c r="D143" s="852"/>
      <c r="E143" s="852"/>
      <c r="F143" s="852"/>
      <c r="G143" s="852"/>
      <c r="H143" s="852"/>
      <c r="I143" s="852"/>
      <c r="J143" s="852"/>
      <c r="K143" s="852"/>
      <c r="L143" s="852"/>
      <c r="M143" s="852"/>
      <c r="N143" s="852"/>
      <c r="O143" s="852"/>
      <c r="P143" s="852"/>
      <c r="Q143" s="852"/>
      <c r="R143" s="852"/>
      <c r="S143" s="852"/>
      <c r="T143" s="852"/>
      <c r="U143" s="852"/>
      <c r="V143" s="852"/>
      <c r="W143" s="852"/>
      <c r="X143" s="852"/>
      <c r="Y143" s="852"/>
      <c r="Z143" s="852"/>
      <c r="AA143" s="852"/>
    </row>
    <row r="144" spans="1:27" ht="15.75" customHeight="1" x14ac:dyDescent="0.25">
      <c r="A144" s="852"/>
      <c r="B144" s="852"/>
      <c r="C144" s="852"/>
      <c r="D144" s="852"/>
      <c r="E144" s="852"/>
      <c r="F144" s="852"/>
      <c r="G144" s="852"/>
      <c r="H144" s="852"/>
      <c r="I144" s="852"/>
      <c r="J144" s="852"/>
      <c r="K144" s="852"/>
      <c r="L144" s="852"/>
      <c r="M144" s="852"/>
      <c r="N144" s="852"/>
      <c r="O144" s="852"/>
      <c r="P144" s="852"/>
      <c r="Q144" s="852"/>
      <c r="R144" s="852"/>
      <c r="S144" s="852"/>
      <c r="T144" s="852"/>
      <c r="U144" s="852"/>
      <c r="V144" s="852"/>
      <c r="W144" s="852"/>
      <c r="X144" s="852"/>
      <c r="Y144" s="852"/>
      <c r="Z144" s="852"/>
      <c r="AA144" s="852"/>
    </row>
    <row r="145" spans="1:27" ht="15.75" customHeight="1" x14ac:dyDescent="0.25">
      <c r="A145" s="852"/>
      <c r="B145" s="852"/>
      <c r="C145" s="852"/>
      <c r="D145" s="852"/>
      <c r="E145" s="852"/>
      <c r="F145" s="852"/>
      <c r="G145" s="852"/>
      <c r="H145" s="852"/>
      <c r="I145" s="852"/>
      <c r="J145" s="852"/>
      <c r="K145" s="852"/>
      <c r="L145" s="852"/>
      <c r="M145" s="852"/>
      <c r="N145" s="852"/>
      <c r="O145" s="852"/>
      <c r="P145" s="852"/>
      <c r="Q145" s="852"/>
      <c r="R145" s="852"/>
      <c r="S145" s="852"/>
      <c r="T145" s="852"/>
      <c r="U145" s="852"/>
      <c r="V145" s="852"/>
      <c r="W145" s="852"/>
      <c r="X145" s="852"/>
      <c r="Y145" s="852"/>
      <c r="Z145" s="852"/>
      <c r="AA145" s="852"/>
    </row>
    <row r="146" spans="1:27" ht="15.75" customHeight="1" x14ac:dyDescent="0.25">
      <c r="A146" s="852"/>
      <c r="B146" s="852"/>
      <c r="C146" s="852"/>
      <c r="D146" s="852"/>
      <c r="E146" s="852"/>
      <c r="F146" s="852"/>
      <c r="G146" s="852"/>
      <c r="H146" s="852"/>
      <c r="I146" s="852"/>
      <c r="J146" s="852"/>
      <c r="K146" s="852"/>
      <c r="L146" s="852"/>
      <c r="M146" s="852"/>
      <c r="N146" s="852"/>
      <c r="O146" s="852"/>
      <c r="P146" s="852"/>
      <c r="Q146" s="852"/>
      <c r="R146" s="852"/>
      <c r="S146" s="852"/>
      <c r="T146" s="852"/>
      <c r="U146" s="852"/>
      <c r="V146" s="852"/>
      <c r="W146" s="852"/>
      <c r="X146" s="852"/>
      <c r="Y146" s="852"/>
      <c r="Z146" s="852"/>
      <c r="AA146" s="852"/>
    </row>
    <row r="147" spans="1:27" ht="15.75" customHeight="1" x14ac:dyDescent="0.25">
      <c r="A147" s="852"/>
      <c r="B147" s="852"/>
      <c r="C147" s="852"/>
      <c r="D147" s="852"/>
      <c r="E147" s="852"/>
      <c r="F147" s="852"/>
      <c r="G147" s="852"/>
      <c r="H147" s="852"/>
      <c r="I147" s="852"/>
      <c r="J147" s="852"/>
      <c r="K147" s="852"/>
      <c r="L147" s="852"/>
      <c r="M147" s="852"/>
      <c r="N147" s="852"/>
      <c r="O147" s="852"/>
      <c r="P147" s="852"/>
      <c r="Q147" s="852"/>
      <c r="R147" s="852"/>
      <c r="S147" s="852"/>
      <c r="T147" s="852"/>
      <c r="U147" s="852"/>
      <c r="V147" s="852"/>
      <c r="W147" s="852"/>
      <c r="X147" s="852"/>
      <c r="Y147" s="852"/>
      <c r="Z147" s="852"/>
      <c r="AA147" s="852"/>
    </row>
    <row r="148" spans="1:27" ht="15.75" customHeight="1" x14ac:dyDescent="0.25">
      <c r="A148" s="852"/>
      <c r="B148" s="852"/>
      <c r="C148" s="852"/>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row>
    <row r="149" spans="1:27" ht="15.75" customHeight="1" x14ac:dyDescent="0.25">
      <c r="A149" s="852"/>
      <c r="B149" s="852"/>
      <c r="C149" s="852"/>
      <c r="D149" s="852"/>
      <c r="E149" s="852"/>
      <c r="F149" s="852"/>
      <c r="G149" s="852"/>
      <c r="H149" s="852"/>
      <c r="I149" s="852"/>
      <c r="J149" s="852"/>
      <c r="K149" s="852"/>
      <c r="L149" s="852"/>
      <c r="M149" s="852"/>
      <c r="N149" s="852"/>
      <c r="O149" s="852"/>
      <c r="P149" s="852"/>
      <c r="Q149" s="852"/>
      <c r="R149" s="852"/>
      <c r="S149" s="852"/>
      <c r="T149" s="852"/>
      <c r="U149" s="852"/>
      <c r="V149" s="852"/>
      <c r="W149" s="852"/>
      <c r="X149" s="852"/>
      <c r="Y149" s="852"/>
      <c r="Z149" s="852"/>
      <c r="AA149" s="852"/>
    </row>
    <row r="150" spans="1:27" ht="15.75" customHeight="1" x14ac:dyDescent="0.25">
      <c r="A150" s="852"/>
      <c r="B150" s="852"/>
      <c r="C150" s="852"/>
      <c r="D150" s="852"/>
      <c r="E150" s="852"/>
      <c r="F150" s="852"/>
      <c r="G150" s="852"/>
      <c r="H150" s="852"/>
      <c r="I150" s="852"/>
      <c r="J150" s="852"/>
      <c r="K150" s="852"/>
      <c r="L150" s="852"/>
      <c r="M150" s="852"/>
      <c r="N150" s="852"/>
      <c r="O150" s="852"/>
      <c r="P150" s="852"/>
      <c r="Q150" s="852"/>
      <c r="R150" s="852"/>
      <c r="S150" s="852"/>
      <c r="T150" s="852"/>
      <c r="U150" s="852"/>
      <c r="V150" s="852"/>
      <c r="W150" s="852"/>
      <c r="X150" s="852"/>
      <c r="Y150" s="852"/>
      <c r="Z150" s="852"/>
      <c r="AA150" s="852"/>
    </row>
    <row r="151" spans="1:27" ht="15.75" customHeight="1" x14ac:dyDescent="0.25">
      <c r="A151" s="852"/>
      <c r="B151" s="852"/>
      <c r="C151" s="852"/>
      <c r="D151" s="852"/>
      <c r="E151" s="852"/>
      <c r="F151" s="852"/>
      <c r="G151" s="852"/>
      <c r="H151" s="852"/>
      <c r="I151" s="852"/>
      <c r="J151" s="852"/>
      <c r="K151" s="852"/>
      <c r="L151" s="852"/>
      <c r="M151" s="852"/>
      <c r="N151" s="852"/>
      <c r="O151" s="852"/>
      <c r="P151" s="852"/>
      <c r="Q151" s="852"/>
      <c r="R151" s="852"/>
      <c r="S151" s="852"/>
      <c r="T151" s="852"/>
      <c r="U151" s="852"/>
      <c r="V151" s="852"/>
      <c r="W151" s="852"/>
      <c r="X151" s="852"/>
      <c r="Y151" s="852"/>
      <c r="Z151" s="852"/>
      <c r="AA151" s="852"/>
    </row>
    <row r="152" spans="1:27" ht="15.75" customHeight="1" x14ac:dyDescent="0.25">
      <c r="A152" s="852"/>
      <c r="B152" s="852"/>
      <c r="C152" s="852"/>
      <c r="D152" s="852"/>
      <c r="E152" s="852"/>
      <c r="F152" s="852"/>
      <c r="G152" s="852"/>
      <c r="H152" s="852"/>
      <c r="I152" s="852"/>
      <c r="J152" s="852"/>
      <c r="K152" s="852"/>
      <c r="L152" s="852"/>
      <c r="M152" s="852"/>
      <c r="N152" s="852"/>
      <c r="O152" s="852"/>
      <c r="P152" s="852"/>
      <c r="Q152" s="852"/>
      <c r="R152" s="852"/>
      <c r="S152" s="852"/>
      <c r="T152" s="852"/>
      <c r="U152" s="852"/>
      <c r="V152" s="852"/>
      <c r="W152" s="852"/>
      <c r="X152" s="852"/>
      <c r="Y152" s="852"/>
      <c r="Z152" s="852"/>
      <c r="AA152" s="852"/>
    </row>
    <row r="153" spans="1:27" ht="15.75" customHeight="1" x14ac:dyDescent="0.25">
      <c r="A153" s="852"/>
      <c r="B153" s="852"/>
      <c r="C153" s="852"/>
      <c r="D153" s="852"/>
      <c r="E153" s="852"/>
      <c r="F153" s="852"/>
      <c r="G153" s="852"/>
      <c r="H153" s="852"/>
      <c r="I153" s="852"/>
      <c r="J153" s="852"/>
      <c r="K153" s="852"/>
      <c r="L153" s="852"/>
      <c r="M153" s="852"/>
      <c r="N153" s="852"/>
      <c r="O153" s="852"/>
      <c r="P153" s="852"/>
      <c r="Q153" s="852"/>
      <c r="R153" s="852"/>
      <c r="S153" s="852"/>
      <c r="T153" s="852"/>
      <c r="U153" s="852"/>
      <c r="V153" s="852"/>
      <c r="W153" s="852"/>
      <c r="X153" s="852"/>
      <c r="Y153" s="852"/>
      <c r="Z153" s="852"/>
      <c r="AA153" s="852"/>
    </row>
    <row r="154" spans="1:27" ht="15.75" customHeight="1" x14ac:dyDescent="0.25">
      <c r="A154" s="852"/>
      <c r="B154" s="852"/>
      <c r="C154" s="852"/>
      <c r="D154" s="852"/>
      <c r="E154" s="852"/>
      <c r="F154" s="852"/>
      <c r="G154" s="852"/>
      <c r="H154" s="852"/>
      <c r="I154" s="852"/>
      <c r="J154" s="852"/>
      <c r="K154" s="852"/>
      <c r="L154" s="852"/>
      <c r="M154" s="852"/>
      <c r="N154" s="852"/>
      <c r="O154" s="852"/>
      <c r="P154" s="852"/>
      <c r="Q154" s="852"/>
      <c r="R154" s="852"/>
      <c r="S154" s="852"/>
      <c r="T154" s="852"/>
      <c r="U154" s="852"/>
      <c r="V154" s="852"/>
      <c r="W154" s="852"/>
      <c r="X154" s="852"/>
      <c r="Y154" s="852"/>
      <c r="Z154" s="852"/>
      <c r="AA154" s="852"/>
    </row>
    <row r="155" spans="1:27" ht="15.75" customHeight="1" x14ac:dyDescent="0.25">
      <c r="A155" s="852"/>
      <c r="B155" s="852"/>
      <c r="C155" s="852"/>
      <c r="D155" s="852"/>
      <c r="E155" s="852"/>
      <c r="F155" s="852"/>
      <c r="G155" s="852"/>
      <c r="H155" s="852"/>
      <c r="I155" s="852"/>
      <c r="J155" s="852"/>
      <c r="K155" s="852"/>
      <c r="L155" s="852"/>
      <c r="M155" s="852"/>
      <c r="N155" s="852"/>
      <c r="O155" s="852"/>
      <c r="P155" s="852"/>
      <c r="Q155" s="852"/>
      <c r="R155" s="852"/>
      <c r="S155" s="852"/>
      <c r="T155" s="852"/>
      <c r="U155" s="852"/>
      <c r="V155" s="852"/>
      <c r="W155" s="852"/>
      <c r="X155" s="852"/>
      <c r="Y155" s="852"/>
      <c r="Z155" s="852"/>
      <c r="AA155" s="852"/>
    </row>
    <row r="156" spans="1:27" ht="15.75" customHeight="1" x14ac:dyDescent="0.25">
      <c r="A156" s="852"/>
      <c r="B156" s="852"/>
      <c r="C156" s="852"/>
      <c r="D156" s="852"/>
      <c r="E156" s="852"/>
      <c r="F156" s="852"/>
      <c r="G156" s="852"/>
      <c r="H156" s="852"/>
      <c r="I156" s="852"/>
      <c r="J156" s="852"/>
      <c r="K156" s="852"/>
      <c r="L156" s="852"/>
      <c r="M156" s="852"/>
      <c r="N156" s="852"/>
      <c r="O156" s="852"/>
      <c r="P156" s="852"/>
      <c r="Q156" s="852"/>
      <c r="R156" s="852"/>
      <c r="S156" s="852"/>
      <c r="T156" s="852"/>
      <c r="U156" s="852"/>
      <c r="V156" s="852"/>
      <c r="W156" s="852"/>
      <c r="X156" s="852"/>
      <c r="Y156" s="852"/>
      <c r="Z156" s="852"/>
      <c r="AA156" s="852"/>
    </row>
    <row r="157" spans="1:27" ht="15.75" customHeight="1" x14ac:dyDescent="0.25">
      <c r="A157" s="852"/>
      <c r="B157" s="852"/>
      <c r="C157" s="852"/>
      <c r="D157" s="852"/>
      <c r="E157" s="852"/>
      <c r="F157" s="852"/>
      <c r="G157" s="852"/>
      <c r="H157" s="852"/>
      <c r="I157" s="852"/>
      <c r="J157" s="852"/>
      <c r="K157" s="852"/>
      <c r="L157" s="852"/>
      <c r="M157" s="852"/>
      <c r="N157" s="852"/>
      <c r="O157" s="852"/>
      <c r="P157" s="852"/>
      <c r="Q157" s="852"/>
      <c r="R157" s="852"/>
      <c r="S157" s="852"/>
      <c r="T157" s="852"/>
      <c r="U157" s="852"/>
      <c r="V157" s="852"/>
      <c r="W157" s="852"/>
      <c r="X157" s="852"/>
      <c r="Y157" s="852"/>
      <c r="Z157" s="852"/>
      <c r="AA157" s="852"/>
    </row>
    <row r="158" spans="1:27" ht="15.75" customHeight="1" x14ac:dyDescent="0.25">
      <c r="A158" s="852"/>
      <c r="B158" s="852"/>
      <c r="C158" s="852"/>
      <c r="D158" s="852"/>
      <c r="E158" s="852"/>
      <c r="F158" s="852"/>
      <c r="G158" s="852"/>
      <c r="H158" s="852"/>
      <c r="I158" s="852"/>
      <c r="J158" s="852"/>
      <c r="K158" s="852"/>
      <c r="L158" s="852"/>
      <c r="M158" s="852"/>
      <c r="N158" s="852"/>
      <c r="O158" s="852"/>
      <c r="P158" s="852"/>
      <c r="Q158" s="852"/>
      <c r="R158" s="852"/>
      <c r="S158" s="852"/>
      <c r="T158" s="852"/>
      <c r="U158" s="852"/>
      <c r="V158" s="852"/>
      <c r="W158" s="852"/>
      <c r="X158" s="852"/>
      <c r="Y158" s="852"/>
      <c r="Z158" s="852"/>
      <c r="AA158" s="852"/>
    </row>
    <row r="159" spans="1:27" ht="15.75" customHeight="1" x14ac:dyDescent="0.25">
      <c r="A159" s="852"/>
      <c r="B159" s="852"/>
      <c r="C159" s="852"/>
      <c r="D159" s="852"/>
      <c r="E159" s="852"/>
      <c r="F159" s="852"/>
      <c r="G159" s="852"/>
      <c r="H159" s="852"/>
      <c r="I159" s="852"/>
      <c r="J159" s="852"/>
      <c r="K159" s="852"/>
      <c r="L159" s="852"/>
      <c r="M159" s="852"/>
      <c r="N159" s="852"/>
      <c r="O159" s="852"/>
      <c r="P159" s="852"/>
      <c r="Q159" s="852"/>
      <c r="R159" s="852"/>
      <c r="S159" s="852"/>
      <c r="T159" s="852"/>
      <c r="U159" s="852"/>
      <c r="V159" s="852"/>
      <c r="W159" s="852"/>
      <c r="X159" s="852"/>
      <c r="Y159" s="852"/>
      <c r="Z159" s="852"/>
      <c r="AA159" s="852"/>
    </row>
    <row r="160" spans="1:27" ht="15.75" customHeight="1" x14ac:dyDescent="0.25">
      <c r="A160" s="852"/>
      <c r="B160" s="852"/>
      <c r="C160" s="852"/>
      <c r="D160" s="852"/>
      <c r="E160" s="852"/>
      <c r="F160" s="852"/>
      <c r="G160" s="852"/>
      <c r="H160" s="852"/>
      <c r="I160" s="852"/>
      <c r="J160" s="852"/>
      <c r="K160" s="852"/>
      <c r="L160" s="852"/>
      <c r="M160" s="852"/>
      <c r="N160" s="852"/>
      <c r="O160" s="852"/>
      <c r="P160" s="852"/>
      <c r="Q160" s="852"/>
      <c r="R160" s="852"/>
      <c r="S160" s="852"/>
      <c r="T160" s="852"/>
      <c r="U160" s="852"/>
      <c r="V160" s="852"/>
      <c r="W160" s="852"/>
      <c r="X160" s="852"/>
      <c r="Y160" s="852"/>
      <c r="Z160" s="852"/>
      <c r="AA160" s="852"/>
    </row>
    <row r="161" spans="1:27" ht="15.75" customHeight="1" x14ac:dyDescent="0.25">
      <c r="A161" s="852"/>
      <c r="B161" s="852"/>
      <c r="C161" s="852"/>
      <c r="D161" s="852"/>
      <c r="E161" s="852"/>
      <c r="F161" s="852"/>
      <c r="G161" s="852"/>
      <c r="H161" s="852"/>
      <c r="I161" s="852"/>
      <c r="J161" s="852"/>
      <c r="K161" s="852"/>
      <c r="L161" s="852"/>
      <c r="M161" s="852"/>
      <c r="N161" s="852"/>
      <c r="O161" s="852"/>
      <c r="P161" s="852"/>
      <c r="Q161" s="852"/>
      <c r="R161" s="852"/>
      <c r="S161" s="852"/>
      <c r="T161" s="852"/>
      <c r="U161" s="852"/>
      <c r="V161" s="852"/>
      <c r="W161" s="852"/>
      <c r="X161" s="852"/>
      <c r="Y161" s="852"/>
      <c r="Z161" s="852"/>
      <c r="AA161" s="852"/>
    </row>
    <row r="162" spans="1:27" ht="15.75" customHeight="1" x14ac:dyDescent="0.25">
      <c r="A162" s="852"/>
      <c r="B162" s="852"/>
      <c r="C162" s="852"/>
      <c r="D162" s="852"/>
      <c r="E162" s="852"/>
      <c r="F162" s="852"/>
      <c r="G162" s="852"/>
      <c r="H162" s="852"/>
      <c r="I162" s="852"/>
      <c r="J162" s="852"/>
      <c r="K162" s="852"/>
      <c r="L162" s="852"/>
      <c r="M162" s="852"/>
      <c r="N162" s="852"/>
      <c r="O162" s="852"/>
      <c r="P162" s="852"/>
      <c r="Q162" s="852"/>
      <c r="R162" s="852"/>
      <c r="S162" s="852"/>
      <c r="T162" s="852"/>
      <c r="U162" s="852"/>
      <c r="V162" s="852"/>
      <c r="W162" s="852"/>
      <c r="X162" s="852"/>
      <c r="Y162" s="852"/>
      <c r="Z162" s="852"/>
      <c r="AA162" s="852"/>
    </row>
    <row r="163" spans="1:27" ht="15.75" customHeight="1" x14ac:dyDescent="0.25">
      <c r="A163" s="852"/>
      <c r="B163" s="852"/>
      <c r="C163" s="852"/>
      <c r="D163" s="852"/>
      <c r="E163" s="852"/>
      <c r="F163" s="852"/>
      <c r="G163" s="852"/>
      <c r="H163" s="852"/>
      <c r="I163" s="852"/>
      <c r="J163" s="852"/>
      <c r="K163" s="852"/>
      <c r="L163" s="852"/>
      <c r="M163" s="852"/>
      <c r="N163" s="852"/>
      <c r="O163" s="852"/>
      <c r="P163" s="852"/>
      <c r="Q163" s="852"/>
      <c r="R163" s="852"/>
      <c r="S163" s="852"/>
      <c r="T163" s="852"/>
      <c r="U163" s="852"/>
      <c r="V163" s="852"/>
      <c r="W163" s="852"/>
      <c r="X163" s="852"/>
      <c r="Y163" s="852"/>
      <c r="Z163" s="852"/>
      <c r="AA163" s="852"/>
    </row>
    <row r="164" spans="1:27" ht="15.75" customHeight="1" x14ac:dyDescent="0.25">
      <c r="A164" s="852"/>
      <c r="B164" s="852"/>
      <c r="C164" s="852"/>
      <c r="D164" s="852"/>
      <c r="E164" s="852"/>
      <c r="F164" s="852"/>
      <c r="G164" s="852"/>
      <c r="H164" s="852"/>
      <c r="I164" s="852"/>
      <c r="J164" s="852"/>
      <c r="K164" s="852"/>
      <c r="L164" s="852"/>
      <c r="M164" s="852"/>
      <c r="N164" s="852"/>
      <c r="O164" s="852"/>
      <c r="P164" s="852"/>
      <c r="Q164" s="852"/>
      <c r="R164" s="852"/>
      <c r="S164" s="852"/>
      <c r="T164" s="852"/>
      <c r="U164" s="852"/>
      <c r="V164" s="852"/>
      <c r="W164" s="852"/>
      <c r="X164" s="852"/>
      <c r="Y164" s="852"/>
      <c r="Z164" s="852"/>
      <c r="AA164" s="852"/>
    </row>
    <row r="165" spans="1:27" ht="15.75" customHeight="1" x14ac:dyDescent="0.25">
      <c r="A165" s="852"/>
      <c r="B165" s="852"/>
      <c r="C165" s="852"/>
      <c r="D165" s="852"/>
      <c r="E165" s="852"/>
      <c r="F165" s="852"/>
      <c r="G165" s="852"/>
      <c r="H165" s="852"/>
      <c r="I165" s="852"/>
      <c r="J165" s="852"/>
      <c r="K165" s="852"/>
      <c r="L165" s="852"/>
      <c r="M165" s="852"/>
      <c r="N165" s="852"/>
      <c r="O165" s="852"/>
      <c r="P165" s="852"/>
      <c r="Q165" s="852"/>
      <c r="R165" s="852"/>
      <c r="S165" s="852"/>
      <c r="T165" s="852"/>
      <c r="U165" s="852"/>
      <c r="V165" s="852"/>
      <c r="W165" s="852"/>
      <c r="X165" s="852"/>
      <c r="Y165" s="852"/>
      <c r="Z165" s="852"/>
      <c r="AA165" s="852"/>
    </row>
    <row r="166" spans="1:27" ht="15.75" customHeight="1" x14ac:dyDescent="0.25">
      <c r="A166" s="852"/>
      <c r="B166" s="852"/>
      <c r="C166" s="852"/>
      <c r="D166" s="852"/>
      <c r="E166" s="852"/>
      <c r="F166" s="852"/>
      <c r="G166" s="852"/>
      <c r="H166" s="852"/>
      <c r="I166" s="852"/>
      <c r="J166" s="852"/>
      <c r="K166" s="852"/>
      <c r="L166" s="852"/>
      <c r="M166" s="852"/>
      <c r="N166" s="852"/>
      <c r="O166" s="852"/>
      <c r="P166" s="852"/>
      <c r="Q166" s="852"/>
      <c r="R166" s="852"/>
      <c r="S166" s="852"/>
      <c r="T166" s="852"/>
      <c r="U166" s="852"/>
      <c r="V166" s="852"/>
      <c r="W166" s="852"/>
      <c r="X166" s="852"/>
      <c r="Y166" s="852"/>
      <c r="Z166" s="852"/>
      <c r="AA166" s="852"/>
    </row>
    <row r="167" spans="1:27" ht="15.75" customHeight="1" x14ac:dyDescent="0.25">
      <c r="A167" s="852"/>
      <c r="B167" s="852"/>
      <c r="C167" s="852"/>
      <c r="D167" s="852"/>
      <c r="E167" s="852"/>
      <c r="F167" s="852"/>
      <c r="G167" s="852"/>
      <c r="H167" s="852"/>
      <c r="I167" s="852"/>
      <c r="J167" s="852"/>
      <c r="K167" s="852"/>
      <c r="L167" s="852"/>
      <c r="M167" s="852"/>
      <c r="N167" s="852"/>
      <c r="O167" s="852"/>
      <c r="P167" s="852"/>
      <c r="Q167" s="852"/>
      <c r="R167" s="852"/>
      <c r="S167" s="852"/>
      <c r="T167" s="852"/>
      <c r="U167" s="852"/>
      <c r="V167" s="852"/>
      <c r="W167" s="852"/>
      <c r="X167" s="852"/>
      <c r="Y167" s="852"/>
      <c r="Z167" s="852"/>
      <c r="AA167" s="852"/>
    </row>
    <row r="168" spans="1:27" ht="15.75" customHeight="1" x14ac:dyDescent="0.25">
      <c r="A168" s="852"/>
      <c r="B168" s="852"/>
      <c r="C168" s="852"/>
      <c r="D168" s="852"/>
      <c r="E168" s="852"/>
      <c r="F168" s="852"/>
      <c r="G168" s="852"/>
      <c r="H168" s="852"/>
      <c r="I168" s="852"/>
      <c r="J168" s="852"/>
      <c r="K168" s="852"/>
      <c r="L168" s="852"/>
      <c r="M168" s="852"/>
      <c r="N168" s="852"/>
      <c r="O168" s="852"/>
      <c r="P168" s="852"/>
      <c r="Q168" s="852"/>
      <c r="R168" s="852"/>
      <c r="S168" s="852"/>
      <c r="T168" s="852"/>
      <c r="U168" s="852"/>
      <c r="V168" s="852"/>
      <c r="W168" s="852"/>
      <c r="X168" s="852"/>
      <c r="Y168" s="852"/>
      <c r="Z168" s="852"/>
      <c r="AA168" s="852"/>
    </row>
    <row r="169" spans="1:27" ht="15.75" customHeight="1" x14ac:dyDescent="0.25">
      <c r="A169" s="852"/>
      <c r="B169" s="852"/>
      <c r="C169" s="852"/>
      <c r="D169" s="852"/>
      <c r="E169" s="852"/>
      <c r="F169" s="852"/>
      <c r="G169" s="852"/>
      <c r="H169" s="852"/>
      <c r="I169" s="852"/>
      <c r="J169" s="852"/>
      <c r="K169" s="852"/>
      <c r="L169" s="852"/>
      <c r="M169" s="852"/>
      <c r="N169" s="852"/>
      <c r="O169" s="852"/>
      <c r="P169" s="852"/>
      <c r="Q169" s="852"/>
      <c r="R169" s="852"/>
      <c r="S169" s="852"/>
      <c r="T169" s="852"/>
      <c r="U169" s="852"/>
      <c r="V169" s="852"/>
      <c r="W169" s="852"/>
      <c r="X169" s="852"/>
      <c r="Y169" s="852"/>
      <c r="Z169" s="852"/>
      <c r="AA169" s="852"/>
    </row>
    <row r="170" spans="1:27" ht="15.75" customHeight="1" x14ac:dyDescent="0.25">
      <c r="A170" s="852"/>
      <c r="B170" s="852"/>
      <c r="C170" s="852"/>
      <c r="D170" s="852"/>
      <c r="E170" s="852"/>
      <c r="F170" s="852"/>
      <c r="G170" s="852"/>
      <c r="H170" s="852"/>
      <c r="I170" s="852"/>
      <c r="J170" s="852"/>
      <c r="K170" s="852"/>
      <c r="L170" s="852"/>
      <c r="M170" s="852"/>
      <c r="N170" s="852"/>
      <c r="O170" s="852"/>
      <c r="P170" s="852"/>
      <c r="Q170" s="852"/>
      <c r="R170" s="852"/>
      <c r="S170" s="852"/>
      <c r="T170" s="852"/>
      <c r="U170" s="852"/>
      <c r="V170" s="852"/>
      <c r="W170" s="852"/>
      <c r="X170" s="852"/>
      <c r="Y170" s="852"/>
      <c r="Z170" s="852"/>
      <c r="AA170" s="852"/>
    </row>
    <row r="171" spans="1:27" ht="15.75" customHeight="1" x14ac:dyDescent="0.25">
      <c r="A171" s="852"/>
      <c r="B171" s="852"/>
      <c r="C171" s="852"/>
      <c r="D171" s="852"/>
      <c r="E171" s="852"/>
      <c r="F171" s="852"/>
      <c r="G171" s="852"/>
      <c r="H171" s="852"/>
      <c r="I171" s="852"/>
      <c r="J171" s="852"/>
      <c r="K171" s="852"/>
      <c r="L171" s="852"/>
      <c r="M171" s="852"/>
      <c r="N171" s="852"/>
      <c r="O171" s="852"/>
      <c r="P171" s="852"/>
      <c r="Q171" s="852"/>
      <c r="R171" s="852"/>
      <c r="S171" s="852"/>
      <c r="T171" s="852"/>
      <c r="U171" s="852"/>
      <c r="V171" s="852"/>
      <c r="W171" s="852"/>
      <c r="X171" s="852"/>
      <c r="Y171" s="852"/>
      <c r="Z171" s="852"/>
      <c r="AA171" s="852"/>
    </row>
    <row r="172" spans="1:27" ht="15.75" customHeight="1" x14ac:dyDescent="0.25">
      <c r="A172" s="852"/>
      <c r="B172" s="852"/>
      <c r="C172" s="852"/>
      <c r="D172" s="852"/>
      <c r="E172" s="852"/>
      <c r="F172" s="852"/>
      <c r="G172" s="852"/>
      <c r="H172" s="852"/>
      <c r="I172" s="852"/>
      <c r="J172" s="852"/>
      <c r="K172" s="852"/>
      <c r="L172" s="852"/>
      <c r="M172" s="852"/>
      <c r="N172" s="852"/>
      <c r="O172" s="852"/>
      <c r="P172" s="852"/>
      <c r="Q172" s="852"/>
      <c r="R172" s="852"/>
      <c r="S172" s="852"/>
      <c r="T172" s="852"/>
      <c r="U172" s="852"/>
      <c r="V172" s="852"/>
      <c r="W172" s="852"/>
      <c r="X172" s="852"/>
      <c r="Y172" s="852"/>
      <c r="Z172" s="852"/>
      <c r="AA172" s="852"/>
    </row>
    <row r="173" spans="1:27" ht="15.75" customHeight="1" x14ac:dyDescent="0.25">
      <c r="A173" s="852"/>
      <c r="B173" s="852"/>
      <c r="C173" s="852"/>
      <c r="D173" s="852"/>
      <c r="E173" s="852"/>
      <c r="F173" s="852"/>
      <c r="G173" s="852"/>
      <c r="H173" s="852"/>
      <c r="I173" s="852"/>
      <c r="J173" s="852"/>
      <c r="K173" s="852"/>
      <c r="L173" s="852"/>
      <c r="M173" s="852"/>
      <c r="N173" s="852"/>
      <c r="O173" s="852"/>
      <c r="P173" s="852"/>
      <c r="Q173" s="852"/>
      <c r="R173" s="852"/>
      <c r="S173" s="852"/>
      <c r="T173" s="852"/>
      <c r="U173" s="852"/>
      <c r="V173" s="852"/>
      <c r="W173" s="852"/>
      <c r="X173" s="852"/>
      <c r="Y173" s="852"/>
      <c r="Z173" s="852"/>
      <c r="AA173" s="852"/>
    </row>
    <row r="174" spans="1:27" ht="15.75" customHeight="1" x14ac:dyDescent="0.25">
      <c r="A174" s="852"/>
      <c r="B174" s="852"/>
      <c r="C174" s="852"/>
      <c r="D174" s="852"/>
      <c r="E174" s="852"/>
      <c r="F174" s="852"/>
      <c r="G174" s="852"/>
      <c r="H174" s="852"/>
      <c r="I174" s="852"/>
      <c r="J174" s="852"/>
      <c r="K174" s="852"/>
      <c r="L174" s="852"/>
      <c r="M174" s="852"/>
      <c r="N174" s="852"/>
      <c r="O174" s="852"/>
      <c r="P174" s="852"/>
      <c r="Q174" s="852"/>
      <c r="R174" s="852"/>
      <c r="S174" s="852"/>
      <c r="T174" s="852"/>
      <c r="U174" s="852"/>
      <c r="V174" s="852"/>
      <c r="W174" s="852"/>
      <c r="X174" s="852"/>
      <c r="Y174" s="852"/>
      <c r="Z174" s="852"/>
      <c r="AA174" s="852"/>
    </row>
    <row r="175" spans="1:27" ht="15.75" customHeight="1" x14ac:dyDescent="0.25">
      <c r="A175" s="852"/>
      <c r="B175" s="852"/>
      <c r="C175" s="852"/>
      <c r="D175" s="852"/>
      <c r="E175" s="852"/>
      <c r="F175" s="852"/>
      <c r="G175" s="852"/>
      <c r="H175" s="852"/>
      <c r="I175" s="852"/>
      <c r="J175" s="852"/>
      <c r="K175" s="852"/>
      <c r="L175" s="852"/>
      <c r="M175" s="852"/>
      <c r="N175" s="852"/>
      <c r="O175" s="852"/>
      <c r="P175" s="852"/>
      <c r="Q175" s="852"/>
      <c r="R175" s="852"/>
      <c r="S175" s="852"/>
      <c r="T175" s="852"/>
      <c r="U175" s="852"/>
      <c r="V175" s="852"/>
      <c r="W175" s="852"/>
      <c r="X175" s="852"/>
      <c r="Y175" s="852"/>
      <c r="Z175" s="852"/>
      <c r="AA175" s="852"/>
    </row>
    <row r="176" spans="1:27" ht="15.75" customHeight="1" x14ac:dyDescent="0.25">
      <c r="A176" s="852"/>
      <c r="B176" s="852"/>
      <c r="C176" s="852"/>
      <c r="D176" s="852"/>
      <c r="E176" s="852"/>
      <c r="F176" s="852"/>
      <c r="G176" s="852"/>
      <c r="H176" s="852"/>
      <c r="I176" s="852"/>
      <c r="J176" s="852"/>
      <c r="K176" s="852"/>
      <c r="L176" s="852"/>
      <c r="M176" s="852"/>
      <c r="N176" s="852"/>
      <c r="O176" s="852"/>
      <c r="P176" s="852"/>
      <c r="Q176" s="852"/>
      <c r="R176" s="852"/>
      <c r="S176" s="852"/>
      <c r="T176" s="852"/>
      <c r="U176" s="852"/>
      <c r="V176" s="852"/>
      <c r="W176" s="852"/>
      <c r="X176" s="852"/>
      <c r="Y176" s="852"/>
      <c r="Z176" s="852"/>
      <c r="AA176" s="852"/>
    </row>
    <row r="177" spans="1:27" ht="15.75" customHeight="1" x14ac:dyDescent="0.25">
      <c r="A177" s="852"/>
      <c r="B177" s="852"/>
      <c r="C177" s="852"/>
      <c r="D177" s="852"/>
      <c r="E177" s="852"/>
      <c r="F177" s="852"/>
      <c r="G177" s="852"/>
      <c r="H177" s="852"/>
      <c r="I177" s="852"/>
      <c r="J177" s="852"/>
      <c r="K177" s="852"/>
      <c r="L177" s="852"/>
      <c r="M177" s="852"/>
      <c r="N177" s="852"/>
      <c r="O177" s="852"/>
      <c r="P177" s="852"/>
      <c r="Q177" s="852"/>
      <c r="R177" s="852"/>
      <c r="S177" s="852"/>
      <c r="T177" s="852"/>
      <c r="U177" s="852"/>
      <c r="V177" s="852"/>
      <c r="W177" s="852"/>
      <c r="X177" s="852"/>
      <c r="Y177" s="852"/>
      <c r="Z177" s="852"/>
      <c r="AA177" s="852"/>
    </row>
    <row r="178" spans="1:27" ht="15.75" customHeight="1" x14ac:dyDescent="0.25">
      <c r="A178" s="852"/>
      <c r="B178" s="852"/>
      <c r="C178" s="852"/>
      <c r="D178" s="852"/>
      <c r="E178" s="852"/>
      <c r="F178" s="852"/>
      <c r="G178" s="852"/>
      <c r="H178" s="852"/>
      <c r="I178" s="852"/>
      <c r="J178" s="852"/>
      <c r="K178" s="852"/>
      <c r="L178" s="852"/>
      <c r="M178" s="852"/>
      <c r="N178" s="852"/>
      <c r="O178" s="852"/>
      <c r="P178" s="852"/>
      <c r="Q178" s="852"/>
      <c r="R178" s="852"/>
      <c r="S178" s="852"/>
      <c r="T178" s="852"/>
      <c r="U178" s="852"/>
      <c r="V178" s="852"/>
      <c r="W178" s="852"/>
      <c r="X178" s="852"/>
      <c r="Y178" s="852"/>
      <c r="Z178" s="852"/>
      <c r="AA178" s="852"/>
    </row>
    <row r="179" spans="1:27" ht="15.75" customHeight="1" x14ac:dyDescent="0.25">
      <c r="A179" s="852"/>
      <c r="B179" s="852"/>
      <c r="C179" s="852"/>
      <c r="D179" s="852"/>
      <c r="E179" s="852"/>
      <c r="F179" s="852"/>
      <c r="G179" s="852"/>
      <c r="H179" s="852"/>
      <c r="I179" s="852"/>
      <c r="J179" s="852"/>
      <c r="K179" s="852"/>
      <c r="L179" s="852"/>
      <c r="M179" s="852"/>
      <c r="N179" s="852"/>
      <c r="O179" s="852"/>
      <c r="P179" s="852"/>
      <c r="Q179" s="852"/>
      <c r="R179" s="852"/>
      <c r="S179" s="852"/>
      <c r="T179" s="852"/>
      <c r="U179" s="852"/>
      <c r="V179" s="852"/>
      <c r="W179" s="852"/>
      <c r="X179" s="852"/>
      <c r="Y179" s="852"/>
      <c r="Z179" s="852"/>
      <c r="AA179" s="852"/>
    </row>
    <row r="180" spans="1:27" ht="15.75" customHeight="1" x14ac:dyDescent="0.25">
      <c r="A180" s="852"/>
      <c r="B180" s="852"/>
      <c r="C180" s="852"/>
      <c r="D180" s="852"/>
      <c r="E180" s="852"/>
      <c r="F180" s="852"/>
      <c r="G180" s="852"/>
      <c r="H180" s="852"/>
      <c r="I180" s="852"/>
      <c r="J180" s="852"/>
      <c r="K180" s="852"/>
      <c r="L180" s="852"/>
      <c r="M180" s="852"/>
      <c r="N180" s="852"/>
      <c r="O180" s="852"/>
      <c r="P180" s="852"/>
      <c r="Q180" s="852"/>
      <c r="R180" s="852"/>
      <c r="S180" s="852"/>
      <c r="T180" s="852"/>
      <c r="U180" s="852"/>
      <c r="V180" s="852"/>
      <c r="W180" s="852"/>
      <c r="X180" s="852"/>
      <c r="Y180" s="852"/>
      <c r="Z180" s="852"/>
      <c r="AA180" s="852"/>
    </row>
    <row r="181" spans="1:27" ht="15.75" customHeight="1" x14ac:dyDescent="0.25">
      <c r="A181" s="852"/>
      <c r="B181" s="852"/>
      <c r="C181" s="852"/>
      <c r="D181" s="852"/>
      <c r="E181" s="852"/>
      <c r="F181" s="852"/>
      <c r="G181" s="852"/>
      <c r="H181" s="852"/>
      <c r="I181" s="852"/>
      <c r="J181" s="852"/>
      <c r="K181" s="852"/>
      <c r="L181" s="852"/>
      <c r="M181" s="852"/>
      <c r="N181" s="852"/>
      <c r="O181" s="852"/>
      <c r="P181" s="852"/>
      <c r="Q181" s="852"/>
      <c r="R181" s="852"/>
      <c r="S181" s="852"/>
      <c r="T181" s="852"/>
      <c r="U181" s="852"/>
      <c r="V181" s="852"/>
      <c r="W181" s="852"/>
      <c r="X181" s="852"/>
      <c r="Y181" s="852"/>
      <c r="Z181" s="852"/>
      <c r="AA181" s="852"/>
    </row>
    <row r="182" spans="1:27" ht="15.75" customHeight="1" x14ac:dyDescent="0.25">
      <c r="A182" s="852"/>
      <c r="B182" s="852"/>
      <c r="C182" s="852"/>
      <c r="D182" s="852"/>
      <c r="E182" s="852"/>
      <c r="F182" s="852"/>
      <c r="G182" s="852"/>
      <c r="H182" s="852"/>
      <c r="I182" s="852"/>
      <c r="J182" s="852"/>
      <c r="K182" s="852"/>
      <c r="L182" s="852"/>
      <c r="M182" s="852"/>
      <c r="N182" s="852"/>
      <c r="O182" s="852"/>
      <c r="P182" s="852"/>
      <c r="Q182" s="852"/>
      <c r="R182" s="852"/>
      <c r="S182" s="852"/>
      <c r="T182" s="852"/>
      <c r="U182" s="852"/>
      <c r="V182" s="852"/>
      <c r="W182" s="852"/>
      <c r="X182" s="852"/>
      <c r="Y182" s="852"/>
      <c r="Z182" s="852"/>
      <c r="AA182" s="852"/>
    </row>
    <row r="183" spans="1:27" ht="15.75" customHeight="1" x14ac:dyDescent="0.25">
      <c r="A183" s="852"/>
      <c r="B183" s="852"/>
      <c r="C183" s="852"/>
      <c r="D183" s="852"/>
      <c r="E183" s="852"/>
      <c r="F183" s="852"/>
      <c r="G183" s="852"/>
      <c r="H183" s="852"/>
      <c r="I183" s="852"/>
      <c r="J183" s="852"/>
      <c r="K183" s="852"/>
      <c r="L183" s="852"/>
      <c r="M183" s="852"/>
      <c r="N183" s="852"/>
      <c r="O183" s="852"/>
      <c r="P183" s="852"/>
      <c r="Q183" s="852"/>
      <c r="R183" s="852"/>
      <c r="S183" s="852"/>
      <c r="T183" s="852"/>
      <c r="U183" s="852"/>
      <c r="V183" s="852"/>
      <c r="W183" s="852"/>
      <c r="X183" s="852"/>
      <c r="Y183" s="852"/>
      <c r="Z183" s="852"/>
      <c r="AA183" s="852"/>
    </row>
    <row r="184" spans="1:27" ht="15.75" customHeight="1" x14ac:dyDescent="0.25">
      <c r="A184" s="852"/>
      <c r="B184" s="852"/>
      <c r="C184" s="852"/>
      <c r="D184" s="852"/>
      <c r="E184" s="852"/>
      <c r="F184" s="852"/>
      <c r="G184" s="852"/>
      <c r="H184" s="852"/>
      <c r="I184" s="852"/>
      <c r="J184" s="852"/>
      <c r="K184" s="852"/>
      <c r="L184" s="852"/>
      <c r="M184" s="852"/>
      <c r="N184" s="852"/>
      <c r="O184" s="852"/>
      <c r="P184" s="852"/>
      <c r="Q184" s="852"/>
      <c r="R184" s="852"/>
      <c r="S184" s="852"/>
      <c r="T184" s="852"/>
      <c r="U184" s="852"/>
      <c r="V184" s="852"/>
      <c r="W184" s="852"/>
      <c r="X184" s="852"/>
      <c r="Y184" s="852"/>
      <c r="Z184" s="852"/>
      <c r="AA184" s="852"/>
    </row>
    <row r="185" spans="1:27" ht="15.75" customHeight="1" x14ac:dyDescent="0.25">
      <c r="A185" s="852"/>
      <c r="B185" s="852"/>
      <c r="C185" s="852"/>
      <c r="D185" s="852"/>
      <c r="E185" s="852"/>
      <c r="F185" s="852"/>
      <c r="G185" s="852"/>
      <c r="H185" s="852"/>
      <c r="I185" s="852"/>
      <c r="J185" s="852"/>
      <c r="K185" s="852"/>
      <c r="L185" s="852"/>
      <c r="M185" s="852"/>
      <c r="N185" s="852"/>
      <c r="O185" s="852"/>
      <c r="P185" s="852"/>
      <c r="Q185" s="852"/>
      <c r="R185" s="852"/>
      <c r="S185" s="852"/>
      <c r="T185" s="852"/>
      <c r="U185" s="852"/>
      <c r="V185" s="852"/>
      <c r="W185" s="852"/>
      <c r="X185" s="852"/>
      <c r="Y185" s="852"/>
      <c r="Z185" s="852"/>
      <c r="AA185" s="852"/>
    </row>
    <row r="186" spans="1:27" ht="15.75" customHeight="1" x14ac:dyDescent="0.25">
      <c r="A186" s="852"/>
      <c r="B186" s="852"/>
      <c r="C186" s="852"/>
      <c r="D186" s="852"/>
      <c r="E186" s="852"/>
      <c r="F186" s="852"/>
      <c r="G186" s="852"/>
      <c r="H186" s="852"/>
      <c r="I186" s="852"/>
      <c r="J186" s="852"/>
      <c r="K186" s="852"/>
      <c r="L186" s="852"/>
      <c r="M186" s="852"/>
      <c r="N186" s="852"/>
      <c r="O186" s="852"/>
      <c r="P186" s="852"/>
      <c r="Q186" s="852"/>
      <c r="R186" s="852"/>
      <c r="S186" s="852"/>
      <c r="T186" s="852"/>
      <c r="U186" s="852"/>
      <c r="V186" s="852"/>
      <c r="W186" s="852"/>
      <c r="X186" s="852"/>
      <c r="Y186" s="852"/>
      <c r="Z186" s="852"/>
      <c r="AA186" s="852"/>
    </row>
    <row r="187" spans="1:27" ht="15.75" customHeight="1" x14ac:dyDescent="0.25">
      <c r="A187" s="852"/>
      <c r="B187" s="852"/>
      <c r="C187" s="852"/>
      <c r="D187" s="852"/>
      <c r="E187" s="852"/>
      <c r="F187" s="852"/>
      <c r="G187" s="852"/>
      <c r="H187" s="852"/>
      <c r="I187" s="852"/>
      <c r="J187" s="852"/>
      <c r="K187" s="852"/>
      <c r="L187" s="852"/>
      <c r="M187" s="852"/>
      <c r="N187" s="852"/>
      <c r="O187" s="852"/>
      <c r="P187" s="852"/>
      <c r="Q187" s="852"/>
      <c r="R187" s="852"/>
      <c r="S187" s="852"/>
      <c r="T187" s="852"/>
      <c r="U187" s="852"/>
      <c r="V187" s="852"/>
      <c r="W187" s="852"/>
      <c r="X187" s="852"/>
      <c r="Y187" s="852"/>
      <c r="Z187" s="852"/>
      <c r="AA187" s="852"/>
    </row>
    <row r="188" spans="1:27" ht="15.75" customHeight="1" x14ac:dyDescent="0.25">
      <c r="A188" s="852"/>
      <c r="B188" s="852"/>
      <c r="C188" s="852"/>
      <c r="D188" s="852"/>
      <c r="E188" s="852"/>
      <c r="F188" s="852"/>
      <c r="G188" s="852"/>
      <c r="H188" s="852"/>
      <c r="I188" s="852"/>
      <c r="J188" s="852"/>
      <c r="K188" s="852"/>
      <c r="L188" s="852"/>
      <c r="M188" s="852"/>
      <c r="N188" s="852"/>
      <c r="O188" s="852"/>
      <c r="P188" s="852"/>
      <c r="Q188" s="852"/>
      <c r="R188" s="852"/>
      <c r="S188" s="852"/>
      <c r="T188" s="852"/>
      <c r="U188" s="852"/>
      <c r="V188" s="852"/>
      <c r="W188" s="852"/>
      <c r="X188" s="852"/>
      <c r="Y188" s="852"/>
      <c r="Z188" s="852"/>
      <c r="AA188" s="852"/>
    </row>
    <row r="189" spans="1:27" ht="15.75" customHeight="1" x14ac:dyDescent="0.25">
      <c r="A189" s="852"/>
      <c r="B189" s="852"/>
      <c r="C189" s="852"/>
      <c r="D189" s="852"/>
      <c r="E189" s="852"/>
      <c r="F189" s="852"/>
      <c r="G189" s="852"/>
      <c r="H189" s="852"/>
      <c r="I189" s="852"/>
      <c r="J189" s="852"/>
      <c r="K189" s="852"/>
      <c r="L189" s="852"/>
      <c r="M189" s="852"/>
      <c r="N189" s="852"/>
      <c r="O189" s="852"/>
      <c r="P189" s="852"/>
      <c r="Q189" s="852"/>
      <c r="R189" s="852"/>
      <c r="S189" s="852"/>
      <c r="T189" s="852"/>
      <c r="U189" s="852"/>
      <c r="V189" s="852"/>
      <c r="W189" s="852"/>
      <c r="X189" s="852"/>
      <c r="Y189" s="852"/>
      <c r="Z189" s="852"/>
      <c r="AA189" s="852"/>
    </row>
    <row r="190" spans="1:27" ht="15.75" customHeight="1" x14ac:dyDescent="0.25">
      <c r="A190" s="852"/>
      <c r="B190" s="852"/>
      <c r="C190" s="852"/>
      <c r="D190" s="852"/>
      <c r="E190" s="852"/>
      <c r="F190" s="852"/>
      <c r="G190" s="852"/>
      <c r="H190" s="852"/>
      <c r="I190" s="852"/>
      <c r="J190" s="852"/>
      <c r="K190" s="852"/>
      <c r="L190" s="852"/>
      <c r="M190" s="852"/>
      <c r="N190" s="852"/>
      <c r="O190" s="852"/>
      <c r="P190" s="852"/>
      <c r="Q190" s="852"/>
      <c r="R190" s="852"/>
      <c r="S190" s="852"/>
      <c r="T190" s="852"/>
      <c r="U190" s="852"/>
      <c r="V190" s="852"/>
      <c r="W190" s="852"/>
      <c r="X190" s="852"/>
      <c r="Y190" s="852"/>
      <c r="Z190" s="852"/>
      <c r="AA190" s="852"/>
    </row>
    <row r="191" spans="1:27" ht="15.75" customHeight="1" x14ac:dyDescent="0.25">
      <c r="A191" s="852"/>
      <c r="B191" s="852"/>
      <c r="C191" s="852"/>
      <c r="D191" s="852"/>
      <c r="E191" s="852"/>
      <c r="F191" s="852"/>
      <c r="G191" s="852"/>
      <c r="H191" s="852"/>
      <c r="I191" s="852"/>
      <c r="J191" s="852"/>
      <c r="K191" s="852"/>
      <c r="L191" s="852"/>
      <c r="M191" s="852"/>
      <c r="N191" s="852"/>
      <c r="O191" s="852"/>
      <c r="P191" s="852"/>
      <c r="Q191" s="852"/>
      <c r="R191" s="852"/>
      <c r="S191" s="852"/>
      <c r="T191" s="852"/>
      <c r="U191" s="852"/>
      <c r="V191" s="852"/>
      <c r="W191" s="852"/>
      <c r="X191" s="852"/>
      <c r="Y191" s="852"/>
      <c r="Z191" s="852"/>
      <c r="AA191" s="852"/>
    </row>
    <row r="192" spans="1:27" ht="15.75" customHeight="1" x14ac:dyDescent="0.25">
      <c r="A192" s="852"/>
      <c r="B192" s="852"/>
      <c r="C192" s="852"/>
      <c r="D192" s="852"/>
      <c r="E192" s="852"/>
      <c r="F192" s="852"/>
      <c r="G192" s="852"/>
      <c r="H192" s="852"/>
      <c r="I192" s="852"/>
      <c r="J192" s="852"/>
      <c r="K192" s="852"/>
      <c r="L192" s="852"/>
      <c r="M192" s="852"/>
      <c r="N192" s="852"/>
      <c r="O192" s="852"/>
      <c r="P192" s="852"/>
      <c r="Q192" s="852"/>
      <c r="R192" s="852"/>
      <c r="S192" s="852"/>
      <c r="T192" s="852"/>
      <c r="U192" s="852"/>
      <c r="V192" s="852"/>
      <c r="W192" s="852"/>
      <c r="X192" s="852"/>
      <c r="Y192" s="852"/>
      <c r="Z192" s="852"/>
      <c r="AA192" s="852"/>
    </row>
    <row r="193" spans="1:27" ht="15.75" customHeight="1" x14ac:dyDescent="0.25">
      <c r="A193" s="852"/>
      <c r="B193" s="852"/>
      <c r="C193" s="852"/>
      <c r="D193" s="852"/>
      <c r="E193" s="852"/>
      <c r="F193" s="852"/>
      <c r="G193" s="852"/>
      <c r="H193" s="852"/>
      <c r="I193" s="852"/>
      <c r="J193" s="852"/>
      <c r="K193" s="852"/>
      <c r="L193" s="852"/>
      <c r="M193" s="852"/>
      <c r="N193" s="852"/>
      <c r="O193" s="852"/>
      <c r="P193" s="852"/>
      <c r="Q193" s="852"/>
      <c r="R193" s="852"/>
      <c r="S193" s="852"/>
      <c r="T193" s="852"/>
      <c r="U193" s="852"/>
      <c r="V193" s="852"/>
      <c r="W193" s="852"/>
      <c r="X193" s="852"/>
      <c r="Y193" s="852"/>
      <c r="Z193" s="852"/>
      <c r="AA193" s="852"/>
    </row>
    <row r="194" spans="1:27" ht="15.75" customHeight="1" x14ac:dyDescent="0.25">
      <c r="A194" s="852"/>
      <c r="B194" s="852"/>
      <c r="C194" s="852"/>
      <c r="D194" s="852"/>
      <c r="E194" s="852"/>
      <c r="F194" s="852"/>
      <c r="G194" s="852"/>
      <c r="H194" s="852"/>
      <c r="I194" s="852"/>
      <c r="J194" s="852"/>
      <c r="K194" s="852"/>
      <c r="L194" s="852"/>
      <c r="M194" s="852"/>
      <c r="N194" s="852"/>
      <c r="O194" s="852"/>
      <c r="P194" s="852"/>
      <c r="Q194" s="852"/>
      <c r="R194" s="852"/>
      <c r="S194" s="852"/>
      <c r="T194" s="852"/>
      <c r="U194" s="852"/>
      <c r="V194" s="852"/>
      <c r="W194" s="852"/>
      <c r="X194" s="852"/>
      <c r="Y194" s="852"/>
      <c r="Z194" s="852"/>
      <c r="AA194" s="852"/>
    </row>
    <row r="195" spans="1:27" ht="15.75" customHeight="1" x14ac:dyDescent="0.25">
      <c r="A195" s="852"/>
      <c r="B195" s="852"/>
      <c r="C195" s="852"/>
      <c r="D195" s="852"/>
      <c r="E195" s="852"/>
      <c r="F195" s="852"/>
      <c r="G195" s="852"/>
      <c r="H195" s="852"/>
      <c r="I195" s="852"/>
      <c r="J195" s="852"/>
      <c r="K195" s="852"/>
      <c r="L195" s="852"/>
      <c r="M195" s="852"/>
      <c r="N195" s="852"/>
      <c r="O195" s="852"/>
      <c r="P195" s="852"/>
      <c r="Q195" s="852"/>
      <c r="R195" s="852"/>
      <c r="S195" s="852"/>
      <c r="T195" s="852"/>
      <c r="U195" s="852"/>
      <c r="V195" s="852"/>
      <c r="W195" s="852"/>
      <c r="X195" s="852"/>
      <c r="Y195" s="852"/>
      <c r="Z195" s="852"/>
      <c r="AA195" s="852"/>
    </row>
    <row r="196" spans="1:27" ht="15.75" customHeight="1" x14ac:dyDescent="0.25">
      <c r="A196" s="852"/>
      <c r="B196" s="852"/>
      <c r="C196" s="852"/>
      <c r="D196" s="852"/>
      <c r="E196" s="852"/>
      <c r="F196" s="852"/>
      <c r="G196" s="852"/>
      <c r="H196" s="852"/>
      <c r="I196" s="852"/>
      <c r="J196" s="852"/>
      <c r="K196" s="852"/>
      <c r="L196" s="852"/>
      <c r="M196" s="852"/>
      <c r="N196" s="852"/>
      <c r="O196" s="852"/>
      <c r="P196" s="852"/>
      <c r="Q196" s="852"/>
      <c r="R196" s="852"/>
      <c r="S196" s="852"/>
      <c r="T196" s="852"/>
      <c r="U196" s="852"/>
      <c r="V196" s="852"/>
      <c r="W196" s="852"/>
      <c r="X196" s="852"/>
      <c r="Y196" s="852"/>
      <c r="Z196" s="852"/>
      <c r="AA196" s="852"/>
    </row>
    <row r="197" spans="1:27" ht="15.75" customHeight="1" x14ac:dyDescent="0.25">
      <c r="A197" s="852"/>
      <c r="B197" s="852"/>
      <c r="C197" s="852"/>
      <c r="D197" s="852"/>
      <c r="E197" s="852"/>
      <c r="F197" s="852"/>
      <c r="G197" s="852"/>
      <c r="H197" s="852"/>
      <c r="I197" s="852"/>
      <c r="J197" s="852"/>
      <c r="K197" s="852"/>
      <c r="L197" s="852"/>
      <c r="M197" s="852"/>
      <c r="N197" s="852"/>
      <c r="O197" s="852"/>
      <c r="P197" s="852"/>
      <c r="Q197" s="852"/>
      <c r="R197" s="852"/>
      <c r="S197" s="852"/>
      <c r="T197" s="852"/>
      <c r="U197" s="852"/>
      <c r="V197" s="852"/>
      <c r="W197" s="852"/>
      <c r="X197" s="852"/>
      <c r="Y197" s="852"/>
      <c r="Z197" s="852"/>
      <c r="AA197" s="852"/>
    </row>
    <row r="198" spans="1:27" ht="15.75" customHeight="1" x14ac:dyDescent="0.25">
      <c r="A198" s="852"/>
      <c r="B198" s="852"/>
      <c r="C198" s="852"/>
      <c r="D198" s="852"/>
      <c r="E198" s="852"/>
      <c r="F198" s="852"/>
      <c r="G198" s="852"/>
      <c r="H198" s="852"/>
      <c r="I198" s="852"/>
      <c r="J198" s="852"/>
      <c r="K198" s="852"/>
      <c r="L198" s="852"/>
      <c r="M198" s="852"/>
      <c r="N198" s="852"/>
      <c r="O198" s="852"/>
      <c r="P198" s="852"/>
      <c r="Q198" s="852"/>
      <c r="R198" s="852"/>
      <c r="S198" s="852"/>
      <c r="T198" s="852"/>
      <c r="U198" s="852"/>
      <c r="V198" s="852"/>
      <c r="W198" s="852"/>
      <c r="X198" s="852"/>
      <c r="Y198" s="852"/>
      <c r="Z198" s="852"/>
      <c r="AA198" s="852"/>
    </row>
    <row r="199" spans="1:27" ht="15.75" customHeight="1" x14ac:dyDescent="0.25">
      <c r="A199" s="852"/>
      <c r="B199" s="852"/>
      <c r="C199" s="852"/>
      <c r="D199" s="852"/>
      <c r="E199" s="852"/>
      <c r="F199" s="852"/>
      <c r="G199" s="852"/>
      <c r="H199" s="852"/>
      <c r="I199" s="852"/>
      <c r="J199" s="852"/>
      <c r="K199" s="852"/>
      <c r="L199" s="852"/>
      <c r="M199" s="852"/>
      <c r="N199" s="852"/>
      <c r="O199" s="852"/>
      <c r="P199" s="852"/>
      <c r="Q199" s="852"/>
      <c r="R199" s="852"/>
      <c r="S199" s="852"/>
      <c r="T199" s="852"/>
      <c r="U199" s="852"/>
      <c r="V199" s="852"/>
      <c r="W199" s="852"/>
      <c r="X199" s="852"/>
      <c r="Y199" s="852"/>
      <c r="Z199" s="852"/>
      <c r="AA199" s="852"/>
    </row>
    <row r="200" spans="1:27" ht="15.75" customHeight="1" x14ac:dyDescent="0.25">
      <c r="A200" s="852"/>
      <c r="B200" s="852"/>
      <c r="C200" s="852"/>
      <c r="D200" s="852"/>
      <c r="E200" s="852"/>
      <c r="F200" s="852"/>
      <c r="G200" s="852"/>
      <c r="H200" s="852"/>
      <c r="I200" s="852"/>
      <c r="J200" s="852"/>
      <c r="K200" s="852"/>
      <c r="L200" s="852"/>
      <c r="M200" s="852"/>
      <c r="N200" s="852"/>
      <c r="O200" s="852"/>
      <c r="P200" s="852"/>
      <c r="Q200" s="852"/>
      <c r="R200" s="852"/>
      <c r="S200" s="852"/>
      <c r="T200" s="852"/>
      <c r="U200" s="852"/>
      <c r="V200" s="852"/>
      <c r="W200" s="852"/>
      <c r="X200" s="852"/>
      <c r="Y200" s="852"/>
      <c r="Z200" s="852"/>
      <c r="AA200" s="852"/>
    </row>
    <row r="201" spans="1:27" ht="15.75" customHeight="1" x14ac:dyDescent="0.25">
      <c r="A201" s="852"/>
      <c r="B201" s="852"/>
      <c r="C201" s="852"/>
      <c r="D201" s="852"/>
      <c r="E201" s="852"/>
      <c r="F201" s="852"/>
      <c r="G201" s="852"/>
      <c r="H201" s="852"/>
      <c r="I201" s="852"/>
      <c r="J201" s="852"/>
      <c r="K201" s="852"/>
      <c r="L201" s="852"/>
      <c r="M201" s="852"/>
      <c r="N201" s="852"/>
      <c r="O201" s="852"/>
      <c r="P201" s="852"/>
      <c r="Q201" s="852"/>
      <c r="R201" s="852"/>
      <c r="S201" s="852"/>
      <c r="T201" s="852"/>
      <c r="U201" s="852"/>
      <c r="V201" s="852"/>
      <c r="W201" s="852"/>
      <c r="X201" s="852"/>
      <c r="Y201" s="852"/>
      <c r="Z201" s="852"/>
      <c r="AA201" s="852"/>
    </row>
    <row r="202" spans="1:27" ht="15.75" customHeight="1" x14ac:dyDescent="0.25">
      <c r="A202" s="852"/>
      <c r="B202" s="852"/>
      <c r="C202" s="852"/>
      <c r="D202" s="852"/>
      <c r="E202" s="852"/>
      <c r="F202" s="852"/>
      <c r="G202" s="852"/>
      <c r="H202" s="852"/>
      <c r="I202" s="852"/>
      <c r="J202" s="852"/>
      <c r="K202" s="852"/>
      <c r="L202" s="852"/>
      <c r="M202" s="852"/>
      <c r="N202" s="852"/>
      <c r="O202" s="852"/>
      <c r="P202" s="852"/>
      <c r="Q202" s="852"/>
      <c r="R202" s="852"/>
      <c r="S202" s="852"/>
      <c r="T202" s="852"/>
      <c r="U202" s="852"/>
      <c r="V202" s="852"/>
      <c r="W202" s="852"/>
      <c r="X202" s="852"/>
      <c r="Y202" s="852"/>
      <c r="Z202" s="852"/>
      <c r="AA202" s="852"/>
    </row>
    <row r="203" spans="1:27" ht="15.75" customHeight="1" x14ac:dyDescent="0.25">
      <c r="A203" s="852"/>
      <c r="B203" s="852"/>
      <c r="C203" s="852"/>
      <c r="D203" s="852"/>
      <c r="E203" s="852"/>
      <c r="F203" s="852"/>
      <c r="G203" s="852"/>
      <c r="H203" s="852"/>
      <c r="I203" s="852"/>
      <c r="J203" s="852"/>
      <c r="K203" s="852"/>
      <c r="L203" s="852"/>
      <c r="M203" s="852"/>
      <c r="N203" s="852"/>
      <c r="O203" s="852"/>
      <c r="P203" s="852"/>
      <c r="Q203" s="852"/>
      <c r="R203" s="852"/>
      <c r="S203" s="852"/>
      <c r="T203" s="852"/>
      <c r="U203" s="852"/>
      <c r="V203" s="852"/>
      <c r="W203" s="852"/>
      <c r="X203" s="852"/>
      <c r="Y203" s="852"/>
      <c r="Z203" s="852"/>
      <c r="AA203" s="852"/>
    </row>
    <row r="204" spans="1:27" ht="15.75" customHeight="1" x14ac:dyDescent="0.25">
      <c r="A204" s="852"/>
      <c r="B204" s="852"/>
      <c r="C204" s="852"/>
      <c r="D204" s="852"/>
      <c r="E204" s="852"/>
      <c r="F204" s="852"/>
      <c r="G204" s="852"/>
      <c r="H204" s="852"/>
      <c r="I204" s="852"/>
      <c r="J204" s="852"/>
      <c r="K204" s="852"/>
      <c r="L204" s="852"/>
      <c r="M204" s="852"/>
      <c r="N204" s="852"/>
      <c r="O204" s="852"/>
      <c r="P204" s="852"/>
      <c r="Q204" s="852"/>
      <c r="R204" s="852"/>
      <c r="S204" s="852"/>
      <c r="T204" s="852"/>
      <c r="U204" s="852"/>
      <c r="V204" s="852"/>
      <c r="W204" s="852"/>
      <c r="X204" s="852"/>
      <c r="Y204" s="852"/>
      <c r="Z204" s="852"/>
      <c r="AA204" s="852"/>
    </row>
    <row r="205" spans="1:27" ht="15.75" customHeight="1" x14ac:dyDescent="0.25">
      <c r="A205" s="852"/>
      <c r="B205" s="852"/>
      <c r="C205" s="852"/>
      <c r="D205" s="852"/>
      <c r="E205" s="852"/>
      <c r="F205" s="852"/>
      <c r="G205" s="852"/>
      <c r="H205" s="852"/>
      <c r="I205" s="852"/>
      <c r="J205" s="852"/>
      <c r="K205" s="852"/>
      <c r="L205" s="852"/>
      <c r="M205" s="852"/>
      <c r="N205" s="852"/>
      <c r="O205" s="852"/>
      <c r="P205" s="852"/>
      <c r="Q205" s="852"/>
      <c r="R205" s="852"/>
      <c r="S205" s="852"/>
      <c r="T205" s="852"/>
      <c r="U205" s="852"/>
      <c r="V205" s="852"/>
      <c r="W205" s="852"/>
      <c r="X205" s="852"/>
      <c r="Y205" s="852"/>
      <c r="Z205" s="852"/>
      <c r="AA205" s="852"/>
    </row>
    <row r="206" spans="1:27" ht="15.75" customHeight="1" x14ac:dyDescent="0.25">
      <c r="A206" s="852"/>
      <c r="B206" s="852"/>
      <c r="C206" s="852"/>
      <c r="D206" s="852"/>
      <c r="E206" s="852"/>
      <c r="F206" s="852"/>
      <c r="G206" s="852"/>
      <c r="H206" s="852"/>
      <c r="I206" s="852"/>
      <c r="J206" s="852"/>
      <c r="K206" s="852"/>
      <c r="L206" s="852"/>
      <c r="M206" s="852"/>
      <c r="N206" s="852"/>
      <c r="O206" s="852"/>
      <c r="P206" s="852"/>
      <c r="Q206" s="852"/>
      <c r="R206" s="852"/>
      <c r="S206" s="852"/>
      <c r="T206" s="852"/>
      <c r="U206" s="852"/>
      <c r="V206" s="852"/>
      <c r="W206" s="852"/>
      <c r="X206" s="852"/>
      <c r="Y206" s="852"/>
      <c r="Z206" s="852"/>
      <c r="AA206" s="852"/>
    </row>
    <row r="207" spans="1:27" ht="15.75" customHeight="1" x14ac:dyDescent="0.25">
      <c r="A207" s="852"/>
      <c r="B207" s="852"/>
      <c r="C207" s="852"/>
      <c r="D207" s="852"/>
      <c r="E207" s="852"/>
      <c r="F207" s="852"/>
      <c r="G207" s="852"/>
      <c r="H207" s="852"/>
      <c r="I207" s="852"/>
      <c r="J207" s="852"/>
      <c r="K207" s="852"/>
      <c r="L207" s="852"/>
      <c r="M207" s="852"/>
      <c r="N207" s="852"/>
      <c r="O207" s="852"/>
      <c r="P207" s="852"/>
      <c r="Q207" s="852"/>
      <c r="R207" s="852"/>
      <c r="S207" s="852"/>
      <c r="T207" s="852"/>
      <c r="U207" s="852"/>
      <c r="V207" s="852"/>
      <c r="W207" s="852"/>
      <c r="X207" s="852"/>
      <c r="Y207" s="852"/>
      <c r="Z207" s="852"/>
      <c r="AA207" s="852"/>
    </row>
    <row r="208" spans="1:27" ht="15.75" customHeight="1" x14ac:dyDescent="0.25">
      <c r="A208" s="852"/>
      <c r="B208" s="852"/>
      <c r="C208" s="852"/>
      <c r="D208" s="852"/>
      <c r="E208" s="852"/>
      <c r="F208" s="852"/>
      <c r="G208" s="852"/>
      <c r="H208" s="852"/>
      <c r="I208" s="852"/>
      <c r="J208" s="852"/>
      <c r="K208" s="852"/>
      <c r="L208" s="852"/>
      <c r="M208" s="852"/>
      <c r="N208" s="852"/>
      <c r="O208" s="852"/>
      <c r="P208" s="852"/>
      <c r="Q208" s="852"/>
      <c r="R208" s="852"/>
      <c r="S208" s="852"/>
      <c r="T208" s="852"/>
      <c r="U208" s="852"/>
      <c r="V208" s="852"/>
      <c r="W208" s="852"/>
      <c r="X208" s="852"/>
      <c r="Y208" s="852"/>
      <c r="Z208" s="852"/>
      <c r="AA208" s="852"/>
    </row>
    <row r="209" spans="1:27" ht="15.75" customHeight="1" x14ac:dyDescent="0.25">
      <c r="A209" s="852"/>
      <c r="B209" s="852"/>
      <c r="C209" s="852"/>
      <c r="D209" s="852"/>
      <c r="E209" s="852"/>
      <c r="F209" s="852"/>
      <c r="G209" s="852"/>
      <c r="H209" s="852"/>
      <c r="I209" s="852"/>
      <c r="J209" s="852"/>
      <c r="K209" s="852"/>
      <c r="L209" s="852"/>
      <c r="M209" s="852"/>
      <c r="N209" s="852"/>
      <c r="O209" s="852"/>
      <c r="P209" s="852"/>
      <c r="Q209" s="852"/>
      <c r="R209" s="852"/>
      <c r="S209" s="852"/>
      <c r="T209" s="852"/>
      <c r="U209" s="852"/>
      <c r="V209" s="852"/>
      <c r="W209" s="852"/>
      <c r="X209" s="852"/>
      <c r="Y209" s="852"/>
      <c r="Z209" s="852"/>
      <c r="AA209" s="852"/>
    </row>
    <row r="210" spans="1:27" ht="15.75" customHeight="1" x14ac:dyDescent="0.25">
      <c r="A210" s="852"/>
      <c r="B210" s="852"/>
      <c r="C210" s="852"/>
      <c r="D210" s="852"/>
      <c r="E210" s="852"/>
      <c r="F210" s="852"/>
      <c r="G210" s="852"/>
      <c r="H210" s="852"/>
      <c r="I210" s="852"/>
      <c r="J210" s="852"/>
      <c r="K210" s="852"/>
      <c r="L210" s="852"/>
      <c r="M210" s="852"/>
      <c r="N210" s="852"/>
      <c r="O210" s="852"/>
      <c r="P210" s="852"/>
      <c r="Q210" s="852"/>
      <c r="R210" s="852"/>
      <c r="S210" s="852"/>
      <c r="T210" s="852"/>
      <c r="U210" s="852"/>
      <c r="V210" s="852"/>
      <c r="W210" s="852"/>
      <c r="X210" s="852"/>
      <c r="Y210" s="852"/>
      <c r="Z210" s="852"/>
      <c r="AA210" s="852"/>
    </row>
    <row r="211" spans="1:27" ht="15.75" customHeight="1" x14ac:dyDescent="0.25">
      <c r="A211" s="852"/>
      <c r="B211" s="852"/>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852"/>
    </row>
    <row r="212" spans="1:27" ht="15.75" customHeight="1" x14ac:dyDescent="0.25">
      <c r="A212" s="852"/>
      <c r="B212" s="852"/>
      <c r="C212" s="852"/>
      <c r="D212" s="852"/>
      <c r="E212" s="852"/>
      <c r="F212" s="852"/>
      <c r="G212" s="852"/>
      <c r="H212" s="852"/>
      <c r="I212" s="852"/>
      <c r="J212" s="852"/>
      <c r="K212" s="852"/>
      <c r="L212" s="852"/>
      <c r="M212" s="852"/>
      <c r="N212" s="852"/>
      <c r="O212" s="852"/>
      <c r="P212" s="852"/>
      <c r="Q212" s="852"/>
      <c r="R212" s="852"/>
      <c r="S212" s="852"/>
      <c r="T212" s="852"/>
      <c r="U212" s="852"/>
      <c r="V212" s="852"/>
      <c r="W212" s="852"/>
      <c r="X212" s="852"/>
      <c r="Y212" s="852"/>
      <c r="Z212" s="852"/>
      <c r="AA212" s="852"/>
    </row>
    <row r="213" spans="1:27" ht="15.75" customHeight="1" x14ac:dyDescent="0.25">
      <c r="A213" s="852"/>
      <c r="B213" s="852"/>
      <c r="C213" s="852"/>
      <c r="D213" s="852"/>
      <c r="E213" s="852"/>
      <c r="F213" s="852"/>
      <c r="G213" s="852"/>
      <c r="H213" s="852"/>
      <c r="I213" s="852"/>
      <c r="J213" s="852"/>
      <c r="K213" s="852"/>
      <c r="L213" s="852"/>
      <c r="M213" s="852"/>
      <c r="N213" s="852"/>
      <c r="O213" s="852"/>
      <c r="P213" s="852"/>
      <c r="Q213" s="852"/>
      <c r="R213" s="852"/>
      <c r="S213" s="852"/>
      <c r="T213" s="852"/>
      <c r="U213" s="852"/>
      <c r="V213" s="852"/>
      <c r="W213" s="852"/>
      <c r="X213" s="852"/>
      <c r="Y213" s="852"/>
      <c r="Z213" s="852"/>
      <c r="AA213" s="852"/>
    </row>
    <row r="214" spans="1:27" ht="15.75" customHeight="1" x14ac:dyDescent="0.25">
      <c r="A214" s="852"/>
      <c r="B214" s="852"/>
      <c r="C214" s="852"/>
      <c r="D214" s="852"/>
      <c r="E214" s="852"/>
      <c r="F214" s="852"/>
      <c r="G214" s="852"/>
      <c r="H214" s="852"/>
      <c r="I214" s="852"/>
      <c r="J214" s="852"/>
      <c r="K214" s="852"/>
      <c r="L214" s="852"/>
      <c r="M214" s="852"/>
      <c r="N214" s="852"/>
      <c r="O214" s="852"/>
      <c r="P214" s="852"/>
      <c r="Q214" s="852"/>
      <c r="R214" s="852"/>
      <c r="S214" s="852"/>
      <c r="T214" s="852"/>
      <c r="U214" s="852"/>
      <c r="V214" s="852"/>
      <c r="W214" s="852"/>
      <c r="X214" s="852"/>
      <c r="Y214" s="852"/>
      <c r="Z214" s="852"/>
      <c r="AA214" s="852"/>
    </row>
    <row r="215" spans="1:27" ht="15.75" customHeight="1" x14ac:dyDescent="0.25">
      <c r="A215" s="852"/>
      <c r="B215" s="852"/>
      <c r="C215" s="852"/>
      <c r="D215" s="852"/>
      <c r="E215" s="852"/>
      <c r="F215" s="852"/>
      <c r="G215" s="852"/>
      <c r="H215" s="852"/>
      <c r="I215" s="852"/>
      <c r="J215" s="852"/>
      <c r="K215" s="852"/>
      <c r="L215" s="852"/>
      <c r="M215" s="852"/>
      <c r="N215" s="852"/>
      <c r="O215" s="852"/>
      <c r="P215" s="852"/>
      <c r="Q215" s="852"/>
      <c r="R215" s="852"/>
      <c r="S215" s="852"/>
      <c r="T215" s="852"/>
      <c r="U215" s="852"/>
      <c r="V215" s="852"/>
      <c r="W215" s="852"/>
      <c r="X215" s="852"/>
      <c r="Y215" s="852"/>
      <c r="Z215" s="852"/>
      <c r="AA215" s="852"/>
    </row>
    <row r="216" spans="1:27" ht="15.75" customHeight="1" x14ac:dyDescent="0.25">
      <c r="A216" s="852"/>
      <c r="B216" s="852"/>
      <c r="C216" s="852"/>
      <c r="D216" s="852"/>
      <c r="E216" s="852"/>
      <c r="F216" s="852"/>
      <c r="G216" s="852"/>
      <c r="H216" s="852"/>
      <c r="I216" s="852"/>
      <c r="J216" s="852"/>
      <c r="K216" s="852"/>
      <c r="L216" s="852"/>
      <c r="M216" s="852"/>
      <c r="N216" s="852"/>
      <c r="O216" s="852"/>
      <c r="P216" s="852"/>
      <c r="Q216" s="852"/>
      <c r="R216" s="852"/>
      <c r="S216" s="852"/>
      <c r="T216" s="852"/>
      <c r="U216" s="852"/>
      <c r="V216" s="852"/>
      <c r="W216" s="852"/>
      <c r="X216" s="852"/>
      <c r="Y216" s="852"/>
      <c r="Z216" s="852"/>
      <c r="AA216" s="852"/>
    </row>
    <row r="217" spans="1:27" ht="15.75" customHeight="1" x14ac:dyDescent="0.25">
      <c r="A217" s="852"/>
      <c r="B217" s="852"/>
      <c r="C217" s="852"/>
      <c r="D217" s="852"/>
      <c r="E217" s="852"/>
      <c r="F217" s="852"/>
      <c r="G217" s="852"/>
      <c r="H217" s="852"/>
      <c r="I217" s="852"/>
      <c r="J217" s="852"/>
      <c r="K217" s="852"/>
      <c r="L217" s="852"/>
      <c r="M217" s="852"/>
      <c r="N217" s="852"/>
      <c r="O217" s="852"/>
      <c r="P217" s="852"/>
      <c r="Q217" s="852"/>
      <c r="R217" s="852"/>
      <c r="S217" s="852"/>
      <c r="T217" s="852"/>
      <c r="U217" s="852"/>
      <c r="V217" s="852"/>
      <c r="W217" s="852"/>
      <c r="X217" s="852"/>
      <c r="Y217" s="852"/>
      <c r="Z217" s="852"/>
      <c r="AA217" s="852"/>
    </row>
    <row r="218" spans="1:27" ht="15.75" customHeight="1" x14ac:dyDescent="0.25"/>
    <row r="219" spans="1:27" ht="15.75" customHeight="1" x14ac:dyDescent="0.25"/>
    <row r="220" spans="1:27" ht="15.75" customHeight="1" x14ac:dyDescent="0.25"/>
    <row r="221" spans="1:27" ht="15.75" customHeight="1" x14ac:dyDescent="0.25"/>
    <row r="222" spans="1:27" ht="15.75" customHeight="1" x14ac:dyDescent="0.25"/>
    <row r="223" spans="1:27" ht="15.75" customHeight="1" x14ac:dyDescent="0.25"/>
    <row r="224" spans="1:27"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10">
    <mergeCell ref="A8:F8"/>
    <mergeCell ref="A10:H10"/>
    <mergeCell ref="A11:H28"/>
    <mergeCell ref="B1:E1"/>
    <mergeCell ref="B2:E2"/>
    <mergeCell ref="J2:O2"/>
    <mergeCell ref="A4:H4"/>
    <mergeCell ref="A5:B5"/>
    <mergeCell ref="A6:B6"/>
    <mergeCell ref="A7:B7"/>
  </mergeCells>
  <pageMargins left="0.7" right="0.7" top="0.75" bottom="0.75" header="0.3" footer="0.3"/>
  <pageSetup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50</vt:i4>
      </vt:variant>
      <vt:variant>
        <vt:lpstr>Rangos con nombre</vt:lpstr>
      </vt:variant>
      <vt:variant>
        <vt:i4>37</vt:i4>
      </vt:variant>
    </vt:vector>
  </HeadingPairs>
  <TitlesOfParts>
    <vt:vector size="87" baseType="lpstr">
      <vt:lpstr>CRONOGRAMA</vt:lpstr>
      <vt:lpstr>PRESUPUESTO</vt:lpstr>
      <vt:lpstr>CADENA DE VALOR</vt:lpstr>
      <vt:lpstr>APU</vt:lpstr>
      <vt:lpstr>AIU</vt:lpstr>
      <vt:lpstr>EDT</vt:lpstr>
      <vt:lpstr>INSUMOS</vt:lpstr>
      <vt:lpstr>MO</vt:lpstr>
      <vt:lpstr>SUB ANALISIS CONCRETO</vt:lpstr>
      <vt:lpstr>Analisis de mercado 2025</vt:lpstr>
      <vt:lpstr>EQUIPOS</vt:lpstr>
      <vt:lpstr>PGIO</vt:lpstr>
      <vt:lpstr>FACTOR PREST</vt:lpstr>
      <vt:lpstr>SUB ANALISIS MORTERO</vt:lpstr>
      <vt:lpstr>Interventoria</vt:lpstr>
      <vt:lpstr>Factor multiplicador</vt:lpstr>
      <vt:lpstr>ITEM1.2</vt:lpstr>
      <vt:lpstr>ITEM1.3</vt:lpstr>
      <vt:lpstr>ITEM1.4</vt:lpstr>
      <vt:lpstr>ITEM4.2</vt:lpstr>
      <vt:lpstr>ITEM4.7</vt:lpstr>
      <vt:lpstr>ITEM 4,13</vt:lpstr>
      <vt:lpstr>ITEM 4,14</vt:lpstr>
      <vt:lpstr>ITEM 4,15</vt:lpstr>
      <vt:lpstr>ITEM5.6</vt:lpstr>
      <vt:lpstr>ITEM5.2</vt:lpstr>
      <vt:lpstr>ITEM5.3</vt:lpstr>
      <vt:lpstr>ITEM5.4</vt:lpstr>
      <vt:lpstr>ITEM5.1</vt:lpstr>
      <vt:lpstr>ITEM6.1</vt:lpstr>
      <vt:lpstr>ITEM6.3</vt:lpstr>
      <vt:lpstr>6.9</vt:lpstr>
      <vt:lpstr>ITEM6.4</vt:lpstr>
      <vt:lpstr>ITEM 8,2</vt:lpstr>
      <vt:lpstr>ITEM 9,1</vt:lpstr>
      <vt:lpstr>ITEM 9,2</vt:lpstr>
      <vt:lpstr>ITEM 9,3</vt:lpstr>
      <vt:lpstr>ITEM 9,4</vt:lpstr>
      <vt:lpstr>ITEM 10,01</vt:lpstr>
      <vt:lpstr>ITEM 10,02</vt:lpstr>
      <vt:lpstr>ITEM 11,1</vt:lpstr>
      <vt:lpstr>ITEM 11,5</vt:lpstr>
      <vt:lpstr>ITEM 12,1</vt:lpstr>
      <vt:lpstr>ITEM 13,01</vt:lpstr>
      <vt:lpstr>ITEM 14,01</vt:lpstr>
      <vt:lpstr>ITEM 14,02</vt:lpstr>
      <vt:lpstr>ITEM 14,03</vt:lpstr>
      <vt:lpstr>ITEM 15,02</vt:lpstr>
      <vt:lpstr>ITEM 15,03</vt:lpstr>
      <vt:lpstr>ITEM 15,04</vt:lpstr>
      <vt:lpstr>'6.9'!Área_de_impresión</vt:lpstr>
      <vt:lpstr>AIU!Área_de_impresión</vt:lpstr>
      <vt:lpstr>'Analisis de mercado 2025'!Área_de_impresión</vt:lpstr>
      <vt:lpstr>CRONOGRAMA!Área_de_impresión</vt:lpstr>
      <vt:lpstr>'ITEM 10,01'!Área_de_impresión</vt:lpstr>
      <vt:lpstr>'ITEM 10,02'!Área_de_impresión</vt:lpstr>
      <vt:lpstr>'ITEM 11,1'!Área_de_impresión</vt:lpstr>
      <vt:lpstr>'ITEM 11,5'!Área_de_impresión</vt:lpstr>
      <vt:lpstr>'ITEM 12,1'!Área_de_impresión</vt:lpstr>
      <vt:lpstr>'ITEM 13,01'!Área_de_impresión</vt:lpstr>
      <vt:lpstr>'ITEM 14,01'!Área_de_impresión</vt:lpstr>
      <vt:lpstr>'ITEM 14,02'!Área_de_impresión</vt:lpstr>
      <vt:lpstr>'ITEM 14,03'!Área_de_impresión</vt:lpstr>
      <vt:lpstr>'ITEM 15,02'!Área_de_impresión</vt:lpstr>
      <vt:lpstr>'ITEM 15,03'!Área_de_impresión</vt:lpstr>
      <vt:lpstr>'ITEM 15,04'!Área_de_impresión</vt:lpstr>
      <vt:lpstr>'ITEM 4,13'!Área_de_impresión</vt:lpstr>
      <vt:lpstr>'ITEM 4,14'!Área_de_impresión</vt:lpstr>
      <vt:lpstr>'ITEM 4,15'!Área_de_impresión</vt:lpstr>
      <vt:lpstr>'ITEM 8,2'!Área_de_impresión</vt:lpstr>
      <vt:lpstr>'ITEM 9,1'!Área_de_impresión</vt:lpstr>
      <vt:lpstr>'ITEM 9,2'!Área_de_impresión</vt:lpstr>
      <vt:lpstr>'ITEM 9,3'!Área_de_impresión</vt:lpstr>
      <vt:lpstr>'ITEM 9,4'!Área_de_impresión</vt:lpstr>
      <vt:lpstr>ITEM1.2!Área_de_impresión</vt:lpstr>
      <vt:lpstr>ITEM1.3!Área_de_impresión</vt:lpstr>
      <vt:lpstr>ITEM1.4!Área_de_impresión</vt:lpstr>
      <vt:lpstr>ITEM4.2!Área_de_impresión</vt:lpstr>
      <vt:lpstr>ITEM4.7!Área_de_impresión</vt:lpstr>
      <vt:lpstr>ITEM5.1!Área_de_impresión</vt:lpstr>
      <vt:lpstr>ITEM5.2!Área_de_impresión</vt:lpstr>
      <vt:lpstr>ITEM5.3!Área_de_impresión</vt:lpstr>
      <vt:lpstr>ITEM5.4!Área_de_impresión</vt:lpstr>
      <vt:lpstr>ITEM5.6!Área_de_impresión</vt:lpstr>
      <vt:lpstr>ITEM6.1!Área_de_impresión</vt:lpstr>
      <vt:lpstr>ITEM6.3!Área_de_impresión</vt:lpstr>
      <vt:lpstr>ITEM6.4!Área_de_impresión</vt:lpstr>
    </vt:vector>
  </TitlesOfParts>
  <Company>InKulpado666</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Luffi</cp:lastModifiedBy>
  <cp:lastPrinted>2024-02-02T12:39:50Z</cp:lastPrinted>
  <dcterms:created xsi:type="dcterms:W3CDTF">2023-09-08T18:52:16Z</dcterms:created>
  <dcterms:modified xsi:type="dcterms:W3CDTF">2025-10-14T14:46:27Z</dcterms:modified>
</cp:coreProperties>
</file>